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DINI SUSU\FINANCE\"/>
    </mc:Choice>
  </mc:AlternateContent>
  <xr:revisionPtr revIDLastSave="0" documentId="13_ncr:1_{1CC7B568-5678-4D89-AA2C-54ABCDCAD05F}" xr6:coauthVersionLast="47" xr6:coauthVersionMax="47" xr10:uidLastSave="{00000000-0000-0000-0000-000000000000}"/>
  <bookViews>
    <workbookView xWindow="-120" yWindow="-120" windowWidth="20730" windowHeight="11160" firstSheet="52" activeTab="57" xr2:uid="{00000000-000D-0000-FFFF-FFFF00000000}"/>
  </bookViews>
  <sheets>
    <sheet name="NOP 21" sheetId="1" r:id="rId1"/>
    <sheet name="DES 21" sheetId="2" r:id="rId2"/>
    <sheet name="JAN 22" sheetId="3" r:id="rId3"/>
    <sheet name="PEB 22" sheetId="4" r:id="rId4"/>
    <sheet name="MAR 22" sheetId="5" r:id="rId5"/>
    <sheet name="APR22" sheetId="6" r:id="rId6"/>
    <sheet name="MEI22" sheetId="7" r:id="rId7"/>
    <sheet name="JUNI" sheetId="8" r:id="rId8"/>
    <sheet name="JULI" sheetId="9" r:id="rId9"/>
    <sheet name="AGUSTUS" sheetId="10" r:id="rId10"/>
    <sheet name="SEPTEMBER" sheetId="11" r:id="rId11"/>
    <sheet name="OKTOBER" sheetId="12" r:id="rId12"/>
    <sheet name="NOVEMBER" sheetId="13" r:id="rId13"/>
    <sheet name="DESEMBER" sheetId="14" r:id="rId14"/>
    <sheet name="JANUARI 2023" sheetId="15" r:id="rId15"/>
    <sheet name="FEBRUARI 2023" sheetId="16" r:id="rId16"/>
    <sheet name="MARET2023" sheetId="17" r:id="rId17"/>
    <sheet name="APRIL2023" sheetId="18" r:id="rId18"/>
    <sheet name="MEI2023" sheetId="19" r:id="rId19"/>
    <sheet name="JUNI2023" sheetId="20" r:id="rId20"/>
    <sheet name="JULI2023" sheetId="21" r:id="rId21"/>
    <sheet name="AGUSTUS2023" sheetId="22" r:id="rId22"/>
    <sheet name="SEPTEMBER2023" sheetId="23" r:id="rId23"/>
    <sheet name="OKTOBER 2023" sheetId="24" r:id="rId24"/>
    <sheet name="NOVEMBER2023" sheetId="25" r:id="rId25"/>
    <sheet name="DESEMBER2023" sheetId="26" r:id="rId26"/>
    <sheet name="FEBRUARI2024" sheetId="27" r:id="rId27"/>
    <sheet name="JANUARI2024" sheetId="28" r:id="rId28"/>
    <sheet name="MARET2024" sheetId="29" r:id="rId29"/>
    <sheet name="APRIL2024" sheetId="30" r:id="rId30"/>
    <sheet name="MEI2024" sheetId="31" r:id="rId31"/>
    <sheet name="JUNI2024" sheetId="32" r:id="rId32"/>
    <sheet name="JULI2024" sheetId="33" r:id="rId33"/>
    <sheet name="AGUSTUS2024" sheetId="34" r:id="rId34"/>
    <sheet name="SEPTEMBER2024" sheetId="35" r:id="rId35"/>
    <sheet name="OKTOBER2024" sheetId="36" r:id="rId36"/>
    <sheet name="NOVEMBER2024" sheetId="37" r:id="rId37"/>
    <sheet name="JANUARI2025" sheetId="39" r:id="rId38"/>
    <sheet name="DESEMBER2024" sheetId="38" r:id="rId39"/>
    <sheet name="FEBRUARI2025" sheetId="40" r:id="rId40"/>
    <sheet name="MARET2025" sheetId="41" r:id="rId41"/>
    <sheet name="APRIL2025" sheetId="42" r:id="rId42"/>
    <sheet name="MEI2025" sheetId="43" r:id="rId43"/>
    <sheet name="JUNI2025" sheetId="44" r:id="rId44"/>
    <sheet name="JULI2025" sheetId="45" r:id="rId45"/>
    <sheet name="AGUSTUS2025" sheetId="46" r:id="rId46"/>
    <sheet name="SEPTEMBER2025" sheetId="47" r:id="rId47"/>
    <sheet name="OKTOBER2025" sheetId="48" r:id="rId48"/>
    <sheet name="NOVEMBER2025" sheetId="49" r:id="rId49"/>
    <sheet name="DESEMBER2025" sheetId="50" r:id="rId50"/>
    <sheet name="JANUARI2026" sheetId="51" r:id="rId51"/>
    <sheet name="FEBRUARI2026" sheetId="52" r:id="rId52"/>
    <sheet name="MARET2026" sheetId="53" r:id="rId53"/>
    <sheet name="APRIL2026" sheetId="54" r:id="rId54"/>
    <sheet name="MEI2026" sheetId="55" r:id="rId55"/>
    <sheet name="JUNI2026" sheetId="56" r:id="rId56"/>
    <sheet name="JULI2026" sheetId="57" r:id="rId57"/>
    <sheet name="AGUSTUS2026" sheetId="58" r:id="rId58"/>
  </sheets>
  <definedNames>
    <definedName name="_xlnm._FilterDatabase" localSheetId="21" hidden="1">AGUSTUS2023!$A$1:$H$383</definedName>
    <definedName name="_xlnm._FilterDatabase" localSheetId="33" hidden="1">AGUSTUS2024!$A$1:$H$332</definedName>
    <definedName name="_xlnm._FilterDatabase" localSheetId="45" hidden="1">AGUSTUS2025!$A$1:$H$371</definedName>
    <definedName name="_xlnm._FilterDatabase" localSheetId="17" hidden="1">APRIL2023!$A$1:$H$177</definedName>
    <definedName name="_xlnm._FilterDatabase" localSheetId="29" hidden="1">APRIL2024!$A$1:$H$200</definedName>
    <definedName name="_xlnm._FilterDatabase" localSheetId="41" hidden="1">APRIL2025!$A$1:$H$223</definedName>
    <definedName name="_xlnm._FilterDatabase" localSheetId="38" hidden="1">DESEMBER2024!$A$1:$H$183</definedName>
    <definedName name="_xlnm._FilterDatabase" localSheetId="15" hidden="1">'FEBRUARI 2023'!$A$1:$H$326</definedName>
    <definedName name="_xlnm._FilterDatabase" localSheetId="26" hidden="1">FEBRUARI2024!$A$1:$H$308</definedName>
    <definedName name="_xlnm._FilterDatabase" localSheetId="39" hidden="1">FEBRUARI2025!$A$1:$H$266</definedName>
    <definedName name="_xlnm._FilterDatabase" localSheetId="14" hidden="1">'JANUARI 2023'!$A$1:$H$378</definedName>
    <definedName name="_xlnm._FilterDatabase" localSheetId="37" hidden="1">JANUARI2025!$A$1:$H$265</definedName>
    <definedName name="_xlnm._FilterDatabase" localSheetId="20" hidden="1">JULI2023!$A$1:$K$379</definedName>
    <definedName name="_xlnm._FilterDatabase" localSheetId="32" hidden="1">JULI2024!$A$1:$H$257</definedName>
    <definedName name="_xlnm._FilterDatabase" localSheetId="44" hidden="1">JULI2025!$A$1:$H$307</definedName>
    <definedName name="_xlnm._FilterDatabase" localSheetId="19" hidden="1">JUNI2023!$A$1:$H$441</definedName>
    <definedName name="_xlnm._FilterDatabase" localSheetId="31" hidden="1">JUNI2024!$A$1:$H$241</definedName>
    <definedName name="_xlnm._FilterDatabase" localSheetId="43" hidden="1">JUNI2025!$A$1:$H$297</definedName>
    <definedName name="_xlnm._FilterDatabase" localSheetId="16" hidden="1">MARET2023!$A$1:$H$439</definedName>
    <definedName name="_xlnm._FilterDatabase" localSheetId="28" hidden="1">MARET2024!$A$1:$H$227</definedName>
    <definedName name="_xlnm._FilterDatabase" localSheetId="40" hidden="1">MARET2025!$A$1:$H$230</definedName>
    <definedName name="_xlnm._FilterDatabase" localSheetId="18" hidden="1">'MEI2023'!$A$1:$H$406</definedName>
    <definedName name="_xlnm._FilterDatabase" localSheetId="30" hidden="1">'MEI2024'!$A$1:$H$297</definedName>
    <definedName name="_xlnm._FilterDatabase" localSheetId="42" hidden="1">'MEI2025'!$A$1:$H$249</definedName>
    <definedName name="_xlnm._FilterDatabase" localSheetId="36" hidden="1">NOVEMBER2024!$A$1:$H$326</definedName>
    <definedName name="_xlnm._FilterDatabase" localSheetId="23" hidden="1">'OKTOBER 2023'!$A$1:$K$384</definedName>
    <definedName name="_xlnm._FilterDatabase" localSheetId="35" hidden="1">OKTOBER2024!$A$1:$H$316</definedName>
    <definedName name="_xlnm._FilterDatabase" localSheetId="22" hidden="1">SEPTEMBER2023!$A$1:$H$378</definedName>
    <definedName name="_xlnm._FilterDatabase" localSheetId="34" hidden="1">SEPTEMBER2024!$A$1:$H$288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58" l="1"/>
  <c r="G5" i="58"/>
  <c r="H5" i="58"/>
  <c r="E5" i="58"/>
  <c r="H2" i="58"/>
  <c r="G2" i="58"/>
  <c r="F2" i="58"/>
  <c r="H152" i="57"/>
  <c r="F152" i="57"/>
  <c r="F151" i="57"/>
  <c r="G152" i="57"/>
  <c r="H151" i="57"/>
  <c r="G151" i="57"/>
  <c r="H146" i="57"/>
  <c r="H147" i="57"/>
  <c r="G147" i="57"/>
  <c r="G146" i="57"/>
  <c r="F146" i="57"/>
  <c r="F147" i="57"/>
  <c r="F150" i="57"/>
  <c r="G150" i="57"/>
  <c r="H150" i="57"/>
  <c r="E150" i="57"/>
  <c r="G141" i="57"/>
  <c r="F141" i="57"/>
  <c r="H139" i="57"/>
  <c r="G139" i="57"/>
  <c r="F139" i="57"/>
  <c r="E143" i="57"/>
  <c r="H145" i="57"/>
  <c r="G145" i="57"/>
  <c r="F145" i="57"/>
  <c r="H144" i="57"/>
  <c r="F144" i="57"/>
  <c r="G144" i="57"/>
  <c r="F137" i="57"/>
  <c r="H138" i="57"/>
  <c r="G138" i="57"/>
  <c r="F138" i="57"/>
  <c r="H137" i="57"/>
  <c r="G137" i="57"/>
  <c r="H136" i="57"/>
  <c r="G136" i="57"/>
  <c r="F136" i="57"/>
  <c r="H135" i="57"/>
  <c r="G135" i="57"/>
  <c r="F135" i="57"/>
  <c r="H134" i="57"/>
  <c r="G134" i="57"/>
  <c r="F134" i="57"/>
  <c r="H133" i="57"/>
  <c r="H143" i="57" s="1"/>
  <c r="G133" i="57"/>
  <c r="G143" i="57" s="1"/>
  <c r="F133" i="57"/>
  <c r="F143" i="57" s="1"/>
  <c r="H128" i="57"/>
  <c r="G128" i="57"/>
  <c r="F128" i="57"/>
  <c r="H127" i="57"/>
  <c r="G127" i="57"/>
  <c r="F127" i="57"/>
  <c r="H125" i="57"/>
  <c r="G125" i="57"/>
  <c r="F125" i="57"/>
  <c r="E132" i="57"/>
  <c r="H124" i="57"/>
  <c r="G124" i="57"/>
  <c r="F124" i="57"/>
  <c r="H123" i="57"/>
  <c r="G123" i="57"/>
  <c r="F123" i="57"/>
  <c r="H122" i="57"/>
  <c r="H132" i="57" s="1"/>
  <c r="G122" i="57"/>
  <c r="G132" i="57" s="1"/>
  <c r="F122" i="57"/>
  <c r="F132" i="57" s="1"/>
  <c r="E121" i="57"/>
  <c r="H119" i="57"/>
  <c r="H120" i="57"/>
  <c r="G119" i="57"/>
  <c r="G120" i="57"/>
  <c r="F119" i="57"/>
  <c r="F120" i="57"/>
  <c r="H118" i="57"/>
  <c r="G118" i="57"/>
  <c r="F118" i="57"/>
  <c r="H117" i="57"/>
  <c r="G117" i="57"/>
  <c r="F117" i="57"/>
  <c r="H116" i="57"/>
  <c r="H121" i="57" s="1"/>
  <c r="G116" i="57"/>
  <c r="G121" i="57" s="1"/>
  <c r="F116" i="57"/>
  <c r="F121" i="57" s="1"/>
  <c r="H113" i="57"/>
  <c r="G113" i="57"/>
  <c r="F113" i="57"/>
  <c r="H110" i="57"/>
  <c r="G110" i="57"/>
  <c r="F110" i="57"/>
  <c r="H109" i="57"/>
  <c r="G109" i="57"/>
  <c r="F109" i="57"/>
  <c r="H108" i="57"/>
  <c r="G108" i="57"/>
  <c r="F108" i="57"/>
  <c r="H107" i="57"/>
  <c r="H115" i="57" s="1"/>
  <c r="G107" i="57"/>
  <c r="G115" i="57" s="1"/>
  <c r="F107" i="57"/>
  <c r="F115" i="57" s="1"/>
  <c r="E115" i="57"/>
  <c r="H103" i="57"/>
  <c r="G103" i="57"/>
  <c r="F103" i="57"/>
  <c r="H102" i="57"/>
  <c r="G102" i="57"/>
  <c r="F102" i="57"/>
  <c r="E106" i="57"/>
  <c r="H101" i="57"/>
  <c r="G101" i="57"/>
  <c r="F101" i="57"/>
  <c r="H100" i="57"/>
  <c r="G100" i="57"/>
  <c r="F100" i="57"/>
  <c r="H99" i="57"/>
  <c r="G99" i="57"/>
  <c r="F99" i="57"/>
  <c r="H98" i="57"/>
  <c r="H106" i="57" s="1"/>
  <c r="G98" i="57"/>
  <c r="G106" i="57" s="1"/>
  <c r="F98" i="57"/>
  <c r="F106" i="57" s="1"/>
  <c r="H30" i="57"/>
  <c r="G30" i="57"/>
  <c r="F30" i="57"/>
  <c r="H29" i="57"/>
  <c r="G29" i="57"/>
  <c r="F29" i="57"/>
  <c r="H28" i="57"/>
  <c r="G28" i="57"/>
  <c r="F28" i="57"/>
  <c r="H26" i="57"/>
  <c r="G26" i="57"/>
  <c r="F26" i="57"/>
  <c r="H25" i="57"/>
  <c r="G25" i="57"/>
  <c r="F25" i="57"/>
  <c r="F31" i="57"/>
  <c r="G31" i="57"/>
  <c r="H31" i="57"/>
  <c r="E31" i="57"/>
  <c r="E83" i="57"/>
  <c r="H82" i="57"/>
  <c r="G82" i="57"/>
  <c r="F82" i="57"/>
  <c r="H81" i="57"/>
  <c r="G81" i="57"/>
  <c r="F81" i="57"/>
  <c r="H78" i="57"/>
  <c r="H83" i="57" s="1"/>
  <c r="G78" i="57"/>
  <c r="G83" i="57" s="1"/>
  <c r="F78" i="57"/>
  <c r="F83" i="57" s="1"/>
  <c r="E77" i="57"/>
  <c r="H76" i="57"/>
  <c r="G76" i="57"/>
  <c r="F76" i="57"/>
  <c r="H74" i="57"/>
  <c r="G74" i="57"/>
  <c r="F74" i="57"/>
  <c r="H73" i="57"/>
  <c r="G73" i="57"/>
  <c r="F73" i="57"/>
  <c r="H72" i="57"/>
  <c r="H77" i="57" s="1"/>
  <c r="G72" i="57"/>
  <c r="G77" i="57" s="1"/>
  <c r="F72" i="57"/>
  <c r="F77" i="57" s="1"/>
  <c r="E71" i="57"/>
  <c r="H68" i="57"/>
  <c r="H71" i="57" s="1"/>
  <c r="G68" i="57"/>
  <c r="G71" i="57" s="1"/>
  <c r="F68" i="57"/>
  <c r="F71" i="57" s="1"/>
  <c r="E67" i="57"/>
  <c r="H66" i="57"/>
  <c r="G66" i="57"/>
  <c r="F66" i="57"/>
  <c r="H65" i="57"/>
  <c r="G65" i="57"/>
  <c r="F65" i="57"/>
  <c r="H64" i="57"/>
  <c r="G64" i="57"/>
  <c r="F64" i="57"/>
  <c r="H63" i="57"/>
  <c r="G63" i="57"/>
  <c r="F63" i="57"/>
  <c r="E59" i="57"/>
  <c r="G55" i="57"/>
  <c r="F55" i="57"/>
  <c r="H53" i="57"/>
  <c r="H59" i="57" s="1"/>
  <c r="G53" i="57"/>
  <c r="G59" i="57" s="1"/>
  <c r="F53" i="57"/>
  <c r="F59" i="57" s="1"/>
  <c r="E52" i="57"/>
  <c r="H51" i="57"/>
  <c r="G51" i="57"/>
  <c r="F51" i="57"/>
  <c r="H50" i="57"/>
  <c r="G50" i="57"/>
  <c r="F50" i="57"/>
  <c r="H49" i="57"/>
  <c r="H52" i="57" s="1"/>
  <c r="G49" i="57"/>
  <c r="G52" i="57" s="1"/>
  <c r="F49" i="57"/>
  <c r="F52" i="57" s="1"/>
  <c r="E47" i="57"/>
  <c r="H45" i="57"/>
  <c r="H47" i="57" s="1"/>
  <c r="G45" i="57"/>
  <c r="G47" i="57" s="1"/>
  <c r="F45" i="57"/>
  <c r="F47" i="57" s="1"/>
  <c r="E44" i="57"/>
  <c r="H43" i="57"/>
  <c r="G43" i="57"/>
  <c r="F43" i="57"/>
  <c r="H39" i="57"/>
  <c r="G39" i="57"/>
  <c r="F39" i="57"/>
  <c r="E35" i="57"/>
  <c r="H32" i="57"/>
  <c r="H35" i="57" s="1"/>
  <c r="G32" i="57"/>
  <c r="G35" i="57" s="1"/>
  <c r="F32" i="57"/>
  <c r="F35" i="57" s="1"/>
  <c r="H22" i="57"/>
  <c r="G22" i="57"/>
  <c r="F22" i="57"/>
  <c r="E23" i="57"/>
  <c r="H20" i="57"/>
  <c r="G20" i="57"/>
  <c r="E13" i="57"/>
  <c r="H10" i="57"/>
  <c r="H13" i="57" s="1"/>
  <c r="G10" i="57"/>
  <c r="G13" i="57" s="1"/>
  <c r="F10" i="57"/>
  <c r="F13" i="57" s="1"/>
  <c r="H6" i="57"/>
  <c r="F6" i="57"/>
  <c r="H15" i="57"/>
  <c r="G15" i="57"/>
  <c r="F15" i="57"/>
  <c r="H14" i="57"/>
  <c r="H23" i="57" s="1"/>
  <c r="G14" i="57"/>
  <c r="G23" i="57" s="1"/>
  <c r="F14" i="57"/>
  <c r="F23" i="57" s="1"/>
  <c r="H37" i="57"/>
  <c r="G37" i="57"/>
  <c r="F37" i="57"/>
  <c r="H36" i="57"/>
  <c r="H44" i="57" s="1"/>
  <c r="G36" i="57"/>
  <c r="G44" i="57" s="1"/>
  <c r="F36" i="57"/>
  <c r="F44" i="57" s="1"/>
  <c r="H62" i="57"/>
  <c r="G62" i="57"/>
  <c r="F62" i="57"/>
  <c r="H61" i="57"/>
  <c r="G61" i="57"/>
  <c r="F61" i="57"/>
  <c r="H60" i="57"/>
  <c r="H67" i="57" s="1"/>
  <c r="G60" i="57"/>
  <c r="G67" i="57" s="1"/>
  <c r="F60" i="57"/>
  <c r="F67" i="57" s="1"/>
  <c r="E97" i="57"/>
  <c r="H95" i="57"/>
  <c r="G95" i="57"/>
  <c r="F95" i="57"/>
  <c r="H94" i="57"/>
  <c r="G94" i="57"/>
  <c r="F94" i="57"/>
  <c r="H93" i="57"/>
  <c r="G93" i="57"/>
  <c r="F93" i="57"/>
  <c r="H86" i="57"/>
  <c r="G86" i="57"/>
  <c r="F86" i="57"/>
  <c r="H85" i="57"/>
  <c r="G85" i="57"/>
  <c r="F85" i="57"/>
  <c r="H84" i="57"/>
  <c r="H97" i="57" s="1"/>
  <c r="G84" i="57"/>
  <c r="G97" i="57" s="1"/>
  <c r="F84" i="57"/>
  <c r="F97" i="57" s="1"/>
  <c r="E9" i="57"/>
  <c r="H8" i="57"/>
  <c r="G8" i="57"/>
  <c r="F8" i="57"/>
  <c r="H7" i="57"/>
  <c r="G7" i="57"/>
  <c r="F7" i="57"/>
  <c r="G6" i="57"/>
  <c r="H5" i="57"/>
  <c r="G5" i="57"/>
  <c r="F5" i="57"/>
  <c r="H2" i="57"/>
  <c r="H9" i="57" s="1"/>
  <c r="G2" i="57"/>
  <c r="G9" i="57" s="1"/>
  <c r="F2" i="57"/>
  <c r="F9" i="57" s="1"/>
  <c r="H77" i="56"/>
  <c r="G77" i="56"/>
  <c r="F77" i="56"/>
  <c r="H74" i="56"/>
  <c r="G74" i="56"/>
  <c r="F74" i="56"/>
  <c r="F86" i="56"/>
  <c r="G86" i="56"/>
  <c r="H86" i="56"/>
  <c r="E86" i="56"/>
  <c r="H85" i="56"/>
  <c r="G85" i="56"/>
  <c r="F85" i="56"/>
  <c r="H83" i="56"/>
  <c r="G83" i="56"/>
  <c r="F83" i="56"/>
  <c r="H65" i="56"/>
  <c r="G65" i="56"/>
  <c r="F65" i="56"/>
  <c r="G128" i="55"/>
  <c r="H128" i="55"/>
  <c r="F128" i="55"/>
  <c r="H64" i="56"/>
  <c r="G64" i="56"/>
  <c r="F64" i="56"/>
  <c r="H63" i="56"/>
  <c r="G63" i="56"/>
  <c r="F63" i="56"/>
  <c r="H62" i="56"/>
  <c r="G62" i="56"/>
  <c r="F62" i="56"/>
  <c r="H61" i="56"/>
  <c r="G61" i="56"/>
  <c r="F61" i="56"/>
  <c r="H60" i="56"/>
  <c r="G60" i="56"/>
  <c r="F60" i="56"/>
  <c r="H58" i="56"/>
  <c r="G58" i="56"/>
  <c r="F58" i="56"/>
  <c r="F67" i="56"/>
  <c r="G67" i="56"/>
  <c r="H67" i="56"/>
  <c r="E67" i="56"/>
  <c r="H56" i="56"/>
  <c r="G56" i="56"/>
  <c r="F56" i="56"/>
  <c r="H55" i="56"/>
  <c r="G55" i="56"/>
  <c r="F55" i="56"/>
  <c r="H54" i="56"/>
  <c r="G54" i="56"/>
  <c r="F54" i="56"/>
  <c r="F57" i="56"/>
  <c r="G57" i="56"/>
  <c r="H57" i="56"/>
  <c r="E57" i="56"/>
  <c r="E53" i="56"/>
  <c r="H51" i="56"/>
  <c r="G51" i="56"/>
  <c r="F51" i="56"/>
  <c r="H50" i="56"/>
  <c r="G50" i="56"/>
  <c r="F50" i="56"/>
  <c r="H49" i="56"/>
  <c r="G49" i="56"/>
  <c r="F49" i="56"/>
  <c r="H48" i="56"/>
  <c r="G48" i="56"/>
  <c r="F48" i="56"/>
  <c r="H47" i="56"/>
  <c r="G47" i="56"/>
  <c r="F47" i="56"/>
  <c r="H46" i="56"/>
  <c r="G46" i="56"/>
  <c r="F46" i="56"/>
  <c r="H42" i="56"/>
  <c r="G42" i="56"/>
  <c r="F42" i="56"/>
  <c r="H40" i="56"/>
  <c r="G40" i="56"/>
  <c r="F40" i="56"/>
  <c r="H39" i="56"/>
  <c r="G39" i="56"/>
  <c r="F39" i="56"/>
  <c r="H38" i="56"/>
  <c r="G38" i="56"/>
  <c r="F38" i="56"/>
  <c r="F43" i="56"/>
  <c r="G43" i="56"/>
  <c r="H43" i="56"/>
  <c r="E43" i="56"/>
  <c r="E37" i="56"/>
  <c r="H36" i="56"/>
  <c r="G36" i="56"/>
  <c r="F36" i="56"/>
  <c r="H34" i="56"/>
  <c r="G34" i="56"/>
  <c r="F34" i="56"/>
  <c r="H33" i="56"/>
  <c r="G33" i="56"/>
  <c r="F33" i="56"/>
  <c r="H31" i="56"/>
  <c r="G31" i="56"/>
  <c r="F31" i="56"/>
  <c r="H35" i="56"/>
  <c r="G35" i="56"/>
  <c r="F35" i="56"/>
  <c r="E30" i="56"/>
  <c r="H28" i="56"/>
  <c r="G28" i="56"/>
  <c r="F28" i="56"/>
  <c r="H27" i="56"/>
  <c r="G27" i="56"/>
  <c r="F27" i="56"/>
  <c r="H26" i="56"/>
  <c r="G26" i="56"/>
  <c r="F26" i="56"/>
  <c r="H25" i="56"/>
  <c r="G25" i="56"/>
  <c r="F25" i="56"/>
  <c r="H24" i="56"/>
  <c r="G24" i="56"/>
  <c r="F24" i="56"/>
  <c r="H19" i="56"/>
  <c r="G19" i="56"/>
  <c r="F19" i="56"/>
  <c r="H17" i="56"/>
  <c r="G17" i="56"/>
  <c r="F17" i="56"/>
  <c r="H16" i="56"/>
  <c r="G16" i="56"/>
  <c r="F16" i="56"/>
  <c r="H14" i="56"/>
  <c r="G14" i="56"/>
  <c r="F14" i="56"/>
  <c r="F18" i="56"/>
  <c r="G18" i="56"/>
  <c r="H18" i="56"/>
  <c r="E18" i="56"/>
  <c r="H11" i="56"/>
  <c r="G11" i="56"/>
  <c r="F11" i="56"/>
  <c r="E13" i="56"/>
  <c r="H10" i="56"/>
  <c r="G10" i="56"/>
  <c r="F10" i="56"/>
  <c r="H9" i="56"/>
  <c r="G9" i="56"/>
  <c r="F9" i="56"/>
  <c r="H8" i="56"/>
  <c r="G8" i="56"/>
  <c r="F8" i="56"/>
  <c r="E7" i="56"/>
  <c r="H6" i="56"/>
  <c r="G6" i="56"/>
  <c r="F6" i="56"/>
  <c r="H5" i="56"/>
  <c r="G5" i="56"/>
  <c r="F5" i="56"/>
  <c r="H4" i="56"/>
  <c r="G4" i="56"/>
  <c r="F4" i="56"/>
  <c r="H3" i="56"/>
  <c r="G3" i="56"/>
  <c r="F3" i="56"/>
  <c r="H2" i="56"/>
  <c r="G2" i="56"/>
  <c r="F2" i="56"/>
  <c r="F148" i="55"/>
  <c r="G148" i="55"/>
  <c r="H148" i="55"/>
  <c r="E148" i="55"/>
  <c r="H138" i="55"/>
  <c r="G138" i="55"/>
  <c r="F138" i="55"/>
  <c r="H144" i="55"/>
  <c r="G144" i="55"/>
  <c r="F144" i="55"/>
  <c r="H143" i="55"/>
  <c r="G143" i="55"/>
  <c r="F143" i="55"/>
  <c r="E137" i="55"/>
  <c r="H135" i="55"/>
  <c r="H137" i="55" s="1"/>
  <c r="G135" i="55"/>
  <c r="G137" i="55" s="1"/>
  <c r="F135" i="55"/>
  <c r="F137" i="55" s="1"/>
  <c r="H132" i="55"/>
  <c r="G132" i="55"/>
  <c r="F132" i="55"/>
  <c r="H131" i="55"/>
  <c r="G131" i="55"/>
  <c r="F131" i="55"/>
  <c r="H130" i="55"/>
  <c r="G130" i="55"/>
  <c r="F130" i="55"/>
  <c r="F134" i="55"/>
  <c r="G134" i="55"/>
  <c r="H134" i="55"/>
  <c r="E134" i="55"/>
  <c r="H126" i="55"/>
  <c r="G126" i="55"/>
  <c r="F126" i="55"/>
  <c r="H125" i="55"/>
  <c r="G125" i="55"/>
  <c r="F125" i="55"/>
  <c r="H124" i="55"/>
  <c r="G124" i="55"/>
  <c r="F124" i="55"/>
  <c r="H123" i="55"/>
  <c r="G123" i="55"/>
  <c r="F123" i="55"/>
  <c r="E122" i="55"/>
  <c r="E128" i="55"/>
  <c r="M120" i="55"/>
  <c r="M119" i="55"/>
  <c r="M118" i="55"/>
  <c r="H120" i="55"/>
  <c r="G120" i="55"/>
  <c r="F120" i="55"/>
  <c r="H119" i="55"/>
  <c r="G119" i="55"/>
  <c r="F119" i="55"/>
  <c r="H115" i="55"/>
  <c r="G115" i="55"/>
  <c r="F115" i="55"/>
  <c r="H114" i="55"/>
  <c r="G114" i="55"/>
  <c r="F114" i="55"/>
  <c r="H113" i="55"/>
  <c r="G113" i="55"/>
  <c r="F113" i="55"/>
  <c r="H110" i="55"/>
  <c r="G110" i="55"/>
  <c r="F110" i="55"/>
  <c r="H109" i="55"/>
  <c r="G109" i="55"/>
  <c r="F109" i="55"/>
  <c r="H108" i="55"/>
  <c r="G108" i="55"/>
  <c r="F108" i="55"/>
  <c r="H106" i="55"/>
  <c r="G106" i="55"/>
  <c r="F106" i="55"/>
  <c r="H105" i="55"/>
  <c r="G105" i="55"/>
  <c r="F105" i="55"/>
  <c r="F117" i="55"/>
  <c r="G117" i="55"/>
  <c r="H117" i="55"/>
  <c r="E117" i="55"/>
  <c r="E104" i="55"/>
  <c r="H102" i="55"/>
  <c r="G102" i="55"/>
  <c r="F102" i="55"/>
  <c r="H101" i="55"/>
  <c r="H104" i="55" s="1"/>
  <c r="G101" i="55"/>
  <c r="G104" i="55" s="1"/>
  <c r="F101" i="55"/>
  <c r="F104" i="55" s="1"/>
  <c r="H97" i="55"/>
  <c r="G97" i="55"/>
  <c r="F97" i="55"/>
  <c r="H96" i="55"/>
  <c r="G96" i="55"/>
  <c r="F96" i="55"/>
  <c r="H92" i="55"/>
  <c r="G92" i="55"/>
  <c r="F92" i="55"/>
  <c r="H91" i="55"/>
  <c r="G91" i="55"/>
  <c r="F91" i="55"/>
  <c r="H90" i="55"/>
  <c r="G90" i="55"/>
  <c r="F90" i="55"/>
  <c r="H89" i="55"/>
  <c r="G89" i="55"/>
  <c r="F89" i="55"/>
  <c r="F100" i="55"/>
  <c r="G100" i="55"/>
  <c r="H100" i="55"/>
  <c r="E100" i="55"/>
  <c r="H85" i="55"/>
  <c r="G85" i="55"/>
  <c r="F85" i="55"/>
  <c r="H84" i="55"/>
  <c r="G84" i="55"/>
  <c r="F84" i="55"/>
  <c r="H83" i="55"/>
  <c r="G83" i="55"/>
  <c r="F83" i="55"/>
  <c r="H81" i="55"/>
  <c r="G81" i="55"/>
  <c r="F81" i="55"/>
  <c r="H80" i="55"/>
  <c r="G80" i="55"/>
  <c r="F80" i="55"/>
  <c r="H79" i="55"/>
  <c r="G79" i="55"/>
  <c r="F79" i="55"/>
  <c r="H78" i="55"/>
  <c r="G78" i="55"/>
  <c r="F78" i="55"/>
  <c r="H77" i="55"/>
  <c r="G77" i="55"/>
  <c r="F77" i="55"/>
  <c r="H76" i="55"/>
  <c r="F76" i="55"/>
  <c r="G76" i="55"/>
  <c r="H74" i="55"/>
  <c r="H75" i="55"/>
  <c r="G74" i="55"/>
  <c r="G75" i="55"/>
  <c r="F74" i="55"/>
  <c r="F75" i="55"/>
  <c r="F87" i="55"/>
  <c r="G87" i="55"/>
  <c r="H87" i="55"/>
  <c r="E87" i="55"/>
  <c r="E82" i="55"/>
  <c r="H73" i="55"/>
  <c r="H82" i="55" s="1"/>
  <c r="G73" i="55"/>
  <c r="G82" i="55" s="1"/>
  <c r="F73" i="55"/>
  <c r="F82" i="55" s="1"/>
  <c r="E72" i="55"/>
  <c r="H71" i="55"/>
  <c r="G71" i="55"/>
  <c r="F71" i="55"/>
  <c r="H70" i="55"/>
  <c r="H72" i="55" s="1"/>
  <c r="G70" i="55"/>
  <c r="G72" i="55" s="1"/>
  <c r="F70" i="55"/>
  <c r="F72" i="55" s="1"/>
  <c r="H68" i="55"/>
  <c r="G68" i="55"/>
  <c r="F68" i="55"/>
  <c r="H67" i="55"/>
  <c r="G67" i="55"/>
  <c r="F67" i="55"/>
  <c r="H64" i="55"/>
  <c r="G64" i="55"/>
  <c r="F64" i="55"/>
  <c r="H61" i="55"/>
  <c r="G61" i="55"/>
  <c r="F61" i="55"/>
  <c r="H56" i="55"/>
  <c r="G56" i="55"/>
  <c r="F56" i="55"/>
  <c r="H55" i="55"/>
  <c r="G55" i="55"/>
  <c r="F55" i="55"/>
  <c r="F69" i="55"/>
  <c r="G69" i="55"/>
  <c r="H69" i="55"/>
  <c r="E69" i="55"/>
  <c r="E60" i="55"/>
  <c r="F53" i="56" l="1"/>
  <c r="G53" i="56"/>
  <c r="H53" i="56"/>
  <c r="F37" i="56"/>
  <c r="G37" i="56"/>
  <c r="H37" i="56"/>
  <c r="F30" i="56"/>
  <c r="G30" i="56"/>
  <c r="H30" i="56"/>
  <c r="F13" i="56"/>
  <c r="G13" i="56"/>
  <c r="H13" i="56"/>
  <c r="F7" i="56"/>
  <c r="G7" i="56"/>
  <c r="H7" i="56"/>
  <c r="H122" i="55"/>
  <c r="G122" i="55"/>
  <c r="F122" i="55"/>
  <c r="H54" i="55"/>
  <c r="G54" i="55"/>
  <c r="F54" i="55"/>
  <c r="H53" i="55"/>
  <c r="H60" i="55" s="1"/>
  <c r="G53" i="55"/>
  <c r="G60" i="55" s="1"/>
  <c r="F53" i="55"/>
  <c r="F60" i="55" s="1"/>
  <c r="H49" i="55"/>
  <c r="G49" i="55"/>
  <c r="F49" i="55"/>
  <c r="E52" i="55"/>
  <c r="H50" i="55"/>
  <c r="G50" i="55"/>
  <c r="F50" i="55"/>
  <c r="H48" i="55" l="1"/>
  <c r="H52" i="55" s="1"/>
  <c r="G48" i="55"/>
  <c r="G52" i="55" s="1"/>
  <c r="F48" i="55"/>
  <c r="F52" i="55" s="1"/>
  <c r="H44" i="55"/>
  <c r="G44" i="55"/>
  <c r="F44" i="55"/>
  <c r="E47" i="55"/>
  <c r="H43" i="55"/>
  <c r="G43" i="55"/>
  <c r="F43" i="55"/>
  <c r="H42" i="55"/>
  <c r="G42" i="55"/>
  <c r="F42" i="55"/>
  <c r="F41" i="55"/>
  <c r="G41" i="55"/>
  <c r="H41" i="55"/>
  <c r="H40" i="55"/>
  <c r="G40" i="55"/>
  <c r="F40" i="55"/>
  <c r="H39" i="55"/>
  <c r="G39" i="55"/>
  <c r="F39" i="55"/>
  <c r="H38" i="55"/>
  <c r="H47" i="55" s="1"/>
  <c r="G38" i="55"/>
  <c r="G47" i="55" s="1"/>
  <c r="F38" i="55"/>
  <c r="F47" i="55" s="1"/>
  <c r="E37" i="55"/>
  <c r="H36" i="55"/>
  <c r="G36" i="55"/>
  <c r="F36" i="55"/>
  <c r="H35" i="55"/>
  <c r="H37" i="55" s="1"/>
  <c r="G35" i="55"/>
  <c r="G37" i="55" s="1"/>
  <c r="F35" i="55"/>
  <c r="F37" i="55" s="1"/>
  <c r="E34" i="55"/>
  <c r="H33" i="55"/>
  <c r="G33" i="55"/>
  <c r="F33" i="55"/>
  <c r="F32" i="55"/>
  <c r="G32" i="55"/>
  <c r="H32" i="55"/>
  <c r="H31" i="55"/>
  <c r="H34" i="55" s="1"/>
  <c r="G31" i="55"/>
  <c r="G34" i="55" s="1"/>
  <c r="F31" i="55"/>
  <c r="F34" i="55" s="1"/>
  <c r="H28" i="55"/>
  <c r="H29" i="55"/>
  <c r="G28" i="55"/>
  <c r="G29" i="55"/>
  <c r="F28" i="55"/>
  <c r="F29" i="55"/>
  <c r="H27" i="55"/>
  <c r="G27" i="55"/>
  <c r="F27" i="55"/>
  <c r="H26" i="55"/>
  <c r="G26" i="55"/>
  <c r="F26" i="55"/>
  <c r="H25" i="55"/>
  <c r="G25" i="55"/>
  <c r="F25" i="55"/>
  <c r="H24" i="55"/>
  <c r="G24" i="55"/>
  <c r="F24" i="55"/>
  <c r="H23" i="55"/>
  <c r="G23" i="55"/>
  <c r="F23" i="55"/>
  <c r="F30" i="55"/>
  <c r="G30" i="55"/>
  <c r="H30" i="55"/>
  <c r="E30" i="55"/>
  <c r="H21" i="55"/>
  <c r="G21" i="55"/>
  <c r="F21" i="55"/>
  <c r="H20" i="55"/>
  <c r="G20" i="55"/>
  <c r="F20" i="55"/>
  <c r="H19" i="55"/>
  <c r="G19" i="55"/>
  <c r="F19" i="55"/>
  <c r="H18" i="55"/>
  <c r="G18" i="55"/>
  <c r="F18" i="55"/>
  <c r="H15" i="55"/>
  <c r="G15" i="55"/>
  <c r="F15" i="55"/>
  <c r="H14" i="55"/>
  <c r="G14" i="55"/>
  <c r="F14" i="55"/>
  <c r="H13" i="55"/>
  <c r="H22" i="55" s="1"/>
  <c r="G13" i="55"/>
  <c r="G22" i="55" s="1"/>
  <c r="F13" i="55"/>
  <c r="F22" i="55" s="1"/>
  <c r="E22" i="55"/>
  <c r="H10" i="55"/>
  <c r="G10" i="55"/>
  <c r="F10" i="55"/>
  <c r="H9" i="55"/>
  <c r="G9" i="55"/>
  <c r="F9" i="55"/>
  <c r="H8" i="55"/>
  <c r="G8" i="55"/>
  <c r="F8" i="55"/>
  <c r="F12" i="55"/>
  <c r="G12" i="55"/>
  <c r="H12" i="55"/>
  <c r="E12" i="55"/>
  <c r="E7" i="55"/>
  <c r="H6" i="55"/>
  <c r="G6" i="55"/>
  <c r="F6" i="55"/>
  <c r="H5" i="55"/>
  <c r="G5" i="55"/>
  <c r="H4" i="55"/>
  <c r="G4" i="55"/>
  <c r="F4" i="55"/>
  <c r="H3" i="55"/>
  <c r="G3" i="55"/>
  <c r="F3" i="55"/>
  <c r="H2" i="55"/>
  <c r="H7" i="55" s="1"/>
  <c r="G2" i="55"/>
  <c r="G7" i="55" s="1"/>
  <c r="F2" i="55"/>
  <c r="F7" i="55" s="1"/>
  <c r="F164" i="54"/>
  <c r="G164" i="54"/>
  <c r="H164" i="54"/>
  <c r="E164" i="54"/>
  <c r="H163" i="54"/>
  <c r="G163" i="54"/>
  <c r="H162" i="54"/>
  <c r="G162" i="54"/>
  <c r="F162" i="54"/>
  <c r="H161" i="54"/>
  <c r="G161" i="54"/>
  <c r="F161" i="54"/>
  <c r="F160" i="54"/>
  <c r="G160" i="54"/>
  <c r="H160" i="54"/>
  <c r="E160" i="54"/>
  <c r="H159" i="54"/>
  <c r="G159" i="54"/>
  <c r="F159" i="54"/>
  <c r="H158" i="54"/>
  <c r="G158" i="54"/>
  <c r="F158" i="54"/>
  <c r="H157" i="54"/>
  <c r="G157" i="54"/>
  <c r="F157" i="54"/>
  <c r="H156" i="54"/>
  <c r="G156" i="54"/>
  <c r="F156" i="54"/>
  <c r="F155" i="54"/>
  <c r="G155" i="54"/>
  <c r="H155" i="54"/>
  <c r="E155" i="54"/>
  <c r="H153" i="54"/>
  <c r="G153" i="54"/>
  <c r="F153" i="54"/>
  <c r="H152" i="54"/>
  <c r="G152" i="54"/>
  <c r="F152" i="54"/>
  <c r="H151" i="54"/>
  <c r="G151" i="54"/>
  <c r="F151" i="54"/>
  <c r="H150" i="54"/>
  <c r="G150" i="54"/>
  <c r="F150" i="54"/>
  <c r="H149" i="54"/>
  <c r="G149" i="54"/>
  <c r="F149" i="54"/>
  <c r="H146" i="54"/>
  <c r="G146" i="54"/>
  <c r="F146" i="54"/>
  <c r="H145" i="54"/>
  <c r="G145" i="54"/>
  <c r="F145" i="54"/>
  <c r="F148" i="54"/>
  <c r="G148" i="54"/>
  <c r="H148" i="54"/>
  <c r="E148" i="54"/>
  <c r="F144" i="54"/>
  <c r="G144" i="54"/>
  <c r="H144" i="54"/>
  <c r="E144" i="54"/>
  <c r="H134" i="54"/>
  <c r="G134" i="54"/>
  <c r="F134" i="54"/>
  <c r="E135" i="54"/>
  <c r="H141" i="54"/>
  <c r="G141" i="54"/>
  <c r="F141" i="54"/>
  <c r="H139" i="54"/>
  <c r="G139" i="54"/>
  <c r="F139" i="54"/>
  <c r="H138" i="54"/>
  <c r="G138" i="54"/>
  <c r="F138" i="54"/>
  <c r="H137" i="54"/>
  <c r="G137" i="54"/>
  <c r="F137" i="54"/>
  <c r="H136" i="54"/>
  <c r="G136" i="54"/>
  <c r="F136" i="54"/>
  <c r="H133" i="54"/>
  <c r="G133" i="54"/>
  <c r="F133" i="54"/>
  <c r="H132" i="54"/>
  <c r="G132" i="54"/>
  <c r="F132" i="54"/>
  <c r="H131" i="54"/>
  <c r="G131" i="54"/>
  <c r="F131" i="54"/>
  <c r="H130" i="54"/>
  <c r="G130" i="54"/>
  <c r="F130" i="54"/>
  <c r="H129" i="54"/>
  <c r="G129" i="54"/>
  <c r="F129" i="54"/>
  <c r="H128" i="54"/>
  <c r="H135" i="54" s="1"/>
  <c r="G128" i="54"/>
  <c r="G135" i="54" s="1"/>
  <c r="F128" i="54"/>
  <c r="F135" i="54" s="1"/>
  <c r="E127" i="54"/>
  <c r="H126" i="54"/>
  <c r="G126" i="54"/>
  <c r="F126" i="54"/>
  <c r="H107" i="54"/>
  <c r="G107" i="54"/>
  <c r="F107" i="54"/>
  <c r="H124" i="54"/>
  <c r="H127" i="54" s="1"/>
  <c r="G124" i="54"/>
  <c r="G127" i="54" s="1"/>
  <c r="F124" i="54"/>
  <c r="F127" i="54" s="1"/>
  <c r="H100" i="54"/>
  <c r="G100" i="54"/>
  <c r="F100" i="54"/>
  <c r="H98" i="54"/>
  <c r="G98" i="54"/>
  <c r="F98" i="54"/>
  <c r="H97" i="54"/>
  <c r="G97" i="54"/>
  <c r="F97" i="54"/>
  <c r="H96" i="54"/>
  <c r="G96" i="54"/>
  <c r="F96" i="54"/>
  <c r="H95" i="54"/>
  <c r="G95" i="54"/>
  <c r="F95" i="54"/>
  <c r="H94" i="54"/>
  <c r="G94" i="54"/>
  <c r="F94" i="54"/>
  <c r="H93" i="54"/>
  <c r="G93" i="54"/>
  <c r="F93" i="54"/>
  <c r="H91" i="54"/>
  <c r="G91" i="54"/>
  <c r="F91" i="54"/>
  <c r="H90" i="54"/>
  <c r="G90" i="54"/>
  <c r="F90" i="54"/>
  <c r="H89" i="54"/>
  <c r="G89" i="54"/>
  <c r="F89" i="54"/>
  <c r="F101" i="54"/>
  <c r="G101" i="54"/>
  <c r="H101" i="54"/>
  <c r="E101" i="54"/>
  <c r="H86" i="54"/>
  <c r="G86" i="54"/>
  <c r="F86" i="54"/>
  <c r="H85" i="54"/>
  <c r="F85" i="54"/>
  <c r="G85" i="54"/>
  <c r="E88" i="54"/>
  <c r="H84" i="54"/>
  <c r="H88" i="54" s="1"/>
  <c r="G84" i="54"/>
  <c r="G88" i="54" s="1"/>
  <c r="F84" i="54"/>
  <c r="F88" i="54" s="1"/>
  <c r="E83" i="54"/>
  <c r="H82" i="54"/>
  <c r="G82" i="54"/>
  <c r="F82" i="54"/>
  <c r="H81" i="54"/>
  <c r="G81" i="54"/>
  <c r="F81" i="54"/>
  <c r="H80" i="54"/>
  <c r="H83" i="54" s="1"/>
  <c r="G80" i="54"/>
  <c r="G83" i="54" s="1"/>
  <c r="F80" i="54"/>
  <c r="F83" i="54" s="1"/>
  <c r="E79" i="54"/>
  <c r="G77" i="54"/>
  <c r="F77" i="54"/>
  <c r="H76" i="54"/>
  <c r="G76" i="54"/>
  <c r="F76" i="54"/>
  <c r="H75" i="54"/>
  <c r="G75" i="54"/>
  <c r="F75" i="54"/>
  <c r="H74" i="54"/>
  <c r="G74" i="54"/>
  <c r="F74" i="54"/>
  <c r="H73" i="54"/>
  <c r="H79" i="54" s="1"/>
  <c r="G73" i="54"/>
  <c r="G79" i="54" s="1"/>
  <c r="F73" i="54"/>
  <c r="F79" i="54" s="1"/>
  <c r="E72" i="54" l="1"/>
  <c r="H70" i="54"/>
  <c r="G70" i="54"/>
  <c r="F70" i="54"/>
  <c r="H69" i="54"/>
  <c r="G69" i="54"/>
  <c r="F69" i="54"/>
  <c r="H68" i="54"/>
  <c r="H72" i="54" s="1"/>
  <c r="G68" i="54"/>
  <c r="G72" i="54" s="1"/>
  <c r="F68" i="54"/>
  <c r="F72" i="54" s="1"/>
  <c r="E67" i="54"/>
  <c r="H66" i="54"/>
  <c r="G66" i="54"/>
  <c r="F66" i="54"/>
  <c r="H65" i="54"/>
  <c r="G65" i="54"/>
  <c r="F65" i="54"/>
  <c r="H64" i="54"/>
  <c r="G64" i="54"/>
  <c r="F64" i="54"/>
  <c r="H62" i="54"/>
  <c r="G62" i="54"/>
  <c r="F62" i="54"/>
  <c r="H60" i="54"/>
  <c r="G60" i="54"/>
  <c r="F60" i="54"/>
  <c r="H58" i="54"/>
  <c r="G58" i="54"/>
  <c r="F58" i="54"/>
  <c r="H57" i="54"/>
  <c r="H67" i="54" s="1"/>
  <c r="G57" i="54"/>
  <c r="G67" i="54" s="1"/>
  <c r="F57" i="54"/>
  <c r="F67" i="54" s="1"/>
  <c r="E56" i="54"/>
  <c r="H53" i="54"/>
  <c r="G53" i="54"/>
  <c r="F53" i="54"/>
  <c r="H48" i="54"/>
  <c r="G48" i="54"/>
  <c r="F48" i="54"/>
  <c r="H47" i="54"/>
  <c r="G47" i="54"/>
  <c r="F47" i="54"/>
  <c r="H44" i="54"/>
  <c r="G44" i="54"/>
  <c r="F44" i="54"/>
  <c r="H42" i="54"/>
  <c r="F42" i="54"/>
  <c r="H43" i="54"/>
  <c r="G43" i="54"/>
  <c r="F43" i="54"/>
  <c r="G42" i="54"/>
  <c r="H41" i="54"/>
  <c r="G41" i="54"/>
  <c r="F41" i="54"/>
  <c r="H39" i="54"/>
  <c r="G39" i="54"/>
  <c r="F39" i="54"/>
  <c r="H38" i="54"/>
  <c r="G38" i="54"/>
  <c r="F38" i="54"/>
  <c r="H36" i="54"/>
  <c r="H37" i="54"/>
  <c r="G36" i="54"/>
  <c r="G37" i="54"/>
  <c r="F36" i="54"/>
  <c r="F37" i="54"/>
  <c r="G35" i="54"/>
  <c r="H35" i="54"/>
  <c r="F35" i="54"/>
  <c r="H34" i="54"/>
  <c r="G34" i="54"/>
  <c r="F34" i="54"/>
  <c r="H33" i="54"/>
  <c r="G33" i="54"/>
  <c r="F33" i="54"/>
  <c r="H32" i="54"/>
  <c r="G32" i="54"/>
  <c r="F32" i="54"/>
  <c r="H51" i="54"/>
  <c r="H56" i="54" s="1"/>
  <c r="G51" i="54"/>
  <c r="G56" i="54" s="1"/>
  <c r="F51" i="54"/>
  <c r="F56" i="54" s="1"/>
  <c r="F50" i="54"/>
  <c r="G50" i="54"/>
  <c r="H50" i="54"/>
  <c r="E50" i="54"/>
  <c r="F40" i="54"/>
  <c r="G40" i="54"/>
  <c r="H40" i="54"/>
  <c r="E40" i="54"/>
  <c r="R40" i="54"/>
  <c r="S40" i="54" s="1"/>
  <c r="H25" i="54"/>
  <c r="G25" i="54"/>
  <c r="F25" i="54"/>
  <c r="H24" i="54"/>
  <c r="G24" i="54"/>
  <c r="F24" i="54"/>
  <c r="H22" i="54"/>
  <c r="G22" i="54"/>
  <c r="F22" i="54"/>
  <c r="H20" i="54"/>
  <c r="G20" i="54"/>
  <c r="F20" i="54"/>
  <c r="H19" i="54"/>
  <c r="G19" i="54"/>
  <c r="F19" i="54"/>
  <c r="E31" i="54"/>
  <c r="H29" i="54"/>
  <c r="H31" i="54" s="1"/>
  <c r="G29" i="54"/>
  <c r="G31" i="54" s="1"/>
  <c r="F29" i="54"/>
  <c r="F31" i="54" s="1"/>
  <c r="F26" i="54"/>
  <c r="G26" i="54"/>
  <c r="H26" i="54"/>
  <c r="E26" i="54"/>
  <c r="E17" i="54"/>
  <c r="H15" i="54"/>
  <c r="G15" i="54"/>
  <c r="F15" i="54"/>
  <c r="H14" i="54"/>
  <c r="G14" i="54"/>
  <c r="F14" i="54"/>
  <c r="H13" i="54"/>
  <c r="G13" i="54"/>
  <c r="F13" i="54"/>
  <c r="H12" i="54"/>
  <c r="G12" i="54"/>
  <c r="F12" i="54"/>
  <c r="H11" i="54"/>
  <c r="G11" i="54"/>
  <c r="F11" i="54"/>
  <c r="H10" i="54"/>
  <c r="G10" i="54"/>
  <c r="F10" i="54"/>
  <c r="H9" i="54"/>
  <c r="G9" i="54"/>
  <c r="F9" i="54"/>
  <c r="H8" i="54"/>
  <c r="G8" i="54"/>
  <c r="F8" i="54"/>
  <c r="H7" i="54"/>
  <c r="G7" i="54"/>
  <c r="F7" i="54"/>
  <c r="H6" i="54"/>
  <c r="H17" i="54" s="1"/>
  <c r="G6" i="54"/>
  <c r="G17" i="54" s="1"/>
  <c r="F6" i="54"/>
  <c r="F17" i="54" s="1"/>
  <c r="H78" i="52"/>
  <c r="G78" i="52"/>
  <c r="F78" i="52"/>
  <c r="H76" i="52" l="1"/>
  <c r="G76" i="52"/>
  <c r="F76" i="52"/>
  <c r="H75" i="52"/>
  <c r="G75" i="52"/>
  <c r="F75" i="52"/>
  <c r="H74" i="52"/>
  <c r="G74" i="52"/>
  <c r="F74" i="52"/>
  <c r="H73" i="52"/>
  <c r="G73" i="52"/>
  <c r="F73" i="52"/>
  <c r="H72" i="52"/>
  <c r="G72" i="52"/>
  <c r="F72" i="52"/>
  <c r="H71" i="52"/>
  <c r="G71" i="52"/>
  <c r="F71" i="52"/>
  <c r="H70" i="52"/>
  <c r="G70" i="52"/>
  <c r="F70" i="52"/>
  <c r="H69" i="52"/>
  <c r="G69" i="52"/>
  <c r="F69" i="52"/>
  <c r="H68" i="52"/>
  <c r="G68" i="52"/>
  <c r="F68" i="52"/>
  <c r="F77" i="52"/>
  <c r="G77" i="52"/>
  <c r="H77" i="52"/>
  <c r="E77" i="52"/>
  <c r="F55" i="52" l="1"/>
  <c r="E55" i="52"/>
  <c r="H52" i="52"/>
  <c r="G52" i="52"/>
  <c r="F52" i="52"/>
  <c r="H51" i="52"/>
  <c r="G51" i="52"/>
  <c r="F51" i="52"/>
  <c r="H48" i="52"/>
  <c r="G48" i="52"/>
  <c r="F48" i="52"/>
  <c r="H47" i="52"/>
  <c r="G47" i="52"/>
  <c r="F47" i="52"/>
  <c r="H46" i="52"/>
  <c r="G46" i="52"/>
  <c r="F46" i="52"/>
  <c r="H45" i="52"/>
  <c r="G45" i="52"/>
  <c r="F45" i="52"/>
  <c r="H44" i="52"/>
  <c r="H55" i="52" s="1"/>
  <c r="G44" i="52"/>
  <c r="G55" i="52" s="1"/>
  <c r="F44" i="52"/>
  <c r="E43" i="52"/>
  <c r="H42" i="52"/>
  <c r="G42" i="52"/>
  <c r="F42" i="52"/>
  <c r="H41" i="52"/>
  <c r="H43" i="52" s="1"/>
  <c r="G41" i="52"/>
  <c r="G43" i="52" s="1"/>
  <c r="F41" i="52"/>
  <c r="F43" i="52" s="1"/>
  <c r="E40" i="52"/>
  <c r="H38" i="52"/>
  <c r="G38" i="52"/>
  <c r="F38" i="52"/>
  <c r="H37" i="52"/>
  <c r="H40" i="52" s="1"/>
  <c r="G37" i="52"/>
  <c r="G40" i="52" s="1"/>
  <c r="F37" i="52"/>
  <c r="F40" i="52" s="1"/>
  <c r="E36" i="52" l="1"/>
  <c r="H32" i="52"/>
  <c r="G32" i="52"/>
  <c r="F32" i="52"/>
  <c r="H31" i="52"/>
  <c r="G31" i="52"/>
  <c r="F31" i="52"/>
  <c r="H28" i="52"/>
  <c r="G28" i="52"/>
  <c r="F28" i="52"/>
  <c r="H27" i="52"/>
  <c r="G27" i="52"/>
  <c r="F27" i="52"/>
  <c r="H26" i="52"/>
  <c r="G26" i="52"/>
  <c r="F26" i="52"/>
  <c r="H24" i="52"/>
  <c r="H25" i="52"/>
  <c r="G24" i="52"/>
  <c r="G25" i="52"/>
  <c r="F24" i="52"/>
  <c r="F25" i="52"/>
  <c r="H23" i="52"/>
  <c r="H36" i="52" s="1"/>
  <c r="G23" i="52"/>
  <c r="G36" i="52" s="1"/>
  <c r="F23" i="52"/>
  <c r="F36" i="52" s="1"/>
  <c r="E22" i="52" l="1"/>
  <c r="H19" i="52" l="1"/>
  <c r="G19" i="52"/>
  <c r="F19" i="52"/>
  <c r="H18" i="52"/>
  <c r="G18" i="52"/>
  <c r="F18" i="52"/>
  <c r="H17" i="52"/>
  <c r="G17" i="52"/>
  <c r="F17" i="52"/>
  <c r="H16" i="52"/>
  <c r="G16" i="52"/>
  <c r="F16" i="52"/>
  <c r="H15" i="52"/>
  <c r="G15" i="52"/>
  <c r="F15" i="52"/>
  <c r="H14" i="52"/>
  <c r="H22" i="52" s="1"/>
  <c r="G14" i="52"/>
  <c r="G22" i="52" s="1"/>
  <c r="F14" i="52"/>
  <c r="F22" i="52" s="1"/>
  <c r="E13" i="52"/>
  <c r="H10" i="52"/>
  <c r="G10" i="52"/>
  <c r="F10" i="52"/>
  <c r="H9" i="52"/>
  <c r="G9" i="52"/>
  <c r="F9" i="52"/>
  <c r="H8" i="52"/>
  <c r="G8" i="52"/>
  <c r="F8" i="52"/>
  <c r="H7" i="52"/>
  <c r="G7" i="52"/>
  <c r="F7" i="52"/>
  <c r="H6" i="52"/>
  <c r="G6" i="52"/>
  <c r="F6" i="52"/>
  <c r="H3" i="52"/>
  <c r="G3" i="52"/>
  <c r="F3" i="52"/>
  <c r="H2" i="52"/>
  <c r="H13" i="52" s="1"/>
  <c r="G2" i="52"/>
  <c r="G13" i="52" s="1"/>
  <c r="F2" i="52"/>
  <c r="F13" i="52" s="1"/>
  <c r="F157" i="51"/>
  <c r="G157" i="51"/>
  <c r="H157" i="51"/>
  <c r="H156" i="51"/>
  <c r="G156" i="51"/>
  <c r="F156" i="51"/>
  <c r="H155" i="51"/>
  <c r="G155" i="51"/>
  <c r="F155" i="51"/>
  <c r="H154" i="51"/>
  <c r="G154" i="51"/>
  <c r="F154" i="51"/>
  <c r="H153" i="51"/>
  <c r="G153" i="51"/>
  <c r="F153" i="51"/>
  <c r="H150" i="51"/>
  <c r="G150" i="51"/>
  <c r="F150" i="51"/>
  <c r="H148" i="51"/>
  <c r="H149" i="51"/>
  <c r="G148" i="51"/>
  <c r="G149" i="51"/>
  <c r="F148" i="51"/>
  <c r="F149" i="51"/>
  <c r="H147" i="51"/>
  <c r="G147" i="51"/>
  <c r="F147" i="51"/>
  <c r="E157" i="51"/>
  <c r="F146" i="51"/>
  <c r="G146" i="51"/>
  <c r="H146" i="51"/>
  <c r="H145" i="51"/>
  <c r="G145" i="51"/>
  <c r="F145" i="51"/>
  <c r="H144" i="51"/>
  <c r="G144" i="51"/>
  <c r="F144" i="51"/>
  <c r="H143" i="51"/>
  <c r="G143" i="51"/>
  <c r="F143" i="51"/>
  <c r="H142" i="51"/>
  <c r="G142" i="51"/>
  <c r="F142" i="51"/>
  <c r="H141" i="51"/>
  <c r="G141" i="51"/>
  <c r="F141" i="51"/>
  <c r="E146" i="51"/>
  <c r="H139" i="51"/>
  <c r="G139" i="51"/>
  <c r="F139" i="51"/>
  <c r="H138" i="51"/>
  <c r="G138" i="51"/>
  <c r="F138" i="51"/>
  <c r="F140" i="51"/>
  <c r="G140" i="51"/>
  <c r="H140" i="51"/>
  <c r="E140" i="51"/>
  <c r="H132" i="51" l="1"/>
  <c r="G132" i="51"/>
  <c r="F132" i="51"/>
  <c r="H131" i="51"/>
  <c r="G131" i="51"/>
  <c r="F131" i="51"/>
  <c r="H129" i="51"/>
  <c r="G129" i="51"/>
  <c r="F129" i="51"/>
  <c r="H127" i="51"/>
  <c r="G127" i="51"/>
  <c r="F127" i="51"/>
  <c r="H126" i="51"/>
  <c r="G126" i="51"/>
  <c r="F126" i="51"/>
  <c r="H125" i="51"/>
  <c r="G125" i="51"/>
  <c r="F125" i="51"/>
  <c r="H124" i="51"/>
  <c r="G124" i="51"/>
  <c r="F124" i="51"/>
  <c r="H123" i="51"/>
  <c r="G123" i="51"/>
  <c r="F123" i="51"/>
  <c r="H121" i="51"/>
  <c r="G121" i="51"/>
  <c r="F121" i="51"/>
  <c r="H118" i="51"/>
  <c r="G118" i="51"/>
  <c r="F118" i="51"/>
  <c r="H117" i="51"/>
  <c r="G117" i="51"/>
  <c r="F117" i="51"/>
  <c r="H114" i="51"/>
  <c r="G114" i="51"/>
  <c r="F114" i="51"/>
  <c r="H112" i="51"/>
  <c r="G112" i="51"/>
  <c r="F112" i="51"/>
  <c r="H111" i="51"/>
  <c r="G111" i="51"/>
  <c r="F111" i="51"/>
  <c r="H110" i="51"/>
  <c r="G110" i="51"/>
  <c r="F110" i="51"/>
  <c r="E137" i="51"/>
  <c r="H122" i="51"/>
  <c r="H137" i="51" s="1"/>
  <c r="G122" i="51"/>
  <c r="G137" i="51" s="1"/>
  <c r="F122" i="51"/>
  <c r="F137" i="51" s="1"/>
  <c r="G115" i="51"/>
  <c r="H115" i="51"/>
  <c r="E115" i="51"/>
  <c r="H89" i="51" l="1"/>
  <c r="G89" i="51"/>
  <c r="F89" i="51"/>
  <c r="H88" i="51"/>
  <c r="G88" i="51"/>
  <c r="F88" i="51"/>
  <c r="H87" i="51"/>
  <c r="G87" i="51"/>
  <c r="F87" i="51"/>
  <c r="H86" i="51"/>
  <c r="G86" i="51"/>
  <c r="F86" i="51"/>
  <c r="H84" i="51"/>
  <c r="G84" i="51"/>
  <c r="F84" i="51"/>
  <c r="G83" i="51"/>
  <c r="F83" i="51"/>
  <c r="H81" i="51"/>
  <c r="H82" i="51"/>
  <c r="H83" i="51"/>
  <c r="G82" i="51"/>
  <c r="G81" i="51"/>
  <c r="F81" i="51"/>
  <c r="F82" i="51"/>
  <c r="H108" i="51"/>
  <c r="G108" i="51"/>
  <c r="F108" i="51"/>
  <c r="H107" i="51"/>
  <c r="G107" i="51"/>
  <c r="F107" i="51"/>
  <c r="H106" i="51"/>
  <c r="G106" i="51"/>
  <c r="F106" i="51"/>
  <c r="H105" i="51"/>
  <c r="G105" i="51"/>
  <c r="F105" i="51"/>
  <c r="H104" i="51"/>
  <c r="G104" i="51"/>
  <c r="F104" i="51"/>
  <c r="E103" i="51"/>
  <c r="H102" i="51"/>
  <c r="G102" i="51"/>
  <c r="F102" i="51"/>
  <c r="H101" i="51"/>
  <c r="G101" i="51"/>
  <c r="F101" i="51"/>
  <c r="H99" i="51"/>
  <c r="H100" i="51"/>
  <c r="G99" i="51"/>
  <c r="G100" i="51"/>
  <c r="F99" i="51"/>
  <c r="F100" i="51"/>
  <c r="H96" i="51"/>
  <c r="G96" i="51"/>
  <c r="F96" i="51"/>
  <c r="H95" i="51"/>
  <c r="G95" i="51"/>
  <c r="F95" i="51"/>
  <c r="H94" i="51"/>
  <c r="G94" i="51"/>
  <c r="F94" i="51"/>
  <c r="H93" i="51"/>
  <c r="G93" i="51"/>
  <c r="F93" i="51"/>
  <c r="H92" i="51"/>
  <c r="G92" i="51"/>
  <c r="F92" i="51"/>
  <c r="H91" i="51"/>
  <c r="G91" i="51"/>
  <c r="F91" i="51"/>
  <c r="F109" i="51"/>
  <c r="G109" i="51"/>
  <c r="H109" i="51"/>
  <c r="E109" i="51"/>
  <c r="H98" i="51"/>
  <c r="H103" i="51" s="1"/>
  <c r="G98" i="51"/>
  <c r="G103" i="51" s="1"/>
  <c r="F98" i="51"/>
  <c r="F103" i="51" s="1"/>
  <c r="F97" i="51"/>
  <c r="G97" i="51"/>
  <c r="H97" i="51"/>
  <c r="E97" i="51"/>
  <c r="E90" i="51" l="1"/>
  <c r="H80" i="51"/>
  <c r="H90" i="51" s="1"/>
  <c r="G80" i="51"/>
  <c r="G90" i="51" s="1"/>
  <c r="F80" i="51"/>
  <c r="F90" i="51" s="1"/>
  <c r="H49" i="51" l="1"/>
  <c r="G49" i="51"/>
  <c r="F49" i="51"/>
  <c r="E50" i="51"/>
  <c r="H55" i="51"/>
  <c r="G55" i="51"/>
  <c r="F55" i="51"/>
  <c r="H54" i="51"/>
  <c r="G54" i="51"/>
  <c r="F54" i="51"/>
  <c r="H53" i="51"/>
  <c r="G53" i="51"/>
  <c r="F53" i="51"/>
  <c r="E56" i="51"/>
  <c r="H51" i="51"/>
  <c r="H56" i="51" s="1"/>
  <c r="G51" i="51"/>
  <c r="G56" i="51" s="1"/>
  <c r="F51" i="51"/>
  <c r="F56" i="51" s="1"/>
  <c r="E79" i="51"/>
  <c r="H72" i="51"/>
  <c r="G72" i="51"/>
  <c r="F72" i="51"/>
  <c r="H71" i="51"/>
  <c r="G71" i="51"/>
  <c r="F71" i="51"/>
  <c r="H70" i="51"/>
  <c r="G70" i="51"/>
  <c r="F70" i="51"/>
  <c r="H69" i="51"/>
  <c r="H79" i="51" s="1"/>
  <c r="G69" i="51"/>
  <c r="G79" i="51" s="1"/>
  <c r="F69" i="51"/>
  <c r="F79" i="51" s="1"/>
  <c r="E68" i="51"/>
  <c r="H67" i="51"/>
  <c r="G67" i="51"/>
  <c r="F67" i="51"/>
  <c r="H66" i="51"/>
  <c r="G66" i="51"/>
  <c r="F66" i="51"/>
  <c r="H65" i="51"/>
  <c r="G65" i="51"/>
  <c r="F65" i="51"/>
  <c r="H64" i="51"/>
  <c r="G64" i="51"/>
  <c r="F64" i="51"/>
  <c r="H63" i="51"/>
  <c r="G63" i="51"/>
  <c r="F63" i="51"/>
  <c r="H61" i="51"/>
  <c r="G61" i="51"/>
  <c r="F61" i="51"/>
  <c r="H62" i="51"/>
  <c r="G62" i="51"/>
  <c r="F62" i="51"/>
  <c r="H60" i="51"/>
  <c r="G60" i="51"/>
  <c r="F60" i="51"/>
  <c r="H59" i="51"/>
  <c r="G59" i="51"/>
  <c r="F59" i="51"/>
  <c r="H58" i="51"/>
  <c r="G58" i="51"/>
  <c r="F58" i="51"/>
  <c r="H57" i="51"/>
  <c r="H68" i="51" s="1"/>
  <c r="G57" i="51"/>
  <c r="G68" i="51" s="1"/>
  <c r="F57" i="51"/>
  <c r="F68" i="51" s="1"/>
  <c r="H48" i="51" l="1"/>
  <c r="H50" i="51" s="1"/>
  <c r="G48" i="51"/>
  <c r="G50" i="51" s="1"/>
  <c r="F48" i="51"/>
  <c r="F50" i="51" s="1"/>
  <c r="H45" i="51" l="1"/>
  <c r="G45" i="51"/>
  <c r="F45" i="51"/>
  <c r="H43" i="51"/>
  <c r="G43" i="51"/>
  <c r="F43" i="51"/>
  <c r="H40" i="51"/>
  <c r="G40" i="51"/>
  <c r="F40" i="51"/>
  <c r="H39" i="51"/>
  <c r="G39" i="51"/>
  <c r="F39" i="51"/>
  <c r="F47" i="51"/>
  <c r="G47" i="51"/>
  <c r="H47" i="51"/>
  <c r="E47" i="51"/>
  <c r="E23" i="51" l="1"/>
  <c r="H22" i="51"/>
  <c r="G22" i="51"/>
  <c r="F22" i="51"/>
  <c r="H21" i="51"/>
  <c r="G21" i="51"/>
  <c r="F21" i="51"/>
  <c r="H20" i="51"/>
  <c r="G20" i="51"/>
  <c r="F20" i="51"/>
  <c r="H19" i="51"/>
  <c r="H23" i="51" s="1"/>
  <c r="G19" i="51"/>
  <c r="G23" i="51" s="1"/>
  <c r="F19" i="51"/>
  <c r="F23" i="51" s="1"/>
  <c r="E38" i="51"/>
  <c r="H37" i="51"/>
  <c r="G37" i="51"/>
  <c r="H36" i="51"/>
  <c r="H38" i="51" s="1"/>
  <c r="G36" i="51"/>
  <c r="G38" i="51" s="1"/>
  <c r="F37" i="51"/>
  <c r="F36" i="51"/>
  <c r="F38" i="51" s="1"/>
  <c r="E35" i="51"/>
  <c r="H34" i="51"/>
  <c r="G34" i="51"/>
  <c r="F34" i="51"/>
  <c r="H33" i="51"/>
  <c r="G33" i="51"/>
  <c r="F33" i="51"/>
  <c r="H32" i="51"/>
  <c r="G32" i="51"/>
  <c r="F32" i="51"/>
  <c r="H31" i="51"/>
  <c r="G31" i="51"/>
  <c r="F31" i="51"/>
  <c r="H28" i="51"/>
  <c r="G28" i="51"/>
  <c r="F28" i="51"/>
  <c r="H27" i="51"/>
  <c r="G27" i="51"/>
  <c r="F27" i="51"/>
  <c r="H26" i="51"/>
  <c r="G26" i="51"/>
  <c r="F26" i="51"/>
  <c r="H25" i="51"/>
  <c r="G25" i="51"/>
  <c r="F25" i="51"/>
  <c r="H24" i="51"/>
  <c r="H35" i="51" s="1"/>
  <c r="G24" i="51"/>
  <c r="G35" i="51" s="1"/>
  <c r="F24" i="51"/>
  <c r="F35" i="51" s="1"/>
  <c r="H2" i="51"/>
  <c r="G2" i="51"/>
  <c r="F2" i="51"/>
  <c r="F218" i="50"/>
  <c r="G218" i="50"/>
  <c r="H218" i="50"/>
  <c r="E218" i="50"/>
  <c r="H217" i="50"/>
  <c r="G217" i="50"/>
  <c r="F217" i="50"/>
  <c r="H216" i="50"/>
  <c r="G216" i="50"/>
  <c r="F216" i="50"/>
  <c r="H214" i="50"/>
  <c r="G214" i="50"/>
  <c r="F214" i="50"/>
  <c r="H212" i="50"/>
  <c r="G212" i="50"/>
  <c r="F212" i="50"/>
  <c r="E213" i="50"/>
  <c r="H209" i="50"/>
  <c r="H213" i="50" s="1"/>
  <c r="G209" i="50"/>
  <c r="G213" i="50" s="1"/>
  <c r="F209" i="50"/>
  <c r="F213" i="50" s="1"/>
  <c r="E204" i="50"/>
  <c r="H200" i="50"/>
  <c r="G200" i="50"/>
  <c r="F200" i="50"/>
  <c r="H199" i="50"/>
  <c r="H204" i="50" s="1"/>
  <c r="G199" i="50"/>
  <c r="G204" i="50" s="1"/>
  <c r="F199" i="50"/>
  <c r="F204" i="50" s="1"/>
  <c r="E198" i="50"/>
  <c r="H191" i="50"/>
  <c r="G191" i="50"/>
  <c r="F191" i="50"/>
  <c r="H189" i="50"/>
  <c r="G189" i="50"/>
  <c r="F189" i="50"/>
  <c r="H188" i="50"/>
  <c r="G188" i="50"/>
  <c r="F188" i="50"/>
  <c r="H187" i="50"/>
  <c r="G187" i="50"/>
  <c r="F187" i="50"/>
  <c r="H182" i="50"/>
  <c r="G182" i="50"/>
  <c r="F182" i="50"/>
  <c r="H181" i="50"/>
  <c r="G181" i="50"/>
  <c r="F181" i="50"/>
  <c r="H183" i="50"/>
  <c r="G183" i="50"/>
  <c r="F183" i="50"/>
  <c r="F180" i="50"/>
  <c r="G180" i="50"/>
  <c r="H180" i="50"/>
  <c r="E180" i="50"/>
  <c r="H170" i="50"/>
  <c r="G170" i="50"/>
  <c r="F170" i="50"/>
  <c r="E173" i="50"/>
  <c r="H168" i="50"/>
  <c r="G168" i="50"/>
  <c r="F168" i="50"/>
  <c r="H166" i="50"/>
  <c r="H173" i="50" s="1"/>
  <c r="G166" i="50"/>
  <c r="G173" i="50" s="1"/>
  <c r="F166" i="50"/>
  <c r="F173" i="50" s="1"/>
  <c r="H163" i="50"/>
  <c r="G163" i="50"/>
  <c r="F163" i="50"/>
  <c r="H162" i="50"/>
  <c r="G162" i="50"/>
  <c r="F162" i="50"/>
  <c r="E164" i="50"/>
  <c r="H159" i="50"/>
  <c r="G159" i="50"/>
  <c r="F159" i="50"/>
  <c r="H157" i="50"/>
  <c r="G157" i="50"/>
  <c r="F157" i="50"/>
  <c r="F164" i="50"/>
  <c r="G164" i="50"/>
  <c r="H164" i="50"/>
  <c r="E156" i="50"/>
  <c r="H155" i="50"/>
  <c r="G155" i="50"/>
  <c r="F155" i="50"/>
  <c r="H152" i="50"/>
  <c r="H156" i="50" s="1"/>
  <c r="G152" i="50"/>
  <c r="G156" i="50" s="1"/>
  <c r="F152" i="50"/>
  <c r="F156" i="50" s="1"/>
  <c r="H150" i="50"/>
  <c r="G150" i="50"/>
  <c r="F150" i="50"/>
  <c r="H148" i="50"/>
  <c r="G148" i="50"/>
  <c r="F148" i="50"/>
  <c r="H146" i="50"/>
  <c r="G146" i="50"/>
  <c r="F146" i="50"/>
  <c r="H144" i="50"/>
  <c r="G144" i="50"/>
  <c r="F144" i="50"/>
  <c r="F151" i="50"/>
  <c r="G151" i="50"/>
  <c r="H151" i="50"/>
  <c r="E151" i="50"/>
  <c r="E143" i="50"/>
  <c r="H142" i="50"/>
  <c r="G142" i="50"/>
  <c r="F142" i="50"/>
  <c r="H141" i="50"/>
  <c r="G141" i="50"/>
  <c r="F141" i="50"/>
  <c r="H140" i="50"/>
  <c r="G140" i="50"/>
  <c r="F140" i="50"/>
  <c r="H139" i="50"/>
  <c r="G139" i="50"/>
  <c r="F139" i="50"/>
  <c r="H138" i="50"/>
  <c r="G138" i="50"/>
  <c r="F138" i="50"/>
  <c r="H136" i="50"/>
  <c r="G136" i="50"/>
  <c r="F136" i="50"/>
  <c r="H135" i="50"/>
  <c r="H143" i="50" s="1"/>
  <c r="G135" i="50"/>
  <c r="G143" i="50" s="1"/>
  <c r="F135" i="50"/>
  <c r="F143" i="50" s="1"/>
  <c r="E134" i="50"/>
  <c r="H133" i="50"/>
  <c r="G133" i="50"/>
  <c r="F133" i="50"/>
  <c r="H131" i="50"/>
  <c r="H134" i="50" s="1"/>
  <c r="G131" i="50"/>
  <c r="G134" i="50" s="1"/>
  <c r="F131" i="50"/>
  <c r="F134" i="50" s="1"/>
  <c r="H129" i="50"/>
  <c r="G129" i="50"/>
  <c r="F129" i="50"/>
  <c r="H128" i="50"/>
  <c r="G128" i="50"/>
  <c r="F128" i="50"/>
  <c r="H126" i="50"/>
  <c r="G126" i="50"/>
  <c r="F126" i="50"/>
  <c r="H124" i="50"/>
  <c r="G124" i="50"/>
  <c r="F124" i="50"/>
  <c r="H122" i="50"/>
  <c r="G122" i="50"/>
  <c r="F122" i="50"/>
  <c r="F130" i="50"/>
  <c r="G130" i="50"/>
  <c r="H130" i="50"/>
  <c r="E130" i="50"/>
  <c r="E121" i="50"/>
  <c r="H117" i="50"/>
  <c r="G117" i="50"/>
  <c r="H115" i="50"/>
  <c r="G115" i="50"/>
  <c r="F115" i="50"/>
  <c r="H113" i="50"/>
  <c r="H114" i="50"/>
  <c r="G113" i="50"/>
  <c r="G114" i="50"/>
  <c r="F113" i="50"/>
  <c r="F114" i="50"/>
  <c r="H112" i="50"/>
  <c r="H121" i="50" s="1"/>
  <c r="G112" i="50"/>
  <c r="G121" i="50" s="1"/>
  <c r="F112" i="50"/>
  <c r="F121" i="50" s="1"/>
  <c r="H107" i="50"/>
  <c r="G107" i="50"/>
  <c r="F107" i="50"/>
  <c r="H106" i="50"/>
  <c r="G106" i="50"/>
  <c r="F106" i="50"/>
  <c r="H105" i="50"/>
  <c r="G105" i="50"/>
  <c r="F105" i="50"/>
  <c r="F111" i="50"/>
  <c r="G111" i="50"/>
  <c r="H111" i="50"/>
  <c r="E111" i="50"/>
  <c r="E104" i="50"/>
  <c r="H103" i="50"/>
  <c r="G103" i="50"/>
  <c r="F103" i="50"/>
  <c r="H101" i="50"/>
  <c r="G101" i="50"/>
  <c r="F101" i="50"/>
  <c r="H100" i="50"/>
  <c r="G100" i="50"/>
  <c r="F100" i="50"/>
  <c r="H99" i="50"/>
  <c r="G99" i="50"/>
  <c r="F99" i="50"/>
  <c r="H97" i="50"/>
  <c r="G97" i="50"/>
  <c r="F97" i="50"/>
  <c r="G96" i="50"/>
  <c r="F96" i="50"/>
  <c r="H95" i="50"/>
  <c r="G95" i="50"/>
  <c r="F95" i="50"/>
  <c r="H94" i="50"/>
  <c r="H104" i="50" s="1"/>
  <c r="G94" i="50"/>
  <c r="G104" i="50" s="1"/>
  <c r="F94" i="50"/>
  <c r="F104" i="50" s="1"/>
  <c r="E93" i="50"/>
  <c r="H92" i="50"/>
  <c r="G92" i="50"/>
  <c r="F92" i="50"/>
  <c r="H91" i="50"/>
  <c r="G91" i="50"/>
  <c r="F91" i="50"/>
  <c r="H90" i="50"/>
  <c r="H93" i="50" s="1"/>
  <c r="G90" i="50"/>
  <c r="G93" i="50" s="1"/>
  <c r="F90" i="50"/>
  <c r="F93" i="50" s="1"/>
  <c r="F198" i="50" l="1"/>
  <c r="G198" i="50"/>
  <c r="H198" i="50"/>
  <c r="E89" i="50"/>
  <c r="H87" i="50"/>
  <c r="G87" i="50"/>
  <c r="F87" i="50"/>
  <c r="H86" i="50"/>
  <c r="G86" i="50"/>
  <c r="F86" i="50"/>
  <c r="H85" i="50"/>
  <c r="G85" i="50"/>
  <c r="F85" i="50"/>
  <c r="H84" i="50"/>
  <c r="G84" i="50"/>
  <c r="F84" i="50"/>
  <c r="H83" i="50"/>
  <c r="G83" i="50"/>
  <c r="F83" i="50"/>
  <c r="H82" i="50"/>
  <c r="H89" i="50" s="1"/>
  <c r="G82" i="50"/>
  <c r="G89" i="50" s="1"/>
  <c r="F82" i="50"/>
  <c r="F89" i="50" s="1"/>
  <c r="E80" i="50"/>
  <c r="H79" i="50"/>
  <c r="G79" i="50"/>
  <c r="F79" i="50"/>
  <c r="H78" i="50"/>
  <c r="G78" i="50"/>
  <c r="F78" i="50"/>
  <c r="H77" i="50"/>
  <c r="G77" i="50"/>
  <c r="F77" i="50"/>
  <c r="H76" i="50"/>
  <c r="G76" i="50"/>
  <c r="F76" i="50"/>
  <c r="H75" i="50"/>
  <c r="H80" i="50" s="1"/>
  <c r="G75" i="50"/>
  <c r="G80" i="50" s="1"/>
  <c r="F75" i="50"/>
  <c r="F80" i="50" s="1"/>
  <c r="E74" i="50"/>
  <c r="H72" i="50"/>
  <c r="G72" i="50"/>
  <c r="F72" i="50"/>
  <c r="H71" i="50"/>
  <c r="H74" i="50" s="1"/>
  <c r="G71" i="50"/>
  <c r="G74" i="50" s="1"/>
  <c r="F71" i="50"/>
  <c r="F74" i="50" s="1"/>
  <c r="E70" i="50"/>
  <c r="H69" i="50"/>
  <c r="G69" i="50"/>
  <c r="F69" i="50"/>
  <c r="H68" i="50"/>
  <c r="G68" i="50"/>
  <c r="F68" i="50"/>
  <c r="H67" i="50"/>
  <c r="G67" i="50"/>
  <c r="F67" i="50"/>
  <c r="H66" i="50"/>
  <c r="G66" i="50"/>
  <c r="F66" i="50"/>
  <c r="H65" i="50"/>
  <c r="G65" i="50"/>
  <c r="F65" i="50"/>
  <c r="H64" i="50"/>
  <c r="G64" i="50"/>
  <c r="F64" i="50"/>
  <c r="H63" i="50"/>
  <c r="H70" i="50" s="1"/>
  <c r="G63" i="50"/>
  <c r="G70" i="50" s="1"/>
  <c r="F63" i="50"/>
  <c r="F70" i="50" s="1"/>
  <c r="H61" i="50" l="1"/>
  <c r="G61" i="50"/>
  <c r="H58" i="50"/>
  <c r="G58" i="50"/>
  <c r="F58" i="50"/>
  <c r="E62" i="50"/>
  <c r="H57" i="50"/>
  <c r="G57" i="50"/>
  <c r="F57" i="50"/>
  <c r="H56" i="50"/>
  <c r="G56" i="50"/>
  <c r="F56" i="50"/>
  <c r="H55" i="50"/>
  <c r="G55" i="50"/>
  <c r="F55" i="50"/>
  <c r="H53" i="50"/>
  <c r="H54" i="50"/>
  <c r="G53" i="50"/>
  <c r="G54" i="50"/>
  <c r="F53" i="50"/>
  <c r="F54" i="50"/>
  <c r="H52" i="50"/>
  <c r="H62" i="50" s="1"/>
  <c r="G52" i="50"/>
  <c r="G62" i="50" s="1"/>
  <c r="F52" i="50"/>
  <c r="F62" i="50" s="1"/>
  <c r="H50" i="50"/>
  <c r="G50" i="50"/>
  <c r="F50" i="50"/>
  <c r="H49" i="50"/>
  <c r="G49" i="50"/>
  <c r="F49" i="50"/>
  <c r="E51" i="50"/>
  <c r="H47" i="50"/>
  <c r="H48" i="50"/>
  <c r="G47" i="50"/>
  <c r="G48" i="50"/>
  <c r="F47" i="50"/>
  <c r="F48" i="50"/>
  <c r="H46" i="50"/>
  <c r="H51" i="50" s="1"/>
  <c r="G46" i="50"/>
  <c r="G51" i="50" s="1"/>
  <c r="F46" i="50"/>
  <c r="F51" i="50" s="1"/>
  <c r="H44" i="50"/>
  <c r="G44" i="50"/>
  <c r="F44" i="50"/>
  <c r="H43" i="50"/>
  <c r="G43" i="50"/>
  <c r="F43" i="50"/>
  <c r="H42" i="50"/>
  <c r="G42" i="50"/>
  <c r="F42" i="50"/>
  <c r="H41" i="50"/>
  <c r="G41" i="50"/>
  <c r="F41" i="50"/>
  <c r="H39" i="50"/>
  <c r="G39" i="50"/>
  <c r="F39" i="50"/>
  <c r="H38" i="50"/>
  <c r="G38" i="50"/>
  <c r="F38" i="50"/>
  <c r="H37" i="50"/>
  <c r="G37" i="50"/>
  <c r="F37" i="50"/>
  <c r="H35" i="50"/>
  <c r="G35" i="50"/>
  <c r="F35" i="50"/>
  <c r="H34" i="50"/>
  <c r="G34" i="50"/>
  <c r="F34" i="50"/>
  <c r="H33" i="50"/>
  <c r="G33" i="50"/>
  <c r="F33" i="50"/>
  <c r="H32" i="50"/>
  <c r="G32" i="50"/>
  <c r="F32" i="50"/>
  <c r="E36" i="50"/>
  <c r="E45" i="50" s="1"/>
  <c r="H30" i="50"/>
  <c r="G30" i="50"/>
  <c r="F30" i="50"/>
  <c r="H29" i="50"/>
  <c r="G29" i="50"/>
  <c r="F29" i="50"/>
  <c r="H28" i="50"/>
  <c r="G28" i="50"/>
  <c r="F28" i="50"/>
  <c r="F31" i="50"/>
  <c r="G31" i="50"/>
  <c r="H31" i="50"/>
  <c r="E31" i="50"/>
  <c r="F36" i="50" l="1"/>
  <c r="F45" i="50" s="1"/>
  <c r="G36" i="50"/>
  <c r="G45" i="50" s="1"/>
  <c r="H36" i="50"/>
  <c r="H45" i="50" s="1"/>
  <c r="H26" i="50"/>
  <c r="G26" i="50"/>
  <c r="F26" i="50"/>
  <c r="H24" i="50"/>
  <c r="G24" i="50"/>
  <c r="F24" i="50"/>
  <c r="H22" i="50"/>
  <c r="G22" i="50"/>
  <c r="F22" i="50"/>
  <c r="E27" i="50"/>
  <c r="H20" i="50"/>
  <c r="H27" i="50" s="1"/>
  <c r="G20" i="50"/>
  <c r="G27" i="50" s="1"/>
  <c r="F20" i="50"/>
  <c r="F27" i="50" s="1"/>
  <c r="E19" i="50"/>
  <c r="H17" i="50"/>
  <c r="G17" i="50"/>
  <c r="F17" i="50"/>
  <c r="H16" i="50"/>
  <c r="G16" i="50"/>
  <c r="F16" i="50"/>
  <c r="F19" i="50"/>
  <c r="G19" i="50"/>
  <c r="H19" i="50"/>
  <c r="H14" i="50" l="1"/>
  <c r="G14" i="50"/>
  <c r="F14" i="50"/>
  <c r="H11" i="50"/>
  <c r="G11" i="50"/>
  <c r="F11" i="50"/>
  <c r="H10" i="50"/>
  <c r="G10" i="50"/>
  <c r="F10" i="50"/>
  <c r="H9" i="50"/>
  <c r="G9" i="50"/>
  <c r="F9" i="50"/>
  <c r="E15" i="50"/>
  <c r="H8" i="50"/>
  <c r="G8" i="50"/>
  <c r="F8" i="50"/>
  <c r="H4" i="50"/>
  <c r="G4" i="50"/>
  <c r="F4" i="50"/>
  <c r="H7" i="50"/>
  <c r="H15" i="50" s="1"/>
  <c r="G7" i="50"/>
  <c r="G15" i="50" s="1"/>
  <c r="F7" i="50"/>
  <c r="F15" i="50" s="1"/>
  <c r="E6" i="50"/>
  <c r="H5" i="50"/>
  <c r="G5" i="50"/>
  <c r="F5" i="50"/>
  <c r="H3" i="50"/>
  <c r="G3" i="50"/>
  <c r="F3" i="50"/>
  <c r="H2" i="50"/>
  <c r="H6" i="50" s="1"/>
  <c r="G2" i="50"/>
  <c r="G6" i="50" s="1"/>
  <c r="F2" i="50"/>
  <c r="F6" i="50" s="1"/>
  <c r="H232" i="49" l="1"/>
  <c r="F232" i="49"/>
  <c r="F233" i="49"/>
  <c r="G233" i="49"/>
  <c r="H233" i="49"/>
  <c r="E233" i="49"/>
  <c r="H268" i="49"/>
  <c r="G268" i="49"/>
  <c r="F268" i="49"/>
  <c r="H267" i="49"/>
  <c r="G267" i="49"/>
  <c r="F267" i="49"/>
  <c r="H266" i="49"/>
  <c r="G266" i="49"/>
  <c r="F266" i="49"/>
  <c r="H265" i="49"/>
  <c r="G265" i="49"/>
  <c r="F265" i="49"/>
  <c r="H264" i="49"/>
  <c r="G264" i="49"/>
  <c r="F264" i="49"/>
  <c r="H263" i="49"/>
  <c r="G263" i="49"/>
  <c r="F263" i="49"/>
  <c r="H259" i="49"/>
  <c r="G259" i="49"/>
  <c r="F259" i="49"/>
  <c r="H258" i="49"/>
  <c r="G258" i="49"/>
  <c r="F258" i="49"/>
  <c r="F270" i="49"/>
  <c r="G270" i="49"/>
  <c r="H270" i="49"/>
  <c r="E270" i="49"/>
  <c r="F257" i="49"/>
  <c r="G257" i="49"/>
  <c r="H257" i="49"/>
  <c r="E257" i="49"/>
  <c r="H250" i="49"/>
  <c r="G250" i="49"/>
  <c r="F250" i="49"/>
  <c r="H249" i="49"/>
  <c r="G249" i="49"/>
  <c r="F249" i="49"/>
  <c r="H248" i="49"/>
  <c r="G248" i="49"/>
  <c r="F248" i="49"/>
  <c r="H245" i="49"/>
  <c r="G245" i="49"/>
  <c r="F245" i="49"/>
  <c r="H244" i="49"/>
  <c r="G244" i="49"/>
  <c r="F244" i="49"/>
  <c r="H242" i="49"/>
  <c r="G242" i="49"/>
  <c r="F242" i="49"/>
  <c r="F247" i="49"/>
  <c r="G247" i="49"/>
  <c r="H247" i="49"/>
  <c r="E247" i="49"/>
  <c r="F241" i="49"/>
  <c r="G241" i="49"/>
  <c r="H241" i="49"/>
  <c r="E241" i="49"/>
  <c r="H240" i="49"/>
  <c r="G240" i="49"/>
  <c r="F240" i="49"/>
  <c r="H239" i="49"/>
  <c r="G239" i="49"/>
  <c r="H238" i="49"/>
  <c r="G238" i="49"/>
  <c r="F239" i="49"/>
  <c r="F238" i="49"/>
  <c r="H235" i="49"/>
  <c r="H236" i="49"/>
  <c r="G235" i="49"/>
  <c r="G236" i="49"/>
  <c r="F235" i="49"/>
  <c r="F236" i="49"/>
  <c r="H234" i="49"/>
  <c r="G234" i="49"/>
  <c r="F234" i="49"/>
  <c r="G232" i="49"/>
  <c r="H231" i="49"/>
  <c r="G231" i="49"/>
  <c r="F231" i="49"/>
  <c r="H230" i="49"/>
  <c r="G230" i="49"/>
  <c r="F230" i="49"/>
  <c r="H228" i="49"/>
  <c r="G228" i="49"/>
  <c r="F228" i="49"/>
  <c r="H227" i="49"/>
  <c r="G227" i="49"/>
  <c r="F227" i="49"/>
  <c r="H226" i="49"/>
  <c r="G226" i="49"/>
  <c r="F226" i="49"/>
  <c r="H225" i="49"/>
  <c r="G225" i="49"/>
  <c r="F225" i="49"/>
  <c r="H224" i="49"/>
  <c r="G224" i="49"/>
  <c r="F224" i="49"/>
  <c r="H223" i="49"/>
  <c r="G223" i="49"/>
  <c r="F223" i="49"/>
  <c r="F229" i="49"/>
  <c r="G229" i="49"/>
  <c r="H229" i="49"/>
  <c r="E229" i="49"/>
  <c r="H218" i="49" l="1"/>
  <c r="G218" i="49"/>
  <c r="F218" i="49"/>
  <c r="H217" i="49"/>
  <c r="G217" i="49"/>
  <c r="F217" i="49"/>
  <c r="H216" i="49"/>
  <c r="G216" i="49"/>
  <c r="F216" i="49"/>
  <c r="H215" i="49"/>
  <c r="G215" i="49"/>
  <c r="F215" i="49"/>
  <c r="H213" i="49"/>
  <c r="H214" i="49"/>
  <c r="G213" i="49"/>
  <c r="G214" i="49"/>
  <c r="F213" i="49"/>
  <c r="F214" i="49"/>
  <c r="H212" i="49"/>
  <c r="G212" i="49"/>
  <c r="F212" i="49"/>
  <c r="F222" i="49"/>
  <c r="G222" i="49"/>
  <c r="H222" i="49"/>
  <c r="E222" i="49"/>
  <c r="E211" i="49"/>
  <c r="H207" i="49"/>
  <c r="G207" i="49"/>
  <c r="F207" i="49"/>
  <c r="H206" i="49"/>
  <c r="G206" i="49"/>
  <c r="F206" i="49"/>
  <c r="H205" i="49"/>
  <c r="G205" i="49"/>
  <c r="F205" i="49"/>
  <c r="H204" i="49"/>
  <c r="G204" i="49"/>
  <c r="F204" i="49"/>
  <c r="H203" i="49"/>
  <c r="G203" i="49"/>
  <c r="F203" i="49"/>
  <c r="H202" i="49"/>
  <c r="G202" i="49"/>
  <c r="F202" i="49"/>
  <c r="H201" i="49"/>
  <c r="G201" i="49"/>
  <c r="F201" i="49"/>
  <c r="H200" i="49"/>
  <c r="G200" i="49"/>
  <c r="F200" i="49"/>
  <c r="H209" i="49"/>
  <c r="G209" i="49"/>
  <c r="F209" i="49"/>
  <c r="H208" i="49"/>
  <c r="G208" i="49"/>
  <c r="F208" i="49"/>
  <c r="H196" i="49"/>
  <c r="G196" i="49"/>
  <c r="H194" i="49"/>
  <c r="G194" i="49"/>
  <c r="F194" i="49"/>
  <c r="H193" i="49"/>
  <c r="G193" i="49"/>
  <c r="F193" i="49"/>
  <c r="E192" i="49"/>
  <c r="H190" i="49"/>
  <c r="H192" i="49" s="1"/>
  <c r="G190" i="49"/>
  <c r="G192" i="49" s="1"/>
  <c r="F190" i="49"/>
  <c r="F192" i="49" s="1"/>
  <c r="H187" i="49"/>
  <c r="G187" i="49"/>
  <c r="F187" i="49"/>
  <c r="H186" i="49"/>
  <c r="G186" i="49"/>
  <c r="F186" i="49"/>
  <c r="H185" i="49"/>
  <c r="G185" i="49"/>
  <c r="F185" i="49"/>
  <c r="H184" i="49"/>
  <c r="G184" i="49"/>
  <c r="H183" i="49"/>
  <c r="H182" i="49"/>
  <c r="G183" i="49"/>
  <c r="F183" i="49"/>
  <c r="G182" i="49"/>
  <c r="F182" i="49"/>
  <c r="F188" i="49"/>
  <c r="G188" i="49"/>
  <c r="H188" i="49"/>
  <c r="E188" i="49"/>
  <c r="F211" i="49" l="1"/>
  <c r="G211" i="49"/>
  <c r="H211" i="49"/>
  <c r="E181" i="49"/>
  <c r="H180" i="49"/>
  <c r="G180" i="49"/>
  <c r="F180" i="49"/>
  <c r="H179" i="49"/>
  <c r="G179" i="49"/>
  <c r="F179" i="49"/>
  <c r="H178" i="49"/>
  <c r="G178" i="49"/>
  <c r="F178" i="49"/>
  <c r="H177" i="49"/>
  <c r="H181" i="49" s="1"/>
  <c r="G177" i="49"/>
  <c r="G181" i="49" s="1"/>
  <c r="F177" i="49"/>
  <c r="F181" i="49" s="1"/>
  <c r="E176" i="49" l="1"/>
  <c r="F175" i="49"/>
  <c r="H174" i="49"/>
  <c r="G174" i="49"/>
  <c r="F174" i="49"/>
  <c r="H171" i="49"/>
  <c r="H172" i="49"/>
  <c r="H173" i="49"/>
  <c r="G171" i="49"/>
  <c r="G172" i="49"/>
  <c r="G173" i="49"/>
  <c r="F171" i="49"/>
  <c r="F172" i="49"/>
  <c r="F173" i="49"/>
  <c r="H170" i="49"/>
  <c r="H176" i="49" s="1"/>
  <c r="G170" i="49"/>
  <c r="G176" i="49" s="1"/>
  <c r="F170" i="49"/>
  <c r="F176" i="49" s="1"/>
  <c r="H166" i="49"/>
  <c r="G166" i="49"/>
  <c r="F166" i="49"/>
  <c r="H165" i="49"/>
  <c r="G165" i="49"/>
  <c r="F165" i="49"/>
  <c r="H164" i="49"/>
  <c r="G164" i="49"/>
  <c r="F164" i="49"/>
  <c r="H163" i="49"/>
  <c r="G163" i="49"/>
  <c r="F163" i="49"/>
  <c r="H159" i="49"/>
  <c r="G159" i="49"/>
  <c r="F159" i="49"/>
  <c r="H158" i="49"/>
  <c r="G158" i="49"/>
  <c r="F158" i="49"/>
  <c r="E169" i="49"/>
  <c r="H157" i="49"/>
  <c r="H169" i="49" s="1"/>
  <c r="G157" i="49"/>
  <c r="G169" i="49" s="1"/>
  <c r="F157" i="49"/>
  <c r="F169" i="49" s="1"/>
  <c r="H154" i="49" l="1"/>
  <c r="G154" i="49"/>
  <c r="F154" i="49"/>
  <c r="H153" i="49"/>
  <c r="G153" i="49"/>
  <c r="F153" i="49"/>
  <c r="H152" i="49"/>
  <c r="G152" i="49"/>
  <c r="F152" i="49"/>
  <c r="H151" i="49"/>
  <c r="G151" i="49"/>
  <c r="F151" i="49"/>
  <c r="H150" i="49"/>
  <c r="G150" i="49"/>
  <c r="F150" i="49"/>
  <c r="H149" i="49"/>
  <c r="G149" i="49"/>
  <c r="F149" i="49"/>
  <c r="H146" i="49"/>
  <c r="G146" i="49"/>
  <c r="F146" i="49"/>
  <c r="H145" i="49"/>
  <c r="G145" i="49"/>
  <c r="F145" i="49"/>
  <c r="F156" i="49"/>
  <c r="G156" i="49"/>
  <c r="H156" i="49"/>
  <c r="E156" i="49"/>
  <c r="H142" i="49"/>
  <c r="G142" i="49"/>
  <c r="F142" i="49"/>
  <c r="E144" i="49"/>
  <c r="H141" i="49"/>
  <c r="G141" i="49"/>
  <c r="F141" i="49"/>
  <c r="H140" i="49"/>
  <c r="H144" i="49" s="1"/>
  <c r="G140" i="49"/>
  <c r="G144" i="49" s="1"/>
  <c r="F140" i="49"/>
  <c r="F144" i="49" s="1"/>
  <c r="E139" i="49" l="1"/>
  <c r="H137" i="49"/>
  <c r="G137" i="49"/>
  <c r="F137" i="49"/>
  <c r="H136" i="49"/>
  <c r="G136" i="49"/>
  <c r="F136" i="49"/>
  <c r="H135" i="49"/>
  <c r="G135" i="49"/>
  <c r="F135" i="49"/>
  <c r="H134" i="49"/>
  <c r="G134" i="49"/>
  <c r="F134" i="49"/>
  <c r="H133" i="49"/>
  <c r="G133" i="49"/>
  <c r="F133" i="49"/>
  <c r="H132" i="49"/>
  <c r="H139" i="49" s="1"/>
  <c r="G132" i="49"/>
  <c r="G139" i="49" s="1"/>
  <c r="F132" i="49"/>
  <c r="F139" i="49" s="1"/>
  <c r="E131" i="49"/>
  <c r="H130" i="49"/>
  <c r="G130" i="49"/>
  <c r="F130" i="49"/>
  <c r="H129" i="49"/>
  <c r="G129" i="49"/>
  <c r="F129" i="49"/>
  <c r="H126" i="49"/>
  <c r="G126" i="49"/>
  <c r="F126" i="49"/>
  <c r="H125" i="49"/>
  <c r="H131" i="49" s="1"/>
  <c r="G125" i="49"/>
  <c r="G131" i="49" s="1"/>
  <c r="F125" i="49"/>
  <c r="F131" i="49" s="1"/>
  <c r="H121" i="49" l="1"/>
  <c r="G121" i="49"/>
  <c r="F121" i="49"/>
  <c r="F120" i="49"/>
  <c r="H120" i="49"/>
  <c r="G120" i="49"/>
  <c r="H119" i="49"/>
  <c r="G119" i="49"/>
  <c r="F119" i="49"/>
  <c r="H116" i="49"/>
  <c r="G116" i="49"/>
  <c r="F116" i="49"/>
  <c r="F113" i="49"/>
  <c r="E124" i="49"/>
  <c r="H112" i="49"/>
  <c r="G112" i="49"/>
  <c r="F112" i="49"/>
  <c r="H111" i="49"/>
  <c r="G111" i="49"/>
  <c r="F111" i="49"/>
  <c r="H110" i="49"/>
  <c r="H124" i="49" s="1"/>
  <c r="G110" i="49"/>
  <c r="G124" i="49" s="1"/>
  <c r="F110" i="49"/>
  <c r="F124" i="49" s="1"/>
  <c r="H99" i="49"/>
  <c r="G99" i="49"/>
  <c r="F99" i="49"/>
  <c r="H98" i="49"/>
  <c r="G98" i="49"/>
  <c r="F98" i="49"/>
  <c r="H97" i="49"/>
  <c r="G97" i="49"/>
  <c r="F97" i="49"/>
  <c r="H96" i="49"/>
  <c r="G96" i="49"/>
  <c r="F96" i="49"/>
  <c r="H107" i="49"/>
  <c r="G107" i="49"/>
  <c r="F107" i="49"/>
  <c r="H106" i="49"/>
  <c r="G106" i="49"/>
  <c r="F106" i="49"/>
  <c r="H105" i="49"/>
  <c r="G105" i="49"/>
  <c r="F105" i="49"/>
  <c r="I100" i="49"/>
  <c r="E100" i="49"/>
  <c r="E109" i="49"/>
  <c r="H104" i="49"/>
  <c r="G104" i="49"/>
  <c r="F104" i="49"/>
  <c r="F103" i="49"/>
  <c r="H102" i="49"/>
  <c r="G102" i="49"/>
  <c r="F102" i="49"/>
  <c r="H101" i="49"/>
  <c r="H109" i="49" s="1"/>
  <c r="G101" i="49"/>
  <c r="G109" i="49" s="1"/>
  <c r="F101" i="49"/>
  <c r="F109" i="49" s="1"/>
  <c r="H95" i="49"/>
  <c r="G95" i="49"/>
  <c r="F95" i="49"/>
  <c r="H94" i="49"/>
  <c r="G94" i="49"/>
  <c r="F94" i="49"/>
  <c r="G93" i="49"/>
  <c r="F93" i="49"/>
  <c r="G92" i="49"/>
  <c r="F92" i="49"/>
  <c r="H91" i="49"/>
  <c r="H100" i="49" s="1"/>
  <c r="G91" i="49"/>
  <c r="G100" i="49" s="1"/>
  <c r="F91" i="49"/>
  <c r="F100" i="49" s="1"/>
  <c r="E90" i="49" l="1"/>
  <c r="H89" i="49"/>
  <c r="G89" i="49"/>
  <c r="F89" i="49"/>
  <c r="H88" i="49"/>
  <c r="G88" i="49"/>
  <c r="F88" i="49"/>
  <c r="H87" i="49"/>
  <c r="G87" i="49"/>
  <c r="F87" i="49"/>
  <c r="H85" i="49"/>
  <c r="G85" i="49"/>
  <c r="F85" i="49"/>
  <c r="H84" i="49"/>
  <c r="G84" i="49"/>
  <c r="F84" i="49"/>
  <c r="H83" i="49"/>
  <c r="G83" i="49"/>
  <c r="F83" i="49"/>
  <c r="H82" i="49"/>
  <c r="G82" i="49"/>
  <c r="F82" i="49"/>
  <c r="H80" i="49"/>
  <c r="G80" i="49"/>
  <c r="F80" i="49"/>
  <c r="H79" i="49"/>
  <c r="G79" i="49"/>
  <c r="F79" i="49"/>
  <c r="H78" i="49"/>
  <c r="H90" i="49" s="1"/>
  <c r="G78" i="49"/>
  <c r="G90" i="49" s="1"/>
  <c r="F78" i="49"/>
  <c r="F90" i="49" s="1"/>
  <c r="H76" i="49"/>
  <c r="G76" i="49"/>
  <c r="F76" i="49"/>
  <c r="H75" i="49"/>
  <c r="G75" i="49"/>
  <c r="F75" i="49"/>
  <c r="E77" i="49"/>
  <c r="H73" i="49"/>
  <c r="H77" i="49" s="1"/>
  <c r="G73" i="49"/>
  <c r="F73" i="49"/>
  <c r="G72" i="49"/>
  <c r="G77" i="49" s="1"/>
  <c r="F72" i="49"/>
  <c r="F77" i="49" s="1"/>
  <c r="H70" i="49" l="1"/>
  <c r="G70" i="49"/>
  <c r="F70" i="49"/>
  <c r="H69" i="49"/>
  <c r="G69" i="49"/>
  <c r="F69" i="49"/>
  <c r="H66" i="49"/>
  <c r="G66" i="49"/>
  <c r="F66" i="49"/>
  <c r="E71" i="49"/>
  <c r="H65" i="49"/>
  <c r="H71" i="49" s="1"/>
  <c r="G65" i="49"/>
  <c r="G71" i="49" s="1"/>
  <c r="F65" i="49"/>
  <c r="F71" i="49" s="1"/>
  <c r="E64" i="49"/>
  <c r="H60" i="49"/>
  <c r="G60" i="49"/>
  <c r="F60" i="49"/>
  <c r="H59" i="49"/>
  <c r="G59" i="49"/>
  <c r="F59" i="49"/>
  <c r="H58" i="49"/>
  <c r="G58" i="49"/>
  <c r="F58" i="49"/>
  <c r="H56" i="49"/>
  <c r="G56" i="49"/>
  <c r="F56" i="49"/>
  <c r="H55" i="49"/>
  <c r="G55" i="49"/>
  <c r="F55" i="49"/>
  <c r="H54" i="49"/>
  <c r="G54" i="49"/>
  <c r="F54" i="49"/>
  <c r="H53" i="49"/>
  <c r="G53" i="49"/>
  <c r="F53" i="49"/>
  <c r="H52" i="49"/>
  <c r="H64" i="49" s="1"/>
  <c r="G52" i="49"/>
  <c r="G64" i="49" s="1"/>
  <c r="F52" i="49"/>
  <c r="F64" i="49" s="1"/>
  <c r="H50" i="49"/>
  <c r="G50" i="49"/>
  <c r="F50" i="49"/>
  <c r="H49" i="49"/>
  <c r="G49" i="49"/>
  <c r="F49" i="49"/>
  <c r="H48" i="49"/>
  <c r="G48" i="49"/>
  <c r="F48" i="49"/>
  <c r="H47" i="49"/>
  <c r="G47" i="49"/>
  <c r="F47" i="49"/>
  <c r="E51" i="49"/>
  <c r="H44" i="49"/>
  <c r="G44" i="49"/>
  <c r="F44" i="49"/>
  <c r="G43" i="49"/>
  <c r="F43" i="49"/>
  <c r="H42" i="49"/>
  <c r="H51" i="49" s="1"/>
  <c r="G42" i="49"/>
  <c r="G51" i="49" s="1"/>
  <c r="F42" i="49"/>
  <c r="F51" i="49" s="1"/>
  <c r="E41" i="49"/>
  <c r="H39" i="49"/>
  <c r="G39" i="49"/>
  <c r="F39" i="49"/>
  <c r="H37" i="49"/>
  <c r="H41" i="49" s="1"/>
  <c r="G37" i="49"/>
  <c r="G41" i="49" s="1"/>
  <c r="F37" i="49"/>
  <c r="F41" i="49" s="1"/>
  <c r="E36" i="49"/>
  <c r="H34" i="49"/>
  <c r="G34" i="49"/>
  <c r="F34" i="49"/>
  <c r="H33" i="49"/>
  <c r="G33" i="49"/>
  <c r="F33" i="49"/>
  <c r="H27" i="49"/>
  <c r="G27" i="49"/>
  <c r="F27" i="49"/>
  <c r="H25" i="49"/>
  <c r="G25" i="49"/>
  <c r="F25" i="49"/>
  <c r="H24" i="49"/>
  <c r="H36" i="49" s="1"/>
  <c r="G24" i="49"/>
  <c r="G36" i="49" s="1"/>
  <c r="F24" i="49"/>
  <c r="F36" i="49" s="1"/>
  <c r="E23" i="49"/>
  <c r="H22" i="49"/>
  <c r="G22" i="49"/>
  <c r="F22" i="49"/>
  <c r="H20" i="49"/>
  <c r="G20" i="49"/>
  <c r="F20" i="49"/>
  <c r="H18" i="49"/>
  <c r="G18" i="49"/>
  <c r="F18" i="49"/>
  <c r="H16" i="49"/>
  <c r="G16" i="49"/>
  <c r="F16" i="49"/>
  <c r="H15" i="49"/>
  <c r="G15" i="49"/>
  <c r="F15" i="49"/>
  <c r="H14" i="49"/>
  <c r="G14" i="49"/>
  <c r="F14" i="49"/>
  <c r="H13" i="49"/>
  <c r="G13" i="49"/>
  <c r="F13" i="49"/>
  <c r="H12" i="49"/>
  <c r="H23" i="49" s="1"/>
  <c r="G12" i="49"/>
  <c r="G23" i="49" s="1"/>
  <c r="F12" i="49"/>
  <c r="F23" i="49" s="1"/>
  <c r="E11" i="49"/>
  <c r="H10" i="49"/>
  <c r="G10" i="49"/>
  <c r="F10" i="49"/>
  <c r="H9" i="49"/>
  <c r="G9" i="49"/>
  <c r="F9" i="49"/>
  <c r="H8" i="49"/>
  <c r="G8" i="49"/>
  <c r="F8" i="49"/>
  <c r="H7" i="49"/>
  <c r="G7" i="49"/>
  <c r="F7" i="49"/>
  <c r="H6" i="49"/>
  <c r="G6" i="49"/>
  <c r="F6" i="49"/>
  <c r="H5" i="49"/>
  <c r="G5" i="49"/>
  <c r="F5" i="49"/>
  <c r="H4" i="49"/>
  <c r="G4" i="49"/>
  <c r="F4" i="49"/>
  <c r="F350" i="48"/>
  <c r="G350" i="48"/>
  <c r="H350" i="48"/>
  <c r="E350" i="48"/>
  <c r="H349" i="48"/>
  <c r="G349" i="48"/>
  <c r="F349" i="48"/>
  <c r="H348" i="48"/>
  <c r="G348" i="48"/>
  <c r="F348" i="48"/>
  <c r="H347" i="48"/>
  <c r="G347" i="48"/>
  <c r="F347" i="48"/>
  <c r="H343" i="48"/>
  <c r="G343" i="48"/>
  <c r="F343" i="48"/>
  <c r="H341" i="48"/>
  <c r="G341" i="48"/>
  <c r="F341" i="48"/>
  <c r="H3" i="49"/>
  <c r="G3" i="49"/>
  <c r="F3" i="49"/>
  <c r="H2" i="49"/>
  <c r="H11" i="49" s="1"/>
  <c r="G2" i="49"/>
  <c r="G11" i="49" s="1"/>
  <c r="F2" i="49"/>
  <c r="F11" i="49" s="1"/>
  <c r="H340" i="48"/>
  <c r="G340" i="48"/>
  <c r="F340" i="48"/>
  <c r="H339" i="48"/>
  <c r="G339" i="48"/>
  <c r="F339" i="48"/>
  <c r="H337" i="48" l="1"/>
  <c r="G337" i="48"/>
  <c r="F337" i="48"/>
  <c r="H331" i="48"/>
  <c r="G331" i="48"/>
  <c r="F331" i="48"/>
  <c r="F338" i="48"/>
  <c r="G338" i="48"/>
  <c r="H338" i="48"/>
  <c r="E338" i="48"/>
  <c r="H330" i="48"/>
  <c r="G330" i="48"/>
  <c r="F330" i="48"/>
  <c r="F329" i="48"/>
  <c r="G329" i="48"/>
  <c r="H329" i="48"/>
  <c r="E329" i="48"/>
  <c r="H328" i="48"/>
  <c r="G328" i="48"/>
  <c r="F328" i="48"/>
  <c r="H326" i="48"/>
  <c r="G326" i="48"/>
  <c r="F326" i="48"/>
  <c r="H325" i="48"/>
  <c r="G325" i="48"/>
  <c r="F325" i="48"/>
  <c r="H324" i="48"/>
  <c r="G324" i="48"/>
  <c r="F324" i="48"/>
  <c r="H323" i="48"/>
  <c r="G323" i="48"/>
  <c r="F323" i="48"/>
  <c r="H319" i="48"/>
  <c r="G319" i="48"/>
  <c r="F319" i="48"/>
  <c r="H318" i="48"/>
  <c r="G318" i="48"/>
  <c r="F318" i="48"/>
  <c r="F322" i="48"/>
  <c r="G322" i="48"/>
  <c r="H322" i="48"/>
  <c r="E322" i="48"/>
  <c r="H317" i="48"/>
  <c r="G317" i="48"/>
  <c r="F317" i="48"/>
  <c r="H316" i="48"/>
  <c r="G316" i="48"/>
  <c r="F316" i="48"/>
  <c r="F315" i="48"/>
  <c r="G315" i="48"/>
  <c r="H315" i="48"/>
  <c r="H313" i="48"/>
  <c r="G313" i="48"/>
  <c r="F313" i="48"/>
  <c r="H312" i="48"/>
  <c r="G312" i="48"/>
  <c r="F312" i="48"/>
  <c r="H309" i="48"/>
  <c r="G309" i="48"/>
  <c r="F309" i="48"/>
  <c r="H308" i="48"/>
  <c r="G308" i="48"/>
  <c r="F308" i="48"/>
  <c r="H306" i="48"/>
  <c r="G306" i="48"/>
  <c r="G305" i="48"/>
  <c r="F306" i="48"/>
  <c r="H307" i="48"/>
  <c r="G307" i="48"/>
  <c r="F307" i="48"/>
  <c r="H305" i="48"/>
  <c r="F305" i="48"/>
  <c r="E315" i="48"/>
  <c r="H303" i="48"/>
  <c r="G303" i="48"/>
  <c r="F303" i="48"/>
  <c r="H302" i="48"/>
  <c r="G302" i="48"/>
  <c r="F302" i="48"/>
  <c r="H301" i="48"/>
  <c r="G301" i="48"/>
  <c r="F301" i="48"/>
  <c r="H300" i="48"/>
  <c r="G300" i="48"/>
  <c r="F300" i="48"/>
  <c r="H298" i="48"/>
  <c r="G298" i="48"/>
  <c r="F298" i="48"/>
  <c r="H297" i="48"/>
  <c r="G297" i="48"/>
  <c r="F297" i="48"/>
  <c r="H295" i="48"/>
  <c r="G295" i="48"/>
  <c r="F295" i="48"/>
  <c r="H294" i="48"/>
  <c r="G294" i="48"/>
  <c r="F294" i="48"/>
  <c r="H293" i="48"/>
  <c r="G293" i="48"/>
  <c r="F293" i="48"/>
  <c r="H292" i="48"/>
  <c r="G292" i="48"/>
  <c r="F292" i="48"/>
  <c r="F304" i="48"/>
  <c r="G304" i="48"/>
  <c r="H304" i="48"/>
  <c r="E304" i="48"/>
  <c r="H290" i="48"/>
  <c r="G290" i="48"/>
  <c r="F290" i="48"/>
  <c r="H289" i="48"/>
  <c r="G289" i="48"/>
  <c r="F289" i="48"/>
  <c r="H288" i="48"/>
  <c r="G288" i="48"/>
  <c r="F288" i="48"/>
  <c r="H286" i="48"/>
  <c r="G286" i="48"/>
  <c r="F286" i="48"/>
  <c r="H284" i="48"/>
  <c r="G284" i="48"/>
  <c r="F284" i="48"/>
  <c r="H283" i="48"/>
  <c r="G283" i="48"/>
  <c r="F283" i="48"/>
  <c r="H282" i="48"/>
  <c r="G282" i="48"/>
  <c r="F282" i="48"/>
  <c r="E291" i="48"/>
  <c r="H281" i="48"/>
  <c r="H291" i="48" s="1"/>
  <c r="G281" i="48"/>
  <c r="G291" i="48" s="1"/>
  <c r="F281" i="48"/>
  <c r="F291" i="48" s="1"/>
  <c r="E280" i="48"/>
  <c r="H278" i="48"/>
  <c r="G278" i="48"/>
  <c r="F278" i="48"/>
  <c r="H277" i="48"/>
  <c r="G277" i="48"/>
  <c r="F277" i="48"/>
  <c r="H276" i="48" l="1"/>
  <c r="H280" i="48" s="1"/>
  <c r="G276" i="48"/>
  <c r="G280" i="48" s="1"/>
  <c r="F276" i="48"/>
  <c r="F280" i="48" s="1"/>
  <c r="H274" i="48"/>
  <c r="G274" i="48"/>
  <c r="F274" i="48"/>
  <c r="H271" i="48"/>
  <c r="G271" i="48"/>
  <c r="F271" i="48"/>
  <c r="E275" i="48"/>
  <c r="H270" i="48" l="1"/>
  <c r="G270" i="48"/>
  <c r="F270" i="48"/>
  <c r="H269" i="48"/>
  <c r="H275" i="48" s="1"/>
  <c r="G269" i="48"/>
  <c r="G275" i="48" s="1"/>
  <c r="F269" i="48"/>
  <c r="F275" i="48" s="1"/>
  <c r="H265" i="48" l="1"/>
  <c r="G265" i="48"/>
  <c r="F265" i="48"/>
  <c r="H264" i="48"/>
  <c r="G264" i="48"/>
  <c r="F264" i="48"/>
  <c r="H263" i="48"/>
  <c r="G263" i="48"/>
  <c r="F263" i="48"/>
  <c r="H262" i="48"/>
  <c r="G262" i="48"/>
  <c r="F262" i="48"/>
  <c r="H260" i="48"/>
  <c r="G260" i="48"/>
  <c r="F260" i="48"/>
  <c r="H258" i="48"/>
  <c r="G258" i="48"/>
  <c r="H253" i="48"/>
  <c r="H254" i="48"/>
  <c r="H255" i="48"/>
  <c r="G253" i="48"/>
  <c r="G254" i="48"/>
  <c r="G255" i="48"/>
  <c r="F253" i="48"/>
  <c r="F254" i="48"/>
  <c r="F255" i="48"/>
  <c r="E268" i="48"/>
  <c r="H252" i="48"/>
  <c r="H268" i="48" s="1"/>
  <c r="G252" i="48"/>
  <c r="G268" i="48" s="1"/>
  <c r="F252" i="48"/>
  <c r="F268" i="48" s="1"/>
  <c r="E251" i="48"/>
  <c r="H233" i="48"/>
  <c r="G233" i="48"/>
  <c r="F233" i="48"/>
  <c r="H245" i="48"/>
  <c r="G245" i="48"/>
  <c r="F245" i="48"/>
  <c r="H243" i="48"/>
  <c r="G243" i="48"/>
  <c r="F243" i="48"/>
  <c r="H242" i="48"/>
  <c r="G242" i="48"/>
  <c r="F242" i="48"/>
  <c r="H240" i="48"/>
  <c r="G240" i="48"/>
  <c r="F240" i="48"/>
  <c r="H239" i="48"/>
  <c r="G239" i="48"/>
  <c r="F239" i="48"/>
  <c r="H238" i="48"/>
  <c r="H251" i="48" s="1"/>
  <c r="G238" i="48"/>
  <c r="G251" i="48" s="1"/>
  <c r="F238" i="48"/>
  <c r="F251" i="48" s="1"/>
  <c r="G232" i="48"/>
  <c r="H232" i="48"/>
  <c r="F232" i="48"/>
  <c r="H231" i="48"/>
  <c r="G231" i="48"/>
  <c r="F231" i="48"/>
  <c r="H230" i="48"/>
  <c r="G230" i="48"/>
  <c r="F230" i="48"/>
  <c r="H229" i="48"/>
  <c r="G229" i="48"/>
  <c r="F229" i="48"/>
  <c r="H228" i="48"/>
  <c r="G228" i="48"/>
  <c r="F228" i="48"/>
  <c r="E237" i="48"/>
  <c r="H227" i="48"/>
  <c r="G227" i="48"/>
  <c r="F227" i="48"/>
  <c r="H226" i="48"/>
  <c r="G226" i="48"/>
  <c r="F226" i="48"/>
  <c r="H225" i="48"/>
  <c r="G225" i="48"/>
  <c r="F225" i="48"/>
  <c r="H220" i="48"/>
  <c r="G220" i="48"/>
  <c r="F220" i="48"/>
  <c r="F237" i="48" l="1"/>
  <c r="G237" i="48"/>
  <c r="H237" i="48"/>
  <c r="E224" i="48" l="1"/>
  <c r="H219" i="48"/>
  <c r="G219" i="48"/>
  <c r="F219" i="48"/>
  <c r="H218" i="48"/>
  <c r="G218" i="48"/>
  <c r="F218" i="48"/>
  <c r="H216" i="48"/>
  <c r="G216" i="48"/>
  <c r="F216" i="48"/>
  <c r="H215" i="48"/>
  <c r="G215" i="48"/>
  <c r="F215" i="48"/>
  <c r="H214" i="48"/>
  <c r="G214" i="48"/>
  <c r="F214" i="48"/>
  <c r="H213" i="48"/>
  <c r="G213" i="48"/>
  <c r="F213" i="48"/>
  <c r="H212" i="48"/>
  <c r="G212" i="48"/>
  <c r="F212" i="48"/>
  <c r="H211" i="48"/>
  <c r="G211" i="48"/>
  <c r="F211" i="48"/>
  <c r="H210" i="48"/>
  <c r="H224" i="48" s="1"/>
  <c r="G210" i="48"/>
  <c r="G224" i="48" s="1"/>
  <c r="F210" i="48"/>
  <c r="F224" i="48" s="1"/>
  <c r="H206" i="48"/>
  <c r="G206" i="48"/>
  <c r="F206" i="48"/>
  <c r="H205" i="48"/>
  <c r="G205" i="48"/>
  <c r="F205" i="48"/>
  <c r="H200" i="48"/>
  <c r="G200" i="48"/>
  <c r="F200" i="48"/>
  <c r="H199" i="48"/>
  <c r="G199" i="48"/>
  <c r="F199" i="48"/>
  <c r="H198" i="48"/>
  <c r="G198" i="48"/>
  <c r="F198" i="48"/>
  <c r="F209" i="48"/>
  <c r="G209" i="48"/>
  <c r="H209" i="48"/>
  <c r="E209" i="48"/>
  <c r="E197" i="48" l="1"/>
  <c r="H196" i="48"/>
  <c r="G196" i="48"/>
  <c r="F196" i="48"/>
  <c r="H195" i="48"/>
  <c r="G195" i="48"/>
  <c r="F195" i="48"/>
  <c r="H194" i="48"/>
  <c r="G194" i="48"/>
  <c r="F194" i="48"/>
  <c r="H193" i="48"/>
  <c r="G193" i="48"/>
  <c r="F193" i="48"/>
  <c r="H192" i="48"/>
  <c r="H197" i="48" s="1"/>
  <c r="G192" i="48"/>
  <c r="G197" i="48" s="1"/>
  <c r="F192" i="48"/>
  <c r="F197" i="48" s="1"/>
  <c r="H189" i="48"/>
  <c r="G189" i="48"/>
  <c r="F189" i="48"/>
  <c r="H188" i="48"/>
  <c r="G188" i="48"/>
  <c r="F188" i="48"/>
  <c r="H187" i="48"/>
  <c r="G187" i="48"/>
  <c r="F187" i="48"/>
  <c r="E191" i="48"/>
  <c r="H186" i="48"/>
  <c r="G186" i="48"/>
  <c r="F186" i="48"/>
  <c r="H185" i="48"/>
  <c r="H191" i="48" s="1"/>
  <c r="G185" i="48"/>
  <c r="G191" i="48" s="1"/>
  <c r="F185" i="48"/>
  <c r="F191" i="48" s="1"/>
  <c r="H181" i="48" l="1"/>
  <c r="G181" i="48"/>
  <c r="F181" i="48"/>
  <c r="H180" i="48"/>
  <c r="G180" i="48"/>
  <c r="F180" i="48"/>
  <c r="E167" i="48"/>
  <c r="H179" i="48"/>
  <c r="G179" i="48"/>
  <c r="F179" i="48"/>
  <c r="H177" i="48"/>
  <c r="G177" i="48"/>
  <c r="F177" i="48"/>
  <c r="H176" i="48"/>
  <c r="G176" i="48"/>
  <c r="F176" i="48"/>
  <c r="H174" i="48"/>
  <c r="G174" i="48"/>
  <c r="F174" i="48"/>
  <c r="H173" i="48"/>
  <c r="G173" i="48"/>
  <c r="F173" i="48"/>
  <c r="H172" i="48"/>
  <c r="G172" i="48"/>
  <c r="F172" i="48"/>
  <c r="H171" i="48"/>
  <c r="G171" i="48"/>
  <c r="F171" i="48"/>
  <c r="H170" i="48"/>
  <c r="G170" i="48"/>
  <c r="F170" i="48"/>
  <c r="H169" i="48"/>
  <c r="G169" i="48"/>
  <c r="F169" i="48"/>
  <c r="H168" i="48"/>
  <c r="H184" i="48" s="1"/>
  <c r="G168" i="48"/>
  <c r="G184" i="48" s="1"/>
  <c r="F168" i="48"/>
  <c r="F184" i="48" s="1"/>
  <c r="H164" i="48"/>
  <c r="G164" i="48"/>
  <c r="G163" i="48"/>
  <c r="H163" i="48"/>
  <c r="G161" i="48"/>
  <c r="H161" i="48"/>
  <c r="F161" i="48"/>
  <c r="H160" i="48"/>
  <c r="G160" i="48"/>
  <c r="F160" i="48"/>
  <c r="H159" i="48"/>
  <c r="G159" i="48"/>
  <c r="F159" i="48"/>
  <c r="H158" i="48"/>
  <c r="G158" i="48"/>
  <c r="F158" i="48"/>
  <c r="H157" i="48"/>
  <c r="G157" i="48"/>
  <c r="F157" i="48"/>
  <c r="H155" i="48"/>
  <c r="H156" i="48"/>
  <c r="G155" i="48"/>
  <c r="G156" i="48"/>
  <c r="F155" i="48"/>
  <c r="F156" i="48"/>
  <c r="H154" i="48"/>
  <c r="H167" i="48" s="1"/>
  <c r="G154" i="48"/>
  <c r="G167" i="48" s="1"/>
  <c r="F154" i="48"/>
  <c r="F167" i="48" s="1"/>
  <c r="H152" i="48"/>
  <c r="G152" i="48"/>
  <c r="H151" i="48"/>
  <c r="G151" i="48"/>
  <c r="F151" i="48"/>
  <c r="H150" i="48"/>
  <c r="G150" i="48"/>
  <c r="F150" i="48"/>
  <c r="H149" i="48"/>
  <c r="G149" i="48"/>
  <c r="F149" i="48"/>
  <c r="H148" i="48"/>
  <c r="G148" i="48"/>
  <c r="F148" i="48"/>
  <c r="H147" i="48"/>
  <c r="G147" i="48"/>
  <c r="F147" i="48"/>
  <c r="H146" i="48"/>
  <c r="G146" i="48"/>
  <c r="F146" i="48"/>
  <c r="H144" i="48"/>
  <c r="G144" i="48"/>
  <c r="F144" i="48"/>
  <c r="H143" i="48"/>
  <c r="G143" i="48"/>
  <c r="F143" i="48"/>
  <c r="H142" i="48"/>
  <c r="G142" i="48"/>
  <c r="F142" i="48"/>
  <c r="H141" i="48"/>
  <c r="G141" i="48"/>
  <c r="F141" i="48"/>
  <c r="H140" i="48"/>
  <c r="G140" i="48"/>
  <c r="F140" i="48"/>
  <c r="H139" i="48"/>
  <c r="G139" i="48"/>
  <c r="F139" i="48"/>
  <c r="H138" i="48"/>
  <c r="G138" i="48"/>
  <c r="F138" i="48"/>
  <c r="H137" i="48"/>
  <c r="G137" i="48"/>
  <c r="F137" i="48"/>
  <c r="H136" i="48"/>
  <c r="G136" i="48"/>
  <c r="F136" i="48"/>
  <c r="F135" i="48"/>
  <c r="H134" i="48"/>
  <c r="G134" i="48"/>
  <c r="F134" i="48"/>
  <c r="H133" i="48"/>
  <c r="H145" i="48" s="1"/>
  <c r="G133" i="48"/>
  <c r="G145" i="48" s="1"/>
  <c r="F133" i="48"/>
  <c r="F145" i="48" s="1"/>
  <c r="H130" i="48"/>
  <c r="G130" i="48"/>
  <c r="F130" i="48"/>
  <c r="H129" i="48"/>
  <c r="G129" i="48"/>
  <c r="F129" i="48"/>
  <c r="H128" i="48"/>
  <c r="G128" i="48"/>
  <c r="F128" i="48"/>
  <c r="H127" i="48"/>
  <c r="G127" i="48"/>
  <c r="F127" i="48"/>
  <c r="H121" i="48"/>
  <c r="G121" i="48"/>
  <c r="F121" i="48"/>
  <c r="H120" i="48"/>
  <c r="H131" i="48" s="1"/>
  <c r="G120" i="48"/>
  <c r="G131" i="48" s="1"/>
  <c r="F120" i="48"/>
  <c r="F131" i="48" s="1"/>
  <c r="E184" i="48"/>
  <c r="F153" i="48"/>
  <c r="G153" i="48"/>
  <c r="H153" i="48"/>
  <c r="E153" i="48"/>
  <c r="E145" i="48"/>
  <c r="E131" i="48"/>
  <c r="E119" i="48"/>
  <c r="H118" i="48"/>
  <c r="G118" i="48"/>
  <c r="F118" i="48"/>
  <c r="H117" i="48"/>
  <c r="G117" i="48"/>
  <c r="F117" i="48"/>
  <c r="H114" i="48"/>
  <c r="G114" i="48"/>
  <c r="F114" i="48"/>
  <c r="H113" i="48"/>
  <c r="G113" i="48"/>
  <c r="F113" i="48"/>
  <c r="H110" i="48"/>
  <c r="G110" i="48"/>
  <c r="F110" i="48"/>
  <c r="H108" i="48"/>
  <c r="G108" i="48"/>
  <c r="F108" i="48"/>
  <c r="H107" i="48"/>
  <c r="G107" i="48"/>
  <c r="F107" i="48"/>
  <c r="H105" i="48"/>
  <c r="G105" i="48"/>
  <c r="F105" i="48"/>
  <c r="H104" i="48"/>
  <c r="G104" i="48"/>
  <c r="F104" i="48"/>
  <c r="H103" i="48"/>
  <c r="G103" i="48"/>
  <c r="F103" i="48"/>
  <c r="H102" i="48"/>
  <c r="H119" i="48" s="1"/>
  <c r="G102" i="48"/>
  <c r="G119" i="48" s="1"/>
  <c r="F102" i="48"/>
  <c r="F119" i="48" s="1"/>
  <c r="H100" i="48"/>
  <c r="G100" i="48"/>
  <c r="F100" i="48"/>
  <c r="H99" i="48"/>
  <c r="G99" i="48"/>
  <c r="F99" i="48"/>
  <c r="H97" i="48"/>
  <c r="G97" i="48"/>
  <c r="F97" i="48"/>
  <c r="H96" i="48"/>
  <c r="G96" i="48"/>
  <c r="F96" i="48"/>
  <c r="H95" i="48"/>
  <c r="G95" i="48"/>
  <c r="F95" i="48"/>
  <c r="F101" i="48"/>
  <c r="G101" i="48"/>
  <c r="H101" i="48"/>
  <c r="E101" i="48"/>
  <c r="H90" i="48"/>
  <c r="G90" i="48"/>
  <c r="F90" i="48"/>
  <c r="E94" i="48"/>
  <c r="H88" i="48"/>
  <c r="G88" i="48"/>
  <c r="F88" i="48"/>
  <c r="H87" i="48"/>
  <c r="G87" i="48"/>
  <c r="F87" i="48"/>
  <c r="H86" i="48"/>
  <c r="G86" i="48"/>
  <c r="F86" i="48"/>
  <c r="H85" i="48"/>
  <c r="G85" i="48"/>
  <c r="F85" i="48"/>
  <c r="H84" i="48"/>
  <c r="G84" i="48"/>
  <c r="F84" i="48"/>
  <c r="H83" i="48"/>
  <c r="G83" i="48"/>
  <c r="F83" i="48"/>
  <c r="H81" i="48"/>
  <c r="G81" i="48"/>
  <c r="F81" i="48"/>
  <c r="H79" i="48"/>
  <c r="G79" i="48"/>
  <c r="F79" i="48"/>
  <c r="H78" i="48"/>
  <c r="G78" i="48"/>
  <c r="F78" i="48"/>
  <c r="H75" i="48"/>
  <c r="H76" i="48"/>
  <c r="H77" i="48"/>
  <c r="F77" i="48"/>
  <c r="F76" i="48"/>
  <c r="F75" i="48"/>
  <c r="G75" i="48"/>
  <c r="G76" i="48"/>
  <c r="G77" i="48"/>
  <c r="H74" i="48"/>
  <c r="H94" i="48" s="1"/>
  <c r="G74" i="48"/>
  <c r="G94" i="48" s="1"/>
  <c r="F74" i="48"/>
  <c r="F94" i="48" s="1"/>
  <c r="H71" i="48"/>
  <c r="G71" i="48"/>
  <c r="F71" i="48"/>
  <c r="H70" i="48"/>
  <c r="G70" i="48"/>
  <c r="F70" i="48"/>
  <c r="E73" i="48"/>
  <c r="H72" i="48"/>
  <c r="G72" i="48"/>
  <c r="F72" i="48"/>
  <c r="H64" i="48"/>
  <c r="G64" i="48"/>
  <c r="F64" i="48"/>
  <c r="H62" i="48"/>
  <c r="G62" i="48"/>
  <c r="F62" i="48"/>
  <c r="H61" i="48"/>
  <c r="G61" i="48"/>
  <c r="F61" i="48"/>
  <c r="H60" i="48"/>
  <c r="H73" i="48" s="1"/>
  <c r="G60" i="48"/>
  <c r="G73" i="48" s="1"/>
  <c r="F60" i="48"/>
  <c r="F73" i="48" s="1"/>
  <c r="H43" i="48"/>
  <c r="G43" i="48"/>
  <c r="F43" i="48"/>
  <c r="E59" i="48"/>
  <c r="H58" i="48"/>
  <c r="G58" i="48"/>
  <c r="F58" i="48"/>
  <c r="H57" i="48"/>
  <c r="G57" i="48"/>
  <c r="F57" i="48"/>
  <c r="H56" i="48"/>
  <c r="G56" i="48"/>
  <c r="F56" i="48"/>
  <c r="H55" i="48"/>
  <c r="G55" i="48"/>
  <c r="F55" i="48"/>
  <c r="H54" i="48"/>
  <c r="G54" i="48"/>
  <c r="F54" i="48"/>
  <c r="H53" i="48"/>
  <c r="G53" i="48"/>
  <c r="F53" i="48"/>
  <c r="H52" i="48"/>
  <c r="G52" i="48"/>
  <c r="F52" i="48"/>
  <c r="H51" i="48"/>
  <c r="G51" i="48"/>
  <c r="F51" i="48"/>
  <c r="H50" i="48"/>
  <c r="G50" i="48"/>
  <c r="F50" i="48"/>
  <c r="H49" i="48"/>
  <c r="G49" i="48"/>
  <c r="F49" i="48"/>
  <c r="H48" i="48"/>
  <c r="G48" i="48"/>
  <c r="F48" i="48"/>
  <c r="H47" i="48"/>
  <c r="G47" i="48"/>
  <c r="F47" i="48"/>
  <c r="H46" i="48"/>
  <c r="H59" i="48" s="1"/>
  <c r="G46" i="48"/>
  <c r="G59" i="48" s="1"/>
  <c r="F46" i="48"/>
  <c r="F59" i="48" s="1"/>
  <c r="E45" i="48"/>
  <c r="H40" i="48"/>
  <c r="G40" i="48"/>
  <c r="F40" i="48"/>
  <c r="H39" i="48"/>
  <c r="G39" i="48"/>
  <c r="F39" i="48"/>
  <c r="H38" i="48"/>
  <c r="G38" i="48"/>
  <c r="F38" i="48"/>
  <c r="H37" i="48"/>
  <c r="G37" i="48"/>
  <c r="F37" i="48"/>
  <c r="F36" i="48"/>
  <c r="H36" i="48"/>
  <c r="G36" i="48"/>
  <c r="H35" i="48"/>
  <c r="H45" i="48" s="1"/>
  <c r="G35" i="48"/>
  <c r="G45" i="48" s="1"/>
  <c r="F35" i="48"/>
  <c r="F45" i="48" s="1"/>
  <c r="E34" i="48"/>
  <c r="H33" i="48"/>
  <c r="G33" i="48"/>
  <c r="F33" i="48"/>
  <c r="H32" i="48"/>
  <c r="G32" i="48"/>
  <c r="F32" i="48"/>
  <c r="H31" i="48"/>
  <c r="G31" i="48"/>
  <c r="F31" i="48"/>
  <c r="H29" i="48"/>
  <c r="H34" i="48" s="1"/>
  <c r="G29" i="48"/>
  <c r="G34" i="48" s="1"/>
  <c r="F29" i="48"/>
  <c r="F34" i="48" s="1"/>
  <c r="E28" i="48"/>
  <c r="H26" i="48"/>
  <c r="G26" i="48"/>
  <c r="F26" i="48"/>
  <c r="H25" i="48"/>
  <c r="G25" i="48"/>
  <c r="F25" i="48"/>
  <c r="H24" i="48"/>
  <c r="G24" i="48"/>
  <c r="F24" i="48"/>
  <c r="H22" i="48"/>
  <c r="G22" i="48"/>
  <c r="F22" i="48"/>
  <c r="H21" i="48"/>
  <c r="G21" i="48"/>
  <c r="F21" i="48"/>
  <c r="H20" i="48"/>
  <c r="H28" i="48" s="1"/>
  <c r="G20" i="48"/>
  <c r="G28" i="48" s="1"/>
  <c r="F20" i="48"/>
  <c r="F28" i="48" s="1"/>
  <c r="H17" i="48"/>
  <c r="G17" i="48"/>
  <c r="F17" i="48"/>
  <c r="H9" i="48"/>
  <c r="H16" i="48"/>
  <c r="G16" i="48"/>
  <c r="F16" i="48"/>
  <c r="H15" i="48"/>
  <c r="G15" i="48"/>
  <c r="F15" i="48"/>
  <c r="G14" i="48"/>
  <c r="F14" i="48"/>
  <c r="H13" i="48"/>
  <c r="G13" i="48"/>
  <c r="F13" i="48"/>
  <c r="H12" i="48"/>
  <c r="G12" i="48"/>
  <c r="F12" i="48"/>
  <c r="H11" i="48"/>
  <c r="G11" i="48"/>
  <c r="F11" i="48"/>
  <c r="F19" i="48"/>
  <c r="G19" i="48"/>
  <c r="H19" i="48"/>
  <c r="E19" i="48"/>
  <c r="E10" i="48"/>
  <c r="G9" i="48"/>
  <c r="F9" i="48"/>
  <c r="H8" i="48"/>
  <c r="G8" i="48"/>
  <c r="F8" i="48"/>
  <c r="H7" i="48"/>
  <c r="G7" i="48"/>
  <c r="F7" i="48"/>
  <c r="H5" i="48"/>
  <c r="G5" i="48"/>
  <c r="F5" i="48"/>
  <c r="H4" i="48"/>
  <c r="G4" i="48"/>
  <c r="F4" i="48"/>
  <c r="H3" i="48"/>
  <c r="G3" i="48"/>
  <c r="F3" i="48"/>
  <c r="H2" i="48"/>
  <c r="H10" i="48" s="1"/>
  <c r="G2" i="48"/>
  <c r="G10" i="48" s="1"/>
  <c r="F2" i="48"/>
  <c r="F10" i="48" s="1"/>
  <c r="F323" i="47"/>
  <c r="G323" i="47"/>
  <c r="H323" i="47"/>
  <c r="H321" i="47"/>
  <c r="G321" i="47"/>
  <c r="F321" i="47"/>
  <c r="H320" i="47"/>
  <c r="G320" i="47"/>
  <c r="F320" i="47"/>
  <c r="H319" i="47"/>
  <c r="G319" i="47"/>
  <c r="F319" i="47"/>
  <c r="H318" i="47"/>
  <c r="G318" i="47"/>
  <c r="F318" i="47"/>
  <c r="H317" i="47"/>
  <c r="G317" i="47"/>
  <c r="F317" i="47"/>
  <c r="H316" i="47"/>
  <c r="G316" i="47"/>
  <c r="F316" i="47"/>
  <c r="H315" i="47"/>
  <c r="G315" i="47"/>
  <c r="F315" i="47"/>
  <c r="H314" i="47"/>
  <c r="G314" i="47"/>
  <c r="F314" i="47"/>
  <c r="E323" i="47"/>
  <c r="F313" i="47"/>
  <c r="G313" i="47"/>
  <c r="H313" i="47"/>
  <c r="E313" i="47"/>
  <c r="H311" i="47"/>
  <c r="G311" i="47"/>
  <c r="F311" i="47"/>
  <c r="H310" i="47"/>
  <c r="G310" i="47"/>
  <c r="F310" i="47"/>
  <c r="H308" i="47"/>
  <c r="G308" i="47"/>
  <c r="G309" i="47"/>
  <c r="F308" i="47"/>
  <c r="H307" i="47"/>
  <c r="G307" i="47"/>
  <c r="F307" i="47"/>
  <c r="H305" i="47"/>
  <c r="G305" i="47"/>
  <c r="F305" i="47"/>
  <c r="H304" i="47"/>
  <c r="G304" i="47"/>
  <c r="F304" i="47"/>
  <c r="H301" i="47"/>
  <c r="G301" i="47"/>
  <c r="F301" i="47"/>
  <c r="H300" i="47"/>
  <c r="G300" i="47"/>
  <c r="F300" i="47"/>
  <c r="H299" i="47"/>
  <c r="G299" i="47"/>
  <c r="F299" i="47"/>
  <c r="H298" i="47"/>
  <c r="G298" i="47"/>
  <c r="F298" i="47"/>
  <c r="H297" i="47"/>
  <c r="G297" i="47"/>
  <c r="F297" i="47"/>
  <c r="H296" i="47"/>
  <c r="G296" i="47"/>
  <c r="F296" i="47"/>
  <c r="H295" i="47"/>
  <c r="G295" i="47"/>
  <c r="F295" i="47"/>
  <c r="H294" i="47"/>
  <c r="G294" i="47"/>
  <c r="F294" i="47"/>
  <c r="H293" i="47"/>
  <c r="G293" i="47"/>
  <c r="F293" i="47"/>
  <c r="F303" i="47"/>
  <c r="G303" i="47"/>
  <c r="H303" i="47"/>
  <c r="E303" i="47"/>
  <c r="F292" i="47"/>
  <c r="G292" i="47"/>
  <c r="H292" i="47"/>
  <c r="H290" i="47"/>
  <c r="G290" i="47"/>
  <c r="F290" i="47"/>
  <c r="H289" i="47"/>
  <c r="G289" i="47"/>
  <c r="F289" i="47"/>
  <c r="H288" i="47"/>
  <c r="G288" i="47"/>
  <c r="F288" i="47"/>
  <c r="E292" i="47"/>
  <c r="H285" i="47"/>
  <c r="G285" i="47"/>
  <c r="F285" i="47"/>
  <c r="H284" i="47"/>
  <c r="G284" i="47"/>
  <c r="F284" i="47"/>
  <c r="H283" i="47"/>
  <c r="G283" i="47"/>
  <c r="F283" i="47"/>
  <c r="H282" i="47"/>
  <c r="G282" i="47"/>
  <c r="F282" i="47"/>
  <c r="H280" i="47"/>
  <c r="H281" i="47"/>
  <c r="G280" i="47"/>
  <c r="G281" i="47"/>
  <c r="F280" i="47"/>
  <c r="F281" i="47"/>
  <c r="H279" i="47"/>
  <c r="G279" i="47"/>
  <c r="F279" i="47"/>
  <c r="E278" i="47"/>
  <c r="H275" i="47"/>
  <c r="G275" i="47"/>
  <c r="F275" i="47"/>
  <c r="H274" i="47"/>
  <c r="G274" i="47"/>
  <c r="F274" i="47"/>
  <c r="G272" i="47"/>
  <c r="H272" i="47"/>
  <c r="F272" i="47"/>
  <c r="H269" i="47"/>
  <c r="H270" i="47"/>
  <c r="H271" i="47"/>
  <c r="G269" i="47"/>
  <c r="G270" i="47"/>
  <c r="G271" i="47"/>
  <c r="F269" i="47"/>
  <c r="F270" i="47"/>
  <c r="F271" i="47"/>
  <c r="H268" i="47"/>
  <c r="H278" i="47" s="1"/>
  <c r="G268" i="47"/>
  <c r="G278" i="47" s="1"/>
  <c r="F268" i="47"/>
  <c r="F278" i="47" s="1"/>
  <c r="H264" i="47"/>
  <c r="H265" i="47"/>
  <c r="H266" i="47"/>
  <c r="G264" i="47"/>
  <c r="G265" i="47"/>
  <c r="G266" i="47"/>
  <c r="F264" i="47"/>
  <c r="F265" i="47"/>
  <c r="F266" i="47"/>
  <c r="H263" i="47"/>
  <c r="G263" i="47"/>
  <c r="F263" i="47"/>
  <c r="F267" i="47"/>
  <c r="G267" i="47"/>
  <c r="H267" i="47"/>
  <c r="E267" i="47"/>
  <c r="E262" i="47" l="1"/>
  <c r="H260" i="47"/>
  <c r="G260" i="47"/>
  <c r="F260" i="47"/>
  <c r="H251" i="47"/>
  <c r="H252" i="47"/>
  <c r="H253" i="47"/>
  <c r="H254" i="47"/>
  <c r="G251" i="47"/>
  <c r="G252" i="47"/>
  <c r="G253" i="47"/>
  <c r="G254" i="47"/>
  <c r="F251" i="47"/>
  <c r="F252" i="47"/>
  <c r="F253" i="47"/>
  <c r="F254" i="47"/>
  <c r="H250" i="47"/>
  <c r="H262" i="47" s="1"/>
  <c r="G250" i="47"/>
  <c r="G262" i="47" s="1"/>
  <c r="F250" i="47"/>
  <c r="F262" i="47" s="1"/>
  <c r="H246" i="47"/>
  <c r="G246" i="47"/>
  <c r="F246" i="47"/>
  <c r="H245" i="47"/>
  <c r="G245" i="47"/>
  <c r="F245" i="47"/>
  <c r="F244" i="47"/>
  <c r="H241" i="47"/>
  <c r="H242" i="47"/>
  <c r="H243" i="47"/>
  <c r="G241" i="47"/>
  <c r="G242" i="47"/>
  <c r="G243" i="47"/>
  <c r="F241" i="47"/>
  <c r="F242" i="47"/>
  <c r="F243" i="47"/>
  <c r="H240" i="47"/>
  <c r="G240" i="47"/>
  <c r="F240" i="47"/>
  <c r="H237" i="47"/>
  <c r="G237" i="47"/>
  <c r="F237" i="47"/>
  <c r="H234" i="47"/>
  <c r="H235" i="47"/>
  <c r="H236" i="47"/>
  <c r="G234" i="47"/>
  <c r="G235" i="47"/>
  <c r="G236" i="47"/>
  <c r="F234" i="47"/>
  <c r="F235" i="47"/>
  <c r="F236" i="47"/>
  <c r="H233" i="47"/>
  <c r="G233" i="47"/>
  <c r="F233" i="47"/>
  <c r="H230" i="47"/>
  <c r="G230" i="47"/>
  <c r="F230" i="47"/>
  <c r="G225" i="47"/>
  <c r="H225" i="47"/>
  <c r="F225" i="47"/>
  <c r="H223" i="47"/>
  <c r="G223" i="47"/>
  <c r="F223" i="47"/>
  <c r="H222" i="47"/>
  <c r="G222" i="47"/>
  <c r="F222" i="47"/>
  <c r="H221" i="47"/>
  <c r="G221" i="47"/>
  <c r="F221" i="47"/>
  <c r="H220" i="47"/>
  <c r="G220" i="47"/>
  <c r="F220" i="47"/>
  <c r="H219" i="47"/>
  <c r="G219" i="47"/>
  <c r="F219" i="47"/>
  <c r="H218" i="47"/>
  <c r="G218" i="47"/>
  <c r="F218" i="47"/>
  <c r="H217" i="47"/>
  <c r="G217" i="47"/>
  <c r="F217" i="47"/>
  <c r="H215" i="47"/>
  <c r="G215" i="47"/>
  <c r="F215" i="47"/>
  <c r="H214" i="47"/>
  <c r="G214" i="47"/>
  <c r="F214" i="47"/>
  <c r="H213" i="47"/>
  <c r="G213" i="47"/>
  <c r="F213" i="47"/>
  <c r="H211" i="47"/>
  <c r="G211" i="47"/>
  <c r="H207" i="47"/>
  <c r="G207" i="47"/>
  <c r="F207" i="47"/>
  <c r="H206" i="47"/>
  <c r="G206" i="47"/>
  <c r="F206" i="47"/>
  <c r="H200" i="47"/>
  <c r="G200" i="47"/>
  <c r="F200" i="47"/>
  <c r="H199" i="47"/>
  <c r="G199" i="47"/>
  <c r="F199" i="47"/>
  <c r="H194" i="47"/>
  <c r="H195" i="47"/>
  <c r="H196" i="47"/>
  <c r="H197" i="47"/>
  <c r="H198" i="47"/>
  <c r="G194" i="47"/>
  <c r="G195" i="47"/>
  <c r="G196" i="47"/>
  <c r="G197" i="47"/>
  <c r="G198" i="47"/>
  <c r="F194" i="47"/>
  <c r="F195" i="47"/>
  <c r="F196" i="47"/>
  <c r="F197" i="47"/>
  <c r="F198" i="47"/>
  <c r="H193" i="47"/>
  <c r="G193" i="47"/>
  <c r="F193" i="47"/>
  <c r="H189" i="47"/>
  <c r="H190" i="47"/>
  <c r="G189" i="47"/>
  <c r="G190" i="47"/>
  <c r="F189" i="47"/>
  <c r="F190" i="47"/>
  <c r="H188" i="47"/>
  <c r="G188" i="47"/>
  <c r="F188" i="47"/>
  <c r="H186" i="47"/>
  <c r="H187" i="47"/>
  <c r="G186" i="47"/>
  <c r="G187" i="47"/>
  <c r="F186" i="47"/>
  <c r="F187" i="47"/>
  <c r="H185" i="47"/>
  <c r="G185" i="47"/>
  <c r="F185" i="47"/>
  <c r="F249" i="47"/>
  <c r="G249" i="47"/>
  <c r="H249" i="47"/>
  <c r="E249" i="47"/>
  <c r="F239" i="47"/>
  <c r="G239" i="47"/>
  <c r="H239" i="47"/>
  <c r="E239" i="47"/>
  <c r="F212" i="47"/>
  <c r="G212" i="47"/>
  <c r="H212" i="47"/>
  <c r="E212" i="47"/>
  <c r="F203" i="47"/>
  <c r="G203" i="47"/>
  <c r="H203" i="47"/>
  <c r="E203" i="47"/>
  <c r="F192" i="47"/>
  <c r="G192" i="47"/>
  <c r="H192" i="47"/>
  <c r="E192" i="47"/>
  <c r="F232" i="47"/>
  <c r="G232" i="47"/>
  <c r="H232" i="47"/>
  <c r="E232" i="47"/>
  <c r="E184" i="47"/>
  <c r="H172" i="47"/>
  <c r="H173" i="47"/>
  <c r="H174" i="47"/>
  <c r="G172" i="47"/>
  <c r="G173" i="47"/>
  <c r="G174" i="47"/>
  <c r="F172" i="47"/>
  <c r="F173" i="47"/>
  <c r="F174" i="47"/>
  <c r="H171" i="47"/>
  <c r="G171" i="47"/>
  <c r="F171" i="47"/>
  <c r="F184" i="47"/>
  <c r="G184" i="47"/>
  <c r="H184" i="47"/>
  <c r="E170" i="47"/>
  <c r="H168" i="47"/>
  <c r="G168" i="47"/>
  <c r="F168" i="47"/>
  <c r="H160" i="47"/>
  <c r="G160" i="47"/>
  <c r="F160" i="47"/>
  <c r="H159" i="47"/>
  <c r="G159" i="47"/>
  <c r="F159" i="47"/>
  <c r="H158" i="47"/>
  <c r="G158" i="47"/>
  <c r="F158" i="47"/>
  <c r="H157" i="47"/>
  <c r="G157" i="47"/>
  <c r="F157" i="47"/>
  <c r="H153" i="47"/>
  <c r="G153" i="47"/>
  <c r="F153" i="47"/>
  <c r="H152" i="47"/>
  <c r="H170" i="47" s="1"/>
  <c r="G152" i="47"/>
  <c r="G170" i="47" s="1"/>
  <c r="F152" i="47"/>
  <c r="F170" i="47" s="1"/>
  <c r="E151" i="47"/>
  <c r="H147" i="47"/>
  <c r="G147" i="47"/>
  <c r="F147" i="47"/>
  <c r="H146" i="47"/>
  <c r="G146" i="47"/>
  <c r="F146" i="47"/>
  <c r="H143" i="47"/>
  <c r="G143" i="47"/>
  <c r="F143" i="47"/>
  <c r="H142" i="47"/>
  <c r="G142" i="47"/>
  <c r="F142" i="47"/>
  <c r="H140" i="47"/>
  <c r="H141" i="47"/>
  <c r="G140" i="47"/>
  <c r="G141" i="47"/>
  <c r="F140" i="47"/>
  <c r="F141" i="47"/>
  <c r="H139" i="47"/>
  <c r="H151" i="47" s="1"/>
  <c r="G139" i="47"/>
  <c r="G151" i="47" s="1"/>
  <c r="F139" i="47"/>
  <c r="F151" i="47" s="1"/>
  <c r="H135" i="47"/>
  <c r="G135" i="47"/>
  <c r="F135" i="47"/>
  <c r="H134" i="47"/>
  <c r="G134" i="47"/>
  <c r="F134" i="47"/>
  <c r="H131" i="47"/>
  <c r="G131" i="47"/>
  <c r="F131" i="47"/>
  <c r="H130" i="47"/>
  <c r="G130" i="47"/>
  <c r="F130" i="47"/>
  <c r="H126" i="47"/>
  <c r="H127" i="47"/>
  <c r="H128" i="47"/>
  <c r="H129" i="47"/>
  <c r="G126" i="47"/>
  <c r="G127" i="47"/>
  <c r="G128" i="47"/>
  <c r="G129" i="47"/>
  <c r="F126" i="47"/>
  <c r="F127" i="47"/>
  <c r="F128" i="47"/>
  <c r="F129" i="47"/>
  <c r="H125" i="47"/>
  <c r="G125" i="47"/>
  <c r="F125" i="47"/>
  <c r="F138" i="47"/>
  <c r="G138" i="47"/>
  <c r="H138" i="47"/>
  <c r="E138" i="47"/>
  <c r="H123" i="47"/>
  <c r="G123" i="47"/>
  <c r="F123" i="47"/>
  <c r="H122" i="47"/>
  <c r="G122" i="47"/>
  <c r="F122" i="47"/>
  <c r="H119" i="47"/>
  <c r="G119" i="47"/>
  <c r="F119" i="47"/>
  <c r="H118" i="47"/>
  <c r="G118" i="47"/>
  <c r="F118" i="47"/>
  <c r="H117" i="47"/>
  <c r="G117" i="47"/>
  <c r="F117" i="47"/>
  <c r="H116" i="47"/>
  <c r="G116" i="47"/>
  <c r="F116" i="47"/>
  <c r="F124" i="47"/>
  <c r="G124" i="47"/>
  <c r="H124" i="47"/>
  <c r="E124" i="47"/>
  <c r="H112" i="47"/>
  <c r="G112" i="47"/>
  <c r="F112" i="47"/>
  <c r="H110" i="47"/>
  <c r="G110" i="47"/>
  <c r="F110" i="47"/>
  <c r="H109" i="47"/>
  <c r="G109" i="47"/>
  <c r="F109" i="47"/>
  <c r="H107" i="47"/>
  <c r="G107" i="47"/>
  <c r="F107" i="47"/>
  <c r="H104" i="47"/>
  <c r="H105" i="47"/>
  <c r="H106" i="47"/>
  <c r="F106" i="47"/>
  <c r="G104" i="47"/>
  <c r="G105" i="47"/>
  <c r="G106" i="47"/>
  <c r="F104" i="47"/>
  <c r="F105" i="47"/>
  <c r="E115" i="47"/>
  <c r="H103" i="47"/>
  <c r="H115" i="47" s="1"/>
  <c r="G103" i="47"/>
  <c r="G115" i="47" s="1"/>
  <c r="F103" i="47"/>
  <c r="F115" i="47" s="1"/>
  <c r="K315" i="46" l="1"/>
  <c r="K71" i="46"/>
  <c r="J98" i="46"/>
  <c r="K238" i="46"/>
  <c r="K17" i="46"/>
  <c r="L308" i="46"/>
  <c r="L251" i="46"/>
  <c r="L158" i="46"/>
  <c r="L106" i="46"/>
  <c r="K376" i="46"/>
  <c r="K375" i="46"/>
  <c r="M209" i="46"/>
  <c r="K271" i="46"/>
  <c r="E102" i="47"/>
  <c r="H101" i="47"/>
  <c r="G101" i="47"/>
  <c r="F101" i="47"/>
  <c r="H100" i="47"/>
  <c r="G100" i="47"/>
  <c r="F100" i="47"/>
  <c r="H99" i="47"/>
  <c r="H102" i="47" s="1"/>
  <c r="G99" i="47"/>
  <c r="G102" i="47" s="1"/>
  <c r="F99" i="47"/>
  <c r="F102" i="47" s="1"/>
  <c r="F97" i="47" l="1"/>
  <c r="H97" i="47"/>
  <c r="G97" i="47"/>
  <c r="H96" i="47"/>
  <c r="G96" i="47"/>
  <c r="F96" i="47"/>
  <c r="H95" i="47"/>
  <c r="G95" i="47"/>
  <c r="F95" i="47"/>
  <c r="H94" i="47"/>
  <c r="G94" i="47"/>
  <c r="F94" i="47"/>
  <c r="H93" i="47"/>
  <c r="G93" i="47"/>
  <c r="F93" i="47"/>
  <c r="H92" i="47"/>
  <c r="G92" i="47"/>
  <c r="F92" i="47"/>
  <c r="H91" i="47"/>
  <c r="G91" i="47"/>
  <c r="F91" i="47"/>
  <c r="H88" i="47"/>
  <c r="G88" i="47"/>
  <c r="F88" i="47"/>
  <c r="H87" i="47"/>
  <c r="G87" i="47"/>
  <c r="F87" i="47"/>
  <c r="H85" i="47"/>
  <c r="G85" i="47"/>
  <c r="F85" i="47"/>
  <c r="F98" i="47"/>
  <c r="G98" i="47"/>
  <c r="H98" i="47"/>
  <c r="E98" i="47"/>
  <c r="L131" i="46" l="1"/>
  <c r="M91" i="46"/>
  <c r="M77" i="46"/>
  <c r="H79" i="47"/>
  <c r="G79" i="47"/>
  <c r="H83" i="47"/>
  <c r="G83" i="47"/>
  <c r="F83" i="47"/>
  <c r="H82" i="47"/>
  <c r="G82" i="47"/>
  <c r="F82" i="47"/>
  <c r="H81" i="47"/>
  <c r="G81" i="47"/>
  <c r="F81" i="47"/>
  <c r="H77" i="47"/>
  <c r="G77" i="47"/>
  <c r="F77" i="47"/>
  <c r="H76" i="47"/>
  <c r="G76" i="47"/>
  <c r="F76" i="47"/>
  <c r="H75" i="47"/>
  <c r="F75" i="47"/>
  <c r="G75" i="47"/>
  <c r="F84" i="47"/>
  <c r="G84" i="47"/>
  <c r="H84" i="47"/>
  <c r="E84" i="47"/>
  <c r="H67" i="47"/>
  <c r="G67" i="47"/>
  <c r="F67" i="47"/>
  <c r="H65" i="47"/>
  <c r="G65" i="47"/>
  <c r="F65" i="47"/>
  <c r="H64" i="47"/>
  <c r="G64" i="47"/>
  <c r="F64" i="47"/>
  <c r="F74" i="47"/>
  <c r="G74" i="47"/>
  <c r="H74" i="47"/>
  <c r="E74" i="47"/>
  <c r="E63" i="47" l="1"/>
  <c r="H60" i="47"/>
  <c r="G60" i="47"/>
  <c r="F60" i="47"/>
  <c r="H59" i="47"/>
  <c r="G59" i="47"/>
  <c r="F59" i="47"/>
  <c r="H58" i="47"/>
  <c r="G58" i="47"/>
  <c r="F58" i="47"/>
  <c r="H57" i="47"/>
  <c r="G57" i="47"/>
  <c r="F57" i="47"/>
  <c r="H56" i="47"/>
  <c r="G56" i="47"/>
  <c r="F56" i="47"/>
  <c r="H55" i="47"/>
  <c r="G55" i="47"/>
  <c r="F55" i="47"/>
  <c r="G54" i="47"/>
  <c r="F54" i="47"/>
  <c r="H53" i="47"/>
  <c r="G53" i="47"/>
  <c r="F53" i="47"/>
  <c r="H52" i="47"/>
  <c r="G52" i="47"/>
  <c r="F52" i="47"/>
  <c r="H51" i="47"/>
  <c r="H63" i="47" s="1"/>
  <c r="G51" i="47"/>
  <c r="G63" i="47" s="1"/>
  <c r="F51" i="47"/>
  <c r="F63" i="47" s="1"/>
  <c r="K116" i="46"/>
  <c r="M220" i="46"/>
  <c r="K213" i="46"/>
  <c r="K243" i="46"/>
  <c r="H49" i="47" l="1"/>
  <c r="G49" i="47"/>
  <c r="H46" i="47"/>
  <c r="H47" i="47"/>
  <c r="G46" i="47"/>
  <c r="G47" i="47"/>
  <c r="F46" i="47"/>
  <c r="F47" i="47"/>
  <c r="H45" i="47"/>
  <c r="G45" i="47"/>
  <c r="F45" i="47"/>
  <c r="F50" i="47"/>
  <c r="G50" i="47"/>
  <c r="H50" i="47"/>
  <c r="E50" i="47"/>
  <c r="H43" i="47"/>
  <c r="G43" i="47"/>
  <c r="H35" i="47"/>
  <c r="G35" i="47"/>
  <c r="F35" i="47"/>
  <c r="H31" i="47"/>
  <c r="H32" i="47"/>
  <c r="H33" i="47"/>
  <c r="H34" i="47"/>
  <c r="G31" i="47"/>
  <c r="G32" i="47"/>
  <c r="G33" i="47"/>
  <c r="G34" i="47"/>
  <c r="F31" i="47"/>
  <c r="F32" i="47"/>
  <c r="F33" i="47"/>
  <c r="F34" i="47"/>
  <c r="H30" i="47"/>
  <c r="G30" i="47"/>
  <c r="F30" i="47"/>
  <c r="F44" i="47"/>
  <c r="G44" i="47"/>
  <c r="H44" i="47"/>
  <c r="E44" i="47"/>
  <c r="E29" i="47"/>
  <c r="H25" i="47"/>
  <c r="G25" i="47"/>
  <c r="F25" i="47"/>
  <c r="H24" i="47"/>
  <c r="G24" i="47"/>
  <c r="F24" i="47"/>
  <c r="H22" i="47"/>
  <c r="G22" i="47"/>
  <c r="F22" i="47"/>
  <c r="H18" i="47"/>
  <c r="H19" i="47"/>
  <c r="H20" i="47"/>
  <c r="H21" i="47"/>
  <c r="G18" i="47"/>
  <c r="G19" i="47"/>
  <c r="G20" i="47"/>
  <c r="G21" i="47"/>
  <c r="F18" i="47"/>
  <c r="F19" i="47"/>
  <c r="F20" i="47"/>
  <c r="F21" i="47"/>
  <c r="H17" i="47"/>
  <c r="H29" i="47" s="1"/>
  <c r="G17" i="47"/>
  <c r="G29" i="47" s="1"/>
  <c r="F17" i="47"/>
  <c r="F29" i="47" s="1"/>
  <c r="E16" i="47"/>
  <c r="E296" i="46"/>
  <c r="H286" i="46"/>
  <c r="G286" i="46"/>
  <c r="F286" i="46"/>
  <c r="E371" i="46"/>
  <c r="E309" i="46"/>
  <c r="H365" i="46"/>
  <c r="G365" i="46"/>
  <c r="F365" i="46"/>
  <c r="H361" i="46"/>
  <c r="G361" i="46"/>
  <c r="F361" i="46"/>
  <c r="H360" i="46"/>
  <c r="G360" i="46"/>
  <c r="F360" i="46"/>
  <c r="H359" i="46"/>
  <c r="G359" i="46"/>
  <c r="F359" i="46"/>
  <c r="H358" i="46"/>
  <c r="G358" i="46"/>
  <c r="F358" i="46"/>
  <c r="H357" i="46"/>
  <c r="G357" i="46"/>
  <c r="F357" i="46"/>
  <c r="H356" i="46"/>
  <c r="G356" i="46"/>
  <c r="F356" i="46"/>
  <c r="H355" i="46"/>
  <c r="G355" i="46"/>
  <c r="F355" i="46"/>
  <c r="H354" i="46"/>
  <c r="G354" i="46"/>
  <c r="F354" i="46"/>
  <c r="H353" i="46"/>
  <c r="G353" i="46"/>
  <c r="F353" i="46"/>
  <c r="H352" i="46"/>
  <c r="G352" i="46"/>
  <c r="F352" i="46"/>
  <c r="H351" i="46"/>
  <c r="H371" i="46" s="1"/>
  <c r="G351" i="46"/>
  <c r="G371" i="46" s="1"/>
  <c r="F351" i="46"/>
  <c r="F371" i="46" s="1"/>
  <c r="F347" i="46"/>
  <c r="H346" i="46"/>
  <c r="G346" i="46"/>
  <c r="F346" i="46"/>
  <c r="H11" i="47"/>
  <c r="G11" i="47"/>
  <c r="F11" i="47"/>
  <c r="H9" i="47"/>
  <c r="G9" i="47"/>
  <c r="F9" i="47"/>
  <c r="H8" i="47"/>
  <c r="G8" i="47"/>
  <c r="F8" i="47"/>
  <c r="H7" i="47"/>
  <c r="G7" i="47"/>
  <c r="F7" i="47"/>
  <c r="H6" i="47"/>
  <c r="G6" i="47"/>
  <c r="F6" i="47"/>
  <c r="H5" i="47"/>
  <c r="G5" i="47"/>
  <c r="F5" i="47"/>
  <c r="H2" i="47"/>
  <c r="H16" i="47" s="1"/>
  <c r="G2" i="47"/>
  <c r="G16" i="47" s="1"/>
  <c r="F2" i="47"/>
  <c r="F16" i="47" s="1"/>
  <c r="H343" i="46" l="1"/>
  <c r="G343" i="46"/>
  <c r="F343" i="46"/>
  <c r="H342" i="46"/>
  <c r="G342" i="46"/>
  <c r="H341" i="46"/>
  <c r="G341" i="46"/>
  <c r="F341" i="46"/>
  <c r="F342" i="46"/>
  <c r="G337" i="46"/>
  <c r="F337" i="46"/>
  <c r="H332" i="46"/>
  <c r="G332" i="46"/>
  <c r="F332" i="46"/>
  <c r="H328" i="46"/>
  <c r="G328" i="46"/>
  <c r="F328" i="46"/>
  <c r="H327" i="46"/>
  <c r="G327" i="46"/>
  <c r="H325" i="46"/>
  <c r="G325" i="46"/>
  <c r="F325" i="46"/>
  <c r="H324" i="46"/>
  <c r="G324" i="46"/>
  <c r="F324" i="46"/>
  <c r="H322" i="46"/>
  <c r="H323" i="46"/>
  <c r="G322" i="46"/>
  <c r="G323" i="46"/>
  <c r="F322" i="46"/>
  <c r="F323" i="46"/>
  <c r="H321" i="46"/>
  <c r="G321" i="46"/>
  <c r="F321" i="46"/>
  <c r="H318" i="46"/>
  <c r="G318" i="46"/>
  <c r="F318" i="46"/>
  <c r="H316" i="46"/>
  <c r="G316" i="46"/>
  <c r="F316" i="46"/>
  <c r="H315" i="46"/>
  <c r="G315" i="46"/>
  <c r="F315" i="46"/>
  <c r="H314" i="46"/>
  <c r="G314" i="46"/>
  <c r="F314" i="46"/>
  <c r="H311" i="46"/>
  <c r="H312" i="46"/>
  <c r="H313" i="46"/>
  <c r="G311" i="46"/>
  <c r="G312" i="46"/>
  <c r="G313" i="46"/>
  <c r="F311" i="46"/>
  <c r="F312" i="46"/>
  <c r="F313" i="46"/>
  <c r="H310" i="46"/>
  <c r="G310" i="46"/>
  <c r="F310" i="46"/>
  <c r="H307" i="46"/>
  <c r="G307" i="46"/>
  <c r="F307" i="46"/>
  <c r="H306" i="46"/>
  <c r="G306" i="46"/>
  <c r="F306" i="46"/>
  <c r="H305" i="46"/>
  <c r="G305" i="46"/>
  <c r="F305" i="46"/>
  <c r="H298" i="46"/>
  <c r="H299" i="46"/>
  <c r="H300" i="46"/>
  <c r="G298" i="46"/>
  <c r="G299" i="46"/>
  <c r="G300" i="46"/>
  <c r="F298" i="46"/>
  <c r="F299" i="46"/>
  <c r="F300" i="46"/>
  <c r="H297" i="46"/>
  <c r="G297" i="46"/>
  <c r="F297" i="46"/>
  <c r="H294" i="46"/>
  <c r="G294" i="46"/>
  <c r="H291" i="46"/>
  <c r="G291" i="46"/>
  <c r="F291" i="46"/>
  <c r="H288" i="46"/>
  <c r="G288" i="46"/>
  <c r="F288" i="46"/>
  <c r="H284" i="46"/>
  <c r="H285" i="46"/>
  <c r="H287" i="46"/>
  <c r="G284" i="46"/>
  <c r="G285" i="46"/>
  <c r="G287" i="46"/>
  <c r="F284" i="46"/>
  <c r="F285" i="46"/>
  <c r="F287" i="46"/>
  <c r="H283" i="46"/>
  <c r="G283" i="46"/>
  <c r="F283" i="46"/>
  <c r="F296" i="46" s="1"/>
  <c r="H277" i="46"/>
  <c r="G277" i="46"/>
  <c r="F277" i="46"/>
  <c r="H275" i="46"/>
  <c r="G275" i="46"/>
  <c r="F275" i="46"/>
  <c r="H271" i="46"/>
  <c r="H272" i="46"/>
  <c r="H273" i="46"/>
  <c r="H274" i="46"/>
  <c r="G271" i="46"/>
  <c r="G272" i="46"/>
  <c r="G273" i="46"/>
  <c r="G274" i="46"/>
  <c r="F271" i="46"/>
  <c r="F272" i="46"/>
  <c r="F273" i="46"/>
  <c r="F274" i="46"/>
  <c r="H270" i="46"/>
  <c r="G270" i="46"/>
  <c r="F270" i="46"/>
  <c r="H268" i="46"/>
  <c r="G268" i="46"/>
  <c r="F268" i="46"/>
  <c r="H267" i="46"/>
  <c r="F267" i="46"/>
  <c r="G267" i="46"/>
  <c r="H266" i="46"/>
  <c r="G266" i="46"/>
  <c r="F266" i="46"/>
  <c r="H264" i="46"/>
  <c r="G264" i="46"/>
  <c r="F264" i="46"/>
  <c r="H260" i="46"/>
  <c r="G260" i="46"/>
  <c r="F260" i="46"/>
  <c r="H257" i="46"/>
  <c r="H258" i="46"/>
  <c r="H259" i="46"/>
  <c r="G257" i="46"/>
  <c r="G258" i="46"/>
  <c r="G259" i="46"/>
  <c r="F257" i="46"/>
  <c r="F258" i="46"/>
  <c r="F259" i="46"/>
  <c r="H256" i="46"/>
  <c r="G256" i="46"/>
  <c r="F256" i="46"/>
  <c r="H254" i="46"/>
  <c r="G254" i="46"/>
  <c r="F254" i="46"/>
  <c r="H253" i="46"/>
  <c r="G253" i="46"/>
  <c r="F253" i="46"/>
  <c r="F251" i="46"/>
  <c r="H250" i="46"/>
  <c r="G250" i="46"/>
  <c r="F250" i="46"/>
  <c r="H248" i="46"/>
  <c r="G248" i="46"/>
  <c r="F248" i="46"/>
  <c r="H244" i="46"/>
  <c r="G244" i="46"/>
  <c r="F244" i="46"/>
  <c r="H241" i="46"/>
  <c r="H242" i="46"/>
  <c r="G241" i="46"/>
  <c r="G242" i="46"/>
  <c r="F241" i="46"/>
  <c r="F242" i="46"/>
  <c r="H240" i="46"/>
  <c r="G240" i="46"/>
  <c r="F240" i="46"/>
  <c r="H235" i="46"/>
  <c r="G235" i="46"/>
  <c r="F235" i="46"/>
  <c r="G234" i="46"/>
  <c r="F234" i="46"/>
  <c r="H232" i="46"/>
  <c r="G232" i="46"/>
  <c r="H230" i="46"/>
  <c r="H231" i="46"/>
  <c r="G230" i="46"/>
  <c r="G231" i="46"/>
  <c r="F230" i="46"/>
  <c r="F231" i="46"/>
  <c r="H229" i="46"/>
  <c r="G229" i="46"/>
  <c r="F229" i="46"/>
  <c r="E340" i="46"/>
  <c r="E339" i="46"/>
  <c r="E338" i="46"/>
  <c r="F336" i="46"/>
  <c r="G336" i="46"/>
  <c r="H336" i="46"/>
  <c r="E336" i="46"/>
  <c r="F320" i="46"/>
  <c r="G320" i="46"/>
  <c r="H320" i="46"/>
  <c r="E320" i="46"/>
  <c r="F309" i="46"/>
  <c r="G309" i="46"/>
  <c r="H309" i="46"/>
  <c r="G296" i="46"/>
  <c r="H296" i="46"/>
  <c r="F282" i="46"/>
  <c r="G282" i="46"/>
  <c r="H282" i="46"/>
  <c r="E282" i="46"/>
  <c r="F269" i="46"/>
  <c r="G269" i="46"/>
  <c r="H269" i="46"/>
  <c r="E269" i="46"/>
  <c r="F252" i="46"/>
  <c r="G252" i="46"/>
  <c r="H252" i="46"/>
  <c r="E252" i="46"/>
  <c r="F239" i="46"/>
  <c r="G239" i="46"/>
  <c r="H239" i="46"/>
  <c r="E239" i="46"/>
  <c r="E350" i="46" l="1"/>
  <c r="H338" i="46"/>
  <c r="G338" i="46"/>
  <c r="F338" i="46"/>
  <c r="H339" i="46"/>
  <c r="G339" i="46"/>
  <c r="F339" i="46"/>
  <c r="H340" i="46"/>
  <c r="G340" i="46"/>
  <c r="F340" i="46"/>
  <c r="F350" i="46"/>
  <c r="G350" i="46"/>
  <c r="H220" i="46"/>
  <c r="G220" i="46"/>
  <c r="F220" i="46"/>
  <c r="H216" i="46"/>
  <c r="H217" i="46"/>
  <c r="H218" i="46"/>
  <c r="H219" i="46"/>
  <c r="G216" i="46"/>
  <c r="G217" i="46"/>
  <c r="G218" i="46"/>
  <c r="G219" i="46"/>
  <c r="F216" i="46"/>
  <c r="F217" i="46"/>
  <c r="F218" i="46"/>
  <c r="F219" i="46"/>
  <c r="H215" i="46"/>
  <c r="H228" i="46" s="1"/>
  <c r="G215" i="46"/>
  <c r="G228" i="46" s="1"/>
  <c r="F215" i="46"/>
  <c r="F228" i="46" s="1"/>
  <c r="H212" i="46"/>
  <c r="G212" i="46"/>
  <c r="F212" i="46"/>
  <c r="H211" i="46"/>
  <c r="G211" i="46"/>
  <c r="F211" i="46"/>
  <c r="H210" i="46"/>
  <c r="G210" i="46"/>
  <c r="F210" i="46"/>
  <c r="H206" i="46"/>
  <c r="H207" i="46"/>
  <c r="H208" i="46"/>
  <c r="H209" i="46"/>
  <c r="G206" i="46"/>
  <c r="G207" i="46"/>
  <c r="G208" i="46"/>
  <c r="G209" i="46"/>
  <c r="F206" i="46"/>
  <c r="F207" i="46"/>
  <c r="F208" i="46"/>
  <c r="F209" i="46"/>
  <c r="H205" i="46"/>
  <c r="G205" i="46"/>
  <c r="F205" i="46"/>
  <c r="H203" i="46"/>
  <c r="G203" i="46"/>
  <c r="F203" i="46"/>
  <c r="H202" i="46"/>
  <c r="G202" i="46"/>
  <c r="F202" i="46"/>
  <c r="H197" i="46"/>
  <c r="H198" i="46"/>
  <c r="H199" i="46"/>
  <c r="G197" i="46"/>
  <c r="G198" i="46"/>
  <c r="G199" i="46"/>
  <c r="F197" i="46"/>
  <c r="F198" i="46"/>
  <c r="F199" i="46"/>
  <c r="H196" i="46"/>
  <c r="H204" i="46" s="1"/>
  <c r="G196" i="46"/>
  <c r="G204" i="46" s="1"/>
  <c r="F196" i="46"/>
  <c r="F204" i="46" s="1"/>
  <c r="H194" i="46"/>
  <c r="G194" i="46"/>
  <c r="F194" i="46"/>
  <c r="H191" i="46"/>
  <c r="H192" i="46"/>
  <c r="H193" i="46"/>
  <c r="G191" i="46"/>
  <c r="G192" i="46"/>
  <c r="G193" i="46"/>
  <c r="F191" i="46"/>
  <c r="F192" i="46"/>
  <c r="F193" i="46"/>
  <c r="H190" i="46"/>
  <c r="H195" i="46" s="1"/>
  <c r="G190" i="46"/>
  <c r="G195" i="46" s="1"/>
  <c r="F190" i="46"/>
  <c r="F195" i="46" s="1"/>
  <c r="E228" i="46"/>
  <c r="F214" i="46"/>
  <c r="G214" i="46"/>
  <c r="H214" i="46"/>
  <c r="E214" i="46"/>
  <c r="E195" i="46"/>
  <c r="E204" i="46"/>
  <c r="L235" i="45"/>
  <c r="M68" i="45"/>
  <c r="L113" i="45"/>
  <c r="M38" i="45"/>
  <c r="L80" i="45"/>
  <c r="J309" i="45"/>
  <c r="L225" i="45"/>
  <c r="L212" i="45"/>
  <c r="K295" i="45"/>
  <c r="H350" i="46" l="1"/>
  <c r="E189" i="46"/>
  <c r="H187" i="46"/>
  <c r="G187" i="46"/>
  <c r="F187" i="46"/>
  <c r="H184" i="46"/>
  <c r="H189" i="46" s="1"/>
  <c r="G184" i="46"/>
  <c r="G189" i="46" s="1"/>
  <c r="F184" i="46"/>
  <c r="F189" i="46" s="1"/>
  <c r="E183" i="46"/>
  <c r="H182" i="46"/>
  <c r="G182" i="46"/>
  <c r="F182" i="46"/>
  <c r="H180" i="46"/>
  <c r="H181" i="46"/>
  <c r="G180" i="46"/>
  <c r="G181" i="46"/>
  <c r="F180" i="46"/>
  <c r="F181" i="46"/>
  <c r="H179" i="46"/>
  <c r="H183" i="46" s="1"/>
  <c r="G179" i="46"/>
  <c r="G183" i="46" s="1"/>
  <c r="F179" i="46"/>
  <c r="F183" i="46" s="1"/>
  <c r="E178" i="46"/>
  <c r="H176" i="46"/>
  <c r="G176" i="46"/>
  <c r="F176" i="46"/>
  <c r="H175" i="46"/>
  <c r="G175" i="46"/>
  <c r="H174" i="46"/>
  <c r="G174" i="46"/>
  <c r="H170" i="46"/>
  <c r="G170" i="46"/>
  <c r="F170" i="46"/>
  <c r="H167" i="46"/>
  <c r="H168" i="46"/>
  <c r="H169" i="46"/>
  <c r="G167" i="46"/>
  <c r="G168" i="46"/>
  <c r="G169" i="46"/>
  <c r="F167" i="46"/>
  <c r="F168" i="46"/>
  <c r="F169" i="46"/>
  <c r="H166" i="46"/>
  <c r="H178" i="46" s="1"/>
  <c r="G166" i="46"/>
  <c r="G178" i="46" s="1"/>
  <c r="F166" i="46"/>
  <c r="F178" i="46" s="1"/>
  <c r="H164" i="46"/>
  <c r="G164" i="46"/>
  <c r="F164" i="46"/>
  <c r="H163" i="46"/>
  <c r="G163" i="46"/>
  <c r="F163" i="46"/>
  <c r="H158" i="46"/>
  <c r="G158" i="46"/>
  <c r="F158" i="46"/>
  <c r="H156" i="46"/>
  <c r="G156" i="46"/>
  <c r="F156" i="46"/>
  <c r="H155" i="46"/>
  <c r="G155" i="46"/>
  <c r="F155" i="46"/>
  <c r="F165" i="46"/>
  <c r="G165" i="46"/>
  <c r="H165" i="46"/>
  <c r="E165" i="46"/>
  <c r="H152" i="46"/>
  <c r="G152" i="46"/>
  <c r="F152" i="46"/>
  <c r="H149" i="46"/>
  <c r="G149" i="46"/>
  <c r="F149" i="46"/>
  <c r="H146" i="46"/>
  <c r="H147" i="46"/>
  <c r="H148" i="46"/>
  <c r="G146" i="46"/>
  <c r="G147" i="46"/>
  <c r="G148" i="46"/>
  <c r="F146" i="46"/>
  <c r="F147" i="46"/>
  <c r="F148" i="46"/>
  <c r="F145" i="46"/>
  <c r="H145" i="46"/>
  <c r="G145" i="46"/>
  <c r="H139" i="46"/>
  <c r="G139" i="46"/>
  <c r="F139" i="46"/>
  <c r="H137" i="46"/>
  <c r="G137" i="46"/>
  <c r="F137" i="46"/>
  <c r="H136" i="46"/>
  <c r="G136" i="46"/>
  <c r="F136" i="46"/>
  <c r="H135" i="46"/>
  <c r="G135" i="46"/>
  <c r="F135" i="46"/>
  <c r="H132" i="46"/>
  <c r="H133" i="46"/>
  <c r="H134" i="46"/>
  <c r="G132" i="46"/>
  <c r="G133" i="46"/>
  <c r="G134" i="46"/>
  <c r="F132" i="46"/>
  <c r="F133" i="46"/>
  <c r="F134" i="46"/>
  <c r="H131" i="46"/>
  <c r="G131" i="46"/>
  <c r="F131" i="46"/>
  <c r="H129" i="46"/>
  <c r="G129" i="46"/>
  <c r="F129" i="46"/>
  <c r="H128" i="46"/>
  <c r="G128" i="46"/>
  <c r="F128" i="46"/>
  <c r="H125" i="46"/>
  <c r="G125" i="46"/>
  <c r="F125" i="46"/>
  <c r="H122" i="46"/>
  <c r="H123" i="46"/>
  <c r="H124" i="46"/>
  <c r="G122" i="46"/>
  <c r="G123" i="46"/>
  <c r="G124" i="46"/>
  <c r="F122" i="46"/>
  <c r="F123" i="46"/>
  <c r="F124" i="46"/>
  <c r="H121" i="46"/>
  <c r="G121" i="46"/>
  <c r="F121" i="46"/>
  <c r="F154" i="46"/>
  <c r="G154" i="46"/>
  <c r="H154" i="46"/>
  <c r="E154" i="46"/>
  <c r="F144" i="46"/>
  <c r="G144" i="46"/>
  <c r="H144" i="46"/>
  <c r="E144" i="46"/>
  <c r="F130" i="46"/>
  <c r="G130" i="46"/>
  <c r="H130" i="46"/>
  <c r="E130" i="46"/>
  <c r="E120" i="46"/>
  <c r="H119" i="46"/>
  <c r="G119" i="46"/>
  <c r="F119" i="46"/>
  <c r="H118" i="46"/>
  <c r="G118" i="46"/>
  <c r="F118" i="46"/>
  <c r="G117" i="46"/>
  <c r="F117" i="46"/>
  <c r="H116" i="46"/>
  <c r="G116" i="46"/>
  <c r="F116" i="46"/>
  <c r="H112" i="46"/>
  <c r="G112" i="46"/>
  <c r="F112" i="46"/>
  <c r="H111" i="46"/>
  <c r="G111" i="46"/>
  <c r="F111" i="46"/>
  <c r="H110" i="46"/>
  <c r="G110" i="46"/>
  <c r="F110" i="46"/>
  <c r="F109" i="46"/>
  <c r="F120" i="46" s="1"/>
  <c r="H109" i="46"/>
  <c r="H120" i="46" s="1"/>
  <c r="G109" i="46"/>
  <c r="G120" i="46" s="1"/>
  <c r="H107" i="46"/>
  <c r="H106" i="46"/>
  <c r="H105" i="46"/>
  <c r="G106" i="46"/>
  <c r="G105" i="46"/>
  <c r="G107" i="46"/>
  <c r="F107" i="46"/>
  <c r="F105" i="46"/>
  <c r="F106" i="46"/>
  <c r="H104" i="46"/>
  <c r="G104" i="46"/>
  <c r="F104" i="46"/>
  <c r="H102" i="46"/>
  <c r="H103" i="46"/>
  <c r="G102" i="46"/>
  <c r="G103" i="46"/>
  <c r="F102" i="46"/>
  <c r="F103" i="46"/>
  <c r="E108" i="46"/>
  <c r="H101" i="46"/>
  <c r="H108" i="46" s="1"/>
  <c r="G101" i="46"/>
  <c r="G108" i="46" s="1"/>
  <c r="F101" i="46"/>
  <c r="F108" i="46" s="1"/>
  <c r="E100" i="46" l="1"/>
  <c r="H97" i="46"/>
  <c r="G97" i="46"/>
  <c r="F97" i="46"/>
  <c r="H96" i="46"/>
  <c r="G96" i="46"/>
  <c r="F96" i="46"/>
  <c r="H95" i="46"/>
  <c r="G95" i="46"/>
  <c r="F95" i="46"/>
  <c r="H94" i="46"/>
  <c r="G94" i="46"/>
  <c r="F94" i="46"/>
  <c r="H93" i="46"/>
  <c r="G93" i="46"/>
  <c r="F93" i="46"/>
  <c r="H91" i="46"/>
  <c r="H92" i="46"/>
  <c r="G91" i="46"/>
  <c r="G92" i="46"/>
  <c r="F91" i="46"/>
  <c r="F92" i="46"/>
  <c r="H90" i="46"/>
  <c r="H100" i="46" s="1"/>
  <c r="G90" i="46"/>
  <c r="G100" i="46" s="1"/>
  <c r="F90" i="46"/>
  <c r="F100" i="46" s="1"/>
  <c r="E89" i="46"/>
  <c r="H85" i="46"/>
  <c r="G85" i="46"/>
  <c r="F85" i="46"/>
  <c r="H84" i="46"/>
  <c r="G84" i="46"/>
  <c r="F84" i="46"/>
  <c r="F83" i="46"/>
  <c r="G83" i="46"/>
  <c r="H83" i="46"/>
  <c r="F82" i="46"/>
  <c r="G82" i="46"/>
  <c r="H82" i="46"/>
  <c r="F81" i="46"/>
  <c r="G81" i="46"/>
  <c r="H81" i="46"/>
  <c r="H80" i="46"/>
  <c r="H89" i="46" s="1"/>
  <c r="G80" i="46"/>
  <c r="G89" i="46" s="1"/>
  <c r="F80" i="46"/>
  <c r="F89" i="46" s="1"/>
  <c r="E307" i="45"/>
  <c r="H303" i="45"/>
  <c r="H304" i="45"/>
  <c r="H305" i="45"/>
  <c r="H306" i="45"/>
  <c r="G303" i="45"/>
  <c r="G304" i="45"/>
  <c r="G305" i="45"/>
  <c r="G306" i="45"/>
  <c r="F303" i="45"/>
  <c r="F304" i="45"/>
  <c r="F305" i="45"/>
  <c r="F306" i="45"/>
  <c r="H302" i="45"/>
  <c r="G302" i="45"/>
  <c r="F302" i="45"/>
  <c r="H299" i="45"/>
  <c r="H307" i="45" s="1"/>
  <c r="G299" i="45"/>
  <c r="G307" i="45" s="1"/>
  <c r="F299" i="45"/>
  <c r="F307" i="45" s="1"/>
  <c r="H75" i="46"/>
  <c r="H76" i="46"/>
  <c r="H77" i="46"/>
  <c r="H78" i="46"/>
  <c r="G75" i="46"/>
  <c r="G76" i="46"/>
  <c r="G77" i="46"/>
  <c r="G78" i="46"/>
  <c r="F75" i="46"/>
  <c r="F76" i="46"/>
  <c r="F77" i="46"/>
  <c r="F78" i="46"/>
  <c r="H74" i="46"/>
  <c r="G74" i="46"/>
  <c r="F74" i="46"/>
  <c r="G70" i="46"/>
  <c r="F70" i="46"/>
  <c r="H67" i="46"/>
  <c r="G67" i="46"/>
  <c r="F67" i="46"/>
  <c r="F66" i="46"/>
  <c r="H61" i="46"/>
  <c r="H62" i="46"/>
  <c r="H63" i="46"/>
  <c r="G61" i="46"/>
  <c r="G62" i="46"/>
  <c r="G63" i="46"/>
  <c r="F61" i="46"/>
  <c r="F62" i="46"/>
  <c r="F63" i="46"/>
  <c r="H60" i="46"/>
  <c r="G60" i="46"/>
  <c r="F60" i="46"/>
  <c r="H56" i="46"/>
  <c r="G56" i="46"/>
  <c r="F56" i="46"/>
  <c r="F79" i="46"/>
  <c r="G79" i="46"/>
  <c r="H79" i="46"/>
  <c r="E79" i="46"/>
  <c r="E64" i="46"/>
  <c r="H51" i="46"/>
  <c r="H52" i="46"/>
  <c r="H53" i="46"/>
  <c r="G51" i="46"/>
  <c r="G52" i="46"/>
  <c r="G53" i="46"/>
  <c r="F51" i="46"/>
  <c r="F52" i="46"/>
  <c r="F53" i="46"/>
  <c r="H50" i="46"/>
  <c r="G50" i="46"/>
  <c r="F50" i="46"/>
  <c r="H44" i="46"/>
  <c r="G44" i="46"/>
  <c r="F44" i="46"/>
  <c r="H43" i="46"/>
  <c r="G43" i="46"/>
  <c r="F43" i="46"/>
  <c r="H41" i="46"/>
  <c r="G41" i="46"/>
  <c r="F41" i="46"/>
  <c r="H35" i="46"/>
  <c r="G35" i="46"/>
  <c r="F35" i="46"/>
  <c r="H34" i="46"/>
  <c r="G34" i="46"/>
  <c r="F34" i="46"/>
  <c r="F33" i="46"/>
  <c r="G33" i="46"/>
  <c r="H33" i="46"/>
  <c r="H32" i="46"/>
  <c r="G32" i="46"/>
  <c r="F32" i="46"/>
  <c r="H31" i="46"/>
  <c r="G31" i="46"/>
  <c r="F31" i="46"/>
  <c r="H29" i="46"/>
  <c r="G29" i="46"/>
  <c r="F29" i="46"/>
  <c r="H28" i="46"/>
  <c r="G28" i="46"/>
  <c r="F28" i="46"/>
  <c r="F55" i="46"/>
  <c r="G55" i="46"/>
  <c r="H55" i="46"/>
  <c r="E55" i="46"/>
  <c r="F40" i="46"/>
  <c r="G40" i="46"/>
  <c r="H40" i="46"/>
  <c r="E40" i="46"/>
  <c r="H24" i="46"/>
  <c r="H25" i="46"/>
  <c r="H26" i="46"/>
  <c r="G24" i="46"/>
  <c r="G25" i="46"/>
  <c r="G26" i="46"/>
  <c r="F24" i="46"/>
  <c r="F25" i="46"/>
  <c r="F26" i="46"/>
  <c r="H23" i="46"/>
  <c r="G23" i="46"/>
  <c r="F23" i="46"/>
  <c r="H17" i="46"/>
  <c r="G17" i="46"/>
  <c r="F17" i="46"/>
  <c r="H15" i="46"/>
  <c r="H27" i="46" s="1"/>
  <c r="G15" i="46"/>
  <c r="G27" i="46" s="1"/>
  <c r="F15" i="46"/>
  <c r="F27" i="46" s="1"/>
  <c r="E27" i="46"/>
  <c r="H11" i="46"/>
  <c r="G11" i="46"/>
  <c r="F11" i="46"/>
  <c r="H9" i="46"/>
  <c r="G9" i="46"/>
  <c r="F9" i="46"/>
  <c r="H8" i="46"/>
  <c r="G8" i="46"/>
  <c r="F8" i="46"/>
  <c r="H5" i="46"/>
  <c r="H6" i="46"/>
  <c r="H7" i="46"/>
  <c r="G5" i="46"/>
  <c r="G6" i="46"/>
  <c r="G7" i="46"/>
  <c r="F7" i="46"/>
  <c r="F5" i="46"/>
  <c r="F6" i="46"/>
  <c r="H4" i="46"/>
  <c r="G4" i="46"/>
  <c r="F4" i="46"/>
  <c r="E13" i="46"/>
  <c r="H2" i="46"/>
  <c r="H13" i="46" s="1"/>
  <c r="G2" i="46"/>
  <c r="G13" i="46" s="1"/>
  <c r="F2" i="46"/>
  <c r="F13" i="46" s="1"/>
  <c r="H64" i="46" l="1"/>
  <c r="H65" i="46" s="1"/>
  <c r="G64" i="46"/>
  <c r="G65" i="46" s="1"/>
  <c r="F64" i="46"/>
  <c r="F65" i="46" s="1"/>
  <c r="E65" i="46"/>
  <c r="H296" i="45"/>
  <c r="H297" i="45"/>
  <c r="G296" i="45"/>
  <c r="G297" i="45"/>
  <c r="F296" i="45"/>
  <c r="F297" i="45"/>
  <c r="H295" i="45"/>
  <c r="G295" i="45"/>
  <c r="F295" i="45"/>
  <c r="H294" i="45"/>
  <c r="G294" i="45"/>
  <c r="F294" i="45"/>
  <c r="F290" i="45"/>
  <c r="H289" i="45"/>
  <c r="G289" i="45"/>
  <c r="F289" i="45"/>
  <c r="H284" i="45"/>
  <c r="G284" i="45"/>
  <c r="F284" i="45"/>
  <c r="H283" i="45"/>
  <c r="G283" i="45"/>
  <c r="F283" i="45"/>
  <c r="H282" i="45"/>
  <c r="G282" i="45"/>
  <c r="F282" i="45"/>
  <c r="H276" i="45"/>
  <c r="G276" i="45"/>
  <c r="F276" i="45"/>
  <c r="H275" i="45"/>
  <c r="G275" i="45"/>
  <c r="F275" i="45"/>
  <c r="H274" i="45"/>
  <c r="G274" i="45"/>
  <c r="F274" i="45"/>
  <c r="F298" i="45"/>
  <c r="G298" i="45"/>
  <c r="H298" i="45"/>
  <c r="E298" i="45"/>
  <c r="F287" i="45"/>
  <c r="G287" i="45"/>
  <c r="H287" i="45"/>
  <c r="E287" i="45"/>
  <c r="H269" i="45" l="1"/>
  <c r="G269" i="45"/>
  <c r="F269" i="45"/>
  <c r="H268" i="45"/>
  <c r="G268" i="45"/>
  <c r="F268" i="45"/>
  <c r="H264" i="45"/>
  <c r="H265" i="45"/>
  <c r="H266" i="45"/>
  <c r="H267" i="45"/>
  <c r="G264" i="45"/>
  <c r="G265" i="45"/>
  <c r="G266" i="45"/>
  <c r="G267" i="45"/>
  <c r="F264" i="45"/>
  <c r="F265" i="45"/>
  <c r="F266" i="45"/>
  <c r="F267" i="45"/>
  <c r="H263" i="45"/>
  <c r="G263" i="45"/>
  <c r="F263" i="45"/>
  <c r="F273" i="45"/>
  <c r="G273" i="45"/>
  <c r="H273" i="45"/>
  <c r="E273" i="45"/>
  <c r="M170" i="45"/>
  <c r="M114" i="45"/>
  <c r="M144" i="45"/>
  <c r="M219" i="45"/>
  <c r="K156" i="45"/>
  <c r="E262" i="45" l="1"/>
  <c r="H259" i="45"/>
  <c r="G259" i="45"/>
  <c r="F259" i="45"/>
  <c r="H258" i="45"/>
  <c r="G258" i="45"/>
  <c r="F258" i="45"/>
  <c r="H257" i="45"/>
  <c r="G257" i="45"/>
  <c r="F257" i="45"/>
  <c r="H256" i="45"/>
  <c r="G256" i="45"/>
  <c r="F256" i="45"/>
  <c r="H253" i="45"/>
  <c r="G253" i="45"/>
  <c r="F253" i="45"/>
  <c r="H252" i="45"/>
  <c r="H262" i="45" s="1"/>
  <c r="G252" i="45"/>
  <c r="G262" i="45" s="1"/>
  <c r="F252" i="45"/>
  <c r="F262" i="45" s="1"/>
  <c r="E251" i="45"/>
  <c r="H241" i="45"/>
  <c r="H242" i="45"/>
  <c r="H243" i="45"/>
  <c r="G241" i="45"/>
  <c r="G242" i="45"/>
  <c r="G243" i="45"/>
  <c r="F241" i="45"/>
  <c r="F242" i="45"/>
  <c r="F243" i="45"/>
  <c r="H240" i="45"/>
  <c r="H251" i="45" s="1"/>
  <c r="G240" i="45"/>
  <c r="G251" i="45" s="1"/>
  <c r="F240" i="45"/>
  <c r="F251" i="45" s="1"/>
  <c r="H235" i="45" l="1"/>
  <c r="G235" i="45"/>
  <c r="F235" i="45"/>
  <c r="H234" i="45"/>
  <c r="G234" i="45"/>
  <c r="F234" i="45"/>
  <c r="H233" i="45"/>
  <c r="G233" i="45"/>
  <c r="F233" i="45"/>
  <c r="H231" i="45"/>
  <c r="H232" i="45"/>
  <c r="G232" i="45"/>
  <c r="F232" i="45"/>
  <c r="G231" i="45"/>
  <c r="F231" i="45"/>
  <c r="H230" i="45"/>
  <c r="G230" i="45"/>
  <c r="F230" i="45"/>
  <c r="F239" i="45"/>
  <c r="G239" i="45"/>
  <c r="H239" i="45"/>
  <c r="E239" i="45"/>
  <c r="E229" i="45"/>
  <c r="G228" i="45"/>
  <c r="H227" i="45"/>
  <c r="G227" i="45"/>
  <c r="F227" i="45"/>
  <c r="H226" i="45"/>
  <c r="G226" i="45"/>
  <c r="F226" i="45"/>
  <c r="H225" i="45"/>
  <c r="G225" i="45"/>
  <c r="F225" i="45"/>
  <c r="H224" i="45"/>
  <c r="H229" i="45" s="1"/>
  <c r="G224" i="45"/>
  <c r="F224" i="45"/>
  <c r="G223" i="45" l="1"/>
  <c r="G229" i="45" s="1"/>
  <c r="F223" i="45"/>
  <c r="F229" i="45" s="1"/>
  <c r="E222" i="45" l="1"/>
  <c r="H218" i="45"/>
  <c r="G218" i="45"/>
  <c r="F218" i="45"/>
  <c r="H212" i="45"/>
  <c r="G212" i="45"/>
  <c r="F212" i="45"/>
  <c r="H211" i="45"/>
  <c r="G211" i="45"/>
  <c r="F211" i="45"/>
  <c r="H210" i="45"/>
  <c r="F210" i="45"/>
  <c r="G210" i="45"/>
  <c r="H209" i="45"/>
  <c r="G209" i="45"/>
  <c r="F209" i="45"/>
  <c r="H208" i="45"/>
  <c r="H222" i="45" s="1"/>
  <c r="G208" i="45"/>
  <c r="G222" i="45" s="1"/>
  <c r="F208" i="45"/>
  <c r="F222" i="45" s="1"/>
  <c r="H200" i="45" l="1"/>
  <c r="G200" i="45"/>
  <c r="F200" i="45"/>
  <c r="H199" i="45"/>
  <c r="G199" i="45"/>
  <c r="F199" i="45"/>
  <c r="H198" i="45"/>
  <c r="G198" i="45"/>
  <c r="F198" i="45"/>
  <c r="H197" i="45"/>
  <c r="G197" i="45"/>
  <c r="F197" i="45"/>
  <c r="H196" i="45"/>
  <c r="G196" i="45"/>
  <c r="F196" i="45"/>
  <c r="H192" i="45"/>
  <c r="H193" i="45"/>
  <c r="H194" i="45"/>
  <c r="H195" i="45"/>
  <c r="G192" i="45"/>
  <c r="G193" i="45"/>
  <c r="G194" i="45"/>
  <c r="G195" i="45"/>
  <c r="F192" i="45"/>
  <c r="F193" i="45"/>
  <c r="F194" i="45"/>
  <c r="F195" i="45"/>
  <c r="H191" i="45"/>
  <c r="G191" i="45"/>
  <c r="F191" i="45"/>
  <c r="H189" i="45"/>
  <c r="G189" i="45"/>
  <c r="F189" i="45"/>
  <c r="H188" i="45"/>
  <c r="G188" i="45"/>
  <c r="F188" i="45"/>
  <c r="H184" i="45"/>
  <c r="H185" i="45"/>
  <c r="H186" i="45"/>
  <c r="H187" i="45"/>
  <c r="G184" i="45"/>
  <c r="G185" i="45"/>
  <c r="G186" i="45"/>
  <c r="G187" i="45"/>
  <c r="F184" i="45"/>
  <c r="F185" i="45"/>
  <c r="F186" i="45"/>
  <c r="F187" i="45"/>
  <c r="H183" i="45"/>
  <c r="G183" i="45"/>
  <c r="F183" i="45"/>
  <c r="H181" i="45"/>
  <c r="G181" i="45"/>
  <c r="F181" i="45"/>
  <c r="H180" i="45"/>
  <c r="G180" i="45"/>
  <c r="F180" i="45"/>
  <c r="F207" i="45"/>
  <c r="G207" i="45"/>
  <c r="H207" i="45"/>
  <c r="E207" i="45"/>
  <c r="F190" i="45"/>
  <c r="G190" i="45"/>
  <c r="H190" i="45"/>
  <c r="E190" i="45"/>
  <c r="E179" i="45"/>
  <c r="H169" i="45"/>
  <c r="G169" i="45"/>
  <c r="F169" i="45"/>
  <c r="H168" i="45"/>
  <c r="G168" i="45"/>
  <c r="F168" i="45"/>
  <c r="H167" i="45"/>
  <c r="G167" i="45"/>
  <c r="F167" i="45"/>
  <c r="G166" i="45"/>
  <c r="F166" i="45"/>
  <c r="E162" i="45"/>
  <c r="G161" i="45"/>
  <c r="F161" i="45"/>
  <c r="G160" i="45"/>
  <c r="F160" i="45"/>
  <c r="H165" i="45"/>
  <c r="G165" i="45"/>
  <c r="F165" i="45"/>
  <c r="H164" i="45"/>
  <c r="G164" i="45"/>
  <c r="F164" i="45"/>
  <c r="H163" i="45"/>
  <c r="H179" i="45" s="1"/>
  <c r="G163" i="45"/>
  <c r="G179" i="45" s="1"/>
  <c r="F163" i="45"/>
  <c r="F179" i="45" s="1"/>
  <c r="H159" i="45"/>
  <c r="G159" i="45"/>
  <c r="F159" i="45"/>
  <c r="H157" i="45"/>
  <c r="G157" i="45"/>
  <c r="F157" i="45"/>
  <c r="H155" i="45"/>
  <c r="G155" i="45"/>
  <c r="F155" i="45"/>
  <c r="H153" i="45"/>
  <c r="H162" i="45" s="1"/>
  <c r="G153" i="45"/>
  <c r="G162" i="45" s="1"/>
  <c r="F153" i="45"/>
  <c r="F162" i="45" s="1"/>
  <c r="E151" i="45" l="1"/>
  <c r="H148" i="45"/>
  <c r="H149" i="45"/>
  <c r="H150" i="45"/>
  <c r="G149" i="45"/>
  <c r="G150" i="45"/>
  <c r="F149" i="45"/>
  <c r="F150" i="45"/>
  <c r="G148" i="45"/>
  <c r="F148" i="45"/>
  <c r="H147" i="45"/>
  <c r="G147" i="45"/>
  <c r="F147" i="45"/>
  <c r="H146" i="45"/>
  <c r="F146" i="45"/>
  <c r="H144" i="45"/>
  <c r="F144" i="45"/>
  <c r="H145" i="45"/>
  <c r="G144" i="45"/>
  <c r="G145" i="45"/>
  <c r="G146" i="45"/>
  <c r="F145" i="45"/>
  <c r="H143" i="45"/>
  <c r="G143" i="45"/>
  <c r="F143" i="45"/>
  <c r="H140" i="45"/>
  <c r="H151" i="45" s="1"/>
  <c r="G140" i="45"/>
  <c r="G151" i="45" s="1"/>
  <c r="F140" i="45"/>
  <c r="F151" i="45" s="1"/>
  <c r="E138" i="45"/>
  <c r="H135" i="45"/>
  <c r="G135" i="45"/>
  <c r="F135" i="45"/>
  <c r="H134" i="45"/>
  <c r="F134" i="45"/>
  <c r="H133" i="45"/>
  <c r="G134" i="45"/>
  <c r="G133" i="45"/>
  <c r="F133" i="45"/>
  <c r="H132" i="45"/>
  <c r="H138" i="45" s="1"/>
  <c r="G132" i="45"/>
  <c r="G138" i="45" s="1"/>
  <c r="F132" i="45"/>
  <c r="F138" i="45" s="1"/>
  <c r="H82" i="45"/>
  <c r="E81" i="45"/>
  <c r="H79" i="45"/>
  <c r="H81" i="45" s="1"/>
  <c r="G79" i="45"/>
  <c r="G81" i="45" s="1"/>
  <c r="F79" i="45"/>
  <c r="F81" i="45" s="1"/>
  <c r="H128" i="45"/>
  <c r="H129" i="45"/>
  <c r="G128" i="45"/>
  <c r="G129" i="45"/>
  <c r="F128" i="45"/>
  <c r="F129" i="45"/>
  <c r="H127" i="45"/>
  <c r="G127" i="45"/>
  <c r="F127" i="45"/>
  <c r="H122" i="45"/>
  <c r="H131" i="45" s="1"/>
  <c r="G122" i="45"/>
  <c r="G131" i="45" s="1"/>
  <c r="F122" i="45"/>
  <c r="F131" i="45" s="1"/>
  <c r="E121" i="45"/>
  <c r="G120" i="45"/>
  <c r="F120" i="45"/>
  <c r="H119" i="45"/>
  <c r="G119" i="45"/>
  <c r="F119" i="45"/>
  <c r="G118" i="45"/>
  <c r="F118" i="45"/>
  <c r="H114" i="45"/>
  <c r="G114" i="45"/>
  <c r="F114" i="45"/>
  <c r="H112" i="45"/>
  <c r="G112" i="45"/>
  <c r="F112" i="45"/>
  <c r="H111" i="45"/>
  <c r="H121" i="45" s="1"/>
  <c r="G111" i="45"/>
  <c r="G121" i="45" s="1"/>
  <c r="F111" i="45"/>
  <c r="F121" i="45" s="1"/>
  <c r="E131" i="45"/>
  <c r="H109" i="45"/>
  <c r="G109" i="45"/>
  <c r="F109" i="45"/>
  <c r="H108" i="45"/>
  <c r="G108" i="45"/>
  <c r="H107" i="45"/>
  <c r="F107" i="45"/>
  <c r="G107" i="45"/>
  <c r="H106" i="45"/>
  <c r="G106" i="45"/>
  <c r="F106" i="45"/>
  <c r="F110" i="45"/>
  <c r="G110" i="45"/>
  <c r="H110" i="45"/>
  <c r="E110" i="45"/>
  <c r="H103" i="45"/>
  <c r="G103" i="45"/>
  <c r="F103" i="45"/>
  <c r="H99" i="45"/>
  <c r="G99" i="45"/>
  <c r="F99" i="45"/>
  <c r="H98" i="45"/>
  <c r="G98" i="45"/>
  <c r="F98" i="45"/>
  <c r="H97" i="45"/>
  <c r="G97" i="45"/>
  <c r="F97" i="45"/>
  <c r="H96" i="45"/>
  <c r="G96" i="45"/>
  <c r="F96" i="45"/>
  <c r="H95" i="45"/>
  <c r="G95" i="45"/>
  <c r="F95" i="45"/>
  <c r="H93" i="45"/>
  <c r="G93" i="45"/>
  <c r="F93" i="45"/>
  <c r="H92" i="45"/>
  <c r="G92" i="45"/>
  <c r="G104" i="45"/>
  <c r="H104" i="45"/>
  <c r="E104" i="45"/>
  <c r="F92" i="45" l="1"/>
  <c r="F104" i="45" s="1"/>
  <c r="E91" i="45"/>
  <c r="H90" i="45"/>
  <c r="G90" i="45"/>
  <c r="H87" i="45"/>
  <c r="G87" i="45"/>
  <c r="H86" i="45"/>
  <c r="G86" i="45"/>
  <c r="F86" i="45"/>
  <c r="H84" i="45"/>
  <c r="G84" i="45"/>
  <c r="F84" i="45"/>
  <c r="H83" i="45"/>
  <c r="G83" i="45"/>
  <c r="F83" i="45"/>
  <c r="H91" i="45"/>
  <c r="G82" i="45"/>
  <c r="G91" i="45" s="1"/>
  <c r="F82" i="45"/>
  <c r="F91" i="45" s="1"/>
  <c r="E78" i="45"/>
  <c r="H75" i="45"/>
  <c r="G75" i="45"/>
  <c r="F75" i="45"/>
  <c r="H73" i="45"/>
  <c r="G73" i="45"/>
  <c r="F73" i="45"/>
  <c r="H69" i="45"/>
  <c r="G69" i="45"/>
  <c r="F69" i="45"/>
  <c r="H68" i="45"/>
  <c r="H78" i="45" s="1"/>
  <c r="G68" i="45"/>
  <c r="G78" i="45" s="1"/>
  <c r="F68" i="45"/>
  <c r="F78" i="45" s="1"/>
  <c r="E67" i="45"/>
  <c r="H65" i="45"/>
  <c r="G65" i="45"/>
  <c r="H62" i="45"/>
  <c r="H67" i="45" s="1"/>
  <c r="G62" i="45"/>
  <c r="G67" i="45" s="1"/>
  <c r="F62" i="45"/>
  <c r="F67" i="45" s="1"/>
  <c r="E61" i="45"/>
  <c r="F60" i="45"/>
  <c r="H56" i="45"/>
  <c r="G56" i="45"/>
  <c r="F56" i="45"/>
  <c r="H55" i="45"/>
  <c r="G55" i="45"/>
  <c r="F55" i="45"/>
  <c r="H54" i="45"/>
  <c r="G54" i="45"/>
  <c r="F54" i="45"/>
  <c r="H51" i="45"/>
  <c r="H61" i="45" s="1"/>
  <c r="G51" i="45"/>
  <c r="G61" i="45" s="1"/>
  <c r="F51" i="45"/>
  <c r="F61" i="45" s="1"/>
  <c r="E50" i="45" l="1"/>
  <c r="H47" i="45"/>
  <c r="G47" i="45"/>
  <c r="H46" i="45"/>
  <c r="G46" i="45"/>
  <c r="F46" i="45"/>
  <c r="H45" i="45"/>
  <c r="G45" i="45"/>
  <c r="F45" i="45"/>
  <c r="H44" i="45"/>
  <c r="H50" i="45" s="1"/>
  <c r="G44" i="45"/>
  <c r="G50" i="45" s="1"/>
  <c r="F44" i="45"/>
  <c r="F50" i="45" s="1"/>
  <c r="E43" i="45" l="1"/>
  <c r="H42" i="45"/>
  <c r="G42" i="45"/>
  <c r="F42" i="45"/>
  <c r="H41" i="45"/>
  <c r="G41" i="45"/>
  <c r="F41" i="45"/>
  <c r="F39" i="45"/>
  <c r="H39" i="45"/>
  <c r="G39" i="45"/>
  <c r="H36" i="45"/>
  <c r="G36" i="45"/>
  <c r="F36" i="45"/>
  <c r="H34" i="45"/>
  <c r="G34" i="45"/>
  <c r="F34" i="45"/>
  <c r="H33" i="45"/>
  <c r="H43" i="45" s="1"/>
  <c r="G33" i="45"/>
  <c r="G43" i="45" s="1"/>
  <c r="F33" i="45"/>
  <c r="F43" i="45" s="1"/>
  <c r="H29" i="45"/>
  <c r="G29" i="45"/>
  <c r="F29" i="45"/>
  <c r="H27" i="45"/>
  <c r="G27" i="45"/>
  <c r="F27" i="45"/>
  <c r="H24" i="45"/>
  <c r="G24" i="45"/>
  <c r="F24" i="45"/>
  <c r="F32" i="45"/>
  <c r="G32" i="45"/>
  <c r="H32" i="45"/>
  <c r="E32" i="45"/>
  <c r="E22" i="45"/>
  <c r="H18" i="45"/>
  <c r="G18" i="45"/>
  <c r="F18" i="45"/>
  <c r="H16" i="45"/>
  <c r="G16" i="45"/>
  <c r="F16" i="45"/>
  <c r="H13" i="45"/>
  <c r="H22" i="45" s="1"/>
  <c r="G13" i="45"/>
  <c r="G22" i="45" s="1"/>
  <c r="F13" i="45"/>
  <c r="F22" i="45" s="1"/>
  <c r="E12" i="45"/>
  <c r="H6" i="45"/>
  <c r="H12" i="45" s="1"/>
  <c r="G6" i="45"/>
  <c r="G12" i="45" s="1"/>
  <c r="F6" i="45"/>
  <c r="F12" i="45" s="1"/>
  <c r="G5" i="45"/>
  <c r="E5" i="45"/>
  <c r="H2" i="45"/>
  <c r="H5" i="45" s="1"/>
  <c r="F2" i="45"/>
  <c r="F5" i="45" s="1"/>
  <c r="E297" i="44" l="1"/>
  <c r="H294" i="44"/>
  <c r="G294" i="44"/>
  <c r="F294" i="44"/>
  <c r="H292" i="44"/>
  <c r="H297" i="44" s="1"/>
  <c r="G292" i="44"/>
  <c r="G297" i="44" s="1"/>
  <c r="F292" i="44"/>
  <c r="F297" i="44" s="1"/>
  <c r="H283" i="44"/>
  <c r="G283" i="44"/>
  <c r="H280" i="44"/>
  <c r="G280" i="44"/>
  <c r="F280" i="44"/>
  <c r="H279" i="44"/>
  <c r="G279" i="44"/>
  <c r="F279" i="44"/>
  <c r="H278" i="44"/>
  <c r="G278" i="44"/>
  <c r="F278" i="44"/>
  <c r="H277" i="44"/>
  <c r="G277" i="44"/>
  <c r="F277" i="44"/>
  <c r="H275" i="44"/>
  <c r="G275" i="44"/>
  <c r="F275" i="44"/>
  <c r="H274" i="44"/>
  <c r="H289" i="44" s="1"/>
  <c r="G274" i="44"/>
  <c r="G289" i="44" s="1"/>
  <c r="F274" i="44"/>
  <c r="F289" i="44" s="1"/>
  <c r="E289" i="44"/>
  <c r="H272" i="44"/>
  <c r="G272" i="44"/>
  <c r="F272" i="44"/>
  <c r="H271" i="44"/>
  <c r="G271" i="44"/>
  <c r="F271" i="44"/>
  <c r="H270" i="44"/>
  <c r="G270" i="44"/>
  <c r="F270" i="44"/>
  <c r="H268" i="44"/>
  <c r="G268" i="44"/>
  <c r="F268" i="44"/>
  <c r="H265" i="44"/>
  <c r="H273" i="44" s="1"/>
  <c r="G265" i="44"/>
  <c r="G273" i="44" s="1"/>
  <c r="F265" i="44"/>
  <c r="F273" i="44" s="1"/>
  <c r="H259" i="44"/>
  <c r="H264" i="44"/>
  <c r="G259" i="44"/>
  <c r="G264" i="44" s="1"/>
  <c r="F259" i="44"/>
  <c r="F264" i="44" s="1"/>
  <c r="E264" i="44"/>
  <c r="E273" i="44"/>
  <c r="E256" i="44"/>
  <c r="H254" i="44"/>
  <c r="G254" i="44"/>
  <c r="H253" i="44"/>
  <c r="G253" i="44"/>
  <c r="F253" i="44"/>
  <c r="H252" i="44"/>
  <c r="H256" i="44" s="1"/>
  <c r="G252" i="44"/>
  <c r="G256" i="44" s="1"/>
  <c r="F252" i="44"/>
  <c r="F256" i="44" s="1"/>
  <c r="E251" i="44" l="1"/>
  <c r="H248" i="44"/>
  <c r="H251" i="44" s="1"/>
  <c r="G248" i="44"/>
  <c r="G251" i="44" s="1"/>
  <c r="F248" i="44"/>
  <c r="F251" i="44" s="1"/>
  <c r="E245" i="44" l="1"/>
  <c r="H243" i="44"/>
  <c r="G243" i="44"/>
  <c r="F243" i="44"/>
  <c r="H241" i="44"/>
  <c r="G241" i="44"/>
  <c r="F241" i="44"/>
  <c r="H239" i="44"/>
  <c r="G239" i="44"/>
  <c r="F239" i="44"/>
  <c r="H238" i="44"/>
  <c r="G238" i="44"/>
  <c r="F238" i="44"/>
  <c r="H237" i="44"/>
  <c r="H245" i="44" s="1"/>
  <c r="G237" i="44"/>
  <c r="G245" i="44" s="1"/>
  <c r="F237" i="44"/>
  <c r="F245" i="44" s="1"/>
  <c r="E236" i="44" l="1"/>
  <c r="H234" i="44"/>
  <c r="G234" i="44"/>
  <c r="H230" i="44"/>
  <c r="G230" i="44"/>
  <c r="F230" i="44"/>
  <c r="H229" i="44"/>
  <c r="G229" i="44"/>
  <c r="F229" i="44"/>
  <c r="H228" i="44"/>
  <c r="G228" i="44"/>
  <c r="F228" i="44"/>
  <c r="H227" i="44"/>
  <c r="H236" i="44" s="1"/>
  <c r="G227" i="44"/>
  <c r="F227" i="44"/>
  <c r="G226" i="44"/>
  <c r="G236" i="44" s="1"/>
  <c r="F226" i="44"/>
  <c r="F236" i="44" s="1"/>
  <c r="E225" i="44"/>
  <c r="H220" i="44"/>
  <c r="G220" i="44"/>
  <c r="F217" i="44"/>
  <c r="H215" i="44"/>
  <c r="G215" i="44"/>
  <c r="F215" i="44"/>
  <c r="H213" i="44"/>
  <c r="G213" i="44"/>
  <c r="F213" i="44"/>
  <c r="H211" i="44"/>
  <c r="H225" i="44" s="1"/>
  <c r="G211" i="44"/>
  <c r="G225" i="44" s="1"/>
  <c r="F211" i="44"/>
  <c r="F225" i="44" s="1"/>
  <c r="E210" i="44" l="1"/>
  <c r="G209" i="44"/>
  <c r="F205" i="44"/>
  <c r="H203" i="44"/>
  <c r="H210" i="44" s="1"/>
  <c r="G203" i="44"/>
  <c r="G210" i="44" s="1"/>
  <c r="F203" i="44"/>
  <c r="F210" i="44" s="1"/>
  <c r="H198" i="44"/>
  <c r="G198" i="44"/>
  <c r="F198" i="44"/>
  <c r="H199" i="44"/>
  <c r="G199" i="44"/>
  <c r="F199" i="44"/>
  <c r="F197" i="44"/>
  <c r="H197" i="44"/>
  <c r="G197" i="44"/>
  <c r="H195" i="44"/>
  <c r="G195" i="44"/>
  <c r="F195" i="44"/>
  <c r="G194" i="44"/>
  <c r="F194" i="44"/>
  <c r="E193" i="44"/>
  <c r="E202" i="44" l="1"/>
  <c r="H193" i="44"/>
  <c r="H202" i="44" s="1"/>
  <c r="G193" i="44"/>
  <c r="G202" i="44" s="1"/>
  <c r="F193" i="44"/>
  <c r="F202" i="44" s="1"/>
  <c r="H191" i="44"/>
  <c r="G191" i="44"/>
  <c r="F191" i="44"/>
  <c r="H190" i="44"/>
  <c r="G190" i="44"/>
  <c r="F190" i="44"/>
  <c r="H189" i="44"/>
  <c r="G189" i="44"/>
  <c r="F189" i="44"/>
  <c r="H188" i="44"/>
  <c r="G188" i="44"/>
  <c r="F188" i="44"/>
  <c r="H187" i="44"/>
  <c r="G187" i="44"/>
  <c r="F187" i="44"/>
  <c r="H186" i="44"/>
  <c r="G186" i="44"/>
  <c r="F186" i="44"/>
  <c r="E184" i="44"/>
  <c r="H183" i="44"/>
  <c r="H192" i="44" s="1"/>
  <c r="G183" i="44"/>
  <c r="F183" i="44"/>
  <c r="G182" i="44"/>
  <c r="F182" i="44"/>
  <c r="H174" i="44"/>
  <c r="G174" i="44"/>
  <c r="F174" i="44"/>
  <c r="G172" i="44"/>
  <c r="G171" i="44"/>
  <c r="F171" i="44"/>
  <c r="E170" i="44"/>
  <c r="G169" i="44"/>
  <c r="F169" i="44"/>
  <c r="E168" i="44"/>
  <c r="G167" i="44"/>
  <c r="F167" i="44"/>
  <c r="H166" i="44"/>
  <c r="G166" i="44"/>
  <c r="F166" i="44"/>
  <c r="H165" i="44"/>
  <c r="G165" i="44"/>
  <c r="F165" i="44"/>
  <c r="H163" i="44"/>
  <c r="H168" i="44" s="1"/>
  <c r="G163" i="44"/>
  <c r="G168" i="44" s="1"/>
  <c r="F163" i="44"/>
  <c r="F168" i="44" s="1"/>
  <c r="E162" i="44"/>
  <c r="H161" i="44"/>
  <c r="G161" i="44"/>
  <c r="F161" i="44"/>
  <c r="H159" i="44"/>
  <c r="G159" i="44"/>
  <c r="F159" i="44"/>
  <c r="G158" i="44"/>
  <c r="F158" i="44"/>
  <c r="H157" i="44"/>
  <c r="G157" i="44"/>
  <c r="F157" i="44"/>
  <c r="H156" i="44"/>
  <c r="G156" i="44"/>
  <c r="F156" i="44"/>
  <c r="H155" i="44"/>
  <c r="G155" i="44"/>
  <c r="F155" i="44"/>
  <c r="H153" i="44"/>
  <c r="G153" i="44"/>
  <c r="F153" i="44"/>
  <c r="H152" i="44"/>
  <c r="G152" i="44"/>
  <c r="F152" i="44"/>
  <c r="G151" i="44"/>
  <c r="F151" i="44"/>
  <c r="H150" i="44"/>
  <c r="G150" i="44"/>
  <c r="F150" i="44"/>
  <c r="H149" i="44"/>
  <c r="G149" i="44"/>
  <c r="F149" i="44"/>
  <c r="H148" i="44"/>
  <c r="H162" i="44" s="1"/>
  <c r="G148" i="44"/>
  <c r="G162" i="44" s="1"/>
  <c r="F148" i="44"/>
  <c r="F162" i="44" s="1"/>
  <c r="E147" i="44"/>
  <c r="H143" i="44"/>
  <c r="G143" i="44"/>
  <c r="F143" i="44"/>
  <c r="H142" i="44"/>
  <c r="G142" i="44"/>
  <c r="F142" i="44"/>
  <c r="H141" i="44"/>
  <c r="G141" i="44"/>
  <c r="F141" i="44"/>
  <c r="H140" i="44"/>
  <c r="G140" i="44"/>
  <c r="F140" i="44"/>
  <c r="H139" i="44"/>
  <c r="H147" i="44" s="1"/>
  <c r="G139" i="44"/>
  <c r="F139" i="44"/>
  <c r="F137" i="44"/>
  <c r="G136" i="44"/>
  <c r="G147" i="44" s="1"/>
  <c r="F136" i="44"/>
  <c r="F147" i="44" s="1"/>
  <c r="E135" i="44"/>
  <c r="H134" i="44"/>
  <c r="G134" i="44"/>
  <c r="F134" i="44"/>
  <c r="H133" i="44"/>
  <c r="H132" i="44"/>
  <c r="F133" i="44"/>
  <c r="G133" i="44"/>
  <c r="G132" i="44"/>
  <c r="F132" i="44"/>
  <c r="H131" i="44"/>
  <c r="G131" i="44"/>
  <c r="F131" i="44"/>
  <c r="H129" i="44"/>
  <c r="G129" i="44"/>
  <c r="F129" i="44"/>
  <c r="H128" i="44"/>
  <c r="G128" i="44"/>
  <c r="F128" i="44"/>
  <c r="H127" i="44"/>
  <c r="H135" i="44" s="1"/>
  <c r="G127" i="44"/>
  <c r="G135" i="44" s="1"/>
  <c r="F127" i="44"/>
  <c r="F135" i="44" s="1"/>
  <c r="E126" i="44"/>
  <c r="H125" i="44"/>
  <c r="G125" i="44"/>
  <c r="F125" i="44"/>
  <c r="H124" i="44"/>
  <c r="G124" i="44"/>
  <c r="F124" i="44"/>
  <c r="H122" i="44"/>
  <c r="G122" i="44"/>
  <c r="F122" i="44"/>
  <c r="H121" i="44"/>
  <c r="F121" i="44"/>
  <c r="G121" i="44"/>
  <c r="H120" i="44"/>
  <c r="G120" i="44"/>
  <c r="F120" i="44"/>
  <c r="H119" i="44"/>
  <c r="G119" i="44"/>
  <c r="F119" i="44"/>
  <c r="H118" i="44"/>
  <c r="F118" i="44"/>
  <c r="G118" i="44"/>
  <c r="H117" i="44"/>
  <c r="G117" i="44"/>
  <c r="F117" i="44"/>
  <c r="H116" i="44"/>
  <c r="G116" i="44"/>
  <c r="F116" i="44"/>
  <c r="H115" i="44"/>
  <c r="G115" i="44"/>
  <c r="F115" i="44"/>
  <c r="H114" i="44"/>
  <c r="H126" i="44" s="1"/>
  <c r="G114" i="44"/>
  <c r="G126" i="44" s="1"/>
  <c r="F114" i="44"/>
  <c r="F126" i="44" s="1"/>
  <c r="E113" i="44"/>
  <c r="H109" i="44"/>
  <c r="G109" i="44"/>
  <c r="F109" i="44"/>
  <c r="H108" i="44"/>
  <c r="G108" i="44"/>
  <c r="F108" i="44"/>
  <c r="H106" i="44"/>
  <c r="H113" i="44" s="1"/>
  <c r="G106" i="44"/>
  <c r="G113" i="44" s="1"/>
  <c r="F106" i="44"/>
  <c r="F113" i="44" s="1"/>
  <c r="E105" i="44"/>
  <c r="H99" i="44"/>
  <c r="G99" i="44"/>
  <c r="G96" i="44"/>
  <c r="H95" i="44"/>
  <c r="H105" i="44" s="1"/>
  <c r="G95" i="44"/>
  <c r="F95" i="44"/>
  <c r="G94" i="44"/>
  <c r="G105" i="44" s="1"/>
  <c r="F94" i="44"/>
  <c r="F105" i="44" s="1"/>
  <c r="E93" i="44"/>
  <c r="H92" i="44"/>
  <c r="G92" i="44"/>
  <c r="F92" i="44"/>
  <c r="H89" i="44"/>
  <c r="G89" i="44"/>
  <c r="F89" i="44"/>
  <c r="H88" i="44"/>
  <c r="G88" i="44"/>
  <c r="F88" i="44"/>
  <c r="H87" i="44"/>
  <c r="G87" i="44"/>
  <c r="F87" i="44"/>
  <c r="H86" i="44"/>
  <c r="H93" i="44" s="1"/>
  <c r="G86" i="44"/>
  <c r="G93" i="44" s="1"/>
  <c r="F86" i="44"/>
  <c r="F93" i="44" s="1"/>
  <c r="E84" i="44"/>
  <c r="H83" i="44"/>
  <c r="G83" i="44"/>
  <c r="F83" i="44"/>
  <c r="H82" i="44"/>
  <c r="H79" i="44"/>
  <c r="G79" i="44"/>
  <c r="F79" i="44"/>
  <c r="H78" i="44"/>
  <c r="G78" i="44"/>
  <c r="F78" i="44"/>
  <c r="H77" i="44"/>
  <c r="G77" i="44"/>
  <c r="F77" i="44"/>
  <c r="H75" i="44"/>
  <c r="G75" i="44"/>
  <c r="H74" i="44"/>
  <c r="G74" i="44"/>
  <c r="F74" i="44"/>
  <c r="H73" i="44"/>
  <c r="G73" i="44"/>
  <c r="F73" i="44"/>
  <c r="H72" i="44"/>
  <c r="H84" i="44" s="1"/>
  <c r="G72" i="44"/>
  <c r="G84" i="44" s="1"/>
  <c r="F72" i="44"/>
  <c r="F84" i="44" s="1"/>
  <c r="E71" i="44"/>
  <c r="H70" i="44"/>
  <c r="G70" i="44"/>
  <c r="F70" i="44"/>
  <c r="G69" i="44"/>
  <c r="F69" i="44"/>
  <c r="H68" i="44"/>
  <c r="G68" i="44"/>
  <c r="H67" i="44"/>
  <c r="G67" i="44"/>
  <c r="F67" i="44"/>
  <c r="H66" i="44"/>
  <c r="G66" i="44"/>
  <c r="F66" i="44"/>
  <c r="H65" i="44"/>
  <c r="H71" i="44" s="1"/>
  <c r="G65" i="44"/>
  <c r="G71" i="44" s="1"/>
  <c r="F65" i="44"/>
  <c r="F71" i="44" s="1"/>
  <c r="E64" i="44"/>
  <c r="H63" i="44"/>
  <c r="G63" i="44"/>
  <c r="F63" i="44"/>
  <c r="H60" i="44"/>
  <c r="G60" i="44"/>
  <c r="F60" i="44"/>
  <c r="H58" i="44"/>
  <c r="G58" i="44"/>
  <c r="F58" i="44"/>
  <c r="H56" i="44"/>
  <c r="H64" i="44" s="1"/>
  <c r="G56" i="44"/>
  <c r="G64" i="44" s="1"/>
  <c r="F56" i="44"/>
  <c r="F64" i="44" s="1"/>
  <c r="E54" i="44"/>
  <c r="H53" i="44"/>
  <c r="G53" i="44"/>
  <c r="F53" i="44"/>
  <c r="H51" i="44"/>
  <c r="G51" i="44"/>
  <c r="F51" i="44"/>
  <c r="H49" i="44"/>
  <c r="G49" i="44"/>
  <c r="F49" i="44"/>
  <c r="H47" i="44"/>
  <c r="G47" i="44"/>
  <c r="F47" i="44"/>
  <c r="G46" i="44"/>
  <c r="F46" i="44"/>
  <c r="H45" i="44"/>
  <c r="H54" i="44" s="1"/>
  <c r="G45" i="44"/>
  <c r="F45" i="44"/>
  <c r="G44" i="44"/>
  <c r="G54" i="44" s="1"/>
  <c r="F44" i="44"/>
  <c r="F54" i="44" s="1"/>
  <c r="E43" i="44"/>
  <c r="G42" i="44"/>
  <c r="F42" i="44"/>
  <c r="G41" i="44"/>
  <c r="F41" i="44"/>
  <c r="H38" i="44"/>
  <c r="G38" i="44"/>
  <c r="F38" i="44"/>
  <c r="H35" i="44"/>
  <c r="G35" i="44"/>
  <c r="F35" i="44"/>
  <c r="H34" i="44"/>
  <c r="G34" i="44"/>
  <c r="F34" i="44"/>
  <c r="H33" i="44"/>
  <c r="H43" i="44" s="1"/>
  <c r="G33" i="44"/>
  <c r="G43" i="44" s="1"/>
  <c r="F33" i="44"/>
  <c r="F43" i="44" s="1"/>
  <c r="E181" i="44" l="1"/>
  <c r="H170" i="44"/>
  <c r="H181" i="44" s="1"/>
  <c r="G170" i="44"/>
  <c r="G181" i="44" s="1"/>
  <c r="F170" i="44"/>
  <c r="F181" i="44" s="1"/>
  <c r="E192" i="44"/>
  <c r="G184" i="44"/>
  <c r="G192" i="44" s="1"/>
  <c r="F184" i="44"/>
  <c r="F192" i="44" s="1"/>
  <c r="E32" i="44"/>
  <c r="G28" i="44"/>
  <c r="F28" i="44"/>
  <c r="H27" i="44"/>
  <c r="G27" i="44"/>
  <c r="F27" i="44"/>
  <c r="G26" i="44"/>
  <c r="F26" i="44"/>
  <c r="H25" i="44"/>
  <c r="H32" i="44" s="1"/>
  <c r="G25" i="44"/>
  <c r="G32" i="44" s="1"/>
  <c r="F25" i="44"/>
  <c r="F32" i="44" s="1"/>
  <c r="E24" i="44" l="1"/>
  <c r="H21" i="44"/>
  <c r="G21" i="44"/>
  <c r="F21" i="44"/>
  <c r="H20" i="44"/>
  <c r="G20" i="44"/>
  <c r="F20" i="44"/>
  <c r="G19" i="44"/>
  <c r="F19" i="44"/>
  <c r="H18" i="44"/>
  <c r="H24" i="44" s="1"/>
  <c r="G18" i="44"/>
  <c r="F18" i="44"/>
  <c r="G17" i="44"/>
  <c r="G24" i="44" s="1"/>
  <c r="F17" i="44"/>
  <c r="F24" i="44" s="1"/>
  <c r="L76" i="43"/>
  <c r="O218" i="43"/>
  <c r="E16" i="44"/>
  <c r="H14" i="44"/>
  <c r="G14" i="44"/>
  <c r="F14" i="44"/>
  <c r="H12" i="44"/>
  <c r="G12" i="44"/>
  <c r="F12" i="44"/>
  <c r="H11" i="44"/>
  <c r="G11" i="44"/>
  <c r="F11" i="44"/>
  <c r="K55" i="43"/>
  <c r="K231" i="43"/>
  <c r="L101" i="43"/>
  <c r="L70" i="43"/>
  <c r="L124" i="43"/>
  <c r="L225" i="43"/>
  <c r="L171" i="43"/>
  <c r="H8" i="44" l="1"/>
  <c r="G8" i="44"/>
  <c r="F8" i="44"/>
  <c r="H7" i="44"/>
  <c r="G7" i="44"/>
  <c r="F7" i="44"/>
  <c r="H6" i="44"/>
  <c r="G6" i="44"/>
  <c r="F6" i="44"/>
  <c r="H5" i="44"/>
  <c r="G5" i="44"/>
  <c r="F5" i="44"/>
  <c r="H4" i="44"/>
  <c r="G4" i="44"/>
  <c r="F4" i="44"/>
  <c r="H3" i="44"/>
  <c r="G3" i="44"/>
  <c r="F3" i="44"/>
  <c r="H2" i="44"/>
  <c r="H16" i="44" s="1"/>
  <c r="G2" i="44"/>
  <c r="G16" i="44" s="1"/>
  <c r="F2" i="44"/>
  <c r="F16" i="44" s="1"/>
  <c r="E249" i="43"/>
  <c r="H246" i="43"/>
  <c r="H249" i="43" s="1"/>
  <c r="G246" i="43"/>
  <c r="G249" i="43" s="1"/>
  <c r="F246" i="43"/>
  <c r="F249" i="43" s="1"/>
  <c r="E245" i="43"/>
  <c r="H238" i="43"/>
  <c r="H245" i="43" s="1"/>
  <c r="G238" i="43"/>
  <c r="G245" i="43" s="1"/>
  <c r="F238" i="43"/>
  <c r="F245" i="43" s="1"/>
  <c r="E237" i="43"/>
  <c r="H235" i="43"/>
  <c r="G235" i="43"/>
  <c r="F235" i="43"/>
  <c r="F237" i="43" s="1"/>
  <c r="H234" i="43"/>
  <c r="H237" i="43" s="1"/>
  <c r="G234" i="43"/>
  <c r="G237" i="43" s="1"/>
  <c r="E232" i="43"/>
  <c r="H230" i="43"/>
  <c r="G230" i="43"/>
  <c r="F230" i="43"/>
  <c r="H229" i="43"/>
  <c r="F229" i="43"/>
  <c r="G229" i="43"/>
  <c r="H228" i="43"/>
  <c r="G228" i="43"/>
  <c r="F228" i="43"/>
  <c r="H227" i="43"/>
  <c r="G227" i="43"/>
  <c r="F227" i="43"/>
  <c r="H226" i="43"/>
  <c r="G226" i="43"/>
  <c r="F226" i="43"/>
  <c r="H225" i="43"/>
  <c r="H232" i="43" s="1"/>
  <c r="G225" i="43"/>
  <c r="G232" i="43" s="1"/>
  <c r="F225" i="43"/>
  <c r="F232" i="43" s="1"/>
  <c r="E224" i="43"/>
  <c r="G223" i="43"/>
  <c r="H219" i="43"/>
  <c r="G219" i="43"/>
  <c r="F219" i="43"/>
  <c r="F224" i="43" s="1"/>
  <c r="H218" i="43"/>
  <c r="H224" i="43" s="1"/>
  <c r="G218" i="43"/>
  <c r="G224" i="43" s="1"/>
  <c r="F217" i="43"/>
  <c r="G217" i="43"/>
  <c r="H217" i="43"/>
  <c r="E217" i="43"/>
  <c r="E212" i="43" l="1"/>
  <c r="H211" i="43"/>
  <c r="G211" i="43"/>
  <c r="H210" i="43"/>
  <c r="G210" i="43"/>
  <c r="F210" i="43"/>
  <c r="G209" i="43"/>
  <c r="F209" i="43"/>
  <c r="H208" i="43"/>
  <c r="G208" i="43"/>
  <c r="H206" i="43"/>
  <c r="G206" i="43"/>
  <c r="H205" i="43"/>
  <c r="G205" i="43"/>
  <c r="F205" i="43"/>
  <c r="F212" i="43" s="1"/>
  <c r="H200" i="43"/>
  <c r="H212" i="43" s="1"/>
  <c r="G200" i="43"/>
  <c r="G212" i="43" s="1"/>
  <c r="E198" i="43"/>
  <c r="H195" i="43"/>
  <c r="G195" i="43"/>
  <c r="F195" i="43"/>
  <c r="H193" i="43"/>
  <c r="G193" i="43"/>
  <c r="F193" i="43"/>
  <c r="H192" i="43"/>
  <c r="G192" i="43"/>
  <c r="F192" i="43"/>
  <c r="H191" i="43"/>
  <c r="H198" i="43" s="1"/>
  <c r="G191" i="43"/>
  <c r="G198" i="43" s="1"/>
  <c r="F191" i="43"/>
  <c r="F198" i="43" s="1"/>
  <c r="E190" i="43" l="1"/>
  <c r="F190" i="43"/>
  <c r="H186" i="43"/>
  <c r="H190" i="43" s="1"/>
  <c r="G186" i="43"/>
  <c r="G190" i="43" s="1"/>
  <c r="E183" i="43" l="1"/>
  <c r="H181" i="43"/>
  <c r="G181" i="43"/>
  <c r="F181" i="43"/>
  <c r="H180" i="43"/>
  <c r="G180" i="43"/>
  <c r="H177" i="43"/>
  <c r="H183" i="43" s="1"/>
  <c r="G177" i="43"/>
  <c r="G183" i="43" s="1"/>
  <c r="F177" i="43"/>
  <c r="F183" i="43" s="1"/>
  <c r="E176" i="43" l="1"/>
  <c r="H171" i="43"/>
  <c r="H176" i="43" s="1"/>
  <c r="G171" i="43"/>
  <c r="G176" i="43" s="1"/>
  <c r="F171" i="43"/>
  <c r="F176" i="43" s="1"/>
  <c r="H170" i="43"/>
  <c r="E170" i="43"/>
  <c r="G169" i="43"/>
  <c r="F169" i="43"/>
  <c r="E166" i="43"/>
  <c r="H165" i="43"/>
  <c r="G165" i="43"/>
  <c r="F165" i="43"/>
  <c r="H164" i="43"/>
  <c r="G164" i="43"/>
  <c r="F164" i="43"/>
  <c r="G167" i="43"/>
  <c r="G170" i="43" s="1"/>
  <c r="F167" i="43"/>
  <c r="F170" i="43" s="1"/>
  <c r="H161" i="43"/>
  <c r="G161" i="43"/>
  <c r="F161" i="43"/>
  <c r="H160" i="43"/>
  <c r="G160" i="43"/>
  <c r="F160" i="43"/>
  <c r="H159" i="43"/>
  <c r="G159" i="43"/>
  <c r="F159" i="43"/>
  <c r="H158" i="43"/>
  <c r="G158" i="43"/>
  <c r="F158" i="43"/>
  <c r="H157" i="43"/>
  <c r="G157" i="43"/>
  <c r="F157" i="43"/>
  <c r="H156" i="43"/>
  <c r="G156" i="43"/>
  <c r="F156" i="43"/>
  <c r="H154" i="43"/>
  <c r="G154" i="43"/>
  <c r="F154" i="43"/>
  <c r="H153" i="43"/>
  <c r="G153" i="43"/>
  <c r="F153" i="43"/>
  <c r="H152" i="43"/>
  <c r="H166" i="43" s="1"/>
  <c r="G152" i="43"/>
  <c r="G166" i="43" s="1"/>
  <c r="F152" i="43"/>
  <c r="F166" i="43" s="1"/>
  <c r="E151" i="43"/>
  <c r="H150" i="43"/>
  <c r="G150" i="43"/>
  <c r="H143" i="43"/>
  <c r="H151" i="43" s="1"/>
  <c r="G143" i="43"/>
  <c r="F143" i="43"/>
  <c r="G142" i="43"/>
  <c r="G151" i="43" s="1"/>
  <c r="F142" i="43"/>
  <c r="F151" i="43" s="1"/>
  <c r="E141" i="43"/>
  <c r="H139" i="43"/>
  <c r="G139" i="43"/>
  <c r="F139" i="43"/>
  <c r="F137" i="43"/>
  <c r="G136" i="43"/>
  <c r="H136" i="43"/>
  <c r="H133" i="43"/>
  <c r="G133" i="43"/>
  <c r="F133" i="43"/>
  <c r="F131" i="43"/>
  <c r="G131" i="43"/>
  <c r="H130" i="43"/>
  <c r="H141" i="43" s="1"/>
  <c r="F130" i="43"/>
  <c r="G130" i="43"/>
  <c r="G129" i="43"/>
  <c r="G141" i="43" s="1"/>
  <c r="F129" i="43"/>
  <c r="F141" i="43" s="1"/>
  <c r="E128" i="43" l="1"/>
  <c r="H127" i="43"/>
  <c r="G127" i="43"/>
  <c r="F127" i="43"/>
  <c r="H126" i="43"/>
  <c r="G126" i="43"/>
  <c r="F126" i="43"/>
  <c r="H125" i="43"/>
  <c r="H128" i="43" s="1"/>
  <c r="G125" i="43"/>
  <c r="F125" i="43"/>
  <c r="G124" i="43"/>
  <c r="G128" i="43" s="1"/>
  <c r="F124" i="43"/>
  <c r="F128" i="43" s="1"/>
  <c r="E123" i="43"/>
  <c r="H119" i="43"/>
  <c r="G119" i="43"/>
  <c r="F119" i="43"/>
  <c r="H118" i="43"/>
  <c r="G118" i="43"/>
  <c r="F118" i="43"/>
  <c r="F117" i="43"/>
  <c r="H117" i="43"/>
  <c r="G117" i="43"/>
  <c r="H116" i="43"/>
  <c r="H123" i="43" s="1"/>
  <c r="G116" i="43"/>
  <c r="F116" i="43"/>
  <c r="G115" i="43"/>
  <c r="G123" i="43" s="1"/>
  <c r="F115" i="43"/>
  <c r="F123" i="43" s="1"/>
  <c r="F114" i="43"/>
  <c r="G114" i="43"/>
  <c r="H114" i="43"/>
  <c r="E114" i="43"/>
  <c r="E107" i="43"/>
  <c r="H103" i="43"/>
  <c r="G103" i="43"/>
  <c r="F103" i="43"/>
  <c r="H102" i="43"/>
  <c r="H107" i="43" s="1"/>
  <c r="G102" i="43"/>
  <c r="G107" i="43" s="1"/>
  <c r="F102" i="43"/>
  <c r="F107" i="43" s="1"/>
  <c r="E99" i="43"/>
  <c r="H97" i="43"/>
  <c r="G97" i="43"/>
  <c r="H96" i="43"/>
  <c r="G96" i="43"/>
  <c r="F96" i="43"/>
  <c r="H93" i="43"/>
  <c r="G93" i="43"/>
  <c r="F93" i="43"/>
  <c r="H92" i="43"/>
  <c r="G92" i="43"/>
  <c r="F92" i="43"/>
  <c r="H91" i="43"/>
  <c r="H99" i="43" s="1"/>
  <c r="G91" i="43"/>
  <c r="G99" i="43" s="1"/>
  <c r="F91" i="43"/>
  <c r="F99" i="43" s="1"/>
  <c r="E90" i="43"/>
  <c r="H83" i="43"/>
  <c r="G83" i="43"/>
  <c r="F83" i="43"/>
  <c r="H82" i="43"/>
  <c r="H90" i="43" s="1"/>
  <c r="G82" i="43"/>
  <c r="F82" i="43"/>
  <c r="G81" i="43"/>
  <c r="G90" i="43" s="1"/>
  <c r="F81" i="43"/>
  <c r="F90" i="43" s="1"/>
  <c r="E80" i="43"/>
  <c r="H76" i="43"/>
  <c r="G76" i="43"/>
  <c r="H74" i="43"/>
  <c r="G74" i="43"/>
  <c r="F74" i="43"/>
  <c r="H73" i="43"/>
  <c r="H80" i="43" s="1"/>
  <c r="G73" i="43"/>
  <c r="G80" i="43" s="1"/>
  <c r="F73" i="43"/>
  <c r="F80" i="43" s="1"/>
  <c r="E72" i="43"/>
  <c r="H70" i="43"/>
  <c r="G70" i="43"/>
  <c r="H67" i="43"/>
  <c r="G67" i="43"/>
  <c r="F67" i="43"/>
  <c r="H66" i="43"/>
  <c r="F66" i="43"/>
  <c r="G66" i="43"/>
  <c r="H65" i="43"/>
  <c r="F65" i="43"/>
  <c r="G65" i="43"/>
  <c r="H64" i="43"/>
  <c r="G64" i="43"/>
  <c r="F64" i="43"/>
  <c r="G63" i="43"/>
  <c r="F63" i="43"/>
  <c r="H62" i="43"/>
  <c r="H72" i="43" s="1"/>
  <c r="G62" i="43"/>
  <c r="F62" i="43"/>
  <c r="G61" i="43"/>
  <c r="G72" i="43" s="1"/>
  <c r="F61" i="43"/>
  <c r="F72" i="43" s="1"/>
  <c r="E60" i="43"/>
  <c r="H55" i="43"/>
  <c r="G55" i="43"/>
  <c r="F55" i="43"/>
  <c r="H54" i="43"/>
  <c r="H60" i="43" s="1"/>
  <c r="F54" i="43"/>
  <c r="G54" i="43"/>
  <c r="F53" i="43"/>
  <c r="G53" i="43"/>
  <c r="G52" i="43"/>
  <c r="G60" i="43" s="1"/>
  <c r="F52" i="43"/>
  <c r="F60" i="43" s="1"/>
  <c r="E51" i="43"/>
  <c r="G50" i="43"/>
  <c r="F50" i="43"/>
  <c r="H49" i="43"/>
  <c r="G49" i="43"/>
  <c r="F49" i="43"/>
  <c r="H48" i="43"/>
  <c r="H51" i="43" s="1"/>
  <c r="G48" i="43"/>
  <c r="G51" i="43" s="1"/>
  <c r="F48" i="43"/>
  <c r="F51" i="43" s="1"/>
  <c r="E47" i="43"/>
  <c r="G42" i="43"/>
  <c r="G41" i="43"/>
  <c r="H39" i="43"/>
  <c r="G39" i="43"/>
  <c r="F39" i="43"/>
  <c r="F38" i="43"/>
  <c r="H38" i="43"/>
  <c r="G38" i="43"/>
  <c r="H37" i="43"/>
  <c r="G37" i="43"/>
  <c r="F37" i="43"/>
  <c r="H36" i="43"/>
  <c r="H47" i="43" s="1"/>
  <c r="G36" i="43"/>
  <c r="G47" i="43" s="1"/>
  <c r="F36" i="43"/>
  <c r="F47" i="43" s="1"/>
  <c r="E35" i="43"/>
  <c r="H33" i="43"/>
  <c r="G33" i="43"/>
  <c r="F33" i="43"/>
  <c r="H32" i="43"/>
  <c r="G32" i="43"/>
  <c r="F32" i="43"/>
  <c r="G31" i="43"/>
  <c r="F31" i="43"/>
  <c r="H30" i="43"/>
  <c r="G30" i="43"/>
  <c r="F30" i="43"/>
  <c r="H29" i="43"/>
  <c r="G29" i="43"/>
  <c r="F29" i="43"/>
  <c r="H28" i="43"/>
  <c r="G28" i="43"/>
  <c r="F28" i="43"/>
  <c r="H27" i="43"/>
  <c r="H35" i="43" s="1"/>
  <c r="G27" i="43"/>
  <c r="G35" i="43" s="1"/>
  <c r="F27" i="43"/>
  <c r="F35" i="43" s="1"/>
  <c r="E26" i="43"/>
  <c r="H22" i="43"/>
  <c r="G22" i="43"/>
  <c r="F22" i="43"/>
  <c r="H21" i="43"/>
  <c r="H26" i="43" s="1"/>
  <c r="G21" i="43"/>
  <c r="G20" i="43"/>
  <c r="F20" i="43"/>
  <c r="G19" i="43"/>
  <c r="G26" i="43" s="1"/>
  <c r="F19" i="43"/>
  <c r="F26" i="43" s="1"/>
  <c r="E18" i="43"/>
  <c r="H10" i="43"/>
  <c r="G10" i="43"/>
  <c r="F10" i="43"/>
  <c r="H15" i="43"/>
  <c r="G15" i="43"/>
  <c r="F15" i="43"/>
  <c r="H12" i="43"/>
  <c r="G12" i="43"/>
  <c r="H11" i="43"/>
  <c r="G11" i="43"/>
  <c r="F11" i="43"/>
  <c r="G9" i="43"/>
  <c r="F9" i="43"/>
  <c r="H8" i="43"/>
  <c r="H18" i="43" s="1"/>
  <c r="G8" i="43"/>
  <c r="G18" i="43" s="1"/>
  <c r="F8" i="43"/>
  <c r="F18" i="43" s="1"/>
  <c r="E7" i="43"/>
  <c r="H6" i="43"/>
  <c r="G6" i="43"/>
  <c r="H3" i="43"/>
  <c r="G3" i="43"/>
  <c r="F3" i="43"/>
  <c r="F7" i="43" s="1"/>
  <c r="H2" i="43"/>
  <c r="H7" i="43" s="1"/>
  <c r="G2" i="43"/>
  <c r="G7" i="43" s="1"/>
  <c r="K222" i="42" l="1"/>
  <c r="L22" i="42"/>
  <c r="L21" i="42"/>
  <c r="L20" i="42"/>
  <c r="L19" i="42"/>
  <c r="K220" i="42"/>
  <c r="L16" i="42"/>
  <c r="L15" i="42"/>
  <c r="L14" i="42"/>
  <c r="L13" i="42"/>
  <c r="L12" i="42"/>
  <c r="L156" i="42"/>
  <c r="E223" i="42"/>
  <c r="H220" i="42"/>
  <c r="G220" i="42"/>
  <c r="F220" i="42"/>
  <c r="H219" i="42"/>
  <c r="G219" i="42"/>
  <c r="F219" i="42"/>
  <c r="H217" i="42"/>
  <c r="G217" i="42"/>
  <c r="F217" i="42"/>
  <c r="G216" i="42"/>
  <c r="H215" i="42"/>
  <c r="G215" i="42"/>
  <c r="F215" i="42"/>
  <c r="H214" i="42"/>
  <c r="G214" i="42"/>
  <c r="F214" i="42"/>
  <c r="H213" i="42"/>
  <c r="G213" i="42"/>
  <c r="F213" i="42"/>
  <c r="H212" i="42"/>
  <c r="H211" i="42"/>
  <c r="H223" i="42" s="1"/>
  <c r="G212" i="42"/>
  <c r="F212" i="42"/>
  <c r="G211" i="42"/>
  <c r="G223" i="42" s="1"/>
  <c r="F211" i="42"/>
  <c r="F223" i="42" s="1"/>
  <c r="E210" i="42"/>
  <c r="H208" i="42"/>
  <c r="G208" i="42"/>
  <c r="H204" i="42"/>
  <c r="G204" i="42"/>
  <c r="H203" i="42"/>
  <c r="G203" i="42"/>
  <c r="F203" i="42"/>
  <c r="H202" i="42"/>
  <c r="G202" i="42"/>
  <c r="F202" i="42"/>
  <c r="G201" i="42"/>
  <c r="F200" i="42"/>
  <c r="F210" i="42" s="1"/>
  <c r="H200" i="42"/>
  <c r="H210" i="42" s="1"/>
  <c r="G200" i="42"/>
  <c r="G210" i="42" s="1"/>
  <c r="E199" i="42"/>
  <c r="H196" i="42"/>
  <c r="G196" i="42"/>
  <c r="F196" i="42"/>
  <c r="H194" i="42"/>
  <c r="G194" i="42"/>
  <c r="F194" i="42"/>
  <c r="F192" i="42"/>
  <c r="G192" i="42"/>
  <c r="H191" i="42"/>
  <c r="G191" i="42"/>
  <c r="F191" i="42"/>
  <c r="H190" i="42"/>
  <c r="G190" i="42"/>
  <c r="F190" i="42"/>
  <c r="H189" i="42"/>
  <c r="G189" i="42"/>
  <c r="F189" i="42"/>
  <c r="H188" i="42"/>
  <c r="H199" i="42" s="1"/>
  <c r="G188" i="42"/>
  <c r="G199" i="42" s="1"/>
  <c r="F188" i="42"/>
  <c r="F199" i="42" s="1"/>
  <c r="E187" i="42" l="1"/>
  <c r="H185" i="42"/>
  <c r="G185" i="42"/>
  <c r="F185" i="42"/>
  <c r="H184" i="42"/>
  <c r="G184" i="42"/>
  <c r="F184" i="42"/>
  <c r="H183" i="42"/>
  <c r="G183" i="42"/>
  <c r="F183" i="42"/>
  <c r="H181" i="42"/>
  <c r="G181" i="42"/>
  <c r="F181" i="42"/>
  <c r="H179" i="42"/>
  <c r="H187" i="42" s="1"/>
  <c r="G179" i="42"/>
  <c r="G187" i="42" s="1"/>
  <c r="F179" i="42"/>
  <c r="F187" i="42" s="1"/>
  <c r="E178" i="42"/>
  <c r="H176" i="42"/>
  <c r="G176" i="42"/>
  <c r="H175" i="42"/>
  <c r="G175" i="42"/>
  <c r="H174" i="42"/>
  <c r="H178" i="42" s="1"/>
  <c r="G174" i="42"/>
  <c r="G173" i="42"/>
  <c r="G178" i="42" s="1"/>
  <c r="F173" i="42"/>
  <c r="F178" i="42" s="1"/>
  <c r="E172" i="42" l="1"/>
  <c r="H170" i="42"/>
  <c r="G170" i="42"/>
  <c r="F170" i="42"/>
  <c r="G169" i="42"/>
  <c r="F168" i="42"/>
  <c r="H167" i="42"/>
  <c r="F167" i="42"/>
  <c r="G167" i="42"/>
  <c r="H166" i="42"/>
  <c r="G166" i="42"/>
  <c r="F166" i="42"/>
  <c r="H165" i="42"/>
  <c r="G165" i="42"/>
  <c r="F165" i="42"/>
  <c r="H164" i="42"/>
  <c r="H172" i="42" s="1"/>
  <c r="G164" i="42"/>
  <c r="F164" i="42"/>
  <c r="G163" i="42"/>
  <c r="G172" i="42" s="1"/>
  <c r="F163" i="42"/>
  <c r="F172" i="42" s="1"/>
  <c r="E162" i="42"/>
  <c r="F158" i="42"/>
  <c r="G158" i="42"/>
  <c r="H157" i="42"/>
  <c r="G157" i="42"/>
  <c r="F157" i="42"/>
  <c r="H156" i="42"/>
  <c r="G156" i="42"/>
  <c r="F156" i="42"/>
  <c r="H155" i="42"/>
  <c r="G155" i="42"/>
  <c r="F155" i="42"/>
  <c r="H154" i="42"/>
  <c r="H162" i="42" s="1"/>
  <c r="G154" i="42"/>
  <c r="G162" i="42" s="1"/>
  <c r="F154" i="42"/>
  <c r="F162" i="42" s="1"/>
  <c r="E153" i="42" l="1"/>
  <c r="H152" i="42"/>
  <c r="G152" i="42"/>
  <c r="F152" i="42"/>
  <c r="G149" i="42"/>
  <c r="F149" i="42"/>
  <c r="H148" i="42"/>
  <c r="G148" i="42"/>
  <c r="F148" i="42"/>
  <c r="H147" i="42"/>
  <c r="H153" i="42" s="1"/>
  <c r="G147" i="42"/>
  <c r="G153" i="42" s="1"/>
  <c r="F147" i="42"/>
  <c r="F153" i="42" s="1"/>
  <c r="E146" i="42" l="1"/>
  <c r="H143" i="42"/>
  <c r="G143" i="42"/>
  <c r="F143" i="42"/>
  <c r="H142" i="42"/>
  <c r="G142" i="42"/>
  <c r="F142" i="42"/>
  <c r="H141" i="42"/>
  <c r="F141" i="42"/>
  <c r="G141" i="42"/>
  <c r="H140" i="42"/>
  <c r="F140" i="42"/>
  <c r="G140" i="42"/>
  <c r="H139" i="42"/>
  <c r="G139" i="42"/>
  <c r="F139" i="42"/>
  <c r="H138" i="42"/>
  <c r="G138" i="42"/>
  <c r="F138" i="42"/>
  <c r="H137" i="42"/>
  <c r="H146" i="42" s="1"/>
  <c r="G137" i="42"/>
  <c r="F137" i="42"/>
  <c r="G136" i="42"/>
  <c r="G146" i="42" s="1"/>
  <c r="F136" i="42"/>
  <c r="F146" i="42" s="1"/>
  <c r="E135" i="42"/>
  <c r="G133" i="42"/>
  <c r="F133" i="42"/>
  <c r="G132" i="42"/>
  <c r="F132" i="42"/>
  <c r="H131" i="42"/>
  <c r="G131" i="42"/>
  <c r="F131" i="42"/>
  <c r="H130" i="42"/>
  <c r="G130" i="42"/>
  <c r="F130" i="42"/>
  <c r="H129" i="42"/>
  <c r="H135" i="42" s="1"/>
  <c r="G129" i="42"/>
  <c r="G135" i="42" s="1"/>
  <c r="F129" i="42"/>
  <c r="F135" i="42" s="1"/>
  <c r="E128" i="42"/>
  <c r="H124" i="42"/>
  <c r="G124" i="42"/>
  <c r="H123" i="42"/>
  <c r="G123" i="42"/>
  <c r="F123" i="42"/>
  <c r="G122" i="42"/>
  <c r="F122" i="42"/>
  <c r="H121" i="42"/>
  <c r="G121" i="42"/>
  <c r="F121" i="42"/>
  <c r="H120" i="42"/>
  <c r="H128" i="42" s="1"/>
  <c r="G120" i="42"/>
  <c r="G128" i="42" s="1"/>
  <c r="F120" i="42"/>
  <c r="F128" i="42" s="1"/>
  <c r="H118" i="42"/>
  <c r="G118" i="42"/>
  <c r="F118" i="42"/>
  <c r="H116" i="42"/>
  <c r="G116" i="42"/>
  <c r="F116" i="42"/>
  <c r="H115" i="42"/>
  <c r="G115" i="42"/>
  <c r="F115" i="42"/>
  <c r="G114" i="42"/>
  <c r="F114" i="42"/>
  <c r="E113" i="42"/>
  <c r="G112" i="42"/>
  <c r="F112" i="42"/>
  <c r="E111" i="42"/>
  <c r="H108" i="42"/>
  <c r="G108" i="42"/>
  <c r="F108" i="42"/>
  <c r="H107" i="42"/>
  <c r="H111" i="42" s="1"/>
  <c r="G107" i="42"/>
  <c r="G111" i="42" s="1"/>
  <c r="F107" i="42"/>
  <c r="F111" i="42" s="1"/>
  <c r="E119" i="42" l="1"/>
  <c r="H113" i="42"/>
  <c r="H119" i="42" s="1"/>
  <c r="G113" i="42"/>
  <c r="G119" i="42" s="1"/>
  <c r="F113" i="42"/>
  <c r="F119" i="42" s="1"/>
  <c r="E106" i="42"/>
  <c r="H104" i="42"/>
  <c r="G104" i="42"/>
  <c r="F104" i="42"/>
  <c r="H103" i="42"/>
  <c r="G103" i="42"/>
  <c r="H102" i="42"/>
  <c r="G102" i="42"/>
  <c r="F102" i="42"/>
  <c r="G101" i="42"/>
  <c r="H100" i="42"/>
  <c r="G100" i="42"/>
  <c r="F100" i="42"/>
  <c r="H99" i="42"/>
  <c r="G99" i="42"/>
  <c r="F99" i="42"/>
  <c r="H98" i="42"/>
  <c r="G98" i="42"/>
  <c r="F98" i="42"/>
  <c r="H96" i="42"/>
  <c r="G96" i="42"/>
  <c r="F96" i="42"/>
  <c r="H94" i="42"/>
  <c r="H106" i="42" s="1"/>
  <c r="G94" i="42"/>
  <c r="G106" i="42" s="1"/>
  <c r="F94" i="42"/>
  <c r="F106" i="42" s="1"/>
  <c r="E93" i="42" l="1"/>
  <c r="H87" i="42"/>
  <c r="G87" i="42"/>
  <c r="F87" i="42"/>
  <c r="G86" i="42"/>
  <c r="F86" i="42"/>
  <c r="H85" i="42"/>
  <c r="H93" i="42" s="1"/>
  <c r="G85" i="42"/>
  <c r="G93" i="42" s="1"/>
  <c r="F85" i="42"/>
  <c r="F93" i="42" s="1"/>
  <c r="E83" i="42"/>
  <c r="H81" i="42"/>
  <c r="F81" i="42"/>
  <c r="G81" i="42"/>
  <c r="H80" i="42"/>
  <c r="F80" i="42"/>
  <c r="H79" i="42"/>
  <c r="F79" i="42"/>
  <c r="G80" i="42"/>
  <c r="G79" i="42"/>
  <c r="H78" i="42"/>
  <c r="H83" i="42" s="1"/>
  <c r="F78" i="42"/>
  <c r="G78" i="42"/>
  <c r="G77" i="42"/>
  <c r="G83" i="42" s="1"/>
  <c r="F77" i="42"/>
  <c r="F83" i="42" s="1"/>
  <c r="E76" i="42" l="1"/>
  <c r="H75" i="42"/>
  <c r="F75" i="42"/>
  <c r="G75" i="42"/>
  <c r="H74" i="42"/>
  <c r="F74" i="42"/>
  <c r="G74" i="42"/>
  <c r="H73" i="42"/>
  <c r="G73" i="42"/>
  <c r="F73" i="42"/>
  <c r="H72" i="42"/>
  <c r="G72" i="42"/>
  <c r="F72" i="42"/>
  <c r="H71" i="42"/>
  <c r="H76" i="42" s="1"/>
  <c r="G71" i="42"/>
  <c r="F71" i="42"/>
  <c r="G70" i="42"/>
  <c r="G76" i="42" s="1"/>
  <c r="F70" i="42"/>
  <c r="F76" i="42" s="1"/>
  <c r="E69" i="42"/>
  <c r="H67" i="42"/>
  <c r="G67" i="42"/>
  <c r="H66" i="42"/>
  <c r="G66" i="42"/>
  <c r="F66" i="42"/>
  <c r="H65" i="42"/>
  <c r="G65" i="42"/>
  <c r="F65" i="42"/>
  <c r="F63" i="42"/>
  <c r="H63" i="42"/>
  <c r="G63" i="42"/>
  <c r="H62" i="42"/>
  <c r="H69" i="42" s="1"/>
  <c r="G62" i="42"/>
  <c r="G69" i="42" s="1"/>
  <c r="F62" i="42"/>
  <c r="F69" i="42" s="1"/>
  <c r="E61" i="42"/>
  <c r="H58" i="42"/>
  <c r="G58" i="42"/>
  <c r="F58" i="42"/>
  <c r="H57" i="42"/>
  <c r="H61" i="42" s="1"/>
  <c r="G57" i="42"/>
  <c r="F57" i="42"/>
  <c r="G55" i="42"/>
  <c r="G53" i="42"/>
  <c r="G61" i="42" s="1"/>
  <c r="F53" i="42"/>
  <c r="F61" i="42" s="1"/>
  <c r="E52" i="42" l="1"/>
  <c r="G49" i="42"/>
  <c r="F49" i="42"/>
  <c r="H48" i="42"/>
  <c r="G48" i="42"/>
  <c r="F48" i="42"/>
  <c r="H47" i="42"/>
  <c r="G47" i="42"/>
  <c r="F47" i="42"/>
  <c r="H46" i="42"/>
  <c r="H52" i="42" s="1"/>
  <c r="G46" i="42"/>
  <c r="G52" i="42" s="1"/>
  <c r="F46" i="42"/>
  <c r="F52" i="42" s="1"/>
  <c r="E45" i="42" l="1"/>
  <c r="F44" i="42"/>
  <c r="H43" i="42"/>
  <c r="G43" i="42"/>
  <c r="H41" i="42"/>
  <c r="G41" i="42"/>
  <c r="F41" i="42"/>
  <c r="G40" i="42"/>
  <c r="F40" i="42"/>
  <c r="H39" i="42"/>
  <c r="H45" i="42" s="1"/>
  <c r="G39" i="42"/>
  <c r="G45" i="42" s="1"/>
  <c r="F39" i="42"/>
  <c r="F45" i="42" s="1"/>
  <c r="E38" i="42"/>
  <c r="H36" i="42"/>
  <c r="G36" i="42"/>
  <c r="F36" i="42"/>
  <c r="H35" i="42"/>
  <c r="H38" i="42" s="1"/>
  <c r="G35" i="42"/>
  <c r="G38" i="42" s="1"/>
  <c r="F35" i="42"/>
  <c r="F38" i="42" s="1"/>
  <c r="E33" i="42"/>
  <c r="H29" i="42"/>
  <c r="G29" i="42"/>
  <c r="F29" i="42"/>
  <c r="H28" i="42"/>
  <c r="H33" i="42" s="1"/>
  <c r="G28" i="42"/>
  <c r="G33" i="42" s="1"/>
  <c r="F28" i="42"/>
  <c r="F33" i="42" s="1"/>
  <c r="E27" i="42" l="1"/>
  <c r="H26" i="42"/>
  <c r="G26" i="42"/>
  <c r="F26" i="42"/>
  <c r="H24" i="42"/>
  <c r="G24" i="42"/>
  <c r="F24" i="42"/>
  <c r="H22" i="42"/>
  <c r="G22" i="42"/>
  <c r="F22" i="42"/>
  <c r="H21" i="42"/>
  <c r="G21" i="42"/>
  <c r="F21" i="42"/>
  <c r="H20" i="42"/>
  <c r="H27" i="42" s="1"/>
  <c r="G20" i="42"/>
  <c r="G27" i="42" s="1"/>
  <c r="F20" i="42"/>
  <c r="F27" i="42" s="1"/>
  <c r="E19" i="42"/>
  <c r="H12" i="42"/>
  <c r="G12" i="42"/>
  <c r="F12" i="42"/>
  <c r="H13" i="42"/>
  <c r="G13" i="42"/>
  <c r="F13" i="42"/>
  <c r="H14" i="42"/>
  <c r="G14" i="42"/>
  <c r="F14" i="42"/>
  <c r="G15" i="42"/>
  <c r="F15" i="42"/>
  <c r="F19" i="42" l="1"/>
  <c r="G19" i="42"/>
  <c r="H19" i="42"/>
  <c r="L208" i="41"/>
  <c r="M91" i="41"/>
  <c r="M38" i="41"/>
  <c r="K21" i="41"/>
  <c r="K137" i="40" l="1"/>
  <c r="K85" i="40"/>
  <c r="K64" i="40"/>
  <c r="K268" i="40"/>
  <c r="K267" i="40"/>
  <c r="K254" i="40"/>
  <c r="K214" i="40"/>
  <c r="K72" i="40"/>
  <c r="K55" i="40"/>
  <c r="F266" i="40"/>
  <c r="F9" i="42" l="1"/>
  <c r="F11" i="42"/>
  <c r="E11" i="42"/>
  <c r="H9" i="42"/>
  <c r="G9" i="42"/>
  <c r="H8" i="42"/>
  <c r="G8" i="42"/>
  <c r="H6" i="42"/>
  <c r="G6" i="42"/>
  <c r="E228" i="41"/>
  <c r="H226" i="41"/>
  <c r="G226" i="41"/>
  <c r="F226" i="41"/>
  <c r="H225" i="41"/>
  <c r="G225" i="41"/>
  <c r="F225" i="41"/>
  <c r="H224" i="41"/>
  <c r="G224" i="41"/>
  <c r="F224" i="41"/>
  <c r="H223" i="41"/>
  <c r="H228" i="41" s="1"/>
  <c r="G223" i="41"/>
  <c r="G228" i="41" s="1"/>
  <c r="F223" i="41"/>
  <c r="F228" i="41" s="1"/>
  <c r="E222" i="41"/>
  <c r="H220" i="41"/>
  <c r="G220" i="41"/>
  <c r="F220" i="41"/>
  <c r="H219" i="41"/>
  <c r="G219" i="41"/>
  <c r="F219" i="41"/>
  <c r="H218" i="41"/>
  <c r="G218" i="41"/>
  <c r="F218" i="41"/>
  <c r="H217" i="41"/>
  <c r="G217" i="41"/>
  <c r="H216" i="41"/>
  <c r="G216" i="41"/>
  <c r="F216" i="41"/>
  <c r="H213" i="41"/>
  <c r="G213" i="41"/>
  <c r="F213" i="41"/>
  <c r="H212" i="41"/>
  <c r="G212" i="41"/>
  <c r="F212" i="41"/>
  <c r="H211" i="41"/>
  <c r="H222" i="41" s="1"/>
  <c r="G211" i="41"/>
  <c r="G222" i="41" s="1"/>
  <c r="F211" i="41"/>
  <c r="F222" i="41" s="1"/>
  <c r="E209" i="41"/>
  <c r="H204" i="41"/>
  <c r="G204" i="41"/>
  <c r="F204" i="41"/>
  <c r="H206" i="41"/>
  <c r="G206" i="41"/>
  <c r="H208" i="41"/>
  <c r="G208" i="41"/>
  <c r="F208" i="41"/>
  <c r="H201" i="41"/>
  <c r="G201" i="41"/>
  <c r="F201" i="41"/>
  <c r="H200" i="41"/>
  <c r="G200" i="41"/>
  <c r="F200" i="41"/>
  <c r="H199" i="41"/>
  <c r="G199" i="41"/>
  <c r="F199" i="41"/>
  <c r="H198" i="41"/>
  <c r="H209" i="41" s="1"/>
  <c r="G198" i="41"/>
  <c r="G209" i="41" s="1"/>
  <c r="F198" i="41"/>
  <c r="F209" i="41" s="1"/>
  <c r="E197" i="41"/>
  <c r="H196" i="41"/>
  <c r="G196" i="41"/>
  <c r="F196" i="41"/>
  <c r="H195" i="41"/>
  <c r="G195" i="41"/>
  <c r="H193" i="41"/>
  <c r="G193" i="41"/>
  <c r="F193" i="41"/>
  <c r="H192" i="41"/>
  <c r="H197" i="41" s="1"/>
  <c r="G192" i="41"/>
  <c r="G197" i="41" s="1"/>
  <c r="F192" i="41"/>
  <c r="F197" i="41" s="1"/>
  <c r="E191" i="41"/>
  <c r="H189" i="41"/>
  <c r="G189" i="41"/>
  <c r="F189" i="41"/>
  <c r="H187" i="41"/>
  <c r="G187" i="41"/>
  <c r="F187" i="41"/>
  <c r="H184" i="41"/>
  <c r="H191" i="41" s="1"/>
  <c r="G184" i="41"/>
  <c r="G191" i="41" s="1"/>
  <c r="F184" i="41"/>
  <c r="F191" i="41" s="1"/>
  <c r="G11" i="42" l="1"/>
  <c r="H11" i="42"/>
  <c r="E183" i="41"/>
  <c r="H182" i="41"/>
  <c r="G182" i="41"/>
  <c r="F182" i="41"/>
  <c r="H179" i="41"/>
  <c r="G179" i="41"/>
  <c r="F179" i="41"/>
  <c r="H177" i="41"/>
  <c r="G177" i="41"/>
  <c r="F177" i="41"/>
  <c r="H176" i="41"/>
  <c r="G176" i="41"/>
  <c r="F176" i="41"/>
  <c r="H175" i="41"/>
  <c r="G175" i="41"/>
  <c r="F175" i="41"/>
  <c r="H174" i="41"/>
  <c r="H183" i="41" s="1"/>
  <c r="G174" i="41"/>
  <c r="G183" i="41" s="1"/>
  <c r="F174" i="41"/>
  <c r="F183" i="41" s="1"/>
  <c r="E173" i="41" l="1"/>
  <c r="H172" i="41"/>
  <c r="G172" i="41"/>
  <c r="F172" i="41"/>
  <c r="H171" i="41"/>
  <c r="G171" i="41"/>
  <c r="F171" i="41"/>
  <c r="H170" i="41"/>
  <c r="G170" i="41"/>
  <c r="F170" i="41"/>
  <c r="H169" i="41"/>
  <c r="G169" i="41"/>
  <c r="F169" i="41"/>
  <c r="H168" i="41"/>
  <c r="G168" i="41"/>
  <c r="H167" i="41"/>
  <c r="G167" i="41"/>
  <c r="F167" i="41"/>
  <c r="H166" i="41"/>
  <c r="G166" i="41"/>
  <c r="F166" i="41"/>
  <c r="H165" i="41"/>
  <c r="H173" i="41" s="1"/>
  <c r="G165" i="41"/>
  <c r="G173" i="41" s="1"/>
  <c r="F165" i="41"/>
  <c r="F173" i="41" s="1"/>
  <c r="E164" i="41"/>
  <c r="H161" i="41"/>
  <c r="G161" i="41"/>
  <c r="F161" i="41"/>
  <c r="G160" i="41"/>
  <c r="F160" i="41"/>
  <c r="H159" i="41"/>
  <c r="G159" i="41"/>
  <c r="F159" i="41"/>
  <c r="H158" i="41"/>
  <c r="G158" i="41"/>
  <c r="F158" i="41"/>
  <c r="H157" i="41"/>
  <c r="G157" i="41"/>
  <c r="F157" i="41"/>
  <c r="H156" i="41"/>
  <c r="G156" i="41"/>
  <c r="H154" i="41"/>
  <c r="H164" i="41" s="1"/>
  <c r="G154" i="41"/>
  <c r="G164" i="41" s="1"/>
  <c r="F154" i="41"/>
  <c r="F164" i="41" s="1"/>
  <c r="E153" i="41"/>
  <c r="E148" i="41"/>
  <c r="H149" i="41"/>
  <c r="H153" i="41" s="1"/>
  <c r="G149" i="41"/>
  <c r="G153" i="41" s="1"/>
  <c r="F149" i="41"/>
  <c r="F153" i="41" s="1"/>
  <c r="F148" i="41"/>
  <c r="G148" i="41"/>
  <c r="H148" i="41"/>
  <c r="E144" i="41"/>
  <c r="H143" i="41"/>
  <c r="G143" i="41"/>
  <c r="F143" i="41"/>
  <c r="H142" i="41"/>
  <c r="G142" i="41"/>
  <c r="F142" i="41"/>
  <c r="H140" i="41"/>
  <c r="H144" i="41" s="1"/>
  <c r="G140" i="41"/>
  <c r="G144" i="41" s="1"/>
  <c r="F140" i="41"/>
  <c r="F144" i="41" s="1"/>
  <c r="E139" i="41" l="1"/>
  <c r="H137" i="41"/>
  <c r="G137" i="41"/>
  <c r="F137" i="41"/>
  <c r="H136" i="41"/>
  <c r="G136" i="41"/>
  <c r="F136" i="41"/>
  <c r="H135" i="41"/>
  <c r="H139" i="41" s="1"/>
  <c r="G135" i="41"/>
  <c r="G139" i="41" s="1"/>
  <c r="F135" i="41"/>
  <c r="F139" i="41" s="1"/>
  <c r="E134" i="41"/>
  <c r="H133" i="41"/>
  <c r="G133" i="41"/>
  <c r="G131" i="41"/>
  <c r="F131" i="41"/>
  <c r="H130" i="41"/>
  <c r="G130" i="41"/>
  <c r="H129" i="41"/>
  <c r="H134" i="41" s="1"/>
  <c r="G129" i="41"/>
  <c r="G134" i="41" s="1"/>
  <c r="F129" i="41"/>
  <c r="F134" i="41" s="1"/>
  <c r="E128" i="41" l="1"/>
  <c r="H123" i="41"/>
  <c r="G123" i="41"/>
  <c r="F123" i="41"/>
  <c r="H122" i="41"/>
  <c r="H128" i="41" s="1"/>
  <c r="G122" i="41"/>
  <c r="G128" i="41" s="1"/>
  <c r="F122" i="41"/>
  <c r="F128" i="41" s="1"/>
  <c r="E121" i="41"/>
  <c r="H120" i="41"/>
  <c r="G120" i="41"/>
  <c r="F120" i="41"/>
  <c r="H119" i="41"/>
  <c r="G119" i="41"/>
  <c r="F119" i="41"/>
  <c r="H117" i="41"/>
  <c r="G117" i="41"/>
  <c r="F117" i="41"/>
  <c r="H116" i="41"/>
  <c r="H121" i="41" s="1"/>
  <c r="G116" i="41"/>
  <c r="G121" i="41" s="1"/>
  <c r="F116" i="41"/>
  <c r="F121" i="41" s="1"/>
  <c r="E115" i="41"/>
  <c r="H111" i="41"/>
  <c r="G111" i="41"/>
  <c r="F111" i="41"/>
  <c r="H109" i="41"/>
  <c r="G109" i="41"/>
  <c r="F109" i="41"/>
  <c r="H108" i="41"/>
  <c r="H115" i="41" s="1"/>
  <c r="G108" i="41"/>
  <c r="G115" i="41" s="1"/>
  <c r="F108" i="41"/>
  <c r="F115" i="41" s="1"/>
  <c r="E107" i="41"/>
  <c r="H104" i="41"/>
  <c r="G104" i="41"/>
  <c r="F104" i="41"/>
  <c r="G103" i="41"/>
  <c r="F103" i="41"/>
  <c r="H102" i="41"/>
  <c r="G102" i="41"/>
  <c r="F102" i="41"/>
  <c r="H101" i="41"/>
  <c r="H107" i="41" s="1"/>
  <c r="G101" i="41"/>
  <c r="G107" i="41" s="1"/>
  <c r="F101" i="41"/>
  <c r="F107" i="41" s="1"/>
  <c r="E100" i="41" l="1"/>
  <c r="H98" i="41"/>
  <c r="G98" i="41"/>
  <c r="F98" i="41"/>
  <c r="H97" i="41"/>
  <c r="G97" i="41"/>
  <c r="F97" i="41"/>
  <c r="H95" i="41"/>
  <c r="H100" i="41" s="1"/>
  <c r="G95" i="41"/>
  <c r="G100" i="41" s="1"/>
  <c r="F95" i="41"/>
  <c r="F100" i="41" s="1"/>
  <c r="H90" i="41"/>
  <c r="G90" i="41"/>
  <c r="H89" i="41"/>
  <c r="G89" i="41"/>
  <c r="F89" i="41"/>
  <c r="E94" i="41"/>
  <c r="H93" i="41"/>
  <c r="G93" i="41"/>
  <c r="F93" i="41"/>
  <c r="H92" i="41"/>
  <c r="H94" i="41" s="1"/>
  <c r="G92" i="41"/>
  <c r="G94" i="41" s="1"/>
  <c r="F92" i="41"/>
  <c r="F94" i="41" s="1"/>
  <c r="E88" i="41" l="1"/>
  <c r="H86" i="41"/>
  <c r="G86" i="41"/>
  <c r="F86" i="41"/>
  <c r="H85" i="41"/>
  <c r="G85" i="41"/>
  <c r="F85" i="41"/>
  <c r="H82" i="41"/>
  <c r="G82" i="41"/>
  <c r="F82" i="41"/>
  <c r="H81" i="41"/>
  <c r="H88" i="41" s="1"/>
  <c r="G81" i="41"/>
  <c r="G88" i="41" s="1"/>
  <c r="F81" i="41"/>
  <c r="F88" i="41" s="1"/>
  <c r="E80" i="41" l="1"/>
  <c r="H78" i="41"/>
  <c r="G78" i="41"/>
  <c r="H77" i="41"/>
  <c r="G77" i="41"/>
  <c r="F77" i="41"/>
  <c r="H75" i="41"/>
  <c r="G75" i="41"/>
  <c r="F75" i="41"/>
  <c r="H74" i="41"/>
  <c r="H80" i="41" s="1"/>
  <c r="G74" i="41"/>
  <c r="G80" i="41" s="1"/>
  <c r="F74" i="41"/>
  <c r="F80" i="41" s="1"/>
  <c r="E73" i="41"/>
  <c r="H68" i="41"/>
  <c r="G68" i="41"/>
  <c r="F68" i="41"/>
  <c r="H67" i="41"/>
  <c r="G67" i="41"/>
  <c r="F67" i="41"/>
  <c r="H66" i="41"/>
  <c r="G66" i="41"/>
  <c r="F66" i="41"/>
  <c r="H65" i="41"/>
  <c r="H73" i="41" s="1"/>
  <c r="G65" i="41"/>
  <c r="G73" i="41" s="1"/>
  <c r="F65" i="41"/>
  <c r="F73" i="41" s="1"/>
  <c r="E64" i="41" l="1"/>
  <c r="H58" i="41"/>
  <c r="G58" i="41"/>
  <c r="F58" i="41"/>
  <c r="H57" i="41"/>
  <c r="G57" i="41"/>
  <c r="F57" i="41"/>
  <c r="H54" i="41"/>
  <c r="G54" i="41"/>
  <c r="F54" i="41"/>
  <c r="H53" i="41"/>
  <c r="H64" i="41" s="1"/>
  <c r="G53" i="41"/>
  <c r="G64" i="41" s="1"/>
  <c r="F53" i="41"/>
  <c r="F64" i="41" s="1"/>
  <c r="E52" i="41" l="1"/>
  <c r="H46" i="41"/>
  <c r="G46" i="41"/>
  <c r="F46" i="41"/>
  <c r="F45" i="41"/>
  <c r="H43" i="41"/>
  <c r="G43" i="41"/>
  <c r="F43" i="41"/>
  <c r="H42" i="41"/>
  <c r="H52" i="41" s="1"/>
  <c r="G42" i="41"/>
  <c r="G52" i="41" s="1"/>
  <c r="F42" i="41"/>
  <c r="F52" i="41" s="1"/>
  <c r="E41" i="41" l="1"/>
  <c r="F40" i="41"/>
  <c r="H37" i="41"/>
  <c r="G37" i="41"/>
  <c r="F37" i="41"/>
  <c r="H33" i="41"/>
  <c r="G33" i="41"/>
  <c r="F33" i="41"/>
  <c r="H32" i="41"/>
  <c r="G32" i="41"/>
  <c r="F32" i="41"/>
  <c r="H29" i="41"/>
  <c r="G29" i="41"/>
  <c r="F29" i="41"/>
  <c r="H28" i="41"/>
  <c r="H41" i="41" s="1"/>
  <c r="G28" i="41"/>
  <c r="G41" i="41" s="1"/>
  <c r="F28" i="41"/>
  <c r="F41" i="41" s="1"/>
  <c r="E27" i="41"/>
  <c r="H26" i="41"/>
  <c r="G26" i="41"/>
  <c r="F26" i="41"/>
  <c r="H25" i="41"/>
  <c r="G25" i="41"/>
  <c r="F25" i="41"/>
  <c r="H23" i="41"/>
  <c r="G23" i="41"/>
  <c r="F23" i="41"/>
  <c r="H22" i="41"/>
  <c r="G22" i="41"/>
  <c r="F22" i="41"/>
  <c r="H21" i="41"/>
  <c r="G21" i="41"/>
  <c r="F21" i="41"/>
  <c r="H20" i="41"/>
  <c r="G20" i="41"/>
  <c r="F20" i="41"/>
  <c r="H19" i="41"/>
  <c r="H27" i="41" s="1"/>
  <c r="G19" i="41"/>
  <c r="G27" i="41" s="1"/>
  <c r="F19" i="41"/>
  <c r="F27" i="41" s="1"/>
  <c r="E18" i="41" l="1"/>
  <c r="H16" i="41"/>
  <c r="G16" i="41"/>
  <c r="F16" i="41"/>
  <c r="H14" i="41"/>
  <c r="G14" i="41"/>
  <c r="F14" i="41"/>
  <c r="H13" i="41"/>
  <c r="G13" i="41"/>
  <c r="F13" i="41"/>
  <c r="H11" i="41"/>
  <c r="G11" i="41"/>
  <c r="F11" i="41"/>
  <c r="H10" i="41"/>
  <c r="G10" i="41"/>
  <c r="F10" i="41"/>
  <c r="H9" i="41"/>
  <c r="G9" i="41"/>
  <c r="F9" i="41"/>
  <c r="H8" i="41"/>
  <c r="H18" i="41" s="1"/>
  <c r="G8" i="41"/>
  <c r="G18" i="41" s="1"/>
  <c r="F8" i="41"/>
  <c r="F18" i="41" s="1"/>
  <c r="E7" i="41"/>
  <c r="H6" i="41"/>
  <c r="G6" i="41"/>
  <c r="F6" i="41"/>
  <c r="H5" i="41"/>
  <c r="G5" i="41"/>
  <c r="F5" i="41"/>
  <c r="H4" i="41"/>
  <c r="G4" i="41"/>
  <c r="F4" i="41"/>
  <c r="H3" i="41"/>
  <c r="G3" i="41"/>
  <c r="F3" i="41"/>
  <c r="H2" i="41"/>
  <c r="H7" i="41" s="1"/>
  <c r="G2" i="41"/>
  <c r="G7" i="41" s="1"/>
  <c r="F2" i="41"/>
  <c r="F7" i="41" s="1"/>
  <c r="F272" i="40"/>
  <c r="G272" i="40"/>
  <c r="H272" i="40"/>
  <c r="E272" i="40"/>
  <c r="H270" i="40"/>
  <c r="G270" i="40"/>
  <c r="F270" i="40"/>
  <c r="H269" i="40"/>
  <c r="G269" i="40"/>
  <c r="F269" i="40"/>
  <c r="H268" i="40"/>
  <c r="G268" i="40"/>
  <c r="F268" i="40"/>
  <c r="E265" i="40"/>
  <c r="H263" i="40"/>
  <c r="G263" i="40"/>
  <c r="F263" i="40"/>
  <c r="H262" i="40"/>
  <c r="G262" i="40"/>
  <c r="F262" i="40"/>
  <c r="H261" i="40"/>
  <c r="H265" i="40" s="1"/>
  <c r="G261" i="40"/>
  <c r="F261" i="40"/>
  <c r="G260" i="40"/>
  <c r="G265" i="40" s="1"/>
  <c r="F260" i="40"/>
  <c r="F265" i="40" s="1"/>
  <c r="E259" i="40"/>
  <c r="H256" i="40"/>
  <c r="G256" i="40"/>
  <c r="F256" i="40"/>
  <c r="H254" i="40"/>
  <c r="F254" i="40"/>
  <c r="G254" i="40"/>
  <c r="E250" i="40"/>
  <c r="H249" i="40"/>
  <c r="G249" i="40"/>
  <c r="F249" i="40"/>
  <c r="H248" i="40"/>
  <c r="G248" i="40"/>
  <c r="F248" i="40"/>
  <c r="H253" i="40"/>
  <c r="G253" i="40"/>
  <c r="F253" i="40"/>
  <c r="H252" i="40"/>
  <c r="G252" i="40"/>
  <c r="F252" i="40"/>
  <c r="H251" i="40"/>
  <c r="H259" i="40" s="1"/>
  <c r="G251" i="40"/>
  <c r="G259" i="40" s="1"/>
  <c r="F251" i="40"/>
  <c r="F259" i="40" s="1"/>
  <c r="G247" i="40"/>
  <c r="F247" i="40"/>
  <c r="H246" i="40"/>
  <c r="G246" i="40"/>
  <c r="F246" i="40"/>
  <c r="H243" i="40"/>
  <c r="G243" i="40"/>
  <c r="F243" i="40"/>
  <c r="E242" i="40"/>
  <c r="H240" i="40"/>
  <c r="G240" i="40"/>
  <c r="F240" i="40"/>
  <c r="H239" i="40"/>
  <c r="G239" i="40"/>
  <c r="F239" i="40"/>
  <c r="H237" i="40"/>
  <c r="G237" i="40"/>
  <c r="F237" i="40"/>
  <c r="F250" i="40" l="1"/>
  <c r="G250" i="40"/>
  <c r="H250" i="40"/>
  <c r="H235" i="40"/>
  <c r="G235" i="40"/>
  <c r="F235" i="40"/>
  <c r="H234" i="40"/>
  <c r="G234" i="40"/>
  <c r="F234" i="40"/>
  <c r="H233" i="40"/>
  <c r="G233" i="40"/>
  <c r="F233" i="40"/>
  <c r="H232" i="40"/>
  <c r="G232" i="40"/>
  <c r="F232" i="40"/>
  <c r="H231" i="40"/>
  <c r="G231" i="40"/>
  <c r="F231" i="40"/>
  <c r="H230" i="40"/>
  <c r="G230" i="40"/>
  <c r="F230" i="40"/>
  <c r="H229" i="40"/>
  <c r="H242" i="40" s="1"/>
  <c r="G229" i="40"/>
  <c r="G242" i="40" s="1"/>
  <c r="F229" i="40"/>
  <c r="F242" i="40" s="1"/>
  <c r="E228" i="40"/>
  <c r="G227" i="40"/>
  <c r="F227" i="40"/>
  <c r="H226" i="40"/>
  <c r="H228" i="40" s="1"/>
  <c r="G226" i="40"/>
  <c r="F226" i="40"/>
  <c r="G225" i="40"/>
  <c r="G228" i="40" s="1"/>
  <c r="F225" i="40"/>
  <c r="F228" i="40" s="1"/>
  <c r="H220" i="40"/>
  <c r="G220" i="40"/>
  <c r="F220" i="40"/>
  <c r="H219" i="40"/>
  <c r="G219" i="40"/>
  <c r="F219" i="40"/>
  <c r="H218" i="40"/>
  <c r="G218" i="40"/>
  <c r="F218" i="40"/>
  <c r="G217" i="40"/>
  <c r="F217" i="40"/>
  <c r="H216" i="40"/>
  <c r="G216" i="40"/>
  <c r="F216" i="40"/>
  <c r="E215" i="40"/>
  <c r="E214" i="40"/>
  <c r="H207" i="40"/>
  <c r="G207" i="40"/>
  <c r="F207" i="40"/>
  <c r="H206" i="40"/>
  <c r="G206" i="40"/>
  <c r="F206" i="40"/>
  <c r="E213" i="40"/>
  <c r="H210" i="40"/>
  <c r="G210" i="40"/>
  <c r="H205" i="40"/>
  <c r="F205" i="40"/>
  <c r="G205" i="40"/>
  <c r="H204" i="40"/>
  <c r="G204" i="40"/>
  <c r="F204" i="40"/>
  <c r="G203" i="40"/>
  <c r="F203" i="40"/>
  <c r="H202" i="40"/>
  <c r="G202" i="40"/>
  <c r="F202" i="40"/>
  <c r="H201" i="40"/>
  <c r="H213" i="40" s="1"/>
  <c r="G201" i="40"/>
  <c r="G213" i="40" s="1"/>
  <c r="F201" i="40"/>
  <c r="F213" i="40" s="1"/>
  <c r="E224" i="40" l="1"/>
  <c r="H214" i="40"/>
  <c r="H224" i="40" s="1"/>
  <c r="G214" i="40"/>
  <c r="F214" i="40"/>
  <c r="G215" i="40"/>
  <c r="F215" i="40"/>
  <c r="E200" i="40"/>
  <c r="H197" i="40"/>
  <c r="G197" i="40"/>
  <c r="F197" i="40"/>
  <c r="H196" i="40"/>
  <c r="G196" i="40"/>
  <c r="F196" i="40"/>
  <c r="H194" i="40"/>
  <c r="G194" i="40"/>
  <c r="F194" i="40"/>
  <c r="H193" i="40"/>
  <c r="G193" i="40"/>
  <c r="F193" i="40"/>
  <c r="H192" i="40"/>
  <c r="H200" i="40" s="1"/>
  <c r="G192" i="40"/>
  <c r="G200" i="40" s="1"/>
  <c r="F192" i="40"/>
  <c r="F200" i="40" s="1"/>
  <c r="E191" i="40"/>
  <c r="H189" i="40"/>
  <c r="G189" i="40"/>
  <c r="H188" i="40"/>
  <c r="G188" i="40"/>
  <c r="F188" i="40"/>
  <c r="H187" i="40"/>
  <c r="G187" i="40"/>
  <c r="F187" i="40"/>
  <c r="H186" i="40"/>
  <c r="H191" i="40" s="1"/>
  <c r="G186" i="40"/>
  <c r="F186" i="40"/>
  <c r="G185" i="40"/>
  <c r="G191" i="40" s="1"/>
  <c r="F185" i="40"/>
  <c r="F191" i="40" s="1"/>
  <c r="E184" i="40"/>
  <c r="H183" i="40"/>
  <c r="G183" i="40"/>
  <c r="F183" i="40"/>
  <c r="H182" i="40"/>
  <c r="G182" i="40"/>
  <c r="F182" i="40"/>
  <c r="H181" i="40"/>
  <c r="G181" i="40"/>
  <c r="F181" i="40"/>
  <c r="H180" i="40"/>
  <c r="F180" i="40"/>
  <c r="G180" i="40"/>
  <c r="H179" i="40"/>
  <c r="G179" i="40"/>
  <c r="F179" i="40"/>
  <c r="H178" i="40"/>
  <c r="G178" i="40"/>
  <c r="F178" i="40"/>
  <c r="H177" i="40"/>
  <c r="G177" i="40"/>
  <c r="F177" i="40"/>
  <c r="H176" i="40"/>
  <c r="H184" i="40" s="1"/>
  <c r="G176" i="40"/>
  <c r="G184" i="40" s="1"/>
  <c r="F176" i="40"/>
  <c r="F184" i="40" s="1"/>
  <c r="E175" i="40"/>
  <c r="H173" i="40"/>
  <c r="G173" i="40"/>
  <c r="F224" i="40" l="1"/>
  <c r="G224" i="40"/>
  <c r="H172" i="40"/>
  <c r="G172" i="40"/>
  <c r="F172" i="40"/>
  <c r="H171" i="40"/>
  <c r="G171" i="40"/>
  <c r="F171" i="40"/>
  <c r="G170" i="40"/>
  <c r="F170" i="40"/>
  <c r="G169" i="40"/>
  <c r="F169" i="40"/>
  <c r="H168" i="40"/>
  <c r="G168" i="40"/>
  <c r="F168" i="40"/>
  <c r="H167" i="40"/>
  <c r="H175" i="40" s="1"/>
  <c r="G167" i="40"/>
  <c r="F167" i="40"/>
  <c r="G166" i="40"/>
  <c r="G175" i="40" s="1"/>
  <c r="F166" i="40"/>
  <c r="F175" i="40" s="1"/>
  <c r="G163" i="40"/>
  <c r="F163" i="40"/>
  <c r="H161" i="40"/>
  <c r="G161" i="40"/>
  <c r="H159" i="40"/>
  <c r="G159" i="40"/>
  <c r="F159" i="40"/>
  <c r="E158" i="40"/>
  <c r="G157" i="40"/>
  <c r="F157" i="40"/>
  <c r="H156" i="40"/>
  <c r="F156" i="40"/>
  <c r="G156" i="40"/>
  <c r="H155" i="40"/>
  <c r="G155" i="40"/>
  <c r="F155" i="40"/>
  <c r="E154" i="40"/>
  <c r="H151" i="40"/>
  <c r="G151" i="40"/>
  <c r="H148" i="40"/>
  <c r="G148" i="40"/>
  <c r="F148" i="40"/>
  <c r="H147" i="40"/>
  <c r="G147" i="40"/>
  <c r="F147" i="40"/>
  <c r="H146" i="40"/>
  <c r="G146" i="40"/>
  <c r="F146" i="40"/>
  <c r="H144" i="40"/>
  <c r="G144" i="40"/>
  <c r="F144" i="40"/>
  <c r="H143" i="40"/>
  <c r="F143" i="40"/>
  <c r="G143" i="40"/>
  <c r="H142" i="40"/>
  <c r="G142" i="40"/>
  <c r="F142" i="40"/>
  <c r="H141" i="40"/>
  <c r="G141" i="40"/>
  <c r="F141" i="40"/>
  <c r="H140" i="40"/>
  <c r="G140" i="40"/>
  <c r="F140" i="40"/>
  <c r="H139" i="40"/>
  <c r="H154" i="40" s="1"/>
  <c r="G139" i="40"/>
  <c r="G154" i="40" s="1"/>
  <c r="F139" i="40"/>
  <c r="F154" i="40" s="1"/>
  <c r="E138" i="40"/>
  <c r="H135" i="40"/>
  <c r="G135" i="40"/>
  <c r="F135" i="40"/>
  <c r="H134" i="40"/>
  <c r="G134" i="40"/>
  <c r="F134" i="40"/>
  <c r="H133" i="40"/>
  <c r="F133" i="40"/>
  <c r="G133" i="40"/>
  <c r="H132" i="40"/>
  <c r="F132" i="40"/>
  <c r="G132" i="40"/>
  <c r="H131" i="40"/>
  <c r="G131" i="40"/>
  <c r="F131" i="40"/>
  <c r="H130" i="40"/>
  <c r="G130" i="40"/>
  <c r="F130" i="40"/>
  <c r="H129" i="40"/>
  <c r="H138" i="40" s="1"/>
  <c r="G129" i="40"/>
  <c r="F129" i="40"/>
  <c r="G128" i="40"/>
  <c r="G138" i="40" s="1"/>
  <c r="F128" i="40"/>
  <c r="F138" i="40" s="1"/>
  <c r="E164" i="40" l="1"/>
  <c r="H158" i="40"/>
  <c r="H164" i="40" s="1"/>
  <c r="G158" i="40"/>
  <c r="G164" i="40" s="1"/>
  <c r="F158" i="40"/>
  <c r="F164" i="40" s="1"/>
  <c r="E127" i="40"/>
  <c r="H122" i="40" l="1"/>
  <c r="G122" i="40"/>
  <c r="F122" i="40"/>
  <c r="H121" i="40"/>
  <c r="G121" i="40"/>
  <c r="F121" i="40"/>
  <c r="H120" i="40"/>
  <c r="G120" i="40"/>
  <c r="F120" i="40"/>
  <c r="G119" i="40"/>
  <c r="H118" i="40"/>
  <c r="F118" i="40"/>
  <c r="G118" i="40"/>
  <c r="H117" i="40"/>
  <c r="F117" i="40"/>
  <c r="G117" i="40"/>
  <c r="H116" i="40"/>
  <c r="F116" i="40"/>
  <c r="G116" i="40"/>
  <c r="H115" i="40"/>
  <c r="G115" i="40"/>
  <c r="F115" i="40"/>
  <c r="H114" i="40"/>
  <c r="G114" i="40"/>
  <c r="F114" i="40"/>
  <c r="H113" i="40"/>
  <c r="G113" i="40"/>
  <c r="F113" i="40"/>
  <c r="H112" i="40"/>
  <c r="H127" i="40" s="1"/>
  <c r="G112" i="40"/>
  <c r="G127" i="40" s="1"/>
  <c r="F112" i="40"/>
  <c r="F127" i="40" s="1"/>
  <c r="E111" i="40"/>
  <c r="H106" i="40"/>
  <c r="G106" i="40"/>
  <c r="F106" i="40"/>
  <c r="H105" i="40"/>
  <c r="G105" i="40"/>
  <c r="F105" i="40"/>
  <c r="H104" i="40"/>
  <c r="G104" i="40"/>
  <c r="F104" i="40"/>
  <c r="H103" i="40"/>
  <c r="H111" i="40" s="1"/>
  <c r="G103" i="40"/>
  <c r="G111" i="40" s="1"/>
  <c r="F103" i="40"/>
  <c r="F111" i="40" s="1"/>
  <c r="F99" i="40" l="1"/>
  <c r="G99" i="40"/>
  <c r="E102" i="40"/>
  <c r="H98" i="40"/>
  <c r="F98" i="40"/>
  <c r="G98" i="40"/>
  <c r="H97" i="40"/>
  <c r="F97" i="40"/>
  <c r="G97" i="40"/>
  <c r="H96" i="40"/>
  <c r="F96" i="40"/>
  <c r="G96" i="40"/>
  <c r="H95" i="40"/>
  <c r="G95" i="40"/>
  <c r="F95" i="40"/>
  <c r="H94" i="40"/>
  <c r="G94" i="40"/>
  <c r="F94" i="40"/>
  <c r="H93" i="40"/>
  <c r="G93" i="40"/>
  <c r="F93" i="40"/>
  <c r="H92" i="40"/>
  <c r="H102" i="40" s="1"/>
  <c r="G92" i="40"/>
  <c r="G102" i="40" s="1"/>
  <c r="F92" i="40"/>
  <c r="F102" i="40" s="1"/>
  <c r="E71" i="40"/>
  <c r="H70" i="40"/>
  <c r="G70" i="40"/>
  <c r="F70" i="40"/>
  <c r="E91" i="40"/>
  <c r="H88" i="40"/>
  <c r="G88" i="40"/>
  <c r="F88" i="40"/>
  <c r="H87" i="40"/>
  <c r="G87" i="40"/>
  <c r="F87" i="40"/>
  <c r="H86" i="40"/>
  <c r="G86" i="40"/>
  <c r="F86" i="40"/>
  <c r="H85" i="40"/>
  <c r="G85" i="40"/>
  <c r="F85" i="40"/>
  <c r="H84" i="40"/>
  <c r="G84" i="40"/>
  <c r="F84" i="40"/>
  <c r="G83" i="40"/>
  <c r="F83" i="40"/>
  <c r="H81" i="40"/>
  <c r="G81" i="40"/>
  <c r="F81" i="40"/>
  <c r="H80" i="40"/>
  <c r="G80" i="40"/>
  <c r="F80" i="40"/>
  <c r="H79" i="40"/>
  <c r="H91" i="40" s="1"/>
  <c r="G79" i="40"/>
  <c r="G91" i="40" s="1"/>
  <c r="F79" i="40"/>
  <c r="F91" i="40" s="1"/>
  <c r="E78" i="40"/>
  <c r="H76" i="40" l="1"/>
  <c r="G76" i="40"/>
  <c r="F76" i="40"/>
  <c r="H73" i="40"/>
  <c r="H74" i="40"/>
  <c r="G73" i="40"/>
  <c r="G74" i="40"/>
  <c r="F73" i="40"/>
  <c r="F74" i="40"/>
  <c r="H72" i="40"/>
  <c r="H78" i="40" s="1"/>
  <c r="G72" i="40"/>
  <c r="G78" i="40" s="1"/>
  <c r="F72" i="40"/>
  <c r="F78" i="40" s="1"/>
  <c r="K14" i="39" l="1"/>
  <c r="K45" i="39"/>
  <c r="L216" i="39"/>
  <c r="K168" i="39"/>
  <c r="K180" i="39" l="1"/>
  <c r="K271" i="39"/>
  <c r="K268" i="39"/>
  <c r="K123" i="39"/>
  <c r="K266" i="39"/>
  <c r="K121" i="39"/>
  <c r="K26" i="39"/>
  <c r="H65" i="40" l="1"/>
  <c r="G65" i="40"/>
  <c r="F65" i="40"/>
  <c r="H64" i="40"/>
  <c r="G64" i="40"/>
  <c r="F64" i="40"/>
  <c r="G63" i="40"/>
  <c r="F63" i="40"/>
  <c r="H62" i="40"/>
  <c r="H71" i="40" s="1"/>
  <c r="G62" i="40"/>
  <c r="G71" i="40" s="1"/>
  <c r="F62" i="40"/>
  <c r="F71" i="40" s="1"/>
  <c r="E61" i="40"/>
  <c r="H59" i="40"/>
  <c r="G59" i="40"/>
  <c r="F59" i="40"/>
  <c r="H57" i="40"/>
  <c r="G57" i="40"/>
  <c r="F57" i="40"/>
  <c r="E53" i="40"/>
  <c r="H49" i="40"/>
  <c r="G49" i="40"/>
  <c r="F49" i="40"/>
  <c r="H47" i="40"/>
  <c r="G47" i="40"/>
  <c r="F47" i="40"/>
  <c r="E42" i="40"/>
  <c r="G41" i="40"/>
  <c r="H40" i="40"/>
  <c r="G40" i="40"/>
  <c r="F40" i="40"/>
  <c r="H56" i="40"/>
  <c r="G56" i="40"/>
  <c r="F56" i="40"/>
  <c r="H55" i="40"/>
  <c r="G55" i="40"/>
  <c r="F55" i="40"/>
  <c r="H54" i="40"/>
  <c r="H61" i="40" s="1"/>
  <c r="G54" i="40"/>
  <c r="G61" i="40" s="1"/>
  <c r="F54" i="40"/>
  <c r="F61" i="40" s="1"/>
  <c r="H46" i="40"/>
  <c r="H53" i="40" s="1"/>
  <c r="G46" i="40"/>
  <c r="F46" i="40"/>
  <c r="G45" i="40"/>
  <c r="F45" i="40"/>
  <c r="F44" i="40"/>
  <c r="G44" i="40"/>
  <c r="G43" i="40"/>
  <c r="G53" i="40" s="1"/>
  <c r="F43" i="40"/>
  <c r="F53" i="40" s="1"/>
  <c r="H39" i="40"/>
  <c r="G39" i="40"/>
  <c r="F39" i="40"/>
  <c r="H38" i="40"/>
  <c r="G38" i="40"/>
  <c r="F38" i="40"/>
  <c r="H37" i="40"/>
  <c r="G37" i="40"/>
  <c r="F37" i="40"/>
  <c r="H36" i="40"/>
  <c r="H42" i="40" s="1"/>
  <c r="G36" i="40"/>
  <c r="G42" i="40" s="1"/>
  <c r="F36" i="40"/>
  <c r="F42" i="40" s="1"/>
  <c r="E35" i="40"/>
  <c r="H34" i="40"/>
  <c r="G34" i="40"/>
  <c r="F34" i="40"/>
  <c r="H31" i="40"/>
  <c r="G31" i="40"/>
  <c r="F31" i="40"/>
  <c r="H30" i="40"/>
  <c r="G30" i="40"/>
  <c r="F30" i="40"/>
  <c r="H29" i="40"/>
  <c r="G29" i="40"/>
  <c r="F29" i="40"/>
  <c r="H28" i="40"/>
  <c r="G28" i="40"/>
  <c r="F28" i="40"/>
  <c r="H27" i="40"/>
  <c r="G27" i="40"/>
  <c r="F27" i="40"/>
  <c r="H26" i="40"/>
  <c r="G26" i="40"/>
  <c r="F26" i="40"/>
  <c r="H25" i="40"/>
  <c r="H35" i="40" s="1"/>
  <c r="G25" i="40"/>
  <c r="G35" i="40" s="1"/>
  <c r="F25" i="40"/>
  <c r="F35" i="40" s="1"/>
  <c r="E24" i="40"/>
  <c r="H23" i="40"/>
  <c r="G23" i="40"/>
  <c r="F23" i="40"/>
  <c r="H20" i="40" l="1"/>
  <c r="G20" i="40"/>
  <c r="F20" i="40"/>
  <c r="H19" i="40"/>
  <c r="G19" i="40"/>
  <c r="F19" i="40"/>
  <c r="H18" i="40"/>
  <c r="G18" i="40"/>
  <c r="F18" i="40"/>
  <c r="H17" i="40"/>
  <c r="G17" i="40"/>
  <c r="F17" i="40"/>
  <c r="G16" i="40"/>
  <c r="H15" i="40"/>
  <c r="G15" i="40"/>
  <c r="F15" i="40"/>
  <c r="H14" i="40"/>
  <c r="G14" i="40"/>
  <c r="F14" i="40"/>
  <c r="H13" i="40"/>
  <c r="H24" i="40" s="1"/>
  <c r="G13" i="40"/>
  <c r="G24" i="40" s="1"/>
  <c r="F13" i="40"/>
  <c r="F24" i="40" s="1"/>
  <c r="H11" i="40"/>
  <c r="G11" i="40"/>
  <c r="F11" i="40"/>
  <c r="H6" i="40"/>
  <c r="G6" i="40"/>
  <c r="F6" i="40"/>
  <c r="H4" i="40"/>
  <c r="G4" i="40"/>
  <c r="F4" i="40"/>
  <c r="G3" i="40"/>
  <c r="H3" i="40"/>
  <c r="H2" i="40"/>
  <c r="F2" i="40"/>
  <c r="F8" i="40"/>
  <c r="H7" i="40"/>
  <c r="G7" i="40"/>
  <c r="F7" i="40"/>
  <c r="F3" i="40"/>
  <c r="O238" i="39"/>
  <c r="P237" i="39"/>
  <c r="P238" i="39" s="1"/>
  <c r="E257" i="39"/>
  <c r="H256" i="39"/>
  <c r="G256" i="39"/>
  <c r="F256" i="39"/>
  <c r="F60" i="39"/>
  <c r="F264" i="39"/>
  <c r="H263" i="39"/>
  <c r="G263" i="39"/>
  <c r="F263" i="39"/>
  <c r="H262" i="39"/>
  <c r="G262" i="39"/>
  <c r="F262" i="39"/>
  <c r="H261" i="39"/>
  <c r="G261" i="39"/>
  <c r="F261" i="39"/>
  <c r="E260" i="39"/>
  <c r="H259" i="39"/>
  <c r="G259" i="39"/>
  <c r="F259" i="39"/>
  <c r="E258" i="39"/>
  <c r="H254" i="39"/>
  <c r="G254" i="39"/>
  <c r="E12" i="40" l="1"/>
  <c r="G2" i="40"/>
  <c r="E265" i="39"/>
  <c r="H258" i="39"/>
  <c r="G258" i="39"/>
  <c r="F258" i="39"/>
  <c r="H260" i="39"/>
  <c r="G260" i="39"/>
  <c r="F260" i="39"/>
  <c r="F254" i="39"/>
  <c r="H252" i="39"/>
  <c r="G252" i="39"/>
  <c r="F252" i="39"/>
  <c r="H251" i="39"/>
  <c r="H257" i="39" s="1"/>
  <c r="G251" i="39"/>
  <c r="G257" i="39" s="1"/>
  <c r="F251" i="39"/>
  <c r="F257" i="39" s="1"/>
  <c r="E250" i="39"/>
  <c r="H247" i="39"/>
  <c r="H250" i="39" s="1"/>
  <c r="G247" i="39"/>
  <c r="G250" i="39" s="1"/>
  <c r="F247" i="39"/>
  <c r="F250" i="39" s="1"/>
  <c r="E246" i="39"/>
  <c r="H243" i="39"/>
  <c r="G243" i="39"/>
  <c r="F243" i="39"/>
  <c r="H241" i="39"/>
  <c r="G241" i="39"/>
  <c r="F241" i="39"/>
  <c r="H240" i="39"/>
  <c r="H246" i="39" s="1"/>
  <c r="G240" i="39"/>
  <c r="G246" i="39" s="1"/>
  <c r="F240" i="39"/>
  <c r="F246" i="39" s="1"/>
  <c r="E239" i="39"/>
  <c r="H234" i="39"/>
  <c r="G234" i="39"/>
  <c r="F234" i="39"/>
  <c r="H236" i="39"/>
  <c r="G236" i="39"/>
  <c r="F236" i="39"/>
  <c r="F12" i="40" l="1"/>
  <c r="G12" i="40"/>
  <c r="H12" i="40"/>
  <c r="F265" i="39"/>
  <c r="G265" i="39"/>
  <c r="H265" i="39"/>
  <c r="H233" i="39"/>
  <c r="G233" i="39"/>
  <c r="F233" i="39"/>
  <c r="H232" i="39"/>
  <c r="H239" i="39" s="1"/>
  <c r="G232" i="39"/>
  <c r="G239" i="39" s="1"/>
  <c r="F232" i="39"/>
  <c r="F239" i="39" s="1"/>
  <c r="H229" i="39"/>
  <c r="G229" i="39"/>
  <c r="F229" i="39"/>
  <c r="E231" i="39" l="1"/>
  <c r="H226" i="39" l="1"/>
  <c r="G226" i="39"/>
  <c r="F226" i="39"/>
  <c r="H225" i="39"/>
  <c r="G225" i="39"/>
  <c r="F225" i="39"/>
  <c r="H224" i="39"/>
  <c r="G224" i="39"/>
  <c r="F224" i="39"/>
  <c r="H222" i="39"/>
  <c r="G222" i="39"/>
  <c r="F222" i="39"/>
  <c r="H221" i="39"/>
  <c r="G221" i="39"/>
  <c r="F221" i="39"/>
  <c r="H220" i="39"/>
  <c r="H231" i="39" s="1"/>
  <c r="G220" i="39"/>
  <c r="G231" i="39" s="1"/>
  <c r="F220" i="39"/>
  <c r="F231" i="39" s="1"/>
  <c r="E219" i="39"/>
  <c r="H217" i="39"/>
  <c r="G217" i="39"/>
  <c r="F217" i="39"/>
  <c r="H216" i="39"/>
  <c r="H219" i="39" s="1"/>
  <c r="G216" i="39"/>
  <c r="G219" i="39" s="1"/>
  <c r="F216" i="39"/>
  <c r="F219" i="39" s="1"/>
  <c r="H214" i="39"/>
  <c r="G214" i="39"/>
  <c r="F214" i="39"/>
  <c r="H213" i="39"/>
  <c r="G213" i="39"/>
  <c r="F213" i="39"/>
  <c r="H211" i="39"/>
  <c r="G211" i="39"/>
  <c r="F211" i="39"/>
  <c r="H210" i="39"/>
  <c r="G210" i="39"/>
  <c r="F210" i="39"/>
  <c r="E209" i="39"/>
  <c r="E208" i="39"/>
  <c r="H207" i="39"/>
  <c r="G207" i="39"/>
  <c r="F207" i="39"/>
  <c r="H206" i="39"/>
  <c r="E215" i="39" l="1"/>
  <c r="H208" i="39"/>
  <c r="G208" i="39"/>
  <c r="F208" i="39"/>
  <c r="H209" i="39"/>
  <c r="G209" i="39"/>
  <c r="F209" i="39"/>
  <c r="G206" i="39"/>
  <c r="G215" i="39" s="1"/>
  <c r="F206" i="39"/>
  <c r="F215" i="39" s="1"/>
  <c r="H203" i="39"/>
  <c r="G203" i="39"/>
  <c r="F203" i="39"/>
  <c r="H215" i="39" l="1"/>
  <c r="E201" i="39"/>
  <c r="E200" i="39"/>
  <c r="G199" i="39"/>
  <c r="F199" i="39"/>
  <c r="H196" i="39"/>
  <c r="G196" i="39"/>
  <c r="G195" i="39"/>
  <c r="F195" i="39"/>
  <c r="F194" i="39"/>
  <c r="H193" i="39"/>
  <c r="G193" i="39"/>
  <c r="F193" i="39"/>
  <c r="H192" i="39"/>
  <c r="G192" i="39"/>
  <c r="F192" i="39"/>
  <c r="H191" i="39"/>
  <c r="G191" i="39"/>
  <c r="F191" i="39"/>
  <c r="H190" i="39"/>
  <c r="G190" i="39"/>
  <c r="F190" i="39"/>
  <c r="H189" i="39"/>
  <c r="H200" i="39" s="1"/>
  <c r="G189" i="39"/>
  <c r="G200" i="39" s="1"/>
  <c r="F189" i="39"/>
  <c r="F200" i="39" s="1"/>
  <c r="E188" i="39"/>
  <c r="H183" i="39"/>
  <c r="G183" i="39"/>
  <c r="F183" i="39"/>
  <c r="H181" i="39"/>
  <c r="G181" i="39"/>
  <c r="F181" i="39"/>
  <c r="H180" i="39"/>
  <c r="F180" i="39"/>
  <c r="G180" i="39"/>
  <c r="H179" i="39"/>
  <c r="F179" i="39"/>
  <c r="G179" i="39"/>
  <c r="H178" i="39"/>
  <c r="G178" i="39"/>
  <c r="F178" i="39"/>
  <c r="H177" i="39"/>
  <c r="G177" i="39"/>
  <c r="F177" i="39"/>
  <c r="H176" i="39"/>
  <c r="G176" i="39"/>
  <c r="F176" i="39"/>
  <c r="H175" i="39"/>
  <c r="H188" i="39" s="1"/>
  <c r="G175" i="39"/>
  <c r="G188" i="39" s="1"/>
  <c r="F175" i="39"/>
  <c r="F188" i="39" s="1"/>
  <c r="E174" i="39"/>
  <c r="H172" i="39"/>
  <c r="G172" i="39"/>
  <c r="F172" i="39"/>
  <c r="H167" i="39"/>
  <c r="H168" i="39"/>
  <c r="H169" i="39"/>
  <c r="H170" i="39"/>
  <c r="F169" i="39"/>
  <c r="F170" i="39"/>
  <c r="H171" i="39"/>
  <c r="F171" i="39"/>
  <c r="G171" i="39"/>
  <c r="G170" i="39"/>
  <c r="G169" i="39"/>
  <c r="G168" i="39"/>
  <c r="F168" i="39"/>
  <c r="G167" i="39"/>
  <c r="F167" i="39"/>
  <c r="H166" i="39"/>
  <c r="G166" i="39"/>
  <c r="F166" i="39"/>
  <c r="H165" i="39"/>
  <c r="H174" i="39" s="1"/>
  <c r="G165" i="39"/>
  <c r="G174" i="39" s="1"/>
  <c r="F165" i="39"/>
  <c r="F174" i="39" s="1"/>
  <c r="E164" i="39"/>
  <c r="H163" i="39"/>
  <c r="G163" i="39"/>
  <c r="F163" i="39"/>
  <c r="H162" i="39"/>
  <c r="G162" i="39"/>
  <c r="F162" i="39"/>
  <c r="G161" i="39"/>
  <c r="F161" i="39"/>
  <c r="H157" i="39"/>
  <c r="G157" i="39"/>
  <c r="F157" i="39"/>
  <c r="H156" i="39"/>
  <c r="G156" i="39"/>
  <c r="F156" i="39"/>
  <c r="H155" i="39"/>
  <c r="G155" i="39"/>
  <c r="F155" i="39"/>
  <c r="H154" i="39"/>
  <c r="H164" i="39" s="1"/>
  <c r="G154" i="39"/>
  <c r="G164" i="39" s="1"/>
  <c r="F154" i="39"/>
  <c r="F164" i="39" s="1"/>
  <c r="E153" i="39"/>
  <c r="H151" i="39"/>
  <c r="G151" i="39"/>
  <c r="F151" i="39"/>
  <c r="H150" i="39"/>
  <c r="G150" i="39"/>
  <c r="F150" i="39"/>
  <c r="H149" i="39"/>
  <c r="F149" i="39"/>
  <c r="H148" i="39"/>
  <c r="F148" i="39"/>
  <c r="G149" i="39"/>
  <c r="G148" i="39"/>
  <c r="H147" i="39"/>
  <c r="G147" i="39"/>
  <c r="F147" i="39"/>
  <c r="H146" i="39"/>
  <c r="H153" i="39" s="1"/>
  <c r="G146" i="39"/>
  <c r="G153" i="39" s="1"/>
  <c r="F146" i="39"/>
  <c r="F153" i="39" s="1"/>
  <c r="E145" i="39"/>
  <c r="H144" i="39"/>
  <c r="G144" i="39"/>
  <c r="F144" i="39"/>
  <c r="H143" i="39"/>
  <c r="G143" i="39"/>
  <c r="F143" i="39"/>
  <c r="G142" i="39"/>
  <c r="F142" i="39"/>
  <c r="H141" i="39"/>
  <c r="H145" i="39" s="1"/>
  <c r="G141" i="39"/>
  <c r="G145" i="39" s="1"/>
  <c r="F141" i="39"/>
  <c r="F145" i="39" s="1"/>
  <c r="G136" i="39"/>
  <c r="E205" i="39" l="1"/>
  <c r="H201" i="39"/>
  <c r="H205" i="39" s="1"/>
  <c r="G201" i="39"/>
  <c r="G205" i="39" s="1"/>
  <c r="F201" i="39"/>
  <c r="F205" i="39" s="1"/>
  <c r="F139" i="39"/>
  <c r="H137" i="39"/>
  <c r="G137" i="39"/>
  <c r="F137" i="39"/>
  <c r="H136" i="39"/>
  <c r="F136" i="39"/>
  <c r="H134" i="39"/>
  <c r="G134" i="39"/>
  <c r="F134" i="39"/>
  <c r="H133" i="39"/>
  <c r="G133" i="39"/>
  <c r="F133" i="39"/>
  <c r="E132" i="39"/>
  <c r="E131" i="39"/>
  <c r="H129" i="39"/>
  <c r="G129" i="39"/>
  <c r="F129" i="39"/>
  <c r="H128" i="39"/>
  <c r="G128" i="39"/>
  <c r="F128" i="39"/>
  <c r="H127" i="39"/>
  <c r="F127" i="39"/>
  <c r="G127" i="39"/>
  <c r="H126" i="39"/>
  <c r="F126" i="39"/>
  <c r="G126" i="39"/>
  <c r="H125" i="39"/>
  <c r="H131" i="39" s="1"/>
  <c r="G125" i="39"/>
  <c r="G131" i="39" s="1"/>
  <c r="F125" i="39"/>
  <c r="F131" i="39" s="1"/>
  <c r="H123" i="39"/>
  <c r="E124" i="39"/>
  <c r="G123" i="39"/>
  <c r="F123" i="39"/>
  <c r="H122" i="39"/>
  <c r="G122" i="39"/>
  <c r="F122" i="39"/>
  <c r="H121" i="39"/>
  <c r="H124" i="39" s="1"/>
  <c r="G121" i="39"/>
  <c r="F121" i="39"/>
  <c r="G120" i="39"/>
  <c r="G124" i="39" s="1"/>
  <c r="F120" i="39"/>
  <c r="F124" i="39" s="1"/>
  <c r="F115" i="39"/>
  <c r="H114" i="39"/>
  <c r="G114" i="39"/>
  <c r="F114" i="39"/>
  <c r="H113" i="39"/>
  <c r="G113" i="39"/>
  <c r="F113" i="39"/>
  <c r="H112" i="39"/>
  <c r="G112" i="39"/>
  <c r="F112" i="39"/>
  <c r="E111" i="39"/>
  <c r="H110" i="39"/>
  <c r="H119" i="39" s="1"/>
  <c r="G110" i="39"/>
  <c r="F110" i="39"/>
  <c r="E109" i="39"/>
  <c r="H108" i="39"/>
  <c r="G108" i="39"/>
  <c r="H106" i="39"/>
  <c r="G106" i="39"/>
  <c r="H104" i="39"/>
  <c r="G104" i="39"/>
  <c r="F104" i="39"/>
  <c r="H103" i="39"/>
  <c r="G103" i="39"/>
  <c r="F103" i="39"/>
  <c r="G102" i="39"/>
  <c r="F102" i="39"/>
  <c r="H99" i="39"/>
  <c r="G99" i="39"/>
  <c r="F99" i="39"/>
  <c r="H98" i="39"/>
  <c r="G98" i="39"/>
  <c r="F98" i="39"/>
  <c r="H97" i="39"/>
  <c r="H109" i="39" s="1"/>
  <c r="G97" i="39"/>
  <c r="G109" i="39" s="1"/>
  <c r="F97" i="39"/>
  <c r="F109" i="39" s="1"/>
  <c r="H95" i="39"/>
  <c r="G95" i="39"/>
  <c r="F95" i="39"/>
  <c r="H93" i="39"/>
  <c r="G93" i="39"/>
  <c r="F93" i="39"/>
  <c r="E92" i="39"/>
  <c r="E91" i="39"/>
  <c r="G88" i="39"/>
  <c r="F88" i="39"/>
  <c r="H84" i="39"/>
  <c r="G84" i="39"/>
  <c r="F84" i="39"/>
  <c r="H83" i="39"/>
  <c r="G83" i="39"/>
  <c r="H82" i="39"/>
  <c r="H91" i="39" s="1"/>
  <c r="G82" i="39"/>
  <c r="G91" i="39" s="1"/>
  <c r="F82" i="39"/>
  <c r="F91" i="39" s="1"/>
  <c r="H79" i="39"/>
  <c r="G79" i="39"/>
  <c r="F79" i="39"/>
  <c r="H76" i="39"/>
  <c r="G76" i="39"/>
  <c r="F76" i="39"/>
  <c r="H75" i="39"/>
  <c r="G75" i="39"/>
  <c r="F75" i="39"/>
  <c r="H74" i="39"/>
  <c r="G74" i="39"/>
  <c r="F74" i="39"/>
  <c r="H73" i="39"/>
  <c r="G73" i="39"/>
  <c r="F73" i="39"/>
  <c r="E72" i="39"/>
  <c r="H71" i="39"/>
  <c r="G71" i="39"/>
  <c r="F71" i="39"/>
  <c r="E70" i="39"/>
  <c r="H69" i="39"/>
  <c r="G69" i="39"/>
  <c r="F69" i="39"/>
  <c r="H66" i="39"/>
  <c r="G66" i="39"/>
  <c r="F66" i="39"/>
  <c r="H65" i="39"/>
  <c r="G65" i="39"/>
  <c r="F65" i="39"/>
  <c r="H64" i="39"/>
  <c r="G64" i="39"/>
  <c r="F64" i="39"/>
  <c r="H63" i="39"/>
  <c r="G63" i="39"/>
  <c r="F63" i="39"/>
  <c r="H62" i="39"/>
  <c r="H70" i="39" s="1"/>
  <c r="G62" i="39"/>
  <c r="G70" i="39" s="1"/>
  <c r="F62" i="39"/>
  <c r="F70" i="39" s="1"/>
  <c r="E61" i="39"/>
  <c r="H60" i="39"/>
  <c r="G60" i="39"/>
  <c r="H59" i="39"/>
  <c r="G59" i="39"/>
  <c r="F59" i="39"/>
  <c r="F58" i="39"/>
  <c r="H57" i="39"/>
  <c r="G57" i="39"/>
  <c r="F57" i="39"/>
  <c r="H56" i="39"/>
  <c r="G56" i="39"/>
  <c r="F56" i="39"/>
  <c r="H55" i="39"/>
  <c r="G55" i="39"/>
  <c r="F55" i="39"/>
  <c r="H54" i="39"/>
  <c r="G54" i="39"/>
  <c r="F54" i="39"/>
  <c r="H53" i="39"/>
  <c r="H61" i="39" s="1"/>
  <c r="G53" i="39"/>
  <c r="G61" i="39" s="1"/>
  <c r="F53" i="39"/>
  <c r="F61" i="39" s="1"/>
  <c r="E81" i="39" l="1"/>
  <c r="H72" i="39"/>
  <c r="H81" i="39" s="1"/>
  <c r="G72" i="39"/>
  <c r="G81" i="39" s="1"/>
  <c r="F72" i="39"/>
  <c r="F81" i="39" s="1"/>
  <c r="E96" i="39"/>
  <c r="H92" i="39"/>
  <c r="H96" i="39" s="1"/>
  <c r="G92" i="39"/>
  <c r="G96" i="39" s="1"/>
  <c r="F92" i="39"/>
  <c r="F96" i="39" s="1"/>
  <c r="E119" i="39"/>
  <c r="G111" i="39"/>
  <c r="G119" i="39" s="1"/>
  <c r="F111" i="39"/>
  <c r="F119" i="39" s="1"/>
  <c r="E140" i="39"/>
  <c r="H132" i="39"/>
  <c r="H140" i="39" s="1"/>
  <c r="G132" i="39"/>
  <c r="G140" i="39" s="1"/>
  <c r="F132" i="39"/>
  <c r="F140" i="39" s="1"/>
  <c r="H50" i="39"/>
  <c r="G50" i="39"/>
  <c r="F50" i="39"/>
  <c r="H49" i="39"/>
  <c r="G49" i="39"/>
  <c r="F49" i="39"/>
  <c r="H46" i="39"/>
  <c r="G46" i="39"/>
  <c r="F46" i="39"/>
  <c r="H45" i="39"/>
  <c r="G45" i="39"/>
  <c r="F45" i="39"/>
  <c r="H44" i="39"/>
  <c r="G44" i="39"/>
  <c r="F44" i="39"/>
  <c r="E43" i="39" l="1"/>
  <c r="E42" i="39"/>
  <c r="H39" i="39"/>
  <c r="G39" i="39"/>
  <c r="F39" i="39"/>
  <c r="H38" i="39"/>
  <c r="G38" i="39"/>
  <c r="F38" i="39"/>
  <c r="H37" i="39"/>
  <c r="G37" i="39"/>
  <c r="F37" i="39"/>
  <c r="H34" i="39"/>
  <c r="G34" i="39"/>
  <c r="F34" i="39"/>
  <c r="H33" i="39"/>
  <c r="G33" i="39"/>
  <c r="F33" i="39"/>
  <c r="H32" i="39"/>
  <c r="H42" i="39" s="1"/>
  <c r="G32" i="39"/>
  <c r="G42" i="39" s="1"/>
  <c r="F32" i="39"/>
  <c r="F42" i="39" s="1"/>
  <c r="E31" i="39"/>
  <c r="H27" i="39"/>
  <c r="G27" i="39"/>
  <c r="F27" i="39"/>
  <c r="H26" i="39"/>
  <c r="H31" i="39" s="1"/>
  <c r="G26" i="39"/>
  <c r="G31" i="39" s="1"/>
  <c r="F26" i="39"/>
  <c r="F31" i="39" s="1"/>
  <c r="E52" i="39" l="1"/>
  <c r="H43" i="39"/>
  <c r="H52" i="39" s="1"/>
  <c r="G43" i="39"/>
  <c r="G52" i="39" s="1"/>
  <c r="F43" i="39"/>
  <c r="F52" i="39" s="1"/>
  <c r="E25" i="39"/>
  <c r="H23" i="39"/>
  <c r="G23" i="39"/>
  <c r="F23" i="39"/>
  <c r="H20" i="39"/>
  <c r="G20" i="39"/>
  <c r="H19" i="39"/>
  <c r="G19" i="39"/>
  <c r="F19" i="39"/>
  <c r="H18" i="39"/>
  <c r="G18" i="39"/>
  <c r="F18" i="39"/>
  <c r="H17" i="39"/>
  <c r="G17" i="39"/>
  <c r="F17" i="39"/>
  <c r="H16" i="39"/>
  <c r="H25" i="39" s="1"/>
  <c r="G16" i="39"/>
  <c r="G25" i="39" s="1"/>
  <c r="F16" i="39"/>
  <c r="F25" i="39" s="1"/>
  <c r="E15" i="39"/>
  <c r="F12" i="39"/>
  <c r="F11" i="39"/>
  <c r="H10" i="39"/>
  <c r="G10" i="39"/>
  <c r="F10" i="39"/>
  <c r="F9" i="39"/>
  <c r="H8" i="39"/>
  <c r="G8" i="39"/>
  <c r="F8" i="39"/>
  <c r="H7" i="39"/>
  <c r="H15" i="39" s="1"/>
  <c r="G7" i="39"/>
  <c r="G15" i="39" s="1"/>
  <c r="F7" i="39"/>
  <c r="F15" i="39" s="1"/>
  <c r="E6" i="39"/>
  <c r="H4" i="39"/>
  <c r="G4" i="39"/>
  <c r="F4" i="39"/>
  <c r="H3" i="39"/>
  <c r="G3" i="39"/>
  <c r="F3" i="39"/>
  <c r="H2" i="39"/>
  <c r="H6" i="39" s="1"/>
  <c r="G2" i="39"/>
  <c r="G6" i="39" s="1"/>
  <c r="F2" i="39"/>
  <c r="F6" i="39" s="1"/>
  <c r="K144" i="38" l="1"/>
  <c r="L100" i="38"/>
  <c r="L43" i="38"/>
  <c r="K12" i="38"/>
  <c r="L191" i="38"/>
  <c r="K202" i="38"/>
  <c r="J186" i="38"/>
  <c r="J98" i="38"/>
  <c r="K38" i="38"/>
  <c r="L86" i="38"/>
  <c r="K88" i="38"/>
  <c r="F229" i="38" l="1"/>
  <c r="G229" i="38"/>
  <c r="H229" i="38"/>
  <c r="E229" i="38"/>
  <c r="F226" i="38"/>
  <c r="H225" i="38"/>
  <c r="G225" i="38"/>
  <c r="F225" i="38"/>
  <c r="H224" i="38"/>
  <c r="G224" i="38"/>
  <c r="F224" i="38"/>
  <c r="H223" i="38"/>
  <c r="F223" i="38"/>
  <c r="G223" i="38"/>
  <c r="E223" i="38"/>
  <c r="H221" i="38"/>
  <c r="G221" i="38"/>
  <c r="F221" i="38"/>
  <c r="H220" i="38"/>
  <c r="G220" i="38"/>
  <c r="F220" i="38"/>
  <c r="H219" i="38"/>
  <c r="G219" i="38"/>
  <c r="F219" i="38"/>
  <c r="H218" i="38"/>
  <c r="G218" i="38"/>
  <c r="F218" i="38"/>
  <c r="F216" i="38" l="1"/>
  <c r="G216" i="38"/>
  <c r="H216" i="38"/>
  <c r="E216" i="38"/>
  <c r="F215" i="38"/>
  <c r="H214" i="38"/>
  <c r="G214" i="38"/>
  <c r="F214" i="38"/>
  <c r="H213" i="38"/>
  <c r="G213" i="38"/>
  <c r="F213" i="38"/>
  <c r="H210" i="38"/>
  <c r="G210" i="38"/>
  <c r="F210" i="38"/>
  <c r="H209" i="38"/>
  <c r="G209" i="38"/>
  <c r="F209" i="38"/>
  <c r="G208" i="38"/>
  <c r="F208" i="38"/>
  <c r="F207" i="38"/>
  <c r="H205" i="38"/>
  <c r="G205" i="38"/>
  <c r="F205" i="38"/>
  <c r="H204" i="38"/>
  <c r="G204" i="38"/>
  <c r="F204" i="38"/>
  <c r="H203" i="38"/>
  <c r="G203" i="38"/>
  <c r="F203" i="38"/>
  <c r="H202" i="38"/>
  <c r="F202" i="38"/>
  <c r="G202" i="38"/>
  <c r="E202" i="38"/>
  <c r="H197" i="38"/>
  <c r="G197" i="38"/>
  <c r="F197" i="38"/>
  <c r="F195" i="38" l="1"/>
  <c r="G195" i="38"/>
  <c r="H195" i="38"/>
  <c r="E195" i="38"/>
  <c r="H192" i="38"/>
  <c r="G192" i="38"/>
  <c r="F192" i="38"/>
  <c r="H191" i="38"/>
  <c r="G191" i="38"/>
  <c r="F191" i="38"/>
  <c r="H190" i="38"/>
  <c r="G190" i="38"/>
  <c r="F189" i="38" l="1"/>
  <c r="G189" i="38"/>
  <c r="H189" i="38"/>
  <c r="E189" i="38"/>
  <c r="H187" i="38" l="1"/>
  <c r="G187" i="38"/>
  <c r="F187" i="38"/>
  <c r="H186" i="38"/>
  <c r="G186" i="38"/>
  <c r="F186" i="38"/>
  <c r="E182" i="38"/>
  <c r="F180" i="38"/>
  <c r="H179" i="38"/>
  <c r="G179" i="38"/>
  <c r="F179" i="38"/>
  <c r="H178" i="38"/>
  <c r="G178" i="38"/>
  <c r="F178" i="38"/>
  <c r="H177" i="38"/>
  <c r="H182" i="38" s="1"/>
  <c r="G177" i="38"/>
  <c r="G182" i="38" s="1"/>
  <c r="F177" i="38"/>
  <c r="F182" i="38" s="1"/>
  <c r="E176" i="38"/>
  <c r="H174" i="38"/>
  <c r="G174" i="38"/>
  <c r="F174" i="38"/>
  <c r="E174" i="38"/>
  <c r="H173" i="38"/>
  <c r="G173" i="38"/>
  <c r="F173" i="38"/>
  <c r="H172" i="38"/>
  <c r="H176" i="38" s="1"/>
  <c r="G172" i="38"/>
  <c r="G176" i="38" s="1"/>
  <c r="F172" i="38"/>
  <c r="F176" i="38" s="1"/>
  <c r="E171" i="38"/>
  <c r="H168" i="38"/>
  <c r="G168" i="38"/>
  <c r="F168" i="38"/>
  <c r="H167" i="38"/>
  <c r="G167" i="38"/>
  <c r="F167" i="38"/>
  <c r="H166" i="38"/>
  <c r="G166" i="38"/>
  <c r="F166" i="38"/>
  <c r="H165" i="38"/>
  <c r="G165" i="38"/>
  <c r="F165" i="38"/>
  <c r="H164" i="38"/>
  <c r="G164" i="38"/>
  <c r="F164" i="38"/>
  <c r="H162" i="38"/>
  <c r="G162" i="38"/>
  <c r="F162" i="38"/>
  <c r="H161" i="38"/>
  <c r="F161" i="38"/>
  <c r="G161" i="38"/>
  <c r="H160" i="38"/>
  <c r="H171" i="38" s="1"/>
  <c r="G160" i="38"/>
  <c r="G171" i="38" s="1"/>
  <c r="F160" i="38"/>
  <c r="F171" i="38" s="1"/>
  <c r="E159" i="38"/>
  <c r="H156" i="38"/>
  <c r="G156" i="38"/>
  <c r="F156" i="38"/>
  <c r="H155" i="38"/>
  <c r="G155" i="38"/>
  <c r="F155" i="38"/>
  <c r="F159" i="38" s="1"/>
  <c r="H154" i="38"/>
  <c r="H159" i="38" s="1"/>
  <c r="G154" i="38"/>
  <c r="G159" i="38" s="1"/>
  <c r="E153" i="38"/>
  <c r="H150" i="38"/>
  <c r="G150" i="38"/>
  <c r="F150" i="38"/>
  <c r="F148" i="38"/>
  <c r="H147" i="38"/>
  <c r="H153" i="38" s="1"/>
  <c r="G147" i="38"/>
  <c r="G153" i="38" s="1"/>
  <c r="F147" i="38"/>
  <c r="F153" i="38" s="1"/>
  <c r="E146" i="38"/>
  <c r="F144" i="38"/>
  <c r="H142" i="38"/>
  <c r="G142" i="38"/>
  <c r="F142" i="38"/>
  <c r="H139" i="38"/>
  <c r="G139" i="38"/>
  <c r="F139" i="38"/>
  <c r="H140" i="38"/>
  <c r="G140" i="38"/>
  <c r="F140" i="38"/>
  <c r="F146" i="38" l="1"/>
  <c r="G146" i="38"/>
  <c r="H146" i="38"/>
  <c r="E138" i="38"/>
  <c r="G137" i="38"/>
  <c r="F137" i="38"/>
  <c r="H136" i="38"/>
  <c r="G136" i="38"/>
  <c r="F136" i="38"/>
  <c r="H134" i="38"/>
  <c r="H138" i="38" s="1"/>
  <c r="G134" i="38"/>
  <c r="G138" i="38" s="1"/>
  <c r="F134" i="38"/>
  <c r="F138" i="38" s="1"/>
  <c r="E133" i="38"/>
  <c r="H131" i="38"/>
  <c r="G131" i="38"/>
  <c r="F131" i="38"/>
  <c r="H130" i="38"/>
  <c r="G130" i="38"/>
  <c r="F130" i="38"/>
  <c r="F133" i="38" s="1"/>
  <c r="H129" i="38"/>
  <c r="H133" i="38" s="1"/>
  <c r="G129" i="38"/>
  <c r="G133" i="38" s="1"/>
  <c r="E129" i="38"/>
  <c r="E126" i="38"/>
  <c r="H125" i="38"/>
  <c r="G125" i="38"/>
  <c r="H124" i="38"/>
  <c r="G124" i="38"/>
  <c r="F124" i="38"/>
  <c r="G123" i="38"/>
  <c r="F123" i="38"/>
  <c r="H121" i="38"/>
  <c r="G121" i="38"/>
  <c r="F121" i="38"/>
  <c r="H120" i="38"/>
  <c r="G120" i="38"/>
  <c r="F120" i="38"/>
  <c r="H119" i="38"/>
  <c r="H126" i="38" s="1"/>
  <c r="G119" i="38"/>
  <c r="G126" i="38" s="1"/>
  <c r="F119" i="38"/>
  <c r="F126" i="38" s="1"/>
  <c r="E118" i="38"/>
  <c r="G116" i="38"/>
  <c r="F116" i="38"/>
  <c r="G115" i="38"/>
  <c r="F115" i="38"/>
  <c r="H114" i="38"/>
  <c r="G114" i="38"/>
  <c r="F114" i="38"/>
  <c r="H113" i="38"/>
  <c r="G113" i="38"/>
  <c r="F113" i="38"/>
  <c r="H112" i="38"/>
  <c r="H118" i="38" s="1"/>
  <c r="G112" i="38"/>
  <c r="G118" i="38" s="1"/>
  <c r="F112" i="38"/>
  <c r="F118" i="38" s="1"/>
  <c r="E111" i="38"/>
  <c r="F108" i="38"/>
  <c r="H107" i="38"/>
  <c r="G107" i="38"/>
  <c r="F107" i="38"/>
  <c r="H106" i="38"/>
  <c r="G106" i="38"/>
  <c r="F106" i="38"/>
  <c r="H105" i="38"/>
  <c r="G105" i="38"/>
  <c r="F105" i="38"/>
  <c r="H104" i="38"/>
  <c r="H111" i="38" s="1"/>
  <c r="G104" i="38"/>
  <c r="G111" i="38" s="1"/>
  <c r="F104" i="38"/>
  <c r="F111" i="38" s="1"/>
  <c r="E103" i="38" l="1"/>
  <c r="H99" i="38"/>
  <c r="G99" i="38"/>
  <c r="F99" i="38"/>
  <c r="H98" i="38"/>
  <c r="G98" i="38"/>
  <c r="F98" i="38"/>
  <c r="H97" i="38"/>
  <c r="G97" i="38"/>
  <c r="F97" i="38"/>
  <c r="H96" i="38"/>
  <c r="H103" i="38" s="1"/>
  <c r="G96" i="38"/>
  <c r="G103" i="38" s="1"/>
  <c r="F96" i="38"/>
  <c r="F103" i="38" s="1"/>
  <c r="E95" i="38" l="1"/>
  <c r="H93" i="38"/>
  <c r="G93" i="38"/>
  <c r="F93" i="38"/>
  <c r="E93" i="38"/>
  <c r="H92" i="38"/>
  <c r="H95" i="38" s="1"/>
  <c r="G92" i="38"/>
  <c r="G95" i="38" s="1"/>
  <c r="F92" i="38"/>
  <c r="F95" i="38" s="1"/>
  <c r="E91" i="38"/>
  <c r="H89" i="38"/>
  <c r="G89" i="38"/>
  <c r="F89" i="38"/>
  <c r="H88" i="38"/>
  <c r="H91" i="38" s="1"/>
  <c r="G88" i="38"/>
  <c r="G91" i="38" s="1"/>
  <c r="F88" i="38"/>
  <c r="F91" i="38" s="1"/>
  <c r="E87" i="38"/>
  <c r="H86" i="38"/>
  <c r="G86" i="38"/>
  <c r="F86" i="38"/>
  <c r="G85" i="38"/>
  <c r="F85" i="38"/>
  <c r="H84" i="38"/>
  <c r="H87" i="38" s="1"/>
  <c r="G84" i="38"/>
  <c r="G87" i="38" s="1"/>
  <c r="F84" i="38"/>
  <c r="F87" i="38" s="1"/>
  <c r="E83" i="38"/>
  <c r="H80" i="38"/>
  <c r="G80" i="38"/>
  <c r="F80" i="38"/>
  <c r="H79" i="38"/>
  <c r="G79" i="38"/>
  <c r="F79" i="38"/>
  <c r="H78" i="38"/>
  <c r="G78" i="38"/>
  <c r="F78" i="38"/>
  <c r="H77" i="38"/>
  <c r="G77" i="38"/>
  <c r="F77" i="38"/>
  <c r="G76" i="38"/>
  <c r="F76" i="38"/>
  <c r="H74" i="38"/>
  <c r="G74" i="38"/>
  <c r="F74" i="38"/>
  <c r="E74" i="38"/>
  <c r="H73" i="38"/>
  <c r="G73" i="38"/>
  <c r="F73" i="38"/>
  <c r="H72" i="38"/>
  <c r="H83" i="38" s="1"/>
  <c r="G72" i="38"/>
  <c r="G83" i="38" s="1"/>
  <c r="F72" i="38"/>
  <c r="F83" i="38" s="1"/>
  <c r="E71" i="38"/>
  <c r="H68" i="38"/>
  <c r="G68" i="38"/>
  <c r="H67" i="38"/>
  <c r="G67" i="38"/>
  <c r="F67" i="38"/>
  <c r="H66" i="38"/>
  <c r="G66" i="38"/>
  <c r="H64" i="38"/>
  <c r="G64" i="38"/>
  <c r="F64" i="38"/>
  <c r="H63" i="38"/>
  <c r="H71" i="38" s="1"/>
  <c r="G63" i="38"/>
  <c r="G71" i="38" s="1"/>
  <c r="F63" i="38"/>
  <c r="F71" i="38" s="1"/>
  <c r="E62" i="38"/>
  <c r="H60" i="38"/>
  <c r="G60" i="38"/>
  <c r="F60" i="38"/>
  <c r="H59" i="38"/>
  <c r="G59" i="38"/>
  <c r="F59" i="38"/>
  <c r="H58" i="38" l="1"/>
  <c r="G58" i="38"/>
  <c r="F58" i="38"/>
  <c r="H57" i="38"/>
  <c r="H62" i="38" s="1"/>
  <c r="G57" i="38"/>
  <c r="G62" i="38" s="1"/>
  <c r="F57" i="38"/>
  <c r="F62" i="38" s="1"/>
  <c r="E56" i="38" l="1"/>
  <c r="H53" i="38"/>
  <c r="G53" i="38"/>
  <c r="F53" i="38"/>
  <c r="H52" i="38"/>
  <c r="G52" i="38"/>
  <c r="F52" i="38"/>
  <c r="G51" i="38"/>
  <c r="F51" i="38"/>
  <c r="H50" i="38"/>
  <c r="G50" i="38"/>
  <c r="F50" i="38"/>
  <c r="H49" i="38"/>
  <c r="H56" i="38" s="1"/>
  <c r="G49" i="38"/>
  <c r="G56" i="38" s="1"/>
  <c r="F49" i="38"/>
  <c r="F56" i="38" s="1"/>
  <c r="E48" i="38" l="1"/>
  <c r="G47" i="38"/>
  <c r="F47" i="38"/>
  <c r="H43" i="38"/>
  <c r="G43" i="38"/>
  <c r="F43" i="38"/>
  <c r="H42" i="38"/>
  <c r="G42" i="38"/>
  <c r="F42" i="38"/>
  <c r="H41" i="38"/>
  <c r="G41" i="38"/>
  <c r="F41" i="38"/>
  <c r="H39" i="38"/>
  <c r="G39" i="38"/>
  <c r="F39" i="38"/>
  <c r="H38" i="38"/>
  <c r="G38" i="38"/>
  <c r="F38" i="38"/>
  <c r="H37" i="38"/>
  <c r="H48" i="38" s="1"/>
  <c r="G37" i="38"/>
  <c r="G48" i="38" s="1"/>
  <c r="F37" i="38"/>
  <c r="F48" i="38" s="1"/>
  <c r="E36" i="38" l="1"/>
  <c r="H32" i="38"/>
  <c r="G32" i="38"/>
  <c r="F32" i="38"/>
  <c r="H31" i="38"/>
  <c r="G31" i="38"/>
  <c r="F31" i="38"/>
  <c r="F29" i="38" l="1"/>
  <c r="H28" i="38"/>
  <c r="G28" i="38"/>
  <c r="F28" i="38"/>
  <c r="H27" i="38"/>
  <c r="G27" i="38"/>
  <c r="F27" i="38"/>
  <c r="H26" i="38"/>
  <c r="G26" i="38"/>
  <c r="F26" i="38"/>
  <c r="H25" i="38"/>
  <c r="G25" i="38"/>
  <c r="F25" i="38"/>
  <c r="H24" i="38"/>
  <c r="G24" i="38"/>
  <c r="F24" i="38"/>
  <c r="H23" i="38"/>
  <c r="H36" i="38" s="1"/>
  <c r="G23" i="38"/>
  <c r="G36" i="38" s="1"/>
  <c r="F23" i="38"/>
  <c r="F36" i="38" s="1"/>
  <c r="K176" i="37"/>
  <c r="K337" i="37"/>
  <c r="L330" i="37"/>
  <c r="L239" i="37"/>
  <c r="L333" i="37"/>
  <c r="K327" i="37" l="1"/>
  <c r="E22" i="38" l="1"/>
  <c r="F20" i="38"/>
  <c r="F19" i="38"/>
  <c r="H18" i="38"/>
  <c r="G18" i="38"/>
  <c r="F18" i="38"/>
  <c r="H17" i="38"/>
  <c r="G17" i="38"/>
  <c r="F17" i="38"/>
  <c r="H16" i="38"/>
  <c r="G16" i="38"/>
  <c r="F16" i="38"/>
  <c r="H15" i="38"/>
  <c r="H22" i="38" s="1"/>
  <c r="G15" i="38"/>
  <c r="G22" i="38" s="1"/>
  <c r="F15" i="38"/>
  <c r="F22" i="38" s="1"/>
  <c r="E14" i="38"/>
  <c r="H11" i="38"/>
  <c r="G11" i="38"/>
  <c r="F11" i="38"/>
  <c r="H9" i="38"/>
  <c r="G9" i="38"/>
  <c r="F9" i="38"/>
  <c r="H8" i="38"/>
  <c r="G8" i="38"/>
  <c r="F8" i="38"/>
  <c r="H7" i="38"/>
  <c r="G7" i="38"/>
  <c r="F7" i="38"/>
  <c r="H6" i="38"/>
  <c r="G6" i="38"/>
  <c r="F6" i="38"/>
  <c r="H5" i="38"/>
  <c r="G5" i="38"/>
  <c r="F5" i="38"/>
  <c r="H4" i="38"/>
  <c r="G4" i="38"/>
  <c r="F4" i="38"/>
  <c r="H3" i="38"/>
  <c r="H14" i="38" s="1"/>
  <c r="G3" i="38"/>
  <c r="G14" i="38" s="1"/>
  <c r="F3" i="38"/>
  <c r="F14" i="38" s="1"/>
  <c r="E326" i="37"/>
  <c r="H325" i="37"/>
  <c r="G325" i="37"/>
  <c r="F325" i="37"/>
  <c r="H324" i="37"/>
  <c r="G324" i="37"/>
  <c r="F324" i="37"/>
  <c r="H323" i="37"/>
  <c r="G323" i="37"/>
  <c r="F323" i="37"/>
  <c r="H322" i="37"/>
  <c r="G322" i="37"/>
  <c r="F322" i="37"/>
  <c r="H321" i="37"/>
  <c r="H326" i="37" s="1"/>
  <c r="G321" i="37"/>
  <c r="G326" i="37" s="1"/>
  <c r="F321" i="37"/>
  <c r="F326" i="37" s="1"/>
  <c r="E321" i="37"/>
  <c r="E320" i="37" l="1"/>
  <c r="F319" i="37"/>
  <c r="F318" i="37"/>
  <c r="H316" i="37"/>
  <c r="G316" i="37"/>
  <c r="F316" i="37"/>
  <c r="H315" i="37"/>
  <c r="G315" i="37"/>
  <c r="F315" i="37"/>
  <c r="H314" i="37"/>
  <c r="G314" i="37"/>
  <c r="F314" i="37"/>
  <c r="H313" i="37"/>
  <c r="G313" i="37"/>
  <c r="F313" i="37"/>
  <c r="H312" i="37"/>
  <c r="G312" i="37"/>
  <c r="F312" i="37"/>
  <c r="H311" i="37"/>
  <c r="H320" i="37" s="1"/>
  <c r="G311" i="37"/>
  <c r="G320" i="37" s="1"/>
  <c r="F311" i="37"/>
  <c r="F320" i="37" s="1"/>
  <c r="E310" i="37" l="1"/>
  <c r="G309" i="37"/>
  <c r="F309" i="37"/>
  <c r="H308" i="37"/>
  <c r="G308" i="37"/>
  <c r="F308" i="37"/>
  <c r="H307" i="37"/>
  <c r="G307" i="37"/>
  <c r="F307" i="37"/>
  <c r="H306" i="37"/>
  <c r="G306" i="37"/>
  <c r="F306" i="37"/>
  <c r="H305" i="37"/>
  <c r="G305" i="37"/>
  <c r="F305" i="37"/>
  <c r="H304" i="37"/>
  <c r="G304" i="37"/>
  <c r="F304" i="37"/>
  <c r="H303" i="37"/>
  <c r="H310" i="37" s="1"/>
  <c r="G303" i="37"/>
  <c r="G310" i="37" s="1"/>
  <c r="F303" i="37"/>
  <c r="F310" i="37" s="1"/>
  <c r="E302" i="37"/>
  <c r="H299" i="37"/>
  <c r="G299" i="37"/>
  <c r="F299" i="37"/>
  <c r="H298" i="37"/>
  <c r="H302" i="37" s="1"/>
  <c r="G298" i="37"/>
  <c r="G302" i="37" s="1"/>
  <c r="F298" i="37"/>
  <c r="F302" i="37" s="1"/>
  <c r="E297" i="37"/>
  <c r="F296" i="37"/>
  <c r="H294" i="37"/>
  <c r="G294" i="37"/>
  <c r="F294" i="37"/>
  <c r="H293" i="37"/>
  <c r="G293" i="37"/>
  <c r="F293" i="37"/>
  <c r="H292" i="37"/>
  <c r="G292" i="37"/>
  <c r="F292" i="37"/>
  <c r="H290" i="37"/>
  <c r="G290" i="37"/>
  <c r="F290" i="37"/>
  <c r="H289" i="37"/>
  <c r="G289" i="37"/>
  <c r="F289" i="37"/>
  <c r="H288" i="37"/>
  <c r="G288" i="37"/>
  <c r="F288" i="37"/>
  <c r="H287" i="37"/>
  <c r="H297" i="37" s="1"/>
  <c r="G287" i="37"/>
  <c r="G297" i="37" s="1"/>
  <c r="F287" i="37"/>
  <c r="F297" i="37" s="1"/>
  <c r="E286" i="37" l="1"/>
  <c r="F283" i="37"/>
  <c r="F282" i="37"/>
  <c r="H281" i="37"/>
  <c r="G281" i="37"/>
  <c r="F281" i="37"/>
  <c r="H280" i="37"/>
  <c r="G280" i="37"/>
  <c r="F280" i="37"/>
  <c r="H279" i="37"/>
  <c r="H286" i="37" s="1"/>
  <c r="G279" i="37"/>
  <c r="G286" i="37" s="1"/>
  <c r="F279" i="37"/>
  <c r="F286" i="37" s="1"/>
  <c r="E278" i="37"/>
  <c r="H277" i="37"/>
  <c r="G277" i="37"/>
  <c r="F277" i="37"/>
  <c r="F276" i="37"/>
  <c r="F275" i="37"/>
  <c r="H274" i="37"/>
  <c r="G274" i="37"/>
  <c r="F274" i="37"/>
  <c r="H273" i="37"/>
  <c r="G273" i="37"/>
  <c r="F273" i="37"/>
  <c r="H271" i="37"/>
  <c r="G271" i="37"/>
  <c r="F271" i="37"/>
  <c r="H270" i="37"/>
  <c r="G270" i="37"/>
  <c r="F270" i="37"/>
  <c r="H269" i="37"/>
  <c r="G269" i="37"/>
  <c r="F269" i="37"/>
  <c r="F267" i="37"/>
  <c r="H266" i="37"/>
  <c r="G266" i="37"/>
  <c r="F266" i="37"/>
  <c r="H265" i="37"/>
  <c r="H278" i="37" s="1"/>
  <c r="G265" i="37"/>
  <c r="G278" i="37" s="1"/>
  <c r="F265" i="37"/>
  <c r="F278" i="37" s="1"/>
  <c r="E264" i="37"/>
  <c r="H262" i="37"/>
  <c r="G262" i="37"/>
  <c r="F262" i="37"/>
  <c r="H261" i="37"/>
  <c r="G261" i="37"/>
  <c r="F261" i="37"/>
  <c r="H260" i="37"/>
  <c r="G260" i="37"/>
  <c r="F260" i="37"/>
  <c r="E260" i="37"/>
  <c r="H259" i="37"/>
  <c r="H264" i="37" s="1"/>
  <c r="G259" i="37"/>
  <c r="G264" i="37" s="1"/>
  <c r="F259" i="37"/>
  <c r="F264" i="37" s="1"/>
  <c r="E258" i="37" l="1"/>
  <c r="H257" i="37"/>
  <c r="G257" i="37"/>
  <c r="F257" i="37"/>
  <c r="H256" i="37"/>
  <c r="G256" i="37"/>
  <c r="F256" i="37"/>
  <c r="H254" i="37"/>
  <c r="G254" i="37"/>
  <c r="F254" i="37"/>
  <c r="H253" i="37"/>
  <c r="G253" i="37"/>
  <c r="F253" i="37"/>
  <c r="H251" i="37"/>
  <c r="G251" i="37"/>
  <c r="F251" i="37"/>
  <c r="H250" i="37"/>
  <c r="G250" i="37"/>
  <c r="F250" i="37"/>
  <c r="H249" i="37"/>
  <c r="H258" i="37" s="1"/>
  <c r="G249" i="37"/>
  <c r="G258" i="37" s="1"/>
  <c r="F249" i="37"/>
  <c r="F258" i="37" s="1"/>
  <c r="F247" i="37" l="1"/>
  <c r="H244" i="37"/>
  <c r="G244" i="37"/>
  <c r="F244" i="37"/>
  <c r="H243" i="37"/>
  <c r="G243" i="37"/>
  <c r="F243" i="37"/>
  <c r="H242" i="37"/>
  <c r="G242" i="37"/>
  <c r="F242" i="37"/>
  <c r="E241" i="37" l="1"/>
  <c r="H240" i="37"/>
  <c r="G240" i="37"/>
  <c r="F240" i="37"/>
  <c r="H239" i="37"/>
  <c r="G239" i="37"/>
  <c r="F239" i="37"/>
  <c r="H238" i="37"/>
  <c r="G238" i="37"/>
  <c r="F238" i="37"/>
  <c r="E237" i="37"/>
  <c r="F235" i="37"/>
  <c r="H233" i="37"/>
  <c r="G233" i="37"/>
  <c r="F233" i="37"/>
  <c r="H232" i="37"/>
  <c r="G232" i="37"/>
  <c r="F232" i="37"/>
  <c r="H231" i="37"/>
  <c r="G231" i="37"/>
  <c r="F231" i="37"/>
  <c r="H230" i="37"/>
  <c r="G230" i="37"/>
  <c r="F230" i="37"/>
  <c r="H229" i="37"/>
  <c r="H237" i="37" s="1"/>
  <c r="G229" i="37"/>
  <c r="G237" i="37" s="1"/>
  <c r="F229" i="37"/>
  <c r="F237" i="37" s="1"/>
  <c r="E248" i="37" l="1"/>
  <c r="H241" i="37"/>
  <c r="H248" i="37" s="1"/>
  <c r="G241" i="37"/>
  <c r="G248" i="37" s="1"/>
  <c r="F241" i="37"/>
  <c r="F248" i="37" s="1"/>
  <c r="E228" i="37"/>
  <c r="F226" i="37"/>
  <c r="H224" i="37"/>
  <c r="G224" i="37"/>
  <c r="F224" i="37"/>
  <c r="H223" i="37"/>
  <c r="G223" i="37"/>
  <c r="F223" i="37"/>
  <c r="H222" i="37"/>
  <c r="F222" i="37"/>
  <c r="G222" i="37"/>
  <c r="H221" i="37"/>
  <c r="G221" i="37"/>
  <c r="F221" i="37"/>
  <c r="H220" i="37"/>
  <c r="G220" i="37"/>
  <c r="F220" i="37"/>
  <c r="H219" i="37"/>
  <c r="G219" i="37"/>
  <c r="F219" i="37"/>
  <c r="H218" i="37"/>
  <c r="H228" i="37" s="1"/>
  <c r="G218" i="37"/>
  <c r="G228" i="37" s="1"/>
  <c r="F218" i="37"/>
  <c r="F228" i="37" s="1"/>
  <c r="H203" i="37"/>
  <c r="G203" i="37"/>
  <c r="F203" i="37"/>
  <c r="H202" i="37"/>
  <c r="G202" i="37"/>
  <c r="F202" i="37"/>
  <c r="E217" i="37"/>
  <c r="H214" i="37"/>
  <c r="G214" i="37"/>
  <c r="F214" i="37"/>
  <c r="H213" i="37"/>
  <c r="G213" i="37"/>
  <c r="F213" i="37"/>
  <c r="H211" i="37"/>
  <c r="G211" i="37"/>
  <c r="F211" i="37"/>
  <c r="H210" i="37"/>
  <c r="G210" i="37"/>
  <c r="F210" i="37"/>
  <c r="H209" i="37"/>
  <c r="H217" i="37" s="1"/>
  <c r="G209" i="37"/>
  <c r="G217" i="37" s="1"/>
  <c r="F209" i="37"/>
  <c r="F217" i="37" s="1"/>
  <c r="F187" i="37"/>
  <c r="H186" i="37"/>
  <c r="G186" i="37"/>
  <c r="F186" i="37"/>
  <c r="H185" i="37"/>
  <c r="G185" i="37"/>
  <c r="F185" i="37"/>
  <c r="H184" i="37"/>
  <c r="G184" i="37"/>
  <c r="F184" i="37"/>
  <c r="G182" i="37"/>
  <c r="F182" i="37"/>
  <c r="E181" i="37"/>
  <c r="E192" i="37" s="1"/>
  <c r="H180" i="37"/>
  <c r="G180" i="37"/>
  <c r="F180" i="37"/>
  <c r="E199" i="37"/>
  <c r="E198" i="37"/>
  <c r="E197" i="37"/>
  <c r="E208" i="37" s="1"/>
  <c r="H195" i="37"/>
  <c r="G195" i="37"/>
  <c r="F195" i="37"/>
  <c r="H194" i="37"/>
  <c r="G194" i="37"/>
  <c r="F194" i="37"/>
  <c r="H193" i="37"/>
  <c r="G193" i="37"/>
  <c r="F193" i="37"/>
  <c r="H181" i="37" l="1"/>
  <c r="H192" i="37" s="1"/>
  <c r="G181" i="37"/>
  <c r="G192" i="37" s="1"/>
  <c r="F181" i="37"/>
  <c r="F192" i="37" s="1"/>
  <c r="G197" i="37"/>
  <c r="F197" i="37"/>
  <c r="H198" i="37"/>
  <c r="G198" i="37"/>
  <c r="F198" i="37"/>
  <c r="H199" i="37"/>
  <c r="G199" i="37"/>
  <c r="F199" i="37"/>
  <c r="F208" i="37" l="1"/>
  <c r="H208" i="37"/>
  <c r="G208" i="37"/>
  <c r="E179" i="37" l="1"/>
  <c r="H175" i="37"/>
  <c r="G175" i="37"/>
  <c r="F175" i="37"/>
  <c r="G172" i="37"/>
  <c r="F172" i="37"/>
  <c r="H170" i="37"/>
  <c r="G170" i="37"/>
  <c r="F170" i="37"/>
  <c r="H169" i="37"/>
  <c r="H179" i="37" s="1"/>
  <c r="G169" i="37"/>
  <c r="F169" i="37"/>
  <c r="G168" i="37"/>
  <c r="G179" i="37" s="1"/>
  <c r="F168" i="37"/>
  <c r="F179" i="37" s="1"/>
  <c r="E167" i="37" l="1"/>
  <c r="H162" i="37"/>
  <c r="G162" i="37"/>
  <c r="H161" i="37"/>
  <c r="G161" i="37"/>
  <c r="F161" i="37"/>
  <c r="H157" i="37"/>
  <c r="G157" i="37"/>
  <c r="F157" i="37"/>
  <c r="H156" i="37"/>
  <c r="G156" i="37"/>
  <c r="F156" i="37"/>
  <c r="H155" i="37"/>
  <c r="G155" i="37"/>
  <c r="F155" i="37"/>
  <c r="H154" i="37"/>
  <c r="G154" i="37"/>
  <c r="F154" i="37"/>
  <c r="H153" i="37"/>
  <c r="H167" i="37" s="1"/>
  <c r="G153" i="37"/>
  <c r="G167" i="37" s="1"/>
  <c r="F153" i="37"/>
  <c r="F167" i="37" s="1"/>
  <c r="E152" i="37" l="1"/>
  <c r="H148" i="37"/>
  <c r="G148" i="37"/>
  <c r="F148" i="37"/>
  <c r="H146" i="37"/>
  <c r="G146" i="37"/>
  <c r="F146" i="37"/>
  <c r="H145" i="37"/>
  <c r="G145" i="37"/>
  <c r="F145" i="37"/>
  <c r="H144" i="37"/>
  <c r="G144" i="37"/>
  <c r="F144" i="37"/>
  <c r="H143" i="37"/>
  <c r="H152" i="37" s="1"/>
  <c r="G143" i="37"/>
  <c r="G152" i="37" s="1"/>
  <c r="F143" i="37"/>
  <c r="F152" i="37" s="1"/>
  <c r="H135" i="37"/>
  <c r="G135" i="37"/>
  <c r="F132" i="37"/>
  <c r="G132" i="37"/>
  <c r="H131" i="37"/>
  <c r="G131" i="37"/>
  <c r="F131" i="37"/>
  <c r="H130" i="37"/>
  <c r="G130" i="37"/>
  <c r="F130" i="37"/>
  <c r="H129" i="37"/>
  <c r="G129" i="37"/>
  <c r="F129" i="37"/>
  <c r="E128" i="37"/>
  <c r="H127" i="37"/>
  <c r="G127" i="37"/>
  <c r="F127" i="37"/>
  <c r="E126" i="37"/>
  <c r="E142" i="37" l="1"/>
  <c r="H128" i="37"/>
  <c r="H142" i="37" s="1"/>
  <c r="G128" i="37"/>
  <c r="G142" i="37" s="1"/>
  <c r="F128" i="37"/>
  <c r="F142" i="37" s="1"/>
  <c r="G122" i="37"/>
  <c r="F122" i="37"/>
  <c r="H120" i="37"/>
  <c r="G120" i="37"/>
  <c r="F120" i="37"/>
  <c r="H119" i="37"/>
  <c r="H126" i="37" s="1"/>
  <c r="G119" i="37"/>
  <c r="G126" i="37" s="1"/>
  <c r="F119" i="37"/>
  <c r="F126" i="37" s="1"/>
  <c r="E118" i="37" l="1"/>
  <c r="F116" i="37"/>
  <c r="F115" i="37"/>
  <c r="H114" i="37"/>
  <c r="G114" i="37"/>
  <c r="F114" i="37"/>
  <c r="H113" i="37"/>
  <c r="G113" i="37"/>
  <c r="F113" i="37"/>
  <c r="H112" i="37"/>
  <c r="G112" i="37"/>
  <c r="F112" i="37"/>
  <c r="H111" i="37"/>
  <c r="G111" i="37"/>
  <c r="F111" i="37"/>
  <c r="G110" i="37"/>
  <c r="F110" i="37"/>
  <c r="G109" i="37"/>
  <c r="F109" i="37"/>
  <c r="H108" i="37"/>
  <c r="G108" i="37"/>
  <c r="F108" i="37"/>
  <c r="H107" i="37"/>
  <c r="G107" i="37"/>
  <c r="F107" i="37"/>
  <c r="G106" i="37"/>
  <c r="F106" i="37"/>
  <c r="F104" i="37"/>
  <c r="G104" i="37"/>
  <c r="H103" i="37"/>
  <c r="G103" i="37"/>
  <c r="F103" i="37"/>
  <c r="H102" i="37"/>
  <c r="G102" i="37"/>
  <c r="F102" i="37"/>
  <c r="H101" i="37"/>
  <c r="H118" i="37" s="1"/>
  <c r="G101" i="37"/>
  <c r="G118" i="37" s="1"/>
  <c r="F101" i="37"/>
  <c r="F118" i="37" s="1"/>
  <c r="E100" i="37"/>
  <c r="G99" i="37"/>
  <c r="F99" i="37"/>
  <c r="H98" i="37"/>
  <c r="G98" i="37"/>
  <c r="F98" i="37"/>
  <c r="H96" i="37"/>
  <c r="G96" i="37"/>
  <c r="F96" i="37"/>
  <c r="H95" i="37"/>
  <c r="H100" i="37" s="1"/>
  <c r="G95" i="37"/>
  <c r="G100" i="37" s="1"/>
  <c r="F95" i="37"/>
  <c r="F100" i="37" s="1"/>
  <c r="E94" i="37" l="1"/>
  <c r="H93" i="37"/>
  <c r="G93" i="37"/>
  <c r="F93" i="37"/>
  <c r="H92" i="37"/>
  <c r="G92" i="37"/>
  <c r="F92" i="37"/>
  <c r="F87" i="37"/>
  <c r="G87" i="37"/>
  <c r="G86" i="37"/>
  <c r="F86" i="37"/>
  <c r="H85" i="37"/>
  <c r="G85" i="37"/>
  <c r="F85" i="37"/>
  <c r="H84" i="37"/>
  <c r="G84" i="37"/>
  <c r="F84" i="37"/>
  <c r="H83" i="37"/>
  <c r="H94" i="37" s="1"/>
  <c r="G83" i="37"/>
  <c r="G94" i="37" s="1"/>
  <c r="F83" i="37"/>
  <c r="F94" i="37" s="1"/>
  <c r="H79" i="37" l="1"/>
  <c r="G79" i="37"/>
  <c r="F79" i="37"/>
  <c r="H80" i="37"/>
  <c r="G80" i="37"/>
  <c r="F80" i="37"/>
  <c r="H75" i="37"/>
  <c r="G75" i="37"/>
  <c r="F75" i="37"/>
  <c r="E74" i="37"/>
  <c r="H71" i="37"/>
  <c r="G71" i="37"/>
  <c r="H69" i="37"/>
  <c r="G69" i="37"/>
  <c r="F69" i="37"/>
  <c r="H67" i="37"/>
  <c r="G67" i="37"/>
  <c r="F67" i="37"/>
  <c r="H66" i="37"/>
  <c r="G66" i="37"/>
  <c r="F66" i="37"/>
  <c r="G62" i="37"/>
  <c r="F62" i="37"/>
  <c r="H61" i="37"/>
  <c r="G61" i="37"/>
  <c r="F61" i="37"/>
  <c r="E60" i="37"/>
  <c r="G58" i="37"/>
  <c r="F58" i="37"/>
  <c r="H56" i="37"/>
  <c r="G56" i="37"/>
  <c r="H54" i="37"/>
  <c r="G54" i="37"/>
  <c r="F54" i="37"/>
  <c r="G51" i="37"/>
  <c r="F51" i="37"/>
  <c r="H50" i="37"/>
  <c r="G50" i="37"/>
  <c r="F50" i="37"/>
  <c r="E46" i="37"/>
  <c r="H45" i="37"/>
  <c r="G45" i="37"/>
  <c r="F45" i="37"/>
  <c r="H44" i="37"/>
  <c r="G44" i="37"/>
  <c r="F44" i="37"/>
  <c r="E43" i="37"/>
  <c r="H41" i="37"/>
  <c r="G41" i="37"/>
  <c r="F41" i="37"/>
  <c r="G40" i="37"/>
  <c r="F40" i="37"/>
  <c r="H39" i="37"/>
  <c r="G39" i="37"/>
  <c r="F39" i="37"/>
  <c r="H38" i="37"/>
  <c r="G38" i="37"/>
  <c r="F38" i="37"/>
  <c r="H35" i="37"/>
  <c r="F35" i="37"/>
  <c r="G35" i="37"/>
  <c r="H34" i="37"/>
  <c r="G34" i="37"/>
  <c r="F34" i="37"/>
  <c r="H33" i="37"/>
  <c r="G33" i="37"/>
  <c r="F33" i="37"/>
  <c r="H32" i="37"/>
  <c r="G32" i="37"/>
  <c r="F32" i="37"/>
  <c r="H31" i="37"/>
  <c r="H43" i="37" s="1"/>
  <c r="G31" i="37"/>
  <c r="G43" i="37" s="1"/>
  <c r="F31" i="37"/>
  <c r="F43" i="37" s="1"/>
  <c r="H29" i="37"/>
  <c r="G29" i="37"/>
  <c r="F29" i="37"/>
  <c r="H28" i="37"/>
  <c r="G28" i="37"/>
  <c r="F28" i="37"/>
  <c r="E30" i="37"/>
  <c r="H27" i="37"/>
  <c r="G27" i="37"/>
  <c r="H26" i="37"/>
  <c r="G26" i="37"/>
  <c r="F26" i="37"/>
  <c r="G24" i="37"/>
  <c r="F24" i="37"/>
  <c r="G23" i="37"/>
  <c r="F23" i="37"/>
  <c r="H22" i="37"/>
  <c r="G22" i="37"/>
  <c r="F22" i="37"/>
  <c r="H21" i="37"/>
  <c r="G21" i="37"/>
  <c r="F21" i="37"/>
  <c r="H20" i="37"/>
  <c r="G20" i="37"/>
  <c r="F20" i="37"/>
  <c r="H18" i="37"/>
  <c r="G18" i="37"/>
  <c r="F18" i="37"/>
  <c r="H17" i="37"/>
  <c r="G17" i="37"/>
  <c r="F17" i="37"/>
  <c r="H16" i="37"/>
  <c r="H30" i="37" s="1"/>
  <c r="G16" i="37"/>
  <c r="G30" i="37" s="1"/>
  <c r="F16" i="37"/>
  <c r="F30" i="37" s="1"/>
  <c r="H14" i="37"/>
  <c r="G14" i="37"/>
  <c r="F14" i="37"/>
  <c r="H13" i="37"/>
  <c r="G13" i="37"/>
  <c r="F13" i="37"/>
  <c r="H12" i="37"/>
  <c r="G12" i="37"/>
  <c r="F12" i="37"/>
  <c r="E11" i="37"/>
  <c r="E10" i="37"/>
  <c r="H7" i="37"/>
  <c r="G7" i="37"/>
  <c r="F7" i="37"/>
  <c r="K137" i="36"/>
  <c r="E59" i="37" l="1"/>
  <c r="H46" i="37"/>
  <c r="H59" i="37" s="1"/>
  <c r="G46" i="37"/>
  <c r="G59" i="37" s="1"/>
  <c r="F46" i="37"/>
  <c r="F59" i="37" s="1"/>
  <c r="E73" i="37"/>
  <c r="H60" i="37"/>
  <c r="H73" i="37" s="1"/>
  <c r="G60" i="37"/>
  <c r="G73" i="37" s="1"/>
  <c r="F60" i="37"/>
  <c r="F73" i="37" s="1"/>
  <c r="E82" i="37"/>
  <c r="H74" i="37"/>
  <c r="H82" i="37" s="1"/>
  <c r="G74" i="37"/>
  <c r="G82" i="37" s="1"/>
  <c r="F74" i="37"/>
  <c r="F82" i="37" s="1"/>
  <c r="E15" i="37"/>
  <c r="H11" i="37"/>
  <c r="H15" i="37" s="1"/>
  <c r="G11" i="37"/>
  <c r="G15" i="37" s="1"/>
  <c r="F11" i="37"/>
  <c r="F15" i="37" s="1"/>
  <c r="J132" i="36"/>
  <c r="M37" i="36"/>
  <c r="K21" i="36"/>
  <c r="K108" i="36"/>
  <c r="K181" i="36"/>
  <c r="K318" i="36"/>
  <c r="L101" i="36"/>
  <c r="K114" i="36"/>
  <c r="K321" i="36"/>
  <c r="K228" i="36"/>
  <c r="K316" i="36"/>
  <c r="K77" i="36"/>
  <c r="J235" i="35"/>
  <c r="K290" i="35"/>
  <c r="K289" i="35"/>
  <c r="L34" i="35"/>
  <c r="L110" i="35"/>
  <c r="J294" i="35"/>
  <c r="J164" i="35"/>
  <c r="J215" i="35"/>
  <c r="J108" i="35"/>
  <c r="H4" i="37" l="1"/>
  <c r="G4" i="37"/>
  <c r="F4" i="37"/>
  <c r="H3" i="37"/>
  <c r="G3" i="37"/>
  <c r="F3" i="37"/>
  <c r="H2" i="37"/>
  <c r="H10" i="37" s="1"/>
  <c r="G2" i="37"/>
  <c r="G10" i="37" s="1"/>
  <c r="F2" i="37"/>
  <c r="F10" i="37" s="1"/>
  <c r="E315" i="36"/>
  <c r="G308" i="36"/>
  <c r="F308" i="36"/>
  <c r="H307" i="36"/>
  <c r="G307" i="36"/>
  <c r="F307" i="36"/>
  <c r="H306" i="36"/>
  <c r="H315" i="36" s="1"/>
  <c r="G306" i="36"/>
  <c r="G315" i="36" s="1"/>
  <c r="F306" i="36"/>
  <c r="F315" i="36" s="1"/>
  <c r="H303" i="36" l="1"/>
  <c r="G303" i="36"/>
  <c r="F303" i="36"/>
  <c r="E305" i="36"/>
  <c r="G300" i="36"/>
  <c r="F300" i="36"/>
  <c r="H299" i="36"/>
  <c r="G299" i="36"/>
  <c r="F299" i="36"/>
  <c r="H298" i="36"/>
  <c r="H305" i="36" s="1"/>
  <c r="G298" i="36"/>
  <c r="G305" i="36" s="1"/>
  <c r="F298" i="36"/>
  <c r="F305" i="36" s="1"/>
  <c r="E297" i="36"/>
  <c r="H295" i="36"/>
  <c r="G295" i="36"/>
  <c r="F295" i="36"/>
  <c r="F291" i="36"/>
  <c r="G291" i="36"/>
  <c r="H290" i="36"/>
  <c r="G290" i="36"/>
  <c r="F290" i="36"/>
  <c r="H289" i="36"/>
  <c r="G289" i="36"/>
  <c r="F289" i="36"/>
  <c r="H288" i="36"/>
  <c r="G288" i="36"/>
  <c r="F288" i="36"/>
  <c r="H287" i="36"/>
  <c r="H297" i="36" s="1"/>
  <c r="G287" i="36"/>
  <c r="G297" i="36" s="1"/>
  <c r="F287" i="36"/>
  <c r="F297" i="36" s="1"/>
  <c r="E286" i="36"/>
  <c r="H284" i="36"/>
  <c r="G284" i="36"/>
  <c r="F284" i="36"/>
  <c r="G283" i="36"/>
  <c r="F283" i="36"/>
  <c r="H282" i="36"/>
  <c r="G282" i="36"/>
  <c r="F282" i="36"/>
  <c r="H281" i="36"/>
  <c r="H286" i="36" s="1"/>
  <c r="F281" i="36"/>
  <c r="F286" i="36" s="1"/>
  <c r="G281" i="36"/>
  <c r="G286" i="36" s="1"/>
  <c r="E264" i="36"/>
  <c r="E280" i="36"/>
  <c r="H279" i="36" l="1"/>
  <c r="G279" i="36"/>
  <c r="F276" i="36"/>
  <c r="H275" i="36"/>
  <c r="G275" i="36"/>
  <c r="F275" i="36"/>
  <c r="H274" i="36"/>
  <c r="G274" i="36"/>
  <c r="F274" i="36"/>
  <c r="H273" i="36"/>
  <c r="G273" i="36"/>
  <c r="F273" i="36"/>
  <c r="G272" i="36"/>
  <c r="F272" i="36"/>
  <c r="H271" i="36"/>
  <c r="G271" i="36"/>
  <c r="F271" i="36"/>
  <c r="H268" i="36"/>
  <c r="G268" i="36"/>
  <c r="F268" i="36"/>
  <c r="H267" i="36"/>
  <c r="G267" i="36"/>
  <c r="F267" i="36"/>
  <c r="H266" i="36"/>
  <c r="G266" i="36"/>
  <c r="F266" i="36"/>
  <c r="H265" i="36"/>
  <c r="H280" i="36" s="1"/>
  <c r="G265" i="36"/>
  <c r="G280" i="36" s="1"/>
  <c r="F265" i="36"/>
  <c r="F280" i="36" s="1"/>
  <c r="H263" i="36"/>
  <c r="G263" i="36"/>
  <c r="F263" i="36"/>
  <c r="G262" i="36"/>
  <c r="F262" i="36"/>
  <c r="H261" i="36"/>
  <c r="G261" i="36"/>
  <c r="F261" i="36"/>
  <c r="H260" i="36"/>
  <c r="G260" i="36"/>
  <c r="F260" i="36"/>
  <c r="H259" i="36"/>
  <c r="H264" i="36" s="1"/>
  <c r="G259" i="36"/>
  <c r="G264" i="36" s="1"/>
  <c r="F259" i="36"/>
  <c r="F264" i="36" s="1"/>
  <c r="E258" i="36"/>
  <c r="G254" i="36"/>
  <c r="F254" i="36"/>
  <c r="G253" i="36"/>
  <c r="F253" i="36"/>
  <c r="H252" i="36"/>
  <c r="G252" i="36"/>
  <c r="F252" i="36"/>
  <c r="H251" i="36"/>
  <c r="G251" i="36"/>
  <c r="F251" i="36"/>
  <c r="H250" i="36"/>
  <c r="G250" i="36"/>
  <c r="F250" i="36"/>
  <c r="H249" i="36"/>
  <c r="H258" i="36" s="1"/>
  <c r="G249" i="36"/>
  <c r="G258" i="36" s="1"/>
  <c r="F249" i="36"/>
  <c r="F258" i="36" s="1"/>
  <c r="E248" i="36"/>
  <c r="H247" i="36"/>
  <c r="G247" i="36"/>
  <c r="F247" i="36"/>
  <c r="H245" i="36"/>
  <c r="G245" i="36"/>
  <c r="F245" i="36"/>
  <c r="G241" i="36"/>
  <c r="H241" i="36"/>
  <c r="F241" i="36"/>
  <c r="H240" i="36"/>
  <c r="G240" i="36"/>
  <c r="F240" i="36"/>
  <c r="H239" i="36"/>
  <c r="G239" i="36"/>
  <c r="F239" i="36"/>
  <c r="H238" i="36"/>
  <c r="G238" i="36"/>
  <c r="F238" i="36"/>
  <c r="H237" i="36"/>
  <c r="H248" i="36" s="1"/>
  <c r="G237" i="36"/>
  <c r="G248" i="36" s="1"/>
  <c r="F237" i="36"/>
  <c r="F248" i="36" s="1"/>
  <c r="E236" i="36"/>
  <c r="H235" i="36"/>
  <c r="G235" i="36"/>
  <c r="F235" i="36"/>
  <c r="G234" i="36"/>
  <c r="F234" i="36"/>
  <c r="H233" i="36"/>
  <c r="G233" i="36"/>
  <c r="F233" i="36"/>
  <c r="H232" i="36"/>
  <c r="G232" i="36"/>
  <c r="F232" i="36"/>
  <c r="H230" i="36"/>
  <c r="G230" i="36"/>
  <c r="F230" i="36"/>
  <c r="G229" i="36"/>
  <c r="F229" i="36"/>
  <c r="H228" i="36"/>
  <c r="H236" i="36" s="1"/>
  <c r="G228" i="36"/>
  <c r="G236" i="36" s="1"/>
  <c r="F228" i="36"/>
  <c r="F236" i="36" s="1"/>
  <c r="H226" i="36"/>
  <c r="G226" i="36"/>
  <c r="F226" i="36"/>
  <c r="H225" i="36"/>
  <c r="G225" i="36"/>
  <c r="F225" i="36"/>
  <c r="H221" i="36" l="1"/>
  <c r="G221" i="36"/>
  <c r="F221" i="36"/>
  <c r="H220" i="36"/>
  <c r="G220" i="36"/>
  <c r="F220" i="36"/>
  <c r="H219" i="36"/>
  <c r="G219" i="36"/>
  <c r="F219" i="36"/>
  <c r="H218" i="36"/>
  <c r="G218" i="36"/>
  <c r="F218" i="36"/>
  <c r="E217" i="36"/>
  <c r="E227" i="36" s="1"/>
  <c r="H214" i="36"/>
  <c r="G214" i="36"/>
  <c r="H212" i="36"/>
  <c r="G212" i="36"/>
  <c r="H210" i="36"/>
  <c r="G210" i="36"/>
  <c r="G209" i="36"/>
  <c r="F209" i="36"/>
  <c r="E208" i="36"/>
  <c r="E207" i="36"/>
  <c r="H186" i="36"/>
  <c r="H191" i="36" s="1"/>
  <c r="G186" i="36"/>
  <c r="F186" i="36"/>
  <c r="E191" i="36"/>
  <c r="G206" i="36"/>
  <c r="F206" i="36"/>
  <c r="H205" i="36"/>
  <c r="G205" i="36"/>
  <c r="F205" i="36"/>
  <c r="H204" i="36"/>
  <c r="G204" i="36"/>
  <c r="F204" i="36"/>
  <c r="H203" i="36"/>
  <c r="G203" i="36"/>
  <c r="F203" i="36"/>
  <c r="H202" i="36"/>
  <c r="G202" i="36"/>
  <c r="F202" i="36"/>
  <c r="H201" i="36"/>
  <c r="G201" i="36"/>
  <c r="F201" i="36"/>
  <c r="H200" i="36"/>
  <c r="G200" i="36"/>
  <c r="F200" i="36"/>
  <c r="H199" i="36"/>
  <c r="G199" i="36"/>
  <c r="F199" i="36"/>
  <c r="G198" i="36"/>
  <c r="F198" i="36"/>
  <c r="H197" i="36"/>
  <c r="G197" i="36"/>
  <c r="F197" i="36"/>
  <c r="H196" i="36"/>
  <c r="G196" i="36"/>
  <c r="F196" i="36"/>
  <c r="H195" i="36"/>
  <c r="G195" i="36"/>
  <c r="F195" i="36"/>
  <c r="H193" i="36"/>
  <c r="H207" i="36" s="1"/>
  <c r="G193" i="36"/>
  <c r="F193" i="36"/>
  <c r="G192" i="36"/>
  <c r="G207" i="36" s="1"/>
  <c r="F192" i="36"/>
  <c r="F207" i="36" s="1"/>
  <c r="G187" i="36"/>
  <c r="F187" i="36"/>
  <c r="E185" i="36"/>
  <c r="H184" i="36"/>
  <c r="G184" i="36"/>
  <c r="F184" i="36"/>
  <c r="H182" i="36"/>
  <c r="G182" i="36"/>
  <c r="F181" i="36"/>
  <c r="H181" i="36"/>
  <c r="G181" i="36"/>
  <c r="H179" i="36"/>
  <c r="G179" i="36"/>
  <c r="F179" i="36"/>
  <c r="H178" i="36"/>
  <c r="G178" i="36"/>
  <c r="F178" i="36"/>
  <c r="H177" i="36"/>
  <c r="G177" i="36"/>
  <c r="F177" i="36"/>
  <c r="H176" i="36"/>
  <c r="G176" i="36"/>
  <c r="F176" i="36"/>
  <c r="H175" i="36"/>
  <c r="H185" i="36" s="1"/>
  <c r="G175" i="36"/>
  <c r="G185" i="36" s="1"/>
  <c r="F175" i="36"/>
  <c r="F185" i="36" s="1"/>
  <c r="E174" i="36"/>
  <c r="H173" i="36"/>
  <c r="G173" i="36"/>
  <c r="F173" i="36"/>
  <c r="H171" i="36"/>
  <c r="F171" i="36"/>
  <c r="G171" i="36"/>
  <c r="H170" i="36"/>
  <c r="G170" i="36"/>
  <c r="F170" i="36"/>
  <c r="G169" i="36"/>
  <c r="F169" i="36"/>
  <c r="H168" i="36"/>
  <c r="G168" i="36"/>
  <c r="F168" i="36"/>
  <c r="H167" i="36"/>
  <c r="H174" i="36" s="1"/>
  <c r="G167" i="36"/>
  <c r="G174" i="36" s="1"/>
  <c r="F167" i="36"/>
  <c r="F174" i="36" s="1"/>
  <c r="E166" i="36"/>
  <c r="H164" i="36"/>
  <c r="G164" i="36"/>
  <c r="F164" i="36"/>
  <c r="F163" i="36"/>
  <c r="G163" i="36"/>
  <c r="F191" i="36" l="1"/>
  <c r="G191" i="36"/>
  <c r="E216" i="36"/>
  <c r="H208" i="36"/>
  <c r="H216" i="36" s="1"/>
  <c r="G208" i="36"/>
  <c r="G216" i="36" s="1"/>
  <c r="F208" i="36"/>
  <c r="F216" i="36" s="1"/>
  <c r="H217" i="36"/>
  <c r="H227" i="36" s="1"/>
  <c r="G217" i="36"/>
  <c r="G227" i="36" s="1"/>
  <c r="F217" i="36"/>
  <c r="F227" i="36" s="1"/>
  <c r="G162" i="36"/>
  <c r="F162" i="36"/>
  <c r="H161" i="36"/>
  <c r="G161" i="36"/>
  <c r="F161" i="36"/>
  <c r="H160" i="36"/>
  <c r="H166" i="36" s="1"/>
  <c r="G160" i="36"/>
  <c r="G166" i="36" s="1"/>
  <c r="F160" i="36"/>
  <c r="F166" i="36" s="1"/>
  <c r="E159" i="36"/>
  <c r="G158" i="36"/>
  <c r="F158" i="36"/>
  <c r="G157" i="36"/>
  <c r="F157" i="36"/>
  <c r="H155" i="36"/>
  <c r="G155" i="36"/>
  <c r="F155" i="36"/>
  <c r="H154" i="36"/>
  <c r="G154" i="36"/>
  <c r="F154" i="36"/>
  <c r="H153" i="36"/>
  <c r="G153" i="36"/>
  <c r="F153" i="36"/>
  <c r="H152" i="36"/>
  <c r="H159" i="36" s="1"/>
  <c r="G152" i="36"/>
  <c r="G159" i="36" s="1"/>
  <c r="F152" i="36"/>
  <c r="F159" i="36" s="1"/>
  <c r="E151" i="36"/>
  <c r="H149" i="36"/>
  <c r="G149" i="36"/>
  <c r="F149" i="36"/>
  <c r="H148" i="36"/>
  <c r="G148" i="36"/>
  <c r="F148" i="36"/>
  <c r="H147" i="36"/>
  <c r="G147" i="36"/>
  <c r="F147" i="36"/>
  <c r="H145" i="36"/>
  <c r="G145" i="36"/>
  <c r="F145" i="36"/>
  <c r="G144" i="36"/>
  <c r="F144" i="36"/>
  <c r="H143" i="36"/>
  <c r="G143" i="36"/>
  <c r="F143" i="36"/>
  <c r="E140" i="36"/>
  <c r="H139" i="36"/>
  <c r="G139" i="36"/>
  <c r="F139" i="36"/>
  <c r="H138" i="36"/>
  <c r="G138" i="36"/>
  <c r="F138" i="36"/>
  <c r="H137" i="36"/>
  <c r="H142" i="36"/>
  <c r="G142" i="36"/>
  <c r="F142" i="36"/>
  <c r="H141" i="36"/>
  <c r="H151" i="36" s="1"/>
  <c r="G141" i="36"/>
  <c r="G151" i="36" s="1"/>
  <c r="F141" i="36"/>
  <c r="F151" i="36" s="1"/>
  <c r="F134" i="36"/>
  <c r="G133" i="36"/>
  <c r="F133" i="36"/>
  <c r="H130" i="36"/>
  <c r="G130" i="36"/>
  <c r="F130" i="36"/>
  <c r="H129" i="36"/>
  <c r="G129" i="36"/>
  <c r="F129" i="36"/>
  <c r="G128" i="36"/>
  <c r="F128" i="36"/>
  <c r="H127" i="36"/>
  <c r="G127" i="36"/>
  <c r="F127" i="36"/>
  <c r="H126" i="36"/>
  <c r="G126" i="36"/>
  <c r="F126" i="36"/>
  <c r="H125" i="36"/>
  <c r="G125" i="36"/>
  <c r="F125" i="36"/>
  <c r="H124" i="36"/>
  <c r="H140" i="36" s="1"/>
  <c r="G124" i="36"/>
  <c r="G140" i="36" s="1"/>
  <c r="F124" i="36"/>
  <c r="F140" i="36" s="1"/>
  <c r="H121" i="36"/>
  <c r="G121" i="36"/>
  <c r="F121" i="36"/>
  <c r="H120" i="36"/>
  <c r="G120" i="36"/>
  <c r="F120" i="36"/>
  <c r="F119" i="36"/>
  <c r="H118" i="36"/>
  <c r="G118" i="36"/>
  <c r="F118" i="36"/>
  <c r="G116" i="36"/>
  <c r="F116" i="36"/>
  <c r="H115" i="36"/>
  <c r="G115" i="36"/>
  <c r="F115" i="36"/>
  <c r="E114" i="36" l="1"/>
  <c r="E113" i="36"/>
  <c r="E112" i="36"/>
  <c r="H110" i="36"/>
  <c r="G110" i="36"/>
  <c r="F110" i="36"/>
  <c r="H109" i="36"/>
  <c r="G109" i="36"/>
  <c r="F109" i="36"/>
  <c r="G107" i="36"/>
  <c r="F107" i="36"/>
  <c r="G106" i="36"/>
  <c r="F106" i="36"/>
  <c r="H105" i="36"/>
  <c r="G105" i="36"/>
  <c r="F105" i="36"/>
  <c r="H104" i="36"/>
  <c r="H112" i="36" s="1"/>
  <c r="G104" i="36"/>
  <c r="G112" i="36" s="1"/>
  <c r="F104" i="36"/>
  <c r="F112" i="36" s="1"/>
  <c r="E103" i="36"/>
  <c r="H102" i="36"/>
  <c r="G102" i="36"/>
  <c r="F102" i="36"/>
  <c r="G101" i="36"/>
  <c r="F101" i="36"/>
  <c r="H99" i="36"/>
  <c r="G99" i="36"/>
  <c r="H98" i="36"/>
  <c r="G98" i="36"/>
  <c r="F98" i="36"/>
  <c r="H97" i="36"/>
  <c r="G97" i="36"/>
  <c r="F97" i="36"/>
  <c r="H96" i="36"/>
  <c r="G96" i="36"/>
  <c r="F96" i="36"/>
  <c r="H95" i="36"/>
  <c r="H103" i="36" s="1"/>
  <c r="G95" i="36"/>
  <c r="G103" i="36" s="1"/>
  <c r="F95" i="36"/>
  <c r="F103" i="36" s="1"/>
  <c r="E94" i="36"/>
  <c r="G92" i="36"/>
  <c r="F92" i="36"/>
  <c r="H91" i="36"/>
  <c r="G91" i="36"/>
  <c r="F91" i="36"/>
  <c r="H90" i="36"/>
  <c r="H94" i="36" s="1"/>
  <c r="G90" i="36"/>
  <c r="G94" i="36" s="1"/>
  <c r="F90" i="36"/>
  <c r="F94" i="36" s="1"/>
  <c r="E89" i="36"/>
  <c r="G85" i="36"/>
  <c r="F85" i="36"/>
  <c r="G83" i="36"/>
  <c r="F83" i="36"/>
  <c r="H82" i="36"/>
  <c r="G82" i="36"/>
  <c r="F82" i="36"/>
  <c r="H81" i="36"/>
  <c r="G81" i="36"/>
  <c r="H80" i="36"/>
  <c r="G80" i="36"/>
  <c r="F80" i="36"/>
  <c r="H79" i="36"/>
  <c r="G79" i="36"/>
  <c r="F79" i="36"/>
  <c r="H78" i="36"/>
  <c r="G78" i="36"/>
  <c r="F78" i="36"/>
  <c r="H77" i="36"/>
  <c r="H89" i="36" s="1"/>
  <c r="G77" i="36"/>
  <c r="G89" i="36" s="1"/>
  <c r="F77" i="36"/>
  <c r="F89" i="36" s="1"/>
  <c r="E123" i="36" l="1"/>
  <c r="H113" i="36"/>
  <c r="G113" i="36"/>
  <c r="F113" i="36"/>
  <c r="H114" i="36"/>
  <c r="G114" i="36"/>
  <c r="F114" i="36"/>
  <c r="H192" i="35"/>
  <c r="G192" i="35"/>
  <c r="F192" i="35"/>
  <c r="E192" i="35"/>
  <c r="F123" i="36" l="1"/>
  <c r="G123" i="36"/>
  <c r="H123" i="36"/>
  <c r="E76" i="36"/>
  <c r="H68" i="36"/>
  <c r="G68" i="36"/>
  <c r="F68" i="36"/>
  <c r="F70" i="36"/>
  <c r="G70" i="36"/>
  <c r="G69" i="36"/>
  <c r="F69" i="36"/>
  <c r="H67" i="36"/>
  <c r="G67" i="36"/>
  <c r="F67" i="36"/>
  <c r="H66" i="36"/>
  <c r="G66" i="36"/>
  <c r="F66" i="36"/>
  <c r="H65" i="36"/>
  <c r="H76" i="36" s="1"/>
  <c r="G65" i="36"/>
  <c r="G76" i="36" s="1"/>
  <c r="F65" i="36"/>
  <c r="F76" i="36" s="1"/>
  <c r="E260" i="35"/>
  <c r="E64" i="36" l="1"/>
  <c r="H62" i="36"/>
  <c r="G62" i="36"/>
  <c r="F62" i="36"/>
  <c r="H61" i="36"/>
  <c r="G61" i="36"/>
  <c r="F61" i="36"/>
  <c r="H60" i="36"/>
  <c r="G60" i="36"/>
  <c r="F60" i="36"/>
  <c r="H59" i="36"/>
  <c r="G59" i="36"/>
  <c r="F59" i="36"/>
  <c r="H58" i="36"/>
  <c r="G58" i="36"/>
  <c r="F58" i="36"/>
  <c r="H56" i="36"/>
  <c r="G56" i="36"/>
  <c r="F56" i="36"/>
  <c r="H55" i="36"/>
  <c r="G55" i="36"/>
  <c r="F55" i="36"/>
  <c r="H54" i="36"/>
  <c r="G54" i="36"/>
  <c r="F54" i="36"/>
  <c r="H53" i="36"/>
  <c r="G53" i="36"/>
  <c r="F53" i="36"/>
  <c r="H52" i="36"/>
  <c r="G52" i="36"/>
  <c r="F52" i="36"/>
  <c r="H51" i="36"/>
  <c r="H64" i="36" s="1"/>
  <c r="G51" i="36"/>
  <c r="G64" i="36" s="1"/>
  <c r="F51" i="36"/>
  <c r="F64" i="36" s="1"/>
  <c r="H49" i="36"/>
  <c r="G49" i="36"/>
  <c r="F49" i="36"/>
  <c r="H48" i="36"/>
  <c r="G48" i="36"/>
  <c r="H47" i="36"/>
  <c r="G47" i="36"/>
  <c r="F47" i="36"/>
  <c r="H46" i="36"/>
  <c r="G46" i="36"/>
  <c r="F46" i="36"/>
  <c r="H45" i="36"/>
  <c r="F45" i="36"/>
  <c r="G45" i="36"/>
  <c r="H44" i="36"/>
  <c r="G44" i="36"/>
  <c r="F44" i="36"/>
  <c r="H43" i="36"/>
  <c r="G43" i="36"/>
  <c r="F43" i="36"/>
  <c r="E42" i="36"/>
  <c r="E41" i="36"/>
  <c r="H40" i="36"/>
  <c r="G40" i="36"/>
  <c r="F40" i="36"/>
  <c r="H38" i="36"/>
  <c r="G38" i="36"/>
  <c r="F38" i="36"/>
  <c r="H37" i="36"/>
  <c r="G37" i="36"/>
  <c r="F37" i="36"/>
  <c r="H36" i="36"/>
  <c r="G36" i="36"/>
  <c r="F36" i="36"/>
  <c r="H34" i="36"/>
  <c r="G34" i="36"/>
  <c r="F34" i="36"/>
  <c r="H33" i="36"/>
  <c r="G33" i="36"/>
  <c r="F33" i="36"/>
  <c r="F32" i="36"/>
  <c r="G32" i="36"/>
  <c r="H31" i="36"/>
  <c r="F31" i="36"/>
  <c r="G31" i="36"/>
  <c r="H30" i="36"/>
  <c r="G30" i="36"/>
  <c r="F30" i="36"/>
  <c r="H29" i="36"/>
  <c r="G29" i="36"/>
  <c r="F29" i="36"/>
  <c r="G28" i="36"/>
  <c r="F28" i="36"/>
  <c r="H27" i="36"/>
  <c r="H41" i="36" s="1"/>
  <c r="G27" i="36"/>
  <c r="G41" i="36" s="1"/>
  <c r="F27" i="36"/>
  <c r="F41" i="36" s="1"/>
  <c r="E26" i="36"/>
  <c r="F24" i="36"/>
  <c r="H23" i="36"/>
  <c r="G23" i="36"/>
  <c r="F23" i="36"/>
  <c r="H22" i="36"/>
  <c r="G22" i="36"/>
  <c r="F22" i="36"/>
  <c r="H20" i="36"/>
  <c r="G20" i="36"/>
  <c r="F20" i="36"/>
  <c r="H19" i="36"/>
  <c r="H26" i="36" s="1"/>
  <c r="G19" i="36"/>
  <c r="G26" i="36" s="1"/>
  <c r="F19" i="36"/>
  <c r="F26" i="36" s="1"/>
  <c r="E18" i="36"/>
  <c r="G15" i="36"/>
  <c r="F15" i="36"/>
  <c r="H13" i="36"/>
  <c r="G13" i="36"/>
  <c r="H12" i="36"/>
  <c r="G12" i="36"/>
  <c r="F12" i="36"/>
  <c r="H11" i="36"/>
  <c r="G11" i="36"/>
  <c r="F11" i="36"/>
  <c r="H10" i="36"/>
  <c r="G10" i="36"/>
  <c r="F10" i="36"/>
  <c r="H9" i="36"/>
  <c r="H18" i="36" s="1"/>
  <c r="G9" i="36"/>
  <c r="G18" i="36" s="1"/>
  <c r="F9" i="36"/>
  <c r="E8" i="36"/>
  <c r="F6" i="36"/>
  <c r="H4" i="36"/>
  <c r="G4" i="36"/>
  <c r="F4" i="36"/>
  <c r="H2" i="36"/>
  <c r="H8" i="36" s="1"/>
  <c r="G2" i="36"/>
  <c r="F2" i="36"/>
  <c r="F8" i="36" s="1"/>
  <c r="F14" i="36"/>
  <c r="G6" i="36"/>
  <c r="G5" i="36"/>
  <c r="E288" i="35"/>
  <c r="G285" i="35"/>
  <c r="F285" i="35"/>
  <c r="H283" i="35"/>
  <c r="G283" i="35"/>
  <c r="F283" i="35"/>
  <c r="H282" i="35"/>
  <c r="G282" i="35"/>
  <c r="F282" i="35"/>
  <c r="H281" i="35"/>
  <c r="G281" i="35"/>
  <c r="F281" i="35"/>
  <c r="H280" i="35"/>
  <c r="G280" i="35"/>
  <c r="F280" i="35"/>
  <c r="H279" i="35"/>
  <c r="H288" i="35" s="1"/>
  <c r="G279" i="35"/>
  <c r="G288" i="35" s="1"/>
  <c r="F279" i="35"/>
  <c r="F288" i="35" s="1"/>
  <c r="E278" i="35"/>
  <c r="G275" i="35"/>
  <c r="F275" i="35"/>
  <c r="H274" i="35"/>
  <c r="G274" i="35"/>
  <c r="H273" i="35"/>
  <c r="G273" i="35"/>
  <c r="F273" i="35"/>
  <c r="H272" i="35"/>
  <c r="G272" i="35"/>
  <c r="F272" i="35"/>
  <c r="H271" i="35"/>
  <c r="G271" i="35"/>
  <c r="F271" i="35"/>
  <c r="G270" i="35"/>
  <c r="F270" i="35"/>
  <c r="H269" i="35"/>
  <c r="G269" i="35"/>
  <c r="F269" i="35"/>
  <c r="H268" i="35"/>
  <c r="G268" i="35"/>
  <c r="F268" i="35"/>
  <c r="H267" i="35"/>
  <c r="H278" i="35" s="1"/>
  <c r="G267" i="35"/>
  <c r="G278" i="35" s="1"/>
  <c r="F267" i="35"/>
  <c r="F278" i="35" s="1"/>
  <c r="E266" i="35"/>
  <c r="H264" i="35"/>
  <c r="G264" i="35"/>
  <c r="F264" i="35"/>
  <c r="H263" i="35"/>
  <c r="H266" i="35" s="1"/>
  <c r="G263" i="35"/>
  <c r="F263" i="35"/>
  <c r="G261" i="35"/>
  <c r="G266" i="35" s="1"/>
  <c r="F261" i="35"/>
  <c r="F266" i="35" s="1"/>
  <c r="H259" i="35"/>
  <c r="G259" i="35"/>
  <c r="F259" i="35"/>
  <c r="H255" i="35"/>
  <c r="G255" i="35"/>
  <c r="F255" i="35"/>
  <c r="H252" i="35"/>
  <c r="G252" i="35"/>
  <c r="F252" i="35"/>
  <c r="H251" i="35"/>
  <c r="G251" i="35"/>
  <c r="F251" i="35"/>
  <c r="H250" i="35"/>
  <c r="G250" i="35"/>
  <c r="F250" i="35"/>
  <c r="H249" i="35"/>
  <c r="G249" i="35"/>
  <c r="F249" i="35"/>
  <c r="H248" i="35"/>
  <c r="G248" i="35"/>
  <c r="F248" i="35"/>
  <c r="H247" i="35"/>
  <c r="H260" i="35" s="1"/>
  <c r="G247" i="35"/>
  <c r="G260" i="35" s="1"/>
  <c r="F247" i="35"/>
  <c r="F260" i="35" s="1"/>
  <c r="E246" i="35"/>
  <c r="H244" i="35"/>
  <c r="G244" i="35"/>
  <c r="F244" i="35"/>
  <c r="H243" i="35"/>
  <c r="G243" i="35"/>
  <c r="F243" i="35"/>
  <c r="H242" i="35"/>
  <c r="G242" i="35"/>
  <c r="F242" i="35"/>
  <c r="H241" i="35"/>
  <c r="H246" i="35" s="1"/>
  <c r="G241" i="35"/>
  <c r="G246" i="35" s="1"/>
  <c r="F241" i="35"/>
  <c r="F246" i="35" s="1"/>
  <c r="G8" i="36" l="1"/>
  <c r="F18" i="36"/>
  <c r="E50" i="36"/>
  <c r="H42" i="36"/>
  <c r="H50" i="36" s="1"/>
  <c r="G42" i="36"/>
  <c r="G50" i="36" s="1"/>
  <c r="F42" i="36"/>
  <c r="F50" i="36" s="1"/>
  <c r="H239" i="35"/>
  <c r="G239" i="35"/>
  <c r="F239" i="35"/>
  <c r="H238" i="35"/>
  <c r="G238" i="35"/>
  <c r="F238" i="35"/>
  <c r="H234" i="35"/>
  <c r="G234" i="35"/>
  <c r="F234" i="35"/>
  <c r="H233" i="35"/>
  <c r="G233" i="35"/>
  <c r="F233" i="35"/>
  <c r="H232" i="35"/>
  <c r="G232" i="35"/>
  <c r="F232" i="35"/>
  <c r="E231" i="35"/>
  <c r="E240" i="35" l="1"/>
  <c r="H231" i="35"/>
  <c r="H240" i="35" s="1"/>
  <c r="G231" i="35"/>
  <c r="G240" i="35" s="1"/>
  <c r="F231" i="35"/>
  <c r="F240" i="35" s="1"/>
  <c r="E230" i="35"/>
  <c r="G227" i="35"/>
  <c r="F227" i="35"/>
  <c r="H226" i="35"/>
  <c r="G226" i="35"/>
  <c r="F226" i="35"/>
  <c r="H225" i="35"/>
  <c r="G225" i="35"/>
  <c r="F225" i="35"/>
  <c r="H224" i="35"/>
  <c r="G224" i="35"/>
  <c r="F224" i="35"/>
  <c r="H223" i="35"/>
  <c r="H230" i="35" s="1"/>
  <c r="G223" i="35"/>
  <c r="G230" i="35" s="1"/>
  <c r="F223" i="35"/>
  <c r="F230" i="35" s="1"/>
  <c r="E222" i="35" l="1"/>
  <c r="H218" i="35"/>
  <c r="G218" i="35"/>
  <c r="F218" i="35"/>
  <c r="H216" i="35"/>
  <c r="G216" i="35"/>
  <c r="F216" i="35"/>
  <c r="H209" i="35" l="1"/>
  <c r="G209" i="35"/>
  <c r="F209" i="35"/>
  <c r="H208" i="35"/>
  <c r="G208" i="35"/>
  <c r="F208" i="35"/>
  <c r="H215" i="35"/>
  <c r="F215" i="35"/>
  <c r="G215" i="35"/>
  <c r="H214" i="35"/>
  <c r="G214" i="35"/>
  <c r="F214" i="35"/>
  <c r="H213" i="35"/>
  <c r="G213" i="35"/>
  <c r="F213" i="35"/>
  <c r="H212" i="35"/>
  <c r="G212" i="35"/>
  <c r="F212" i="35"/>
  <c r="H211" i="35"/>
  <c r="H222" i="35" s="1"/>
  <c r="G211" i="35"/>
  <c r="G222" i="35" s="1"/>
  <c r="F211" i="35"/>
  <c r="F222" i="35" s="1"/>
  <c r="E210" i="35" l="1"/>
  <c r="H207" i="35"/>
  <c r="G207" i="35"/>
  <c r="F207" i="35"/>
  <c r="F205" i="35"/>
  <c r="G204" i="35"/>
  <c r="F204" i="35"/>
  <c r="G203" i="35"/>
  <c r="F203" i="35"/>
  <c r="H202" i="35"/>
  <c r="G202" i="35"/>
  <c r="F202" i="35"/>
  <c r="E197" i="35"/>
  <c r="H195" i="35"/>
  <c r="G195" i="35"/>
  <c r="F195" i="35"/>
  <c r="H193" i="35"/>
  <c r="G193" i="35"/>
  <c r="F193" i="35"/>
  <c r="H190" i="35"/>
  <c r="G190" i="35"/>
  <c r="F190" i="35"/>
  <c r="H189" i="35"/>
  <c r="H197" i="35" s="1"/>
  <c r="G189" i="35"/>
  <c r="G197" i="35" s="1"/>
  <c r="F189" i="35"/>
  <c r="F197" i="35" s="1"/>
  <c r="H201" i="35"/>
  <c r="G201" i="35"/>
  <c r="F201" i="35"/>
  <c r="H200" i="35"/>
  <c r="G200" i="35"/>
  <c r="F200" i="35"/>
  <c r="H199" i="35"/>
  <c r="G199" i="35"/>
  <c r="F199" i="35"/>
  <c r="H198" i="35"/>
  <c r="H210" i="35" s="1"/>
  <c r="G198" i="35"/>
  <c r="G210" i="35" s="1"/>
  <c r="F198" i="35"/>
  <c r="F210" i="35" s="1"/>
  <c r="G185" i="35" l="1"/>
  <c r="F185" i="35"/>
  <c r="H184" i="35"/>
  <c r="G184" i="35"/>
  <c r="F184" i="35"/>
  <c r="H183" i="35"/>
  <c r="G183" i="35"/>
  <c r="F183" i="35"/>
  <c r="E182" i="35"/>
  <c r="H181" i="35"/>
  <c r="G181" i="35"/>
  <c r="F181" i="35"/>
  <c r="H180" i="35"/>
  <c r="G180" i="35"/>
  <c r="F180" i="35"/>
  <c r="E188" i="35" l="1"/>
  <c r="H182" i="35"/>
  <c r="H188" i="35" s="1"/>
  <c r="G182" i="35"/>
  <c r="G188" i="35" s="1"/>
  <c r="F182" i="35"/>
  <c r="F188" i="35" s="1"/>
  <c r="E179" i="35"/>
  <c r="G178" i="35"/>
  <c r="F178" i="35"/>
  <c r="H177" i="35"/>
  <c r="G177" i="35"/>
  <c r="F177" i="35"/>
  <c r="H176" i="35"/>
  <c r="G176" i="35"/>
  <c r="F176" i="35"/>
  <c r="G175" i="35"/>
  <c r="F175" i="35"/>
  <c r="H174" i="35"/>
  <c r="G174" i="35"/>
  <c r="F174" i="35"/>
  <c r="H173" i="35"/>
  <c r="H179" i="35" s="1"/>
  <c r="G173" i="35"/>
  <c r="G179" i="35" s="1"/>
  <c r="F173" i="35"/>
  <c r="F179" i="35" s="1"/>
  <c r="E172" i="35" l="1"/>
  <c r="H171" i="35"/>
  <c r="G171" i="35"/>
  <c r="F171" i="35"/>
  <c r="H170" i="35"/>
  <c r="G170" i="35"/>
  <c r="F170" i="35"/>
  <c r="H165" i="35"/>
  <c r="G165" i="35"/>
  <c r="F165" i="35"/>
  <c r="H164" i="35"/>
  <c r="G164" i="35"/>
  <c r="F164" i="35"/>
  <c r="H163" i="35"/>
  <c r="H172" i="35" s="1"/>
  <c r="G163" i="35"/>
  <c r="G172" i="35" s="1"/>
  <c r="F163" i="35"/>
  <c r="F172" i="35" s="1"/>
  <c r="E162" i="35" l="1"/>
  <c r="H160" i="35"/>
  <c r="G160" i="35"/>
  <c r="F160" i="35"/>
  <c r="H159" i="35"/>
  <c r="G159" i="35"/>
  <c r="F159" i="35"/>
  <c r="H158" i="35"/>
  <c r="G158" i="35"/>
  <c r="F158" i="35"/>
  <c r="H157" i="35"/>
  <c r="H162" i="35" s="1"/>
  <c r="G157" i="35"/>
  <c r="G162" i="35" s="1"/>
  <c r="F157" i="35"/>
  <c r="F162" i="35" s="1"/>
  <c r="E156" i="35"/>
  <c r="H152" i="35"/>
  <c r="H156" i="35" s="1"/>
  <c r="G152" i="35"/>
  <c r="G156" i="35" s="1"/>
  <c r="F152" i="35"/>
  <c r="F156" i="35" s="1"/>
  <c r="E151" i="35" l="1"/>
  <c r="H148" i="35"/>
  <c r="G148" i="35"/>
  <c r="F148" i="35"/>
  <c r="H147" i="35"/>
  <c r="G147" i="35"/>
  <c r="F147" i="35"/>
  <c r="H145" i="35"/>
  <c r="G145" i="35"/>
  <c r="F145" i="35"/>
  <c r="H144" i="35"/>
  <c r="G144" i="35"/>
  <c r="F144" i="35"/>
  <c r="H143" i="35"/>
  <c r="G143" i="35"/>
  <c r="F143" i="35"/>
  <c r="G142" i="35"/>
  <c r="F142" i="35"/>
  <c r="F140" i="35"/>
  <c r="H140" i="35"/>
  <c r="G140" i="35"/>
  <c r="H139" i="35"/>
  <c r="G139" i="35"/>
  <c r="F139" i="35"/>
  <c r="F138" i="35"/>
  <c r="F151" i="35" s="1"/>
  <c r="H138" i="35"/>
  <c r="H151" i="35" s="1"/>
  <c r="G138" i="35"/>
  <c r="G151" i="35" s="1"/>
  <c r="E137" i="35"/>
  <c r="H132" i="35"/>
  <c r="G132" i="35"/>
  <c r="F132" i="35"/>
  <c r="H130" i="35"/>
  <c r="G130" i="35"/>
  <c r="F130" i="35"/>
  <c r="H129" i="35"/>
  <c r="G129" i="35"/>
  <c r="F129" i="35"/>
  <c r="H128" i="35"/>
  <c r="G128" i="35"/>
  <c r="F128" i="35"/>
  <c r="H127" i="35"/>
  <c r="H137" i="35" s="1"/>
  <c r="G127" i="35"/>
  <c r="G137" i="35" s="1"/>
  <c r="F127" i="35"/>
  <c r="F137" i="35" s="1"/>
  <c r="H124" i="35" l="1"/>
  <c r="G124" i="35"/>
  <c r="F124" i="35"/>
  <c r="H123" i="35"/>
  <c r="G123" i="35"/>
  <c r="G121" i="35"/>
  <c r="F121" i="35"/>
  <c r="H120" i="35"/>
  <c r="G120" i="35"/>
  <c r="F120" i="35"/>
  <c r="H119" i="35"/>
  <c r="G119" i="35"/>
  <c r="F119" i="35"/>
  <c r="H118" i="35"/>
  <c r="G118" i="35"/>
  <c r="F118" i="35"/>
  <c r="E117" i="35"/>
  <c r="E126" i="35" l="1"/>
  <c r="H117" i="35"/>
  <c r="H126" i="35" s="1"/>
  <c r="G117" i="35"/>
  <c r="G126" i="35" s="1"/>
  <c r="F117" i="35"/>
  <c r="F126" i="35" s="1"/>
  <c r="E116" i="35"/>
  <c r="H111" i="35"/>
  <c r="G111" i="35"/>
  <c r="F111" i="35"/>
  <c r="H110" i="35"/>
  <c r="G110" i="35"/>
  <c r="F110" i="35"/>
  <c r="H109" i="35"/>
  <c r="G109" i="35"/>
  <c r="F109" i="35"/>
  <c r="H108" i="35"/>
  <c r="G108" i="35"/>
  <c r="F108" i="35"/>
  <c r="H115" i="35"/>
  <c r="G115" i="35"/>
  <c r="F115" i="35"/>
  <c r="H114" i="35"/>
  <c r="G114" i="35"/>
  <c r="F114" i="35"/>
  <c r="H113" i="35"/>
  <c r="G113" i="35"/>
  <c r="F113" i="35"/>
  <c r="G112" i="35"/>
  <c r="F112" i="35"/>
  <c r="F116" i="35" l="1"/>
  <c r="G116" i="35"/>
  <c r="H116" i="35"/>
  <c r="E107" i="35"/>
  <c r="H105" i="35"/>
  <c r="G105" i="35"/>
  <c r="F105" i="35"/>
  <c r="H104" i="35"/>
  <c r="G104" i="35"/>
  <c r="F104" i="35"/>
  <c r="G100" i="35"/>
  <c r="F100" i="35"/>
  <c r="H99" i="35"/>
  <c r="G99" i="35"/>
  <c r="F99" i="35"/>
  <c r="H98" i="35"/>
  <c r="G98" i="35"/>
  <c r="F98" i="35"/>
  <c r="H97" i="35"/>
  <c r="G97" i="35"/>
  <c r="F97" i="35"/>
  <c r="H96" i="35"/>
  <c r="H107" i="35" s="1"/>
  <c r="G96" i="35"/>
  <c r="F96" i="35"/>
  <c r="F107" i="35" l="1"/>
  <c r="G107" i="35"/>
  <c r="E95" i="35"/>
  <c r="H94" i="35"/>
  <c r="G94" i="35"/>
  <c r="F94" i="35"/>
  <c r="H93" i="35"/>
  <c r="G93" i="35"/>
  <c r="F93" i="35"/>
  <c r="H92" i="35"/>
  <c r="G92" i="35"/>
  <c r="F92" i="35"/>
  <c r="H91" i="35"/>
  <c r="G91" i="35"/>
  <c r="F91" i="35"/>
  <c r="F88" i="35"/>
  <c r="H87" i="35"/>
  <c r="G87" i="35"/>
  <c r="F87" i="35"/>
  <c r="H86" i="35"/>
  <c r="G86" i="35"/>
  <c r="F86" i="35"/>
  <c r="H85" i="35"/>
  <c r="H95" i="35" s="1"/>
  <c r="G85" i="35"/>
  <c r="G95" i="35" s="1"/>
  <c r="F85" i="35"/>
  <c r="F95" i="35" s="1"/>
  <c r="E84" i="35" l="1"/>
  <c r="H81" i="35"/>
  <c r="G81" i="35"/>
  <c r="F81" i="35"/>
  <c r="H80" i="35"/>
  <c r="G80" i="35"/>
  <c r="F80" i="35"/>
  <c r="H77" i="35"/>
  <c r="F77" i="35"/>
  <c r="G77" i="35"/>
  <c r="H76" i="35"/>
  <c r="G76" i="35"/>
  <c r="F76" i="35"/>
  <c r="H75" i="35"/>
  <c r="G75" i="35"/>
  <c r="F75" i="35"/>
  <c r="H74" i="35"/>
  <c r="G74" i="35"/>
  <c r="F74" i="35"/>
  <c r="H73" i="35"/>
  <c r="H84" i="35" s="1"/>
  <c r="G73" i="35"/>
  <c r="G84" i="35" s="1"/>
  <c r="F73" i="35"/>
  <c r="F84" i="35" s="1"/>
  <c r="E72" i="35" l="1"/>
  <c r="H71" i="35"/>
  <c r="G71" i="35"/>
  <c r="F71" i="35"/>
  <c r="H70" i="35"/>
  <c r="G70" i="35"/>
  <c r="F70" i="35"/>
  <c r="H69" i="35"/>
  <c r="G69" i="35"/>
  <c r="F69" i="35"/>
  <c r="G68" i="35"/>
  <c r="F68" i="35"/>
  <c r="H67" i="35"/>
  <c r="G67" i="35"/>
  <c r="F67" i="35"/>
  <c r="H66" i="35"/>
  <c r="G66" i="35"/>
  <c r="F66" i="35"/>
  <c r="H65" i="35"/>
  <c r="G65" i="35"/>
  <c r="G72" i="35" s="1"/>
  <c r="F65" i="35"/>
  <c r="E64" i="35"/>
  <c r="F62" i="35"/>
  <c r="H61" i="35"/>
  <c r="G61" i="35"/>
  <c r="F61" i="35"/>
  <c r="H60" i="35"/>
  <c r="G60" i="35"/>
  <c r="F60" i="35"/>
  <c r="H59" i="35"/>
  <c r="G59" i="35"/>
  <c r="G64" i="35" s="1"/>
  <c r="F59" i="35"/>
  <c r="F64" i="35" l="1"/>
  <c r="H64" i="35"/>
  <c r="F72" i="35"/>
  <c r="H72" i="35"/>
  <c r="E58" i="35"/>
  <c r="G57" i="35"/>
  <c r="F57" i="35"/>
  <c r="H55" i="35"/>
  <c r="G55" i="35"/>
  <c r="F55" i="35"/>
  <c r="H54" i="35"/>
  <c r="G54" i="35"/>
  <c r="F54" i="35"/>
  <c r="H53" i="35"/>
  <c r="G53" i="35"/>
  <c r="F53" i="35"/>
  <c r="H52" i="35"/>
  <c r="G52" i="35"/>
  <c r="F52" i="35"/>
  <c r="H51" i="35"/>
  <c r="H58" i="35" s="1"/>
  <c r="G51" i="35"/>
  <c r="G58" i="35" s="1"/>
  <c r="F51" i="35"/>
  <c r="F58" i="35" s="1"/>
  <c r="H46" i="35"/>
  <c r="G46" i="35"/>
  <c r="F46" i="35"/>
  <c r="H45" i="35"/>
  <c r="G45" i="35"/>
  <c r="F45" i="35"/>
  <c r="E43" i="35"/>
  <c r="E50" i="35" s="1"/>
  <c r="H42" i="35"/>
  <c r="G42" i="35"/>
  <c r="F42" i="35"/>
  <c r="H41" i="35"/>
  <c r="H50" i="35" s="1"/>
  <c r="G41" i="35"/>
  <c r="F41" i="35"/>
  <c r="G43" i="35" l="1"/>
  <c r="G50" i="35" s="1"/>
  <c r="F43" i="35"/>
  <c r="F50" i="35" s="1"/>
  <c r="E40" i="35"/>
  <c r="H34" i="35"/>
  <c r="F34" i="35"/>
  <c r="G34" i="35"/>
  <c r="H33" i="35"/>
  <c r="F33" i="35"/>
  <c r="G33" i="35"/>
  <c r="H32" i="35"/>
  <c r="F32" i="35"/>
  <c r="G32" i="35"/>
  <c r="H31" i="35"/>
  <c r="G31" i="35"/>
  <c r="G40" i="35" s="1"/>
  <c r="F31" i="35"/>
  <c r="E30" i="35"/>
  <c r="H29" i="35"/>
  <c r="G29" i="35"/>
  <c r="F29" i="35"/>
  <c r="H28" i="35"/>
  <c r="G28" i="35"/>
  <c r="F28" i="35"/>
  <c r="H27" i="35"/>
  <c r="G27" i="35"/>
  <c r="F27" i="35"/>
  <c r="H26" i="35"/>
  <c r="G26" i="35"/>
  <c r="F26" i="35"/>
  <c r="H25" i="35"/>
  <c r="H30" i="35" s="1"/>
  <c r="G25" i="35"/>
  <c r="G30" i="35" s="1"/>
  <c r="F25" i="35"/>
  <c r="F30" i="35" s="1"/>
  <c r="H23" i="35"/>
  <c r="G23" i="35"/>
  <c r="F23" i="35"/>
  <c r="H21" i="35"/>
  <c r="G21" i="35"/>
  <c r="F21" i="35"/>
  <c r="H19" i="35"/>
  <c r="G19" i="35"/>
  <c r="F19" i="35"/>
  <c r="H18" i="35"/>
  <c r="G18" i="35"/>
  <c r="F18" i="35"/>
  <c r="H331" i="34"/>
  <c r="G331" i="34"/>
  <c r="F331" i="34"/>
  <c r="H330" i="34"/>
  <c r="G330" i="34"/>
  <c r="F330" i="34"/>
  <c r="E17" i="35"/>
  <c r="E332" i="34"/>
  <c r="H329" i="34"/>
  <c r="G329" i="34"/>
  <c r="F329" i="34"/>
  <c r="E16" i="35"/>
  <c r="E15" i="35"/>
  <c r="F14" i="35"/>
  <c r="H13" i="35"/>
  <c r="G13" i="35"/>
  <c r="F13" i="35"/>
  <c r="H12" i="35"/>
  <c r="G12" i="35"/>
  <c r="F12" i="35"/>
  <c r="H11" i="35"/>
  <c r="G11" i="35"/>
  <c r="F11" i="35"/>
  <c r="G16" i="35" l="1"/>
  <c r="E24" i="35"/>
  <c r="H16" i="35"/>
  <c r="F16" i="35"/>
  <c r="G17" i="35"/>
  <c r="H17" i="35"/>
  <c r="F17" i="35"/>
  <c r="H40" i="35"/>
  <c r="F40" i="35"/>
  <c r="H10" i="35"/>
  <c r="G10" i="35"/>
  <c r="F10" i="35"/>
  <c r="G9" i="35"/>
  <c r="F9" i="35"/>
  <c r="H8" i="35"/>
  <c r="G8" i="35"/>
  <c r="F8" i="35"/>
  <c r="H7" i="35"/>
  <c r="G7" i="35"/>
  <c r="F7" i="35"/>
  <c r="G6" i="35"/>
  <c r="F6" i="35"/>
  <c r="H5" i="35"/>
  <c r="G5" i="35"/>
  <c r="F5" i="35"/>
  <c r="G4" i="35"/>
  <c r="H4" i="35"/>
  <c r="F4" i="35"/>
  <c r="H3" i="35"/>
  <c r="G3" i="35"/>
  <c r="F3" i="35"/>
  <c r="H2" i="35"/>
  <c r="H15" i="35" s="1"/>
  <c r="G2" i="35"/>
  <c r="F2" i="35"/>
  <c r="F15" i="35" s="1"/>
  <c r="H327" i="34"/>
  <c r="H332" i="34" s="1"/>
  <c r="G327" i="34"/>
  <c r="G332" i="34" s="1"/>
  <c r="F327" i="34"/>
  <c r="F332" i="34" s="1"/>
  <c r="F24" i="35" l="1"/>
  <c r="H24" i="35"/>
  <c r="G24" i="35"/>
  <c r="G15" i="35"/>
  <c r="H322" i="34"/>
  <c r="G322" i="34"/>
  <c r="F322" i="34"/>
  <c r="E321" i="34"/>
  <c r="H320" i="34"/>
  <c r="G320" i="34"/>
  <c r="F320" i="34"/>
  <c r="E319" i="34"/>
  <c r="E326" i="34" l="1"/>
  <c r="H319" i="34"/>
  <c r="G319" i="34"/>
  <c r="F319" i="34"/>
  <c r="H321" i="34"/>
  <c r="G321" i="34"/>
  <c r="F321" i="34"/>
  <c r="F326" i="34"/>
  <c r="H326" i="34"/>
  <c r="G326" i="34"/>
  <c r="E318" i="34"/>
  <c r="F316" i="34"/>
  <c r="H315" i="34"/>
  <c r="G315" i="34"/>
  <c r="F315" i="34"/>
  <c r="H314" i="34"/>
  <c r="G314" i="34"/>
  <c r="F314" i="34"/>
  <c r="F312" i="34"/>
  <c r="G312" i="34"/>
  <c r="H311" i="34" l="1"/>
  <c r="G311" i="34"/>
  <c r="F311" i="34"/>
  <c r="H310" i="34"/>
  <c r="G310" i="34"/>
  <c r="F310" i="34"/>
  <c r="H309" i="34"/>
  <c r="G309" i="34"/>
  <c r="F309" i="34"/>
  <c r="G308" i="34"/>
  <c r="F308" i="34"/>
  <c r="G304" i="34"/>
  <c r="F304" i="34"/>
  <c r="H303" i="34"/>
  <c r="G303" i="34"/>
  <c r="E302" i="34"/>
  <c r="H301" i="34"/>
  <c r="F301" i="34"/>
  <c r="G301" i="34"/>
  <c r="F302" i="34" l="1"/>
  <c r="E307" i="34"/>
  <c r="H302" i="34"/>
  <c r="G302" i="34"/>
  <c r="F318" i="34"/>
  <c r="H318" i="34"/>
  <c r="F307" i="34"/>
  <c r="G307" i="34"/>
  <c r="H307" i="34"/>
  <c r="G318" i="34"/>
  <c r="E300" i="34"/>
  <c r="H293" i="34"/>
  <c r="G293" i="34"/>
  <c r="F293" i="34"/>
  <c r="G289" i="34"/>
  <c r="F289" i="34"/>
  <c r="H288" i="34"/>
  <c r="G288" i="34"/>
  <c r="F288" i="34"/>
  <c r="H287" i="34"/>
  <c r="G287" i="34"/>
  <c r="F287" i="34"/>
  <c r="H286" i="34"/>
  <c r="G286" i="34"/>
  <c r="F286" i="34"/>
  <c r="H285" i="34"/>
  <c r="G285" i="34"/>
  <c r="F285" i="34"/>
  <c r="F300" i="34" l="1"/>
  <c r="H300" i="34"/>
  <c r="G300" i="34"/>
  <c r="H283" i="34"/>
  <c r="G283" i="34"/>
  <c r="F283" i="34"/>
  <c r="E284" i="34"/>
  <c r="H282" i="34"/>
  <c r="G282" i="34"/>
  <c r="F282" i="34"/>
  <c r="H281" i="34"/>
  <c r="G281" i="34"/>
  <c r="H278" i="34"/>
  <c r="G278" i="34"/>
  <c r="F278" i="34"/>
  <c r="H277" i="34"/>
  <c r="G277" i="34"/>
  <c r="F277" i="34"/>
  <c r="H276" i="34"/>
  <c r="G276" i="34"/>
  <c r="G275" i="34"/>
  <c r="F275" i="34"/>
  <c r="H274" i="34"/>
  <c r="G274" i="34"/>
  <c r="F274" i="34"/>
  <c r="H273" i="34"/>
  <c r="G273" i="34"/>
  <c r="F273" i="34"/>
  <c r="F284" i="34" l="1"/>
  <c r="H284" i="34"/>
  <c r="G284" i="34"/>
  <c r="E272" i="34"/>
  <c r="H271" i="34"/>
  <c r="G271" i="34"/>
  <c r="F271" i="34"/>
  <c r="H270" i="34"/>
  <c r="G270" i="34"/>
  <c r="H269" i="34"/>
  <c r="G269" i="34"/>
  <c r="F269" i="34"/>
  <c r="H268" i="34"/>
  <c r="G268" i="34"/>
  <c r="F268" i="34"/>
  <c r="G266" i="34"/>
  <c r="F266" i="34"/>
  <c r="H264" i="34"/>
  <c r="G264" i="34"/>
  <c r="H263" i="34"/>
  <c r="G263" i="34"/>
  <c r="F263" i="34"/>
  <c r="G262" i="34"/>
  <c r="F262" i="34"/>
  <c r="H261" i="34"/>
  <c r="G261" i="34"/>
  <c r="F261" i="34"/>
  <c r="H260" i="34"/>
  <c r="G260" i="34"/>
  <c r="F260" i="34"/>
  <c r="H259" i="34"/>
  <c r="G259" i="34"/>
  <c r="F259" i="34"/>
  <c r="E258" i="34"/>
  <c r="H256" i="34"/>
  <c r="G256" i="34"/>
  <c r="G253" i="34"/>
  <c r="F253" i="34"/>
  <c r="H252" i="34"/>
  <c r="H258" i="34" s="1"/>
  <c r="G252" i="34"/>
  <c r="F252" i="34"/>
  <c r="F258" i="34" l="1"/>
  <c r="F272" i="34"/>
  <c r="H272" i="34"/>
  <c r="G258" i="34"/>
  <c r="G272" i="34"/>
  <c r="E251" i="34"/>
  <c r="H249" i="34"/>
  <c r="G249" i="34"/>
  <c r="F249" i="34"/>
  <c r="H248" i="34"/>
  <c r="G248" i="34"/>
  <c r="F248" i="34"/>
  <c r="F246" i="34"/>
  <c r="G246" i="34"/>
  <c r="H245" i="34"/>
  <c r="G245" i="34"/>
  <c r="F245" i="34"/>
  <c r="H244" i="34"/>
  <c r="G244" i="34"/>
  <c r="F244" i="34"/>
  <c r="H243" i="34"/>
  <c r="G243" i="34"/>
  <c r="F243" i="34"/>
  <c r="H242" i="34"/>
  <c r="G242" i="34"/>
  <c r="F242" i="34"/>
  <c r="F251" i="34" l="1"/>
  <c r="H251" i="34"/>
  <c r="G251" i="34"/>
  <c r="E241" i="34"/>
  <c r="H240" i="34"/>
  <c r="G240" i="34"/>
  <c r="F240" i="34"/>
  <c r="H239" i="34"/>
  <c r="G239" i="34"/>
  <c r="F239" i="34"/>
  <c r="H236" i="34"/>
  <c r="G236" i="34"/>
  <c r="F236" i="34"/>
  <c r="H235" i="34"/>
  <c r="G235" i="34"/>
  <c r="F235" i="34"/>
  <c r="H234" i="34"/>
  <c r="G234" i="34"/>
  <c r="F234" i="34"/>
  <c r="H233" i="34"/>
  <c r="G233" i="34"/>
  <c r="F233" i="34"/>
  <c r="F241" i="34" l="1"/>
  <c r="H241" i="34"/>
  <c r="G241" i="34"/>
  <c r="E232" i="34"/>
  <c r="H231" i="34"/>
  <c r="G231" i="34"/>
  <c r="F231" i="34"/>
  <c r="H230" i="34"/>
  <c r="G230" i="34"/>
  <c r="F230" i="34"/>
  <c r="H227" i="34"/>
  <c r="G227" i="34"/>
  <c r="F227" i="34"/>
  <c r="G232" i="34" l="1"/>
  <c r="F232" i="34"/>
  <c r="H232" i="34"/>
  <c r="E226" i="34"/>
  <c r="G220" i="34"/>
  <c r="F220" i="34"/>
  <c r="H216" i="34"/>
  <c r="G216" i="34"/>
  <c r="F216" i="34"/>
  <c r="H215" i="34"/>
  <c r="G215" i="34"/>
  <c r="F215" i="34"/>
  <c r="F226" i="34" l="1"/>
  <c r="H226" i="34"/>
  <c r="G226" i="34"/>
  <c r="G211" i="34"/>
  <c r="F211" i="34"/>
  <c r="H210" i="34"/>
  <c r="G210" i="34"/>
  <c r="F210" i="34"/>
  <c r="H209" i="34"/>
  <c r="G209" i="34"/>
  <c r="F209" i="34"/>
  <c r="E208" i="34"/>
  <c r="F207" i="34"/>
  <c r="E207" i="34" s="1"/>
  <c r="H207" i="34" s="1"/>
  <c r="F206" i="34"/>
  <c r="E206" i="34" s="1"/>
  <c r="E214" i="34" s="1"/>
  <c r="E205" i="34"/>
  <c r="F203" i="34"/>
  <c r="G202" i="34"/>
  <c r="F202" i="34"/>
  <c r="H196" i="34"/>
  <c r="G196" i="34"/>
  <c r="F196" i="34"/>
  <c r="H195" i="34"/>
  <c r="G195" i="34"/>
  <c r="F195" i="34"/>
  <c r="H194" i="34"/>
  <c r="G194" i="34"/>
  <c r="F194" i="34"/>
  <c r="H208" i="34" l="1"/>
  <c r="G208" i="34"/>
  <c r="G207" i="34"/>
  <c r="F214" i="34"/>
  <c r="G206" i="34"/>
  <c r="G214" i="34" s="1"/>
  <c r="H206" i="34"/>
  <c r="H214" i="34" s="1"/>
  <c r="H201" i="34"/>
  <c r="G201" i="34"/>
  <c r="H199" i="34"/>
  <c r="G199" i="34"/>
  <c r="F199" i="34"/>
  <c r="H198" i="34"/>
  <c r="G198" i="34"/>
  <c r="F198" i="34"/>
  <c r="G197" i="34"/>
  <c r="F197" i="34"/>
  <c r="E193" i="34"/>
  <c r="H192" i="34"/>
  <c r="G192" i="34"/>
  <c r="F192" i="34"/>
  <c r="G191" i="34"/>
  <c r="F191" i="34"/>
  <c r="H188" i="34"/>
  <c r="G188" i="34"/>
  <c r="F188" i="34"/>
  <c r="F193" i="34" l="1"/>
  <c r="H193" i="34"/>
  <c r="G205" i="34"/>
  <c r="G193" i="34"/>
  <c r="F205" i="34"/>
  <c r="H205" i="34"/>
  <c r="E187" i="34"/>
  <c r="H186" i="34"/>
  <c r="G186" i="34"/>
  <c r="F186" i="34"/>
  <c r="H185" i="34"/>
  <c r="G185" i="34"/>
  <c r="F185" i="34"/>
  <c r="H182" i="34"/>
  <c r="G182" i="34"/>
  <c r="G178" i="34"/>
  <c r="F178" i="34"/>
  <c r="H177" i="34"/>
  <c r="G177" i="34"/>
  <c r="F177" i="34"/>
  <c r="H176" i="34"/>
  <c r="G176" i="34"/>
  <c r="F176" i="34"/>
  <c r="G187" i="34" l="1"/>
  <c r="F187" i="34"/>
  <c r="H187" i="34"/>
  <c r="E175" i="34"/>
  <c r="F174" i="34"/>
  <c r="H173" i="34"/>
  <c r="G173" i="34"/>
  <c r="F173" i="34"/>
  <c r="H171" i="34"/>
  <c r="G171" i="34"/>
  <c r="F171" i="34"/>
  <c r="H170" i="34"/>
  <c r="G170" i="34"/>
  <c r="F170" i="34"/>
  <c r="H168" i="34"/>
  <c r="G168" i="34"/>
  <c r="F168" i="34"/>
  <c r="H167" i="34"/>
  <c r="G167" i="34"/>
  <c r="F167" i="34"/>
  <c r="H166" i="34"/>
  <c r="G166" i="34"/>
  <c r="F166" i="34"/>
  <c r="H165" i="34"/>
  <c r="G165" i="34"/>
  <c r="F165" i="34"/>
  <c r="F175" i="34" l="1"/>
  <c r="H175" i="34"/>
  <c r="G175" i="34"/>
  <c r="E164" i="34"/>
  <c r="H162" i="34"/>
  <c r="G162" i="34"/>
  <c r="H160" i="34"/>
  <c r="G160" i="34"/>
  <c r="F160" i="34"/>
  <c r="F159" i="34"/>
  <c r="H158" i="34"/>
  <c r="G158" i="34"/>
  <c r="F158" i="34"/>
  <c r="H157" i="34"/>
  <c r="G157" i="34"/>
  <c r="F157" i="34"/>
  <c r="H156" i="34"/>
  <c r="G156" i="34"/>
  <c r="F156" i="34"/>
  <c r="H155" i="34"/>
  <c r="G155" i="34"/>
  <c r="F155" i="34"/>
  <c r="H154" i="34"/>
  <c r="G154" i="34"/>
  <c r="F154" i="34"/>
  <c r="E153" i="34"/>
  <c r="H152" i="34"/>
  <c r="G152" i="34"/>
  <c r="F152" i="34"/>
  <c r="G150" i="34"/>
  <c r="F150" i="34"/>
  <c r="H148" i="34"/>
  <c r="F148" i="34"/>
  <c r="G148" i="34"/>
  <c r="H147" i="34"/>
  <c r="G147" i="34"/>
  <c r="F147" i="34"/>
  <c r="H146" i="34"/>
  <c r="G146" i="34"/>
  <c r="F146" i="34"/>
  <c r="H145" i="34"/>
  <c r="G145" i="34"/>
  <c r="F145" i="34"/>
  <c r="H144" i="34"/>
  <c r="G144" i="34"/>
  <c r="F144" i="34"/>
  <c r="F153" i="34" l="1"/>
  <c r="H153" i="34"/>
  <c r="G164" i="34"/>
  <c r="G153" i="34"/>
  <c r="F164" i="34"/>
  <c r="H164" i="34"/>
  <c r="E143" i="34"/>
  <c r="H142" i="34"/>
  <c r="G142" i="34"/>
  <c r="H141" i="34"/>
  <c r="G141" i="34"/>
  <c r="F141" i="34"/>
  <c r="H139" i="34"/>
  <c r="G139" i="34"/>
  <c r="G135" i="34"/>
  <c r="F135" i="34"/>
  <c r="H134" i="34"/>
  <c r="G134" i="34"/>
  <c r="F134" i="34"/>
  <c r="F133" i="34"/>
  <c r="H133" i="34"/>
  <c r="G133" i="34"/>
  <c r="H132" i="34"/>
  <c r="G132" i="34"/>
  <c r="F132" i="34"/>
  <c r="F143" i="34" l="1"/>
  <c r="H143" i="34"/>
  <c r="G143" i="34"/>
  <c r="E131" i="34"/>
  <c r="H129" i="34"/>
  <c r="G129" i="34"/>
  <c r="H128" i="34"/>
  <c r="G128" i="34"/>
  <c r="F128" i="34"/>
  <c r="G126" i="34"/>
  <c r="F126" i="34"/>
  <c r="F125" i="34"/>
  <c r="G124" i="34"/>
  <c r="F124" i="34"/>
  <c r="H122" i="34"/>
  <c r="G122" i="34"/>
  <c r="F122" i="34"/>
  <c r="H121" i="34"/>
  <c r="G121" i="34"/>
  <c r="F121" i="34"/>
  <c r="H118" i="34"/>
  <c r="G118" i="34"/>
  <c r="F118" i="34"/>
  <c r="H117" i="34"/>
  <c r="G117" i="34"/>
  <c r="F117" i="34"/>
  <c r="H116" i="34"/>
  <c r="G116" i="34"/>
  <c r="F116" i="34"/>
  <c r="E115" i="34"/>
  <c r="H114" i="34"/>
  <c r="G114" i="34"/>
  <c r="F114" i="34"/>
  <c r="G113" i="34"/>
  <c r="F113" i="34"/>
  <c r="H112" i="34"/>
  <c r="G112" i="34"/>
  <c r="F112" i="34"/>
  <c r="H111" i="34"/>
  <c r="G111" i="34"/>
  <c r="F111" i="34"/>
  <c r="H109" i="34"/>
  <c r="G109" i="34"/>
  <c r="F109" i="34"/>
  <c r="H108" i="34"/>
  <c r="G108" i="34"/>
  <c r="F108" i="34"/>
  <c r="H107" i="34"/>
  <c r="G107" i="34"/>
  <c r="F107" i="34"/>
  <c r="F115" i="34" l="1"/>
  <c r="H115" i="34"/>
  <c r="G131" i="34"/>
  <c r="G115" i="34"/>
  <c r="F131" i="34"/>
  <c r="H131" i="34"/>
  <c r="E106" i="34"/>
  <c r="G105" i="34"/>
  <c r="F105" i="34"/>
  <c r="G104" i="34"/>
  <c r="F104" i="34"/>
  <c r="H102" i="34"/>
  <c r="G102" i="34"/>
  <c r="F102" i="34"/>
  <c r="H101" i="34"/>
  <c r="G101" i="34"/>
  <c r="F101" i="34"/>
  <c r="G99" i="34"/>
  <c r="F99" i="34"/>
  <c r="E98" i="34"/>
  <c r="G97" i="34"/>
  <c r="F97" i="34"/>
  <c r="H96" i="34"/>
  <c r="G96" i="34"/>
  <c r="F96" i="34"/>
  <c r="H95" i="34"/>
  <c r="G95" i="34"/>
  <c r="F95" i="34"/>
  <c r="H94" i="34"/>
  <c r="G94" i="34"/>
  <c r="F94" i="34"/>
  <c r="G93" i="34"/>
  <c r="F93" i="34"/>
  <c r="H91" i="34"/>
  <c r="G91" i="34"/>
  <c r="F91" i="34"/>
  <c r="G89" i="34"/>
  <c r="F89" i="34"/>
  <c r="H88" i="34"/>
  <c r="G88" i="34"/>
  <c r="F88" i="34"/>
  <c r="H87" i="34"/>
  <c r="G87" i="34"/>
  <c r="F87" i="34"/>
  <c r="H86" i="34"/>
  <c r="G86" i="34"/>
  <c r="F86" i="34"/>
  <c r="G98" i="34" l="1"/>
  <c r="G106" i="34"/>
  <c r="F98" i="34"/>
  <c r="H98" i="34"/>
  <c r="F106" i="34"/>
  <c r="H106" i="34"/>
  <c r="E85" i="34"/>
  <c r="H83" i="34"/>
  <c r="G83" i="34"/>
  <c r="H82" i="34"/>
  <c r="G82" i="34"/>
  <c r="G81" i="34"/>
  <c r="F81" i="34"/>
  <c r="H80" i="34"/>
  <c r="G80" i="34"/>
  <c r="G74" i="34"/>
  <c r="F74" i="34"/>
  <c r="H73" i="34"/>
  <c r="G73" i="34"/>
  <c r="F73" i="34"/>
  <c r="H72" i="34"/>
  <c r="G72" i="34"/>
  <c r="F72" i="34"/>
  <c r="H71" i="34"/>
  <c r="G71" i="34"/>
  <c r="F71" i="34"/>
  <c r="G85" i="34" l="1"/>
  <c r="F85" i="34"/>
  <c r="H85" i="34"/>
  <c r="E70" i="34"/>
  <c r="H68" i="34"/>
  <c r="G68" i="34"/>
  <c r="F68" i="34"/>
  <c r="H67" i="34"/>
  <c r="G67" i="34"/>
  <c r="F67" i="34"/>
  <c r="H66" i="34"/>
  <c r="G66" i="34"/>
  <c r="F66" i="34"/>
  <c r="F62" i="34"/>
  <c r="G62" i="34"/>
  <c r="H61" i="34"/>
  <c r="G61" i="34"/>
  <c r="F61" i="34"/>
  <c r="H60" i="34"/>
  <c r="G60" i="34"/>
  <c r="F60" i="34"/>
  <c r="H59" i="34"/>
  <c r="G59" i="34"/>
  <c r="F59" i="34"/>
  <c r="H58" i="34"/>
  <c r="G58" i="34"/>
  <c r="F58" i="34"/>
  <c r="G70" i="34" l="1"/>
  <c r="F70" i="34"/>
  <c r="H70" i="34"/>
  <c r="E57" i="34"/>
  <c r="H56" i="34"/>
  <c r="G56" i="34"/>
  <c r="F56" i="34"/>
  <c r="H55" i="34"/>
  <c r="G55" i="34"/>
  <c r="F55" i="34"/>
  <c r="H54" i="34"/>
  <c r="G54" i="34"/>
  <c r="F54" i="34"/>
  <c r="H53" i="34"/>
  <c r="G53" i="34"/>
  <c r="F53" i="34"/>
  <c r="H52" i="34"/>
  <c r="F52" i="34"/>
  <c r="G52" i="34"/>
  <c r="H51" i="34"/>
  <c r="G51" i="34"/>
  <c r="F51" i="34"/>
  <c r="H50" i="34"/>
  <c r="G50" i="34"/>
  <c r="F50" i="34"/>
  <c r="H49" i="34"/>
  <c r="G49" i="34"/>
  <c r="F49" i="34"/>
  <c r="H48" i="34"/>
  <c r="G48" i="34"/>
  <c r="F48" i="34"/>
  <c r="G57" i="34" l="1"/>
  <c r="F57" i="34"/>
  <c r="H57" i="34"/>
  <c r="H31" i="34"/>
  <c r="G31" i="34"/>
  <c r="F31" i="34"/>
  <c r="H30" i="34"/>
  <c r="G30" i="34"/>
  <c r="F30" i="34"/>
  <c r="E47" i="34" l="1"/>
  <c r="G43" i="34"/>
  <c r="F43" i="34"/>
  <c r="G39" i="34"/>
  <c r="F39" i="34"/>
  <c r="G38" i="34"/>
  <c r="F38" i="34"/>
  <c r="H37" i="34"/>
  <c r="G37" i="34"/>
  <c r="F37" i="34"/>
  <c r="H36" i="34"/>
  <c r="G36" i="34"/>
  <c r="F36" i="34"/>
  <c r="G35" i="34"/>
  <c r="F35" i="34"/>
  <c r="H34" i="34"/>
  <c r="G34" i="34"/>
  <c r="F34" i="34"/>
  <c r="H33" i="34"/>
  <c r="G33" i="34"/>
  <c r="F33" i="34"/>
  <c r="H29" i="34"/>
  <c r="G29" i="34"/>
  <c r="F29" i="34"/>
  <c r="H28" i="34"/>
  <c r="G28" i="34"/>
  <c r="F28" i="34"/>
  <c r="H26" i="34"/>
  <c r="G26" i="34"/>
  <c r="F26" i="34"/>
  <c r="E27" i="34"/>
  <c r="E24" i="34"/>
  <c r="H23" i="34"/>
  <c r="G23" i="34"/>
  <c r="F23" i="34"/>
  <c r="E32" i="34" l="1"/>
  <c r="H24" i="34"/>
  <c r="G24" i="34"/>
  <c r="F24" i="34"/>
  <c r="H27" i="34"/>
  <c r="G27" i="34"/>
  <c r="F27" i="34"/>
  <c r="F32" i="34"/>
  <c r="H32" i="34"/>
  <c r="F47" i="34"/>
  <c r="H47" i="34"/>
  <c r="G32" i="34"/>
  <c r="G47" i="34"/>
  <c r="E22" i="34"/>
  <c r="G20" i="34"/>
  <c r="F20" i="34"/>
  <c r="H18" i="34"/>
  <c r="G18" i="34"/>
  <c r="F18" i="34"/>
  <c r="G17" i="34"/>
  <c r="H15" i="34"/>
  <c r="G15" i="34"/>
  <c r="F15" i="34"/>
  <c r="H14" i="34"/>
  <c r="G14" i="34"/>
  <c r="F14" i="34"/>
  <c r="H13" i="34"/>
  <c r="G13" i="34"/>
  <c r="H12" i="34"/>
  <c r="F12" i="34"/>
  <c r="F13" i="34"/>
  <c r="G12" i="34"/>
  <c r="H11" i="34"/>
  <c r="G11" i="34"/>
  <c r="F11" i="34"/>
  <c r="G22" i="34" l="1"/>
  <c r="F22" i="34"/>
  <c r="H22" i="34"/>
  <c r="H9" i="34"/>
  <c r="G9" i="34"/>
  <c r="F9" i="34"/>
  <c r="H8" i="34"/>
  <c r="G8" i="34"/>
  <c r="F8" i="34"/>
  <c r="H256" i="33"/>
  <c r="G256" i="33"/>
  <c r="H255" i="33"/>
  <c r="G255" i="33"/>
  <c r="F255" i="33"/>
  <c r="G5" i="34"/>
  <c r="F5" i="34"/>
  <c r="H4" i="34"/>
  <c r="G4" i="34"/>
  <c r="F4" i="34"/>
  <c r="E3" i="34"/>
  <c r="H2" i="34"/>
  <c r="G2" i="34"/>
  <c r="F2" i="34"/>
  <c r="F251" i="33"/>
  <c r="G251" i="33"/>
  <c r="H250" i="33"/>
  <c r="G250" i="33"/>
  <c r="F250" i="33"/>
  <c r="H249" i="33"/>
  <c r="G249" i="33"/>
  <c r="F249" i="33"/>
  <c r="H248" i="33"/>
  <c r="G248" i="33"/>
  <c r="F248" i="33"/>
  <c r="E246" i="33"/>
  <c r="F242" i="33"/>
  <c r="G242" i="33"/>
  <c r="H241" i="33"/>
  <c r="G241" i="33"/>
  <c r="F241" i="33"/>
  <c r="E247" i="33"/>
  <c r="H247" i="33" l="1"/>
  <c r="E257" i="33"/>
  <c r="E10" i="34"/>
  <c r="H3" i="34"/>
  <c r="G3" i="34"/>
  <c r="F3" i="34"/>
  <c r="F10" i="34"/>
  <c r="H10" i="34"/>
  <c r="G10" i="34"/>
  <c r="H257" i="33"/>
  <c r="G247" i="33"/>
  <c r="G257" i="33" s="1"/>
  <c r="F247" i="33"/>
  <c r="F257" i="33" s="1"/>
  <c r="H240" i="33"/>
  <c r="G240" i="33"/>
  <c r="F240" i="33"/>
  <c r="H239" i="33"/>
  <c r="G239" i="33"/>
  <c r="F239" i="33"/>
  <c r="H238" i="33"/>
  <c r="G238" i="33"/>
  <c r="F238" i="33"/>
  <c r="F246" i="33" l="1"/>
  <c r="H246" i="33"/>
  <c r="G246" i="33"/>
  <c r="E237" i="33"/>
  <c r="H236" i="33"/>
  <c r="G236" i="33"/>
  <c r="F234" i="33"/>
  <c r="F233" i="33"/>
  <c r="G233" i="33"/>
  <c r="H232" i="33"/>
  <c r="F232" i="33"/>
  <c r="G232" i="33"/>
  <c r="H231" i="33"/>
  <c r="F231" i="33"/>
  <c r="G231" i="33"/>
  <c r="H230" i="33"/>
  <c r="F230" i="33"/>
  <c r="G230" i="33"/>
  <c r="H229" i="33"/>
  <c r="G229" i="33"/>
  <c r="F229" i="33"/>
  <c r="H228" i="33"/>
  <c r="G228" i="33"/>
  <c r="F228" i="33"/>
  <c r="H227" i="33"/>
  <c r="G227" i="33"/>
  <c r="F227" i="33"/>
  <c r="H226" i="33"/>
  <c r="G226" i="33"/>
  <c r="F226" i="33"/>
  <c r="G237" i="33" l="1"/>
  <c r="F237" i="33"/>
  <c r="H237" i="33"/>
  <c r="E225" i="33"/>
  <c r="H220" i="33"/>
  <c r="G220" i="33"/>
  <c r="F220" i="33"/>
  <c r="H218" i="33" l="1"/>
  <c r="G218" i="33"/>
  <c r="F218" i="33"/>
  <c r="H217" i="33"/>
  <c r="G217" i="33"/>
  <c r="F217" i="33"/>
  <c r="H216" i="33"/>
  <c r="G216" i="33"/>
  <c r="F216" i="33"/>
  <c r="H215" i="33"/>
  <c r="G215" i="33"/>
  <c r="F215" i="33"/>
  <c r="H214" i="33"/>
  <c r="G214" i="33"/>
  <c r="F214" i="33"/>
  <c r="G213" i="33"/>
  <c r="F213" i="33"/>
  <c r="H212" i="33"/>
  <c r="G212" i="33"/>
  <c r="F212" i="33"/>
  <c r="H211" i="33"/>
  <c r="G211" i="33"/>
  <c r="F211" i="33"/>
  <c r="H210" i="33"/>
  <c r="G210" i="33"/>
  <c r="F210" i="33"/>
  <c r="E209" i="33"/>
  <c r="H208" i="33"/>
  <c r="G208" i="33"/>
  <c r="F208" i="33"/>
  <c r="H207" i="33"/>
  <c r="G207" i="33"/>
  <c r="F207" i="33"/>
  <c r="H206" i="33"/>
  <c r="G206" i="33"/>
  <c r="F206" i="33"/>
  <c r="H205" i="33"/>
  <c r="G205" i="33"/>
  <c r="F205" i="33"/>
  <c r="F209" i="33" l="1"/>
  <c r="H209" i="33"/>
  <c r="G225" i="33"/>
  <c r="G209" i="33"/>
  <c r="F225" i="33"/>
  <c r="H225" i="33"/>
  <c r="E204" i="33"/>
  <c r="F200" i="33"/>
  <c r="G200" i="33"/>
  <c r="H199" i="33"/>
  <c r="F199" i="33"/>
  <c r="G199" i="33"/>
  <c r="H198" i="33"/>
  <c r="G198" i="33"/>
  <c r="F198" i="33"/>
  <c r="H197" i="33"/>
  <c r="G197" i="33"/>
  <c r="F197" i="33"/>
  <c r="H196" i="33"/>
  <c r="G196" i="33"/>
  <c r="F196" i="33"/>
  <c r="H195" i="33"/>
  <c r="G195" i="33"/>
  <c r="F195" i="33"/>
  <c r="F204" i="33" l="1"/>
  <c r="H204" i="33"/>
  <c r="G204" i="33"/>
  <c r="E194" i="33"/>
  <c r="F190" i="33"/>
  <c r="G190" i="33"/>
  <c r="H189" i="33"/>
  <c r="G189" i="33"/>
  <c r="F189" i="33"/>
  <c r="H188" i="33"/>
  <c r="G188" i="33"/>
  <c r="F188" i="33"/>
  <c r="H187" i="33"/>
  <c r="G187" i="33"/>
  <c r="F187" i="33"/>
  <c r="H186" i="33"/>
  <c r="G186" i="33"/>
  <c r="F186" i="33"/>
  <c r="G194" i="33" l="1"/>
  <c r="F194" i="33"/>
  <c r="H194" i="33"/>
  <c r="E185" i="33"/>
  <c r="H183" i="33"/>
  <c r="G183" i="33"/>
  <c r="F183" i="33"/>
  <c r="F181" i="33"/>
  <c r="G181" i="33"/>
  <c r="H180" i="33"/>
  <c r="F180" i="33"/>
  <c r="G180" i="33"/>
  <c r="H179" i="33"/>
  <c r="G179" i="33"/>
  <c r="F179" i="33"/>
  <c r="H178" i="33"/>
  <c r="G178" i="33"/>
  <c r="F178" i="33"/>
  <c r="H177" i="33"/>
  <c r="G177" i="33"/>
  <c r="F177" i="33"/>
  <c r="G185" i="33" l="1"/>
  <c r="F185" i="33"/>
  <c r="H185" i="33"/>
  <c r="E176" i="33"/>
  <c r="H175" i="33"/>
  <c r="G175" i="33"/>
  <c r="F175" i="33"/>
  <c r="G171" i="33"/>
  <c r="F171" i="33"/>
  <c r="H170" i="33"/>
  <c r="G170" i="33"/>
  <c r="F170" i="33"/>
  <c r="H169" i="33"/>
  <c r="G169" i="33"/>
  <c r="F169" i="33"/>
  <c r="H168" i="33"/>
  <c r="G168" i="33"/>
  <c r="F168" i="33"/>
  <c r="E167" i="33"/>
  <c r="G162" i="33"/>
  <c r="F162" i="33"/>
  <c r="H161" i="33"/>
  <c r="H167" i="33" s="1"/>
  <c r="G161" i="33"/>
  <c r="F161" i="33"/>
  <c r="F167" i="33" l="1"/>
  <c r="F176" i="33"/>
  <c r="H176" i="33"/>
  <c r="G167" i="33"/>
  <c r="G176" i="33"/>
  <c r="E160" i="33"/>
  <c r="H159" i="33"/>
  <c r="G159" i="33"/>
  <c r="F159" i="33"/>
  <c r="H156" i="33"/>
  <c r="G156" i="33"/>
  <c r="F156" i="33"/>
  <c r="H155" i="33"/>
  <c r="G155" i="33"/>
  <c r="F155" i="33"/>
  <c r="G154" i="33"/>
  <c r="F154" i="33"/>
  <c r="H153" i="33"/>
  <c r="G153" i="33"/>
  <c r="F153" i="33"/>
  <c r="F152" i="33"/>
  <c r="H152" i="33"/>
  <c r="G152" i="33"/>
  <c r="H151" i="33"/>
  <c r="G151" i="33"/>
  <c r="F151" i="33"/>
  <c r="E150" i="33"/>
  <c r="G148" i="33"/>
  <c r="F148" i="33"/>
  <c r="H147" i="33"/>
  <c r="G147" i="33"/>
  <c r="F147" i="33"/>
  <c r="H146" i="33"/>
  <c r="G146" i="33"/>
  <c r="F146" i="33"/>
  <c r="E145" i="33"/>
  <c r="F141" i="33"/>
  <c r="F136" i="33"/>
  <c r="H136" i="33"/>
  <c r="H145" i="33" s="1"/>
  <c r="G137" i="33"/>
  <c r="F137" i="33"/>
  <c r="G136" i="33"/>
  <c r="G145" i="33" l="1"/>
  <c r="F145" i="33"/>
  <c r="G150" i="33"/>
  <c r="F160" i="33"/>
  <c r="H160" i="33"/>
  <c r="F150" i="33"/>
  <c r="H150" i="33"/>
  <c r="G160" i="33"/>
  <c r="E135" i="33"/>
  <c r="G133" i="33"/>
  <c r="F133" i="33"/>
  <c r="H132" i="33"/>
  <c r="G132" i="33"/>
  <c r="F132" i="33"/>
  <c r="H131" i="33"/>
  <c r="G131" i="33"/>
  <c r="F131" i="33"/>
  <c r="H130" i="33"/>
  <c r="G130" i="33"/>
  <c r="F130" i="33"/>
  <c r="H129" i="33"/>
  <c r="G129" i="33"/>
  <c r="F129" i="33"/>
  <c r="E128" i="33"/>
  <c r="G125" i="33"/>
  <c r="F125" i="33"/>
  <c r="G135" i="33" l="1"/>
  <c r="F135" i="33"/>
  <c r="H135" i="33"/>
  <c r="H124" i="33"/>
  <c r="G124" i="33"/>
  <c r="F124" i="33"/>
  <c r="H123" i="33"/>
  <c r="G123" i="33"/>
  <c r="F123" i="33"/>
  <c r="G128" i="33" l="1"/>
  <c r="F128" i="33"/>
  <c r="H128" i="33"/>
  <c r="E122" i="33"/>
  <c r="G118" i="33"/>
  <c r="F118" i="33"/>
  <c r="H117" i="33"/>
  <c r="G117" i="33"/>
  <c r="F117" i="33"/>
  <c r="H116" i="33"/>
  <c r="G116" i="33"/>
  <c r="F116" i="33"/>
  <c r="E115" i="33"/>
  <c r="H113" i="33"/>
  <c r="H115" i="33" s="1"/>
  <c r="G113" i="33"/>
  <c r="F113" i="33"/>
  <c r="G112" i="33"/>
  <c r="G115" i="33" s="1"/>
  <c r="F112" i="33"/>
  <c r="F115" i="33" s="1"/>
  <c r="F122" i="33" l="1"/>
  <c r="H122" i="33"/>
  <c r="G122" i="33"/>
  <c r="E111" i="33"/>
  <c r="G110" i="33"/>
  <c r="F110" i="33"/>
  <c r="G108" i="33"/>
  <c r="F108" i="33"/>
  <c r="G106" i="33"/>
  <c r="H106" i="33"/>
  <c r="H107" i="33"/>
  <c r="G107" i="33"/>
  <c r="F107" i="33"/>
  <c r="F106" i="33"/>
  <c r="H105" i="33"/>
  <c r="G105" i="33"/>
  <c r="F105" i="33"/>
  <c r="F111" i="33" l="1"/>
  <c r="H111" i="33"/>
  <c r="G111" i="33"/>
  <c r="E104" i="33"/>
  <c r="H101" i="33"/>
  <c r="G101" i="33"/>
  <c r="F101" i="33"/>
  <c r="F100" i="33"/>
  <c r="G99" i="33"/>
  <c r="F99" i="33"/>
  <c r="H98" i="33"/>
  <c r="G98" i="33"/>
  <c r="F98" i="33"/>
  <c r="H97" i="33"/>
  <c r="G97" i="33"/>
  <c r="F97" i="33"/>
  <c r="H96" i="33"/>
  <c r="G96" i="33"/>
  <c r="F96" i="33"/>
  <c r="H95" i="33"/>
  <c r="G95" i="33"/>
  <c r="F95" i="33"/>
  <c r="F104" i="33" l="1"/>
  <c r="H104" i="33"/>
  <c r="G104" i="33"/>
  <c r="E94" i="33" l="1"/>
  <c r="G87" i="33"/>
  <c r="F87" i="33"/>
  <c r="H86" i="33"/>
  <c r="G86" i="33"/>
  <c r="F86" i="33"/>
  <c r="H85" i="33"/>
  <c r="G85" i="33"/>
  <c r="F85" i="33"/>
  <c r="F94" i="33" l="1"/>
  <c r="H94" i="33"/>
  <c r="G94" i="33"/>
  <c r="E84" i="33"/>
  <c r="H83" i="33"/>
  <c r="G83" i="33"/>
  <c r="F83" i="33"/>
  <c r="F82" i="33"/>
  <c r="G81" i="33"/>
  <c r="F81" i="33"/>
  <c r="H80" i="33"/>
  <c r="G80" i="33"/>
  <c r="F80" i="33"/>
  <c r="H79" i="33"/>
  <c r="G79" i="33"/>
  <c r="F79" i="33"/>
  <c r="H78" i="33"/>
  <c r="G78" i="33"/>
  <c r="F78" i="33"/>
  <c r="E77" i="33"/>
  <c r="H74" i="33"/>
  <c r="G74" i="33"/>
  <c r="F74" i="33"/>
  <c r="G73" i="33"/>
  <c r="F73" i="33"/>
  <c r="F72" i="33"/>
  <c r="H72" i="33"/>
  <c r="G72" i="33"/>
  <c r="H71" i="33"/>
  <c r="H77" i="33" s="1"/>
  <c r="G71" i="33"/>
  <c r="G77" i="33" s="1"/>
  <c r="F71" i="33"/>
  <c r="F77" i="33" l="1"/>
  <c r="F84" i="33"/>
  <c r="H84" i="33"/>
  <c r="G84" i="33"/>
  <c r="E70" i="33"/>
  <c r="H67" i="33"/>
  <c r="G67" i="33"/>
  <c r="F67" i="33"/>
  <c r="F64" i="33"/>
  <c r="G63" i="33"/>
  <c r="F63" i="33"/>
  <c r="H62" i="33"/>
  <c r="G62" i="33"/>
  <c r="F62" i="33"/>
  <c r="H61" i="33"/>
  <c r="G61" i="33"/>
  <c r="F61" i="33"/>
  <c r="G70" i="33" l="1"/>
  <c r="F70" i="33"/>
  <c r="H70" i="33"/>
  <c r="E60" i="33"/>
  <c r="H58" i="33"/>
  <c r="G58" i="33"/>
  <c r="F58" i="33"/>
  <c r="G57" i="33"/>
  <c r="G54" i="33"/>
  <c r="F54" i="33"/>
  <c r="H53" i="33"/>
  <c r="G53" i="33"/>
  <c r="F53" i="33"/>
  <c r="H52" i="33"/>
  <c r="G52" i="33"/>
  <c r="F52" i="33"/>
  <c r="H60" i="33" l="1"/>
  <c r="F60" i="33"/>
  <c r="G60" i="33"/>
  <c r="E50" i="33"/>
  <c r="H50" i="33" s="1"/>
  <c r="E49" i="33"/>
  <c r="E51" i="33" s="1"/>
  <c r="G47" i="33"/>
  <c r="F47" i="33"/>
  <c r="H45" i="33"/>
  <c r="G45" i="33"/>
  <c r="F45" i="33"/>
  <c r="H44" i="33"/>
  <c r="G44" i="33"/>
  <c r="F44" i="33"/>
  <c r="E33" i="33"/>
  <c r="H33" i="33" s="1"/>
  <c r="H42" i="33"/>
  <c r="G42" i="33"/>
  <c r="F42" i="33"/>
  <c r="H41" i="33"/>
  <c r="G41" i="33"/>
  <c r="F41" i="33"/>
  <c r="H40" i="33"/>
  <c r="H39" i="33"/>
  <c r="G40" i="33"/>
  <c r="F40" i="33"/>
  <c r="G39" i="33"/>
  <c r="F39" i="33"/>
  <c r="F36" i="33"/>
  <c r="G35" i="33"/>
  <c r="F35" i="33"/>
  <c r="G33" i="33"/>
  <c r="F33" i="33"/>
  <c r="E34" i="33"/>
  <c r="E43" i="33" s="1"/>
  <c r="G50" i="33" l="1"/>
  <c r="F34" i="33"/>
  <c r="F43" i="33" s="1"/>
  <c r="H34" i="33"/>
  <c r="H43" i="33" s="1"/>
  <c r="G49" i="33"/>
  <c r="F50" i="33"/>
  <c r="G34" i="33"/>
  <c r="G43" i="33" s="1"/>
  <c r="F49" i="33"/>
  <c r="F51" i="33" s="1"/>
  <c r="H49" i="33"/>
  <c r="H51" i="33" s="1"/>
  <c r="K25" i="32"/>
  <c r="G51" i="33" l="1"/>
  <c r="E32" i="33"/>
  <c r="G31" i="33"/>
  <c r="F31" i="33"/>
  <c r="G30" i="33"/>
  <c r="F30" i="33"/>
  <c r="H29" i="33"/>
  <c r="G29" i="33"/>
  <c r="F29" i="33"/>
  <c r="H28" i="33"/>
  <c r="G28" i="33"/>
  <c r="F28" i="33"/>
  <c r="F32" i="33" l="1"/>
  <c r="H32" i="33"/>
  <c r="G32" i="33"/>
  <c r="E24" i="33"/>
  <c r="H24" i="33" s="1"/>
  <c r="E23" i="33"/>
  <c r="G23" i="33" s="1"/>
  <c r="F23" i="33" l="1"/>
  <c r="H23" i="33"/>
  <c r="H27" i="33" s="1"/>
  <c r="G24" i="33"/>
  <c r="G27" i="33" s="1"/>
  <c r="E27" i="33"/>
  <c r="F24" i="33"/>
  <c r="E22" i="33"/>
  <c r="G19" i="33"/>
  <c r="F19" i="33"/>
  <c r="H18" i="33"/>
  <c r="G18" i="33"/>
  <c r="F18" i="33"/>
  <c r="H17" i="33"/>
  <c r="G17" i="33"/>
  <c r="F17" i="33"/>
  <c r="H16" i="33"/>
  <c r="G16" i="33"/>
  <c r="F16" i="33"/>
  <c r="H15" i="33"/>
  <c r="G15" i="33"/>
  <c r="F15" i="33"/>
  <c r="G22" i="33" l="1"/>
  <c r="F22" i="33"/>
  <c r="H22" i="33"/>
  <c r="F27" i="33"/>
  <c r="F12" i="33"/>
  <c r="H13" i="33"/>
  <c r="F13" i="33"/>
  <c r="G9" i="33"/>
  <c r="F9" i="33"/>
  <c r="E8" i="33"/>
  <c r="E7" i="33"/>
  <c r="F8" i="33" l="1"/>
  <c r="H8" i="33"/>
  <c r="G8" i="33"/>
  <c r="G7" i="33"/>
  <c r="F7" i="33"/>
  <c r="F14" i="33" s="1"/>
  <c r="H7" i="33"/>
  <c r="H14" i="33" s="1"/>
  <c r="E14" i="33"/>
  <c r="E6" i="33"/>
  <c r="G4" i="33"/>
  <c r="F4" i="33"/>
  <c r="H3" i="33"/>
  <c r="G3" i="33"/>
  <c r="F3" i="33"/>
  <c r="H2" i="33"/>
  <c r="G2" i="33"/>
  <c r="F2" i="33"/>
  <c r="G14" i="33" l="1"/>
  <c r="F6" i="33"/>
  <c r="G6" i="33"/>
  <c r="H6" i="33"/>
  <c r="H239" i="32"/>
  <c r="G239" i="32"/>
  <c r="H240" i="32"/>
  <c r="G240" i="32"/>
  <c r="F240" i="32"/>
  <c r="F239" i="32"/>
  <c r="H238" i="32" l="1"/>
  <c r="G235" i="32"/>
  <c r="F235" i="32"/>
  <c r="H234" i="32"/>
  <c r="G234" i="32"/>
  <c r="F234" i="32"/>
  <c r="H233" i="32"/>
  <c r="G233" i="32"/>
  <c r="F233" i="32"/>
  <c r="G232" i="32"/>
  <c r="F232" i="32"/>
  <c r="E231" i="32"/>
  <c r="E230" i="32"/>
  <c r="E241" i="32" l="1"/>
  <c r="H230" i="32"/>
  <c r="G230" i="32"/>
  <c r="F230" i="32"/>
  <c r="H231" i="32"/>
  <c r="G231" i="32"/>
  <c r="F231" i="32"/>
  <c r="G241" i="32"/>
  <c r="F241" i="32"/>
  <c r="H241" i="32"/>
  <c r="F226" i="32"/>
  <c r="G225" i="32"/>
  <c r="F225" i="32"/>
  <c r="H224" i="32"/>
  <c r="G224" i="32"/>
  <c r="F224" i="32"/>
  <c r="H223" i="32"/>
  <c r="G223" i="32"/>
  <c r="F223" i="32"/>
  <c r="E222" i="32"/>
  <c r="E221" i="32"/>
  <c r="G217" i="32"/>
  <c r="F217" i="32"/>
  <c r="E229" i="32" l="1"/>
  <c r="H221" i="32"/>
  <c r="G221" i="32"/>
  <c r="F221" i="32"/>
  <c r="H222" i="32"/>
  <c r="G222" i="32"/>
  <c r="F222" i="32"/>
  <c r="F229" i="32"/>
  <c r="G229" i="32"/>
  <c r="H229" i="32"/>
  <c r="E214" i="32"/>
  <c r="E210" i="32"/>
  <c r="E216" i="32"/>
  <c r="E215" i="32"/>
  <c r="L9" i="33" l="1"/>
  <c r="L17" i="32"/>
  <c r="E220" i="32"/>
  <c r="H215" i="32"/>
  <c r="G215" i="32"/>
  <c r="F215" i="32"/>
  <c r="L10" i="33"/>
  <c r="L74" i="32"/>
  <c r="H216" i="32"/>
  <c r="G216" i="32"/>
  <c r="F216" i="32"/>
  <c r="H213" i="32"/>
  <c r="G213" i="32"/>
  <c r="F213" i="32"/>
  <c r="H212" i="32"/>
  <c r="G212" i="32"/>
  <c r="F212" i="32"/>
  <c r="H211" i="32"/>
  <c r="G211" i="32"/>
  <c r="F211" i="32"/>
  <c r="P10" i="33" l="1"/>
  <c r="O10" i="33"/>
  <c r="N10" i="33"/>
  <c r="M10" i="33"/>
  <c r="F220" i="32"/>
  <c r="G220" i="32"/>
  <c r="H220" i="32"/>
  <c r="L11" i="33"/>
  <c r="L12" i="33" s="1"/>
  <c r="M9" i="33"/>
  <c r="M11" i="33" s="1"/>
  <c r="P9" i="33"/>
  <c r="P11" i="33" s="1"/>
  <c r="O9" i="33"/>
  <c r="O11" i="33" s="1"/>
  <c r="N9" i="33"/>
  <c r="N11" i="33" s="1"/>
  <c r="F214" i="32"/>
  <c r="H214" i="32"/>
  <c r="G214" i="32"/>
  <c r="G207" i="32"/>
  <c r="F207" i="32"/>
  <c r="G206" i="32"/>
  <c r="F206" i="32"/>
  <c r="H205" i="32"/>
  <c r="G205" i="32"/>
  <c r="F205" i="32"/>
  <c r="H204" i="32"/>
  <c r="G204" i="32"/>
  <c r="F204" i="32"/>
  <c r="G203" i="32"/>
  <c r="F203" i="32"/>
  <c r="H202" i="32"/>
  <c r="E202" i="32"/>
  <c r="G199" i="32"/>
  <c r="G195" i="32"/>
  <c r="F195" i="32"/>
  <c r="F202" i="32" s="1"/>
  <c r="H194" i="32"/>
  <c r="E194" i="32"/>
  <c r="G190" i="32"/>
  <c r="G194" i="32" s="1"/>
  <c r="F190" i="32"/>
  <c r="F194" i="32" s="1"/>
  <c r="G202" i="32" l="1"/>
  <c r="F210" i="32"/>
  <c r="H210" i="32"/>
  <c r="G210" i="32"/>
  <c r="E189" i="32"/>
  <c r="H188" i="32"/>
  <c r="G188" i="32"/>
  <c r="F188" i="32"/>
  <c r="H187" i="32"/>
  <c r="G187" i="32"/>
  <c r="F187" i="32"/>
  <c r="G186" i="32"/>
  <c r="F186" i="32"/>
  <c r="G184" i="32"/>
  <c r="F184" i="32"/>
  <c r="G183" i="32"/>
  <c r="F183" i="32"/>
  <c r="H182" i="32"/>
  <c r="G182" i="32"/>
  <c r="F182" i="32"/>
  <c r="H181" i="32"/>
  <c r="G181" i="32"/>
  <c r="F181" i="32"/>
  <c r="G180" i="32"/>
  <c r="F180" i="32"/>
  <c r="H178" i="32"/>
  <c r="G178" i="32"/>
  <c r="F178" i="32"/>
  <c r="H177" i="32"/>
  <c r="G177" i="32"/>
  <c r="F177" i="32"/>
  <c r="H176" i="32"/>
  <c r="G176" i="32"/>
  <c r="F176" i="32"/>
  <c r="E175" i="32"/>
  <c r="H174" i="32"/>
  <c r="G174" i="32"/>
  <c r="G173" i="32"/>
  <c r="F173" i="32"/>
  <c r="G172" i="32"/>
  <c r="F172" i="32"/>
  <c r="H169" i="32"/>
  <c r="G169" i="32"/>
  <c r="F169" i="32"/>
  <c r="G189" i="32" l="1"/>
  <c r="F189" i="32"/>
  <c r="H189" i="32"/>
  <c r="H167" i="32"/>
  <c r="E167" i="32"/>
  <c r="H168" i="32" l="1"/>
  <c r="H175" i="32" s="1"/>
  <c r="G168" i="32"/>
  <c r="G175" i="32" s="1"/>
  <c r="F168" i="32"/>
  <c r="F175" i="32" s="1"/>
  <c r="F166" i="32"/>
  <c r="G162" i="32"/>
  <c r="G167" i="32" s="1"/>
  <c r="F162" i="32"/>
  <c r="F167" i="32" s="1"/>
  <c r="H161" i="32"/>
  <c r="E161" i="32"/>
  <c r="G158" i="32"/>
  <c r="G161" i="32" s="1"/>
  <c r="F158" i="32"/>
  <c r="F161" i="32" s="1"/>
  <c r="E157" i="32" l="1"/>
  <c r="H156" i="32" l="1"/>
  <c r="G156" i="32"/>
  <c r="F156" i="32"/>
  <c r="H154" i="32"/>
  <c r="G154" i="32"/>
  <c r="F154" i="32"/>
  <c r="G152" i="32"/>
  <c r="G151" i="32"/>
  <c r="F151" i="32"/>
  <c r="H150" i="32"/>
  <c r="G150" i="32"/>
  <c r="F150" i="32"/>
  <c r="H149" i="32"/>
  <c r="G149" i="32"/>
  <c r="F149" i="32"/>
  <c r="F157" i="32" l="1"/>
  <c r="H157" i="32"/>
  <c r="G157" i="32"/>
  <c r="E148" i="32"/>
  <c r="H143" i="32"/>
  <c r="H148" i="32" s="1"/>
  <c r="G143" i="32"/>
  <c r="G148" i="32" s="1"/>
  <c r="F143" i="32"/>
  <c r="F148" i="32" s="1"/>
  <c r="E142" i="32" l="1"/>
  <c r="H141" i="32"/>
  <c r="G141" i="32"/>
  <c r="F141" i="32"/>
  <c r="H140" i="32"/>
  <c r="G140" i="32"/>
  <c r="F140" i="32"/>
  <c r="H139" i="32"/>
  <c r="G139" i="32"/>
  <c r="F139" i="32"/>
  <c r="H135" i="32"/>
  <c r="G135" i="32"/>
  <c r="F135" i="32"/>
  <c r="E134" i="32"/>
  <c r="H133" i="32"/>
  <c r="G133" i="32"/>
  <c r="F133" i="32"/>
  <c r="H130" i="32"/>
  <c r="G130" i="32"/>
  <c r="F130" i="32"/>
  <c r="H129" i="32"/>
  <c r="G129" i="32"/>
  <c r="F129" i="32"/>
  <c r="H128" i="32"/>
  <c r="G128" i="32"/>
  <c r="F128" i="32"/>
  <c r="H127" i="32"/>
  <c r="G127" i="32"/>
  <c r="F127" i="32"/>
  <c r="H126" i="32"/>
  <c r="G126" i="32"/>
  <c r="F126" i="32"/>
  <c r="H125" i="32"/>
  <c r="G125" i="32"/>
  <c r="F125" i="32"/>
  <c r="H124" i="32"/>
  <c r="G124" i="32"/>
  <c r="F124" i="32"/>
  <c r="G134" i="32" l="1"/>
  <c r="F134" i="32"/>
  <c r="H134" i="32"/>
  <c r="G142" i="32"/>
  <c r="F142" i="32"/>
  <c r="H142" i="32"/>
  <c r="E123" i="32"/>
  <c r="H121" i="32"/>
  <c r="G121" i="32"/>
  <c r="F121" i="32"/>
  <c r="H120" i="32"/>
  <c r="G120" i="32"/>
  <c r="F120" i="32"/>
  <c r="H119" i="32"/>
  <c r="G119" i="32"/>
  <c r="F119" i="32"/>
  <c r="H118" i="32"/>
  <c r="G118" i="32"/>
  <c r="F118" i="32"/>
  <c r="F123" i="32" l="1"/>
  <c r="H123" i="32"/>
  <c r="G123" i="32"/>
  <c r="E117" i="32"/>
  <c r="H115" i="32"/>
  <c r="G115" i="32"/>
  <c r="F115" i="32"/>
  <c r="H114" i="32"/>
  <c r="G114" i="32"/>
  <c r="F114" i="32"/>
  <c r="H113" i="32"/>
  <c r="G113" i="32"/>
  <c r="G112" i="32"/>
  <c r="H112" i="32"/>
  <c r="F112" i="32"/>
  <c r="H111" i="32"/>
  <c r="G111" i="32"/>
  <c r="H110" i="32"/>
  <c r="G110" i="32"/>
  <c r="F110" i="32"/>
  <c r="F111" i="32"/>
  <c r="H109" i="32"/>
  <c r="G109" i="32"/>
  <c r="F109" i="32"/>
  <c r="E108" i="32"/>
  <c r="G105" i="32"/>
  <c r="F105" i="32"/>
  <c r="H104" i="32"/>
  <c r="G104" i="32"/>
  <c r="F104" i="32"/>
  <c r="H103" i="32"/>
  <c r="G103" i="32"/>
  <c r="F103" i="32"/>
  <c r="F102" i="32"/>
  <c r="H102" i="32"/>
  <c r="G102" i="32"/>
  <c r="H101" i="32"/>
  <c r="E101" i="32"/>
  <c r="G97" i="32"/>
  <c r="G101" i="32" s="1"/>
  <c r="F97" i="32"/>
  <c r="F101" i="32" s="1"/>
  <c r="H108" i="32" l="1"/>
  <c r="G108" i="32"/>
  <c r="F108" i="32"/>
  <c r="F117" i="32"/>
  <c r="H117" i="32"/>
  <c r="G117" i="32"/>
  <c r="E96" i="32"/>
  <c r="F95" i="32"/>
  <c r="G95" i="32"/>
  <c r="H94" i="32"/>
  <c r="F94" i="32"/>
  <c r="G94" i="32"/>
  <c r="H93" i="32"/>
  <c r="G93" i="32"/>
  <c r="F93" i="32"/>
  <c r="H92" i="32"/>
  <c r="G92" i="32"/>
  <c r="F92" i="32"/>
  <c r="G96" i="32" l="1"/>
  <c r="F96" i="32"/>
  <c r="H96" i="32"/>
  <c r="E91" i="32"/>
  <c r="H90" i="32" l="1"/>
  <c r="H91" i="32" s="1"/>
  <c r="F90" i="32"/>
  <c r="G90" i="32"/>
  <c r="G89" i="32"/>
  <c r="F89" i="32"/>
  <c r="G87" i="32" l="1"/>
  <c r="G91" i="32" s="1"/>
  <c r="F87" i="32"/>
  <c r="F91" i="32" s="1"/>
  <c r="E86" i="32"/>
  <c r="F84" i="32"/>
  <c r="G83" i="32"/>
  <c r="F83" i="32"/>
  <c r="H82" i="32"/>
  <c r="G82" i="32"/>
  <c r="F82" i="32"/>
  <c r="H81" i="32"/>
  <c r="G81" i="32"/>
  <c r="F81" i="32"/>
  <c r="G80" i="32"/>
  <c r="F80" i="32"/>
  <c r="H79" i="32"/>
  <c r="G79" i="32"/>
  <c r="F79" i="32"/>
  <c r="H78" i="32"/>
  <c r="G78" i="32"/>
  <c r="F78" i="32"/>
  <c r="H77" i="32"/>
  <c r="G77" i="32"/>
  <c r="F77" i="32"/>
  <c r="E76" i="32"/>
  <c r="F72" i="32"/>
  <c r="H70" i="32"/>
  <c r="G70" i="32"/>
  <c r="F70" i="32"/>
  <c r="H69" i="32"/>
  <c r="G69" i="32"/>
  <c r="F69" i="32"/>
  <c r="F67" i="32"/>
  <c r="G67" i="32"/>
  <c r="H66" i="32"/>
  <c r="G66" i="32"/>
  <c r="F66" i="32"/>
  <c r="E65" i="32"/>
  <c r="H64" i="32"/>
  <c r="G64" i="32"/>
  <c r="F64" i="32"/>
  <c r="H63" i="32"/>
  <c r="G63" i="32"/>
  <c r="F63" i="32"/>
  <c r="H62" i="32"/>
  <c r="G62" i="32"/>
  <c r="F62" i="32"/>
  <c r="H60" i="32"/>
  <c r="G60" i="32"/>
  <c r="F60" i="32"/>
  <c r="H59" i="32"/>
  <c r="G59" i="32"/>
  <c r="F59" i="32"/>
  <c r="F65" i="32" l="1"/>
  <c r="H65" i="32"/>
  <c r="G86" i="32"/>
  <c r="F86" i="32"/>
  <c r="H86" i="32"/>
  <c r="G65" i="32"/>
  <c r="G76" i="32"/>
  <c r="F76" i="32"/>
  <c r="H76" i="32"/>
  <c r="H57" i="32"/>
  <c r="G57" i="32"/>
  <c r="F57" i="32"/>
  <c r="H53" i="32"/>
  <c r="G53" i="32"/>
  <c r="F53" i="32"/>
  <c r="H52" i="32"/>
  <c r="G52" i="32"/>
  <c r="F52" i="32"/>
  <c r="E51" i="32"/>
  <c r="E58" i="32" s="1"/>
  <c r="H49" i="32"/>
  <c r="G49" i="32"/>
  <c r="F49" i="32"/>
  <c r="H48" i="32"/>
  <c r="F48" i="32"/>
  <c r="G48" i="32"/>
  <c r="G47" i="32"/>
  <c r="F47" i="32"/>
  <c r="E46" i="32"/>
  <c r="H46" i="32" s="1"/>
  <c r="H45" i="32"/>
  <c r="G45" i="32"/>
  <c r="F45" i="32"/>
  <c r="H44" i="32"/>
  <c r="G44" i="32"/>
  <c r="F44" i="32"/>
  <c r="H43" i="32"/>
  <c r="G43" i="32"/>
  <c r="F43" i="32"/>
  <c r="E42" i="32"/>
  <c r="G42" i="32" s="1"/>
  <c r="H50" i="32" l="1"/>
  <c r="G46" i="32"/>
  <c r="G50" i="32" s="1"/>
  <c r="E50" i="32"/>
  <c r="G51" i="32"/>
  <c r="G58" i="32" s="1"/>
  <c r="F42" i="32"/>
  <c r="F46" i="32"/>
  <c r="F51" i="32"/>
  <c r="F58" i="32" s="1"/>
  <c r="H51" i="32"/>
  <c r="H58" i="32" s="1"/>
  <c r="E41" i="32"/>
  <c r="H40" i="32"/>
  <c r="G40" i="32"/>
  <c r="F40" i="32"/>
  <c r="H39" i="32"/>
  <c r="G39" i="32"/>
  <c r="F39" i="32"/>
  <c r="F38" i="32"/>
  <c r="G37" i="32"/>
  <c r="F37" i="32"/>
  <c r="H36" i="32"/>
  <c r="G36" i="32"/>
  <c r="F36" i="32"/>
  <c r="F41" i="32" l="1"/>
  <c r="H41" i="32"/>
  <c r="G41" i="32"/>
  <c r="F50" i="32"/>
  <c r="H30" i="32"/>
  <c r="G30" i="32"/>
  <c r="F30" i="32"/>
  <c r="E35" i="32"/>
  <c r="G33" i="32"/>
  <c r="F33" i="32"/>
  <c r="H32" i="32"/>
  <c r="G32" i="32"/>
  <c r="F32" i="32"/>
  <c r="H31" i="32"/>
  <c r="G31" i="32"/>
  <c r="F31" i="32"/>
  <c r="H28" i="32"/>
  <c r="G28" i="32"/>
  <c r="F28" i="32"/>
  <c r="F35" i="32" l="1"/>
  <c r="H35" i="32"/>
  <c r="G35" i="32"/>
  <c r="E27" i="32"/>
  <c r="G24" i="32"/>
  <c r="F24" i="32"/>
  <c r="H23" i="32"/>
  <c r="G23" i="32"/>
  <c r="H22" i="32"/>
  <c r="G22" i="32"/>
  <c r="F22" i="32"/>
  <c r="G19" i="32"/>
  <c r="F19" i="32"/>
  <c r="H18" i="32" l="1"/>
  <c r="G18" i="32"/>
  <c r="H17" i="32"/>
  <c r="G17" i="32"/>
  <c r="F17" i="32"/>
  <c r="G16" i="32"/>
  <c r="F16" i="32"/>
  <c r="H14" i="32"/>
  <c r="G14" i="32"/>
  <c r="F14" i="32"/>
  <c r="H13" i="32"/>
  <c r="G13" i="32"/>
  <c r="F13" i="32"/>
  <c r="H12" i="32"/>
  <c r="G12" i="32"/>
  <c r="F12" i="32"/>
  <c r="E11" i="32"/>
  <c r="F10" i="32"/>
  <c r="H9" i="32"/>
  <c r="G9" i="32"/>
  <c r="G8" i="32"/>
  <c r="F8" i="32"/>
  <c r="G5" i="32"/>
  <c r="F5" i="32"/>
  <c r="H4" i="32"/>
  <c r="G4" i="32"/>
  <c r="H3" i="32"/>
  <c r="G3" i="32"/>
  <c r="F3" i="32"/>
  <c r="H2" i="32"/>
  <c r="G2" i="32"/>
  <c r="F2" i="32"/>
  <c r="G11" i="32" l="1"/>
  <c r="G27" i="32"/>
  <c r="F11" i="32"/>
  <c r="H11" i="32"/>
  <c r="F27" i="32"/>
  <c r="H27" i="32"/>
  <c r="E297" i="31"/>
  <c r="H292" i="31"/>
  <c r="H297" i="31" s="1"/>
  <c r="G292" i="31"/>
  <c r="F292" i="31"/>
  <c r="G290" i="31"/>
  <c r="G297" i="31" s="1"/>
  <c r="F290" i="31"/>
  <c r="F297" i="31" s="1"/>
  <c r="E289" i="31"/>
  <c r="H288" i="31"/>
  <c r="F288" i="31"/>
  <c r="G288" i="31"/>
  <c r="H287" i="31"/>
  <c r="G287" i="31"/>
  <c r="F287" i="31"/>
  <c r="H286" i="31"/>
  <c r="G286" i="31"/>
  <c r="F286" i="31"/>
  <c r="H285" i="31"/>
  <c r="G285" i="31"/>
  <c r="F285" i="31"/>
  <c r="G283" i="31"/>
  <c r="F283" i="31"/>
  <c r="E278" i="31"/>
  <c r="G282" i="31"/>
  <c r="F282" i="31"/>
  <c r="H280" i="31"/>
  <c r="G280" i="31"/>
  <c r="F280" i="31"/>
  <c r="H279" i="31"/>
  <c r="G279" i="31"/>
  <c r="G289" i="31" s="1"/>
  <c r="F279" i="31"/>
  <c r="F289" i="31" l="1"/>
  <c r="H289" i="31"/>
  <c r="H275" i="31"/>
  <c r="G275" i="31"/>
  <c r="F275" i="31"/>
  <c r="F274" i="31"/>
  <c r="H272" i="31"/>
  <c r="G272" i="31"/>
  <c r="F272" i="31"/>
  <c r="H271" i="31"/>
  <c r="F271" i="31"/>
  <c r="G271" i="31"/>
  <c r="H270" i="31"/>
  <c r="G270" i="31"/>
  <c r="F270" i="31"/>
  <c r="H269" i="31"/>
  <c r="G269" i="31"/>
  <c r="F269" i="31"/>
  <c r="H268" i="31"/>
  <c r="G268" i="31"/>
  <c r="F268" i="31"/>
  <c r="H267" i="31"/>
  <c r="G267" i="31"/>
  <c r="F267" i="31"/>
  <c r="F278" i="31" s="1"/>
  <c r="E266" i="31"/>
  <c r="F262" i="31"/>
  <c r="G262" i="31"/>
  <c r="H261" i="31"/>
  <c r="G261" i="31"/>
  <c r="F261" i="31"/>
  <c r="H260" i="31"/>
  <c r="G260" i="31"/>
  <c r="F260" i="31"/>
  <c r="H259" i="31"/>
  <c r="G259" i="31"/>
  <c r="F259" i="31"/>
  <c r="H258" i="31"/>
  <c r="G258" i="31"/>
  <c r="G266" i="31" s="1"/>
  <c r="F258" i="31"/>
  <c r="E257" i="31"/>
  <c r="H256" i="31"/>
  <c r="G256" i="31"/>
  <c r="F256" i="31"/>
  <c r="H255" i="31"/>
  <c r="G255" i="31"/>
  <c r="F255" i="31"/>
  <c r="H254" i="31"/>
  <c r="F254" i="31"/>
  <c r="G254" i="31"/>
  <c r="H253" i="31"/>
  <c r="G253" i="31"/>
  <c r="F253" i="31"/>
  <c r="H252" i="31"/>
  <c r="G252" i="31"/>
  <c r="F252" i="31"/>
  <c r="H251" i="31"/>
  <c r="G251" i="31"/>
  <c r="F251" i="31"/>
  <c r="G249" i="31"/>
  <c r="F249" i="31"/>
  <c r="F257" i="31" s="1"/>
  <c r="H278" i="31" l="1"/>
  <c r="F266" i="31"/>
  <c r="H266" i="31"/>
  <c r="G278" i="31"/>
  <c r="H257" i="31"/>
  <c r="G257" i="31"/>
  <c r="E248" i="31"/>
  <c r="H247" i="31"/>
  <c r="G247" i="31"/>
  <c r="H246" i="31"/>
  <c r="G246" i="31"/>
  <c r="F246" i="31"/>
  <c r="G245" i="31"/>
  <c r="F245" i="31"/>
  <c r="H244" i="31"/>
  <c r="G244" i="31"/>
  <c r="F244" i="31"/>
  <c r="H243" i="31"/>
  <c r="G243" i="31"/>
  <c r="F243" i="31"/>
  <c r="H242" i="31"/>
  <c r="G242" i="31"/>
  <c r="F242" i="31"/>
  <c r="E241" i="31"/>
  <c r="F238" i="31"/>
  <c r="H237" i="31"/>
  <c r="G237" i="31"/>
  <c r="F237" i="31"/>
  <c r="H236" i="31"/>
  <c r="G236" i="31"/>
  <c r="F236" i="31"/>
  <c r="H235" i="31"/>
  <c r="G235" i="31"/>
  <c r="F235" i="31"/>
  <c r="H234" i="31"/>
  <c r="E234" i="31"/>
  <c r="G231" i="31"/>
  <c r="G234" i="31" s="1"/>
  <c r="F231" i="31"/>
  <c r="F234" i="31" s="1"/>
  <c r="H230" i="31"/>
  <c r="E230" i="31"/>
  <c r="G228" i="31"/>
  <c r="G230" i="31" s="1"/>
  <c r="F228" i="31"/>
  <c r="F230" i="31" s="1"/>
  <c r="G248" i="31" l="1"/>
  <c r="H248" i="31"/>
  <c r="F248" i="31"/>
  <c r="G241" i="31"/>
  <c r="F241" i="31"/>
  <c r="H241" i="31"/>
  <c r="G221" i="31"/>
  <c r="F221" i="31"/>
  <c r="G226" i="31"/>
  <c r="F226" i="31"/>
  <c r="E227" i="31" l="1"/>
  <c r="G214" i="31"/>
  <c r="F214" i="31"/>
  <c r="F219" i="31"/>
  <c r="H218" i="31"/>
  <c r="G218" i="31"/>
  <c r="F218" i="31"/>
  <c r="H217" i="31"/>
  <c r="G217" i="31"/>
  <c r="F217" i="31"/>
  <c r="H213" i="31"/>
  <c r="G213" i="31"/>
  <c r="F213" i="31"/>
  <c r="H212" i="31"/>
  <c r="F212" i="31"/>
  <c r="G212" i="31"/>
  <c r="H211" i="31"/>
  <c r="G211" i="31"/>
  <c r="F211" i="31"/>
  <c r="H210" i="31"/>
  <c r="G210" i="31"/>
  <c r="F210" i="31"/>
  <c r="H209" i="31"/>
  <c r="G209" i="31"/>
  <c r="F209" i="31"/>
  <c r="E208" i="31"/>
  <c r="G208" i="31" s="1"/>
  <c r="H205" i="31"/>
  <c r="G205" i="31"/>
  <c r="F205" i="31"/>
  <c r="H204" i="31"/>
  <c r="G204" i="31"/>
  <c r="F204" i="31"/>
  <c r="H203" i="31"/>
  <c r="G203" i="31"/>
  <c r="F203" i="31"/>
  <c r="E202" i="31"/>
  <c r="G202" i="31" s="1"/>
  <c r="G227" i="31" l="1"/>
  <c r="G207" i="31"/>
  <c r="G216" i="31"/>
  <c r="F227" i="31"/>
  <c r="H227" i="31"/>
  <c r="E216" i="31"/>
  <c r="F208" i="31"/>
  <c r="F216" i="31" s="1"/>
  <c r="H208" i="31"/>
  <c r="H216" i="31" s="1"/>
  <c r="F202" i="31"/>
  <c r="F207" i="31" s="1"/>
  <c r="H202" i="31"/>
  <c r="H207" i="31" s="1"/>
  <c r="E207" i="31"/>
  <c r="E201" i="31"/>
  <c r="H198" i="31"/>
  <c r="G198" i="31"/>
  <c r="H197" i="31"/>
  <c r="G197" i="31"/>
  <c r="F197" i="31"/>
  <c r="G196" i="31"/>
  <c r="F196" i="31"/>
  <c r="H195" i="31"/>
  <c r="G195" i="31"/>
  <c r="F195" i="31"/>
  <c r="H194" i="31"/>
  <c r="G194" i="31"/>
  <c r="F194" i="31"/>
  <c r="H193" i="31"/>
  <c r="G193" i="31"/>
  <c r="F193" i="31"/>
  <c r="H191" i="31"/>
  <c r="G191" i="31"/>
  <c r="F191" i="31"/>
  <c r="H190" i="31"/>
  <c r="G190" i="31"/>
  <c r="F190" i="31"/>
  <c r="G189" i="31"/>
  <c r="F189" i="31"/>
  <c r="H188" i="31"/>
  <c r="G188" i="31"/>
  <c r="F188" i="31"/>
  <c r="E187" i="31"/>
  <c r="E192" i="31" s="1"/>
  <c r="F183" i="31"/>
  <c r="G182" i="31"/>
  <c r="F182" i="31"/>
  <c r="G201" i="31" l="1"/>
  <c r="F201" i="31"/>
  <c r="H201" i="31"/>
  <c r="G187" i="31"/>
  <c r="G192" i="31" s="1"/>
  <c r="F187" i="31"/>
  <c r="F192" i="31" s="1"/>
  <c r="H187" i="31"/>
  <c r="H192" i="31" s="1"/>
  <c r="H181" i="31"/>
  <c r="G181" i="31"/>
  <c r="F181" i="31"/>
  <c r="H180" i="31"/>
  <c r="G180" i="31"/>
  <c r="F180" i="31"/>
  <c r="E179" i="31"/>
  <c r="E186" i="31" s="1"/>
  <c r="E178" i="31"/>
  <c r="H177" i="31"/>
  <c r="G177" i="31"/>
  <c r="F177" i="31"/>
  <c r="H176" i="31"/>
  <c r="G176" i="31"/>
  <c r="F176" i="31"/>
  <c r="F174" i="31"/>
  <c r="H173" i="31"/>
  <c r="G173" i="31"/>
  <c r="F173" i="31"/>
  <c r="H172" i="31"/>
  <c r="G172" i="31"/>
  <c r="F172" i="31"/>
  <c r="H171" i="31"/>
  <c r="G171" i="31"/>
  <c r="F171" i="31"/>
  <c r="H170" i="31"/>
  <c r="G170" i="31"/>
  <c r="F170" i="31"/>
  <c r="F178" i="31" l="1"/>
  <c r="H178" i="31"/>
  <c r="G178" i="31"/>
  <c r="F179" i="31"/>
  <c r="F186" i="31" s="1"/>
  <c r="H179" i="31"/>
  <c r="H186" i="31" s="1"/>
  <c r="G179" i="31"/>
  <c r="G186" i="31" s="1"/>
  <c r="E169" i="31"/>
  <c r="F168" i="31"/>
  <c r="H168" i="31"/>
  <c r="G168" i="31"/>
  <c r="H165" i="31"/>
  <c r="G165" i="31"/>
  <c r="F165" i="31"/>
  <c r="H164" i="31"/>
  <c r="G164" i="31"/>
  <c r="F164" i="31"/>
  <c r="H163" i="31"/>
  <c r="G163" i="31"/>
  <c r="F163" i="31"/>
  <c r="G160" i="31"/>
  <c r="F160" i="31"/>
  <c r="H159" i="31"/>
  <c r="G159" i="31"/>
  <c r="F159" i="31"/>
  <c r="E158" i="31"/>
  <c r="F157" i="31"/>
  <c r="G154" i="31"/>
  <c r="F154" i="31"/>
  <c r="H153" i="31"/>
  <c r="G153" i="31"/>
  <c r="F153" i="31"/>
  <c r="H152" i="31"/>
  <c r="G152" i="31"/>
  <c r="F152" i="31"/>
  <c r="H151" i="31"/>
  <c r="G151" i="31"/>
  <c r="F151" i="31"/>
  <c r="F158" i="31" l="1"/>
  <c r="H158" i="31"/>
  <c r="G158" i="31"/>
  <c r="G169" i="31"/>
  <c r="F169" i="31"/>
  <c r="H169" i="31"/>
  <c r="E150" i="31"/>
  <c r="G141" i="31"/>
  <c r="F141" i="31"/>
  <c r="H140" i="31"/>
  <c r="G140" i="31"/>
  <c r="F140" i="31"/>
  <c r="H139" i="31"/>
  <c r="G139" i="31"/>
  <c r="F139" i="31"/>
  <c r="G133" i="31"/>
  <c r="F133" i="31"/>
  <c r="F150" i="31" l="1"/>
  <c r="H150" i="31"/>
  <c r="G150" i="31"/>
  <c r="E123" i="31"/>
  <c r="H122" i="31"/>
  <c r="G122" i="31"/>
  <c r="F122" i="31"/>
  <c r="H121" i="31"/>
  <c r="G121" i="31"/>
  <c r="F121" i="31"/>
  <c r="H120" i="31"/>
  <c r="G120" i="31"/>
  <c r="F120" i="31"/>
  <c r="E138" i="31" l="1"/>
  <c r="H131" i="31"/>
  <c r="G131" i="31"/>
  <c r="F131" i="31"/>
  <c r="H130" i="31"/>
  <c r="G130" i="31"/>
  <c r="F130" i="31"/>
  <c r="H129" i="31"/>
  <c r="G129" i="31"/>
  <c r="F129" i="31"/>
  <c r="F127" i="31"/>
  <c r="H126" i="31"/>
  <c r="G126" i="31"/>
  <c r="F126" i="31"/>
  <c r="H125" i="31"/>
  <c r="G125" i="31"/>
  <c r="F125" i="31"/>
  <c r="G124" i="31"/>
  <c r="F124" i="31"/>
  <c r="G118" i="31"/>
  <c r="F118" i="31"/>
  <c r="H117" i="31"/>
  <c r="G117" i="31"/>
  <c r="F117" i="31"/>
  <c r="H116" i="31"/>
  <c r="G116" i="31"/>
  <c r="F116" i="31"/>
  <c r="G114" i="31"/>
  <c r="F114" i="31"/>
  <c r="H113" i="31"/>
  <c r="E113" i="31"/>
  <c r="F112" i="31"/>
  <c r="F111" i="31"/>
  <c r="G110" i="31"/>
  <c r="G113" i="31" s="1"/>
  <c r="F110" i="31"/>
  <c r="F123" i="31" l="1"/>
  <c r="H123" i="31"/>
  <c r="F138" i="31"/>
  <c r="H138" i="31"/>
  <c r="G138" i="31"/>
  <c r="F113" i="31"/>
  <c r="G123" i="31"/>
  <c r="E109" i="31"/>
  <c r="H107" i="31"/>
  <c r="H109" i="31" s="1"/>
  <c r="G107" i="31"/>
  <c r="G105" i="31"/>
  <c r="F105" i="31"/>
  <c r="F109" i="31" s="1"/>
  <c r="G99" i="31"/>
  <c r="F99" i="31"/>
  <c r="G109" i="31" l="1"/>
  <c r="H96" i="31"/>
  <c r="G96" i="31"/>
  <c r="F96" i="31"/>
  <c r="H95" i="31"/>
  <c r="G95" i="31"/>
  <c r="F95" i="31"/>
  <c r="H94" i="31"/>
  <c r="G94" i="31"/>
  <c r="F94" i="31"/>
  <c r="E93" i="31"/>
  <c r="G93" i="31" s="1"/>
  <c r="G104" i="31" l="1"/>
  <c r="H93" i="31"/>
  <c r="H104" i="31" s="1"/>
  <c r="E104" i="31"/>
  <c r="F93" i="31"/>
  <c r="F104" i="31" s="1"/>
  <c r="H91" i="31"/>
  <c r="G91" i="31"/>
  <c r="F91" i="31"/>
  <c r="H90" i="31"/>
  <c r="G90" i="31"/>
  <c r="F90" i="31"/>
  <c r="G85" i="31"/>
  <c r="F85" i="31"/>
  <c r="G81" i="31"/>
  <c r="F81" i="31"/>
  <c r="H80" i="31"/>
  <c r="G80" i="31"/>
  <c r="F80" i="31"/>
  <c r="H79" i="31"/>
  <c r="G79" i="31"/>
  <c r="F79" i="31"/>
  <c r="F78" i="31"/>
  <c r="H77" i="31"/>
  <c r="F77" i="31"/>
  <c r="G77" i="31"/>
  <c r="E82" i="31"/>
  <c r="G82" i="31" s="1"/>
  <c r="E76" i="31"/>
  <c r="H75" i="31"/>
  <c r="G75" i="31"/>
  <c r="F75" i="31"/>
  <c r="H74" i="31"/>
  <c r="G74" i="31"/>
  <c r="F74" i="31"/>
  <c r="H73" i="31"/>
  <c r="G73" i="31"/>
  <c r="F73" i="31"/>
  <c r="F72" i="31"/>
  <c r="G71" i="31"/>
  <c r="F71" i="31"/>
  <c r="G68" i="31"/>
  <c r="F68" i="31"/>
  <c r="H67" i="31"/>
  <c r="G67" i="31"/>
  <c r="F67" i="31"/>
  <c r="G92" i="31" l="1"/>
  <c r="H92" i="31"/>
  <c r="E92" i="31"/>
  <c r="F82" i="31"/>
  <c r="F92" i="31" s="1"/>
  <c r="H66" i="31"/>
  <c r="H76" i="31" s="1"/>
  <c r="G66" i="31"/>
  <c r="G76" i="31" s="1"/>
  <c r="F66" i="31"/>
  <c r="F76" i="31" s="1"/>
  <c r="E65" i="31" l="1"/>
  <c r="F62" i="31"/>
  <c r="G61" i="31"/>
  <c r="F61" i="31"/>
  <c r="H60" i="31"/>
  <c r="G60" i="31"/>
  <c r="F60" i="31"/>
  <c r="H59" i="31"/>
  <c r="G59" i="31"/>
  <c r="F59" i="31"/>
  <c r="H58" i="31"/>
  <c r="G58" i="31"/>
  <c r="F58" i="31"/>
  <c r="H56" i="31"/>
  <c r="G56" i="31"/>
  <c r="F56" i="31"/>
  <c r="H55" i="31"/>
  <c r="G55" i="31"/>
  <c r="F55" i="31"/>
  <c r="G54" i="31"/>
  <c r="F54" i="31"/>
  <c r="F51" i="31"/>
  <c r="H50" i="31"/>
  <c r="G50" i="31"/>
  <c r="F50" i="31"/>
  <c r="H49" i="31"/>
  <c r="G49" i="31"/>
  <c r="F49" i="31"/>
  <c r="H48" i="31"/>
  <c r="G48" i="31"/>
  <c r="F48" i="31"/>
  <c r="E47" i="31"/>
  <c r="H44" i="31"/>
  <c r="G44" i="31"/>
  <c r="F44" i="31"/>
  <c r="H43" i="31"/>
  <c r="G43" i="31"/>
  <c r="F43" i="31"/>
  <c r="H42" i="31"/>
  <c r="G42" i="31"/>
  <c r="F42" i="31"/>
  <c r="G37" i="31"/>
  <c r="F37" i="31"/>
  <c r="H36" i="31"/>
  <c r="G36" i="31"/>
  <c r="F36" i="31"/>
  <c r="H35" i="31"/>
  <c r="G35" i="31"/>
  <c r="F35" i="31"/>
  <c r="E34" i="31"/>
  <c r="H30" i="31"/>
  <c r="G30" i="31"/>
  <c r="F30" i="31"/>
  <c r="H29" i="31"/>
  <c r="G29" i="31"/>
  <c r="F29" i="31"/>
  <c r="H28" i="31"/>
  <c r="G28" i="31"/>
  <c r="F28" i="31"/>
  <c r="G27" i="31"/>
  <c r="F27" i="31"/>
  <c r="G23" i="31"/>
  <c r="F23" i="31"/>
  <c r="H22" i="31"/>
  <c r="G22" i="31"/>
  <c r="F22" i="31"/>
  <c r="H21" i="31"/>
  <c r="G21" i="31"/>
  <c r="F21" i="31"/>
  <c r="H20" i="31"/>
  <c r="G20" i="31"/>
  <c r="F20" i="31"/>
  <c r="H19" i="31"/>
  <c r="G19" i="31"/>
  <c r="F19" i="31"/>
  <c r="H18" i="31"/>
  <c r="G18" i="31"/>
  <c r="F18" i="31"/>
  <c r="F47" i="31" l="1"/>
  <c r="H47" i="31"/>
  <c r="F65" i="31"/>
  <c r="H65" i="31"/>
  <c r="G65" i="31"/>
  <c r="F34" i="31"/>
  <c r="H34" i="31"/>
  <c r="G47" i="31"/>
  <c r="G34" i="31"/>
  <c r="E17" i="31"/>
  <c r="F14" i="31"/>
  <c r="H13" i="31"/>
  <c r="G13" i="31"/>
  <c r="F13" i="31"/>
  <c r="H12" i="31"/>
  <c r="G12" i="31"/>
  <c r="F12" i="31"/>
  <c r="H11" i="31"/>
  <c r="G11" i="31"/>
  <c r="F11" i="31"/>
  <c r="H10" i="31"/>
  <c r="G10" i="31"/>
  <c r="F10" i="31"/>
  <c r="H9" i="31"/>
  <c r="G9" i="31"/>
  <c r="F9" i="31"/>
  <c r="H8" i="31"/>
  <c r="G8" i="31"/>
  <c r="F8" i="31"/>
  <c r="G2" i="31"/>
  <c r="G7" i="31" s="1"/>
  <c r="F2" i="31"/>
  <c r="E7" i="31"/>
  <c r="H7" i="31"/>
  <c r="G17" i="31" l="1"/>
  <c r="F17" i="31"/>
  <c r="H17" i="31"/>
  <c r="F7" i="31"/>
  <c r="H199" i="30"/>
  <c r="G199" i="30"/>
  <c r="F199" i="30"/>
  <c r="H198" i="30"/>
  <c r="G198" i="30"/>
  <c r="F198" i="30"/>
  <c r="E197" i="30"/>
  <c r="H197" i="30" s="1"/>
  <c r="H196" i="30"/>
  <c r="G196" i="30"/>
  <c r="F196" i="30"/>
  <c r="G197" i="30" l="1"/>
  <c r="E200" i="30"/>
  <c r="F197" i="30"/>
  <c r="G200" i="30"/>
  <c r="F200" i="30"/>
  <c r="H200" i="30"/>
  <c r="E195" i="30"/>
  <c r="G190" i="30"/>
  <c r="F190" i="30"/>
  <c r="G187" i="30"/>
  <c r="F187" i="30"/>
  <c r="F183" i="30"/>
  <c r="G183" i="30"/>
  <c r="H182" i="30"/>
  <c r="F182" i="30"/>
  <c r="G182" i="30"/>
  <c r="H181" i="30"/>
  <c r="G181" i="30"/>
  <c r="F181" i="30"/>
  <c r="H180" i="30"/>
  <c r="G180" i="30"/>
  <c r="F180" i="30"/>
  <c r="H179" i="30"/>
  <c r="G179" i="30"/>
  <c r="F179" i="30"/>
  <c r="H178" i="30"/>
  <c r="G178" i="30"/>
  <c r="F178" i="30"/>
  <c r="F195" i="30" l="1"/>
  <c r="H195" i="30"/>
  <c r="G195" i="30"/>
  <c r="F173" i="30"/>
  <c r="G172" i="30"/>
  <c r="F172" i="30"/>
  <c r="E177" i="30" l="1"/>
  <c r="H168" i="30"/>
  <c r="G168" i="30"/>
  <c r="F168" i="30"/>
  <c r="H167" i="30"/>
  <c r="G167" i="30"/>
  <c r="F167" i="30"/>
  <c r="G166" i="30"/>
  <c r="F166" i="30"/>
  <c r="H163" i="30"/>
  <c r="G163" i="30"/>
  <c r="F163" i="30"/>
  <c r="H162" i="30"/>
  <c r="G162" i="30"/>
  <c r="F162" i="30"/>
  <c r="H161" i="30"/>
  <c r="G161" i="30"/>
  <c r="F161" i="30"/>
  <c r="E160" i="30"/>
  <c r="G157" i="30"/>
  <c r="F157" i="30"/>
  <c r="F155" i="30"/>
  <c r="G154" i="30"/>
  <c r="F154" i="30"/>
  <c r="H153" i="30"/>
  <c r="G153" i="30"/>
  <c r="F153" i="30"/>
  <c r="H152" i="30"/>
  <c r="G152" i="30"/>
  <c r="F152" i="30"/>
  <c r="F151" i="30"/>
  <c r="G151" i="30"/>
  <c r="H150" i="30"/>
  <c r="G150" i="30"/>
  <c r="F150" i="30"/>
  <c r="H149" i="30"/>
  <c r="G149" i="30"/>
  <c r="F149" i="30"/>
  <c r="G148" i="30"/>
  <c r="F148" i="30"/>
  <c r="H147" i="30"/>
  <c r="G147" i="30"/>
  <c r="F147" i="30"/>
  <c r="G160" i="30" l="1"/>
  <c r="F160" i="30"/>
  <c r="H160" i="30"/>
  <c r="F177" i="30"/>
  <c r="H177" i="30"/>
  <c r="G177" i="30"/>
  <c r="E146" i="30"/>
  <c r="G143" i="30"/>
  <c r="F143" i="30"/>
  <c r="H140" i="30"/>
  <c r="G140" i="30"/>
  <c r="H139" i="30"/>
  <c r="G139" i="30"/>
  <c r="F139" i="30"/>
  <c r="H138" i="30"/>
  <c r="G138" i="30"/>
  <c r="F138" i="30"/>
  <c r="H137" i="30"/>
  <c r="G137" i="30"/>
  <c r="F137" i="30"/>
  <c r="E136" i="30"/>
  <c r="H134" i="30"/>
  <c r="F134" i="30"/>
  <c r="H133" i="30"/>
  <c r="F133" i="30"/>
  <c r="H132" i="30"/>
  <c r="G132" i="30"/>
  <c r="G133" i="30"/>
  <c r="G134" i="30"/>
  <c r="F132" i="30"/>
  <c r="G131" i="30"/>
  <c r="F131" i="30"/>
  <c r="H130" i="30"/>
  <c r="G130" i="30"/>
  <c r="F130" i="30"/>
  <c r="G146" i="30" l="1"/>
  <c r="G136" i="30"/>
  <c r="F136" i="30"/>
  <c r="H136" i="30"/>
  <c r="F146" i="30"/>
  <c r="H146" i="30"/>
  <c r="F128" i="30"/>
  <c r="H127" i="30"/>
  <c r="G127" i="30"/>
  <c r="F127" i="30"/>
  <c r="H125" i="30"/>
  <c r="G125" i="30"/>
  <c r="F125" i="30"/>
  <c r="E123" i="30"/>
  <c r="H122" i="30"/>
  <c r="F122" i="30"/>
  <c r="G122" i="30"/>
  <c r="G121" i="30"/>
  <c r="F121" i="30"/>
  <c r="H120" i="30"/>
  <c r="G120" i="30"/>
  <c r="F120" i="30"/>
  <c r="H119" i="30"/>
  <c r="G119" i="30"/>
  <c r="F119" i="30"/>
  <c r="H118" i="30"/>
  <c r="G118" i="30"/>
  <c r="F118" i="30"/>
  <c r="E129" i="30" l="1"/>
  <c r="F123" i="30"/>
  <c r="G123" i="30"/>
  <c r="F129" i="30"/>
  <c r="H129" i="30"/>
  <c r="G129" i="30"/>
  <c r="F116" i="30"/>
  <c r="F114" i="30"/>
  <c r="G112" i="30"/>
  <c r="F112" i="30"/>
  <c r="G111" i="30"/>
  <c r="F111" i="30"/>
  <c r="F108" i="30"/>
  <c r="G108" i="30"/>
  <c r="H107" i="30"/>
  <c r="G107" i="30"/>
  <c r="F107" i="30"/>
  <c r="E106" i="30"/>
  <c r="E117" i="30" s="1"/>
  <c r="H105" i="30"/>
  <c r="G105" i="30"/>
  <c r="F105" i="30"/>
  <c r="G106" i="30" l="1"/>
  <c r="F106" i="30"/>
  <c r="H106" i="30"/>
  <c r="F117" i="30"/>
  <c r="H117" i="30"/>
  <c r="G117" i="30"/>
  <c r="H103" i="30"/>
  <c r="G103" i="30"/>
  <c r="F103" i="30"/>
  <c r="G102" i="30"/>
  <c r="F102" i="30"/>
  <c r="H100" i="30"/>
  <c r="G100" i="30"/>
  <c r="F100" i="30"/>
  <c r="E101" i="30"/>
  <c r="G97" i="30"/>
  <c r="F97" i="30"/>
  <c r="E104" i="30" l="1"/>
  <c r="G101" i="30"/>
  <c r="F101" i="30"/>
  <c r="H101" i="30"/>
  <c r="H104" i="30" s="1"/>
  <c r="F104" i="30"/>
  <c r="G104" i="30"/>
  <c r="E96" i="30"/>
  <c r="G94" i="30"/>
  <c r="F92" i="30"/>
  <c r="G91" i="30"/>
  <c r="F91" i="30"/>
  <c r="H88" i="30"/>
  <c r="G88" i="30"/>
  <c r="F88" i="30"/>
  <c r="H87" i="30"/>
  <c r="G87" i="30"/>
  <c r="F87" i="30"/>
  <c r="H86" i="30"/>
  <c r="G86" i="30"/>
  <c r="F86" i="30"/>
  <c r="E85" i="30"/>
  <c r="G84" i="30"/>
  <c r="F84" i="30"/>
  <c r="G81" i="30"/>
  <c r="H81" i="30"/>
  <c r="H82" i="30"/>
  <c r="G82" i="30"/>
  <c r="F82" i="30"/>
  <c r="F81" i="30"/>
  <c r="F79" i="30"/>
  <c r="G78" i="30"/>
  <c r="F78" i="30"/>
  <c r="E77" i="30"/>
  <c r="H76" i="30"/>
  <c r="G76" i="30"/>
  <c r="F76" i="30"/>
  <c r="H75" i="30"/>
  <c r="G75" i="30"/>
  <c r="H72" i="30"/>
  <c r="F72" i="30"/>
  <c r="F75" i="30"/>
  <c r="F73" i="30"/>
  <c r="G72" i="30"/>
  <c r="G85" i="30" l="1"/>
  <c r="G96" i="30"/>
  <c r="F85" i="30"/>
  <c r="H85" i="30"/>
  <c r="F96" i="30"/>
  <c r="H96" i="30"/>
  <c r="F77" i="30"/>
  <c r="H77" i="30"/>
  <c r="G77" i="30"/>
  <c r="H71" i="30"/>
  <c r="G71" i="30"/>
  <c r="F71" i="30"/>
  <c r="H70" i="30"/>
  <c r="G70" i="30"/>
  <c r="F70" i="30"/>
  <c r="H69" i="30" l="1"/>
  <c r="E69" i="30"/>
  <c r="G65" i="30"/>
  <c r="G69" i="30" s="1"/>
  <c r="F65" i="30"/>
  <c r="F69" i="30" s="1"/>
  <c r="E64" i="30" l="1"/>
  <c r="G63" i="30"/>
  <c r="F63" i="30"/>
  <c r="H62" i="30"/>
  <c r="G62" i="30"/>
  <c r="F62" i="30"/>
  <c r="F61" i="30"/>
  <c r="H60" i="30"/>
  <c r="H64" i="30" s="1"/>
  <c r="G60" i="30"/>
  <c r="F60" i="30"/>
  <c r="F64" i="30" l="1"/>
  <c r="G64" i="30"/>
  <c r="H59" i="30"/>
  <c r="E59" i="30"/>
  <c r="G57" i="30"/>
  <c r="F57" i="30"/>
  <c r="G56" i="30"/>
  <c r="F56" i="30"/>
  <c r="G55" i="30"/>
  <c r="F55" i="30"/>
  <c r="G54" i="30"/>
  <c r="F54" i="30"/>
  <c r="G53" i="30"/>
  <c r="G59" i="30" s="1"/>
  <c r="F53" i="30"/>
  <c r="F59" i="30" s="1"/>
  <c r="E52" i="30" l="1"/>
  <c r="H51" i="30"/>
  <c r="H52" i="30" s="1"/>
  <c r="G51" i="30"/>
  <c r="F51" i="30"/>
  <c r="G50" i="30"/>
  <c r="F50" i="30"/>
  <c r="G49" i="30"/>
  <c r="G52" i="30" s="1"/>
  <c r="F49" i="30"/>
  <c r="F52" i="30" s="1"/>
  <c r="E48" i="30" l="1"/>
  <c r="H46" i="30"/>
  <c r="H48" i="30" s="1"/>
  <c r="G46" i="30"/>
  <c r="F46" i="30"/>
  <c r="G45" i="30"/>
  <c r="F45" i="30"/>
  <c r="G44" i="30"/>
  <c r="G48" i="30" s="1"/>
  <c r="F44" i="30"/>
  <c r="F48" i="30" s="1"/>
  <c r="E22" i="30" l="1"/>
  <c r="E43" i="30"/>
  <c r="H41" i="30"/>
  <c r="H43" i="30" s="1"/>
  <c r="G41" i="30"/>
  <c r="F41" i="30"/>
  <c r="G40" i="30"/>
  <c r="F40" i="30"/>
  <c r="G39" i="30"/>
  <c r="G43" i="30" s="1"/>
  <c r="F39" i="30"/>
  <c r="F43" i="30" s="1"/>
  <c r="F101" i="28" l="1"/>
  <c r="H99" i="28"/>
  <c r="G99" i="28"/>
  <c r="F99" i="28"/>
  <c r="H98" i="28"/>
  <c r="G98" i="28"/>
  <c r="F98" i="28"/>
  <c r="E97" i="28"/>
  <c r="G97" i="28" s="1"/>
  <c r="H96" i="28"/>
  <c r="G96" i="28"/>
  <c r="F96" i="28"/>
  <c r="H95" i="28"/>
  <c r="G95" i="28"/>
  <c r="F95" i="28"/>
  <c r="E94" i="28"/>
  <c r="H90" i="28"/>
  <c r="G90" i="28"/>
  <c r="F90" i="28"/>
  <c r="G89" i="28"/>
  <c r="F89" i="28"/>
  <c r="G88" i="28"/>
  <c r="F88" i="28"/>
  <c r="G87" i="28"/>
  <c r="F87" i="28"/>
  <c r="H86" i="28"/>
  <c r="H94" i="28" s="1"/>
  <c r="G86" i="28"/>
  <c r="G94" i="28" s="1"/>
  <c r="F86" i="28"/>
  <c r="F94" i="28" s="1"/>
  <c r="E85" i="28"/>
  <c r="H84" i="28"/>
  <c r="G84" i="28"/>
  <c r="F84" i="28"/>
  <c r="H83" i="28"/>
  <c r="H85" i="28" s="1"/>
  <c r="G83" i="28"/>
  <c r="G85" i="28" s="1"/>
  <c r="F83" i="28"/>
  <c r="F85" i="28" s="1"/>
  <c r="F81" i="28"/>
  <c r="H80" i="28"/>
  <c r="G80" i="28"/>
  <c r="F80" i="28"/>
  <c r="H79" i="28"/>
  <c r="G79" i="28"/>
  <c r="F79" i="28"/>
  <c r="E78" i="28"/>
  <c r="G78" i="28" s="1"/>
  <c r="H77" i="28"/>
  <c r="G77" i="28"/>
  <c r="F77" i="28"/>
  <c r="E76" i="28"/>
  <c r="E82" i="28" s="1"/>
  <c r="E75" i="28"/>
  <c r="F73" i="28"/>
  <c r="F71" i="28"/>
  <c r="G70" i="28"/>
  <c r="F70" i="28"/>
  <c r="G69" i="28"/>
  <c r="F69" i="28"/>
  <c r="G68" i="28"/>
  <c r="F68" i="28"/>
  <c r="H67" i="28"/>
  <c r="G67" i="28"/>
  <c r="F67" i="28"/>
  <c r="H66" i="28"/>
  <c r="G66" i="28"/>
  <c r="G75" i="28" s="1"/>
  <c r="F66" i="28"/>
  <c r="E65" i="28"/>
  <c r="F63" i="28"/>
  <c r="H60" i="28"/>
  <c r="G60" i="28"/>
  <c r="F60" i="28"/>
  <c r="H59" i="28"/>
  <c r="G59" i="28"/>
  <c r="F59" i="28"/>
  <c r="H58" i="28"/>
  <c r="G58" i="28"/>
  <c r="F58" i="28"/>
  <c r="H57" i="28"/>
  <c r="G57" i="28"/>
  <c r="F57" i="28"/>
  <c r="H56" i="28"/>
  <c r="H65" i="28" s="1"/>
  <c r="G56" i="28"/>
  <c r="F56" i="28"/>
  <c r="F65" i="28" s="1"/>
  <c r="E55" i="28"/>
  <c r="F53" i="28"/>
  <c r="H51" i="28"/>
  <c r="G51" i="28"/>
  <c r="F51" i="28"/>
  <c r="H50" i="28"/>
  <c r="G50" i="28"/>
  <c r="F50" i="28"/>
  <c r="H49" i="28"/>
  <c r="G49" i="28"/>
  <c r="F49" i="28"/>
  <c r="H48" i="28"/>
  <c r="G48" i="28"/>
  <c r="F48" i="28"/>
  <c r="H47" i="28"/>
  <c r="G47" i="28"/>
  <c r="G55" i="28" s="1"/>
  <c r="F47" i="28"/>
  <c r="E46" i="28"/>
  <c r="F44" i="28"/>
  <c r="H43" i="28"/>
  <c r="G43" i="28"/>
  <c r="F43" i="28"/>
  <c r="H42" i="28"/>
  <c r="G42" i="28"/>
  <c r="F42" i="28"/>
  <c r="H41" i="28"/>
  <c r="G41" i="28"/>
  <c r="F41" i="28"/>
  <c r="H40" i="28"/>
  <c r="G40" i="28"/>
  <c r="F40" i="28"/>
  <c r="G39" i="28"/>
  <c r="F39" i="28"/>
  <c r="H37" i="28"/>
  <c r="G37" i="28"/>
  <c r="F37" i="28"/>
  <c r="H36" i="28"/>
  <c r="G36" i="28"/>
  <c r="F36" i="28"/>
  <c r="F34" i="28"/>
  <c r="H33" i="28"/>
  <c r="G33" i="28"/>
  <c r="F33" i="28"/>
  <c r="H32" i="28"/>
  <c r="G32" i="28"/>
  <c r="F32" i="28"/>
  <c r="H31" i="28"/>
  <c r="G31" i="28"/>
  <c r="G46" i="28" s="1"/>
  <c r="F31" i="28"/>
  <c r="H29" i="28"/>
  <c r="G29" i="28"/>
  <c r="F29" i="28"/>
  <c r="G28" i="28"/>
  <c r="F28" i="28"/>
  <c r="E27" i="28"/>
  <c r="E30" i="28" s="1"/>
  <c r="E26" i="28"/>
  <c r="G25" i="28"/>
  <c r="F25" i="28"/>
  <c r="G24" i="28"/>
  <c r="F24" i="28"/>
  <c r="G23" i="28"/>
  <c r="F23" i="28"/>
  <c r="H22" i="28"/>
  <c r="G22" i="28"/>
  <c r="F22" i="28"/>
  <c r="H21" i="28"/>
  <c r="G21" i="28"/>
  <c r="F21" i="28"/>
  <c r="H20" i="28"/>
  <c r="G20" i="28"/>
  <c r="F20" i="28"/>
  <c r="H19" i="28"/>
  <c r="H26" i="28" s="1"/>
  <c r="G19" i="28"/>
  <c r="F19" i="28"/>
  <c r="F26" i="28" s="1"/>
  <c r="E18" i="28"/>
  <c r="F16" i="28"/>
  <c r="H14" i="28"/>
  <c r="G14" i="28"/>
  <c r="F14" i="28"/>
  <c r="H13" i="28"/>
  <c r="G13" i="28"/>
  <c r="F13" i="28"/>
  <c r="H12" i="28"/>
  <c r="G12" i="28"/>
  <c r="F12" i="28"/>
  <c r="H11" i="28"/>
  <c r="G11" i="28"/>
  <c r="F11" i="28"/>
  <c r="H10" i="28"/>
  <c r="G10" i="28"/>
  <c r="F10" i="28"/>
  <c r="H9" i="28"/>
  <c r="H18" i="28" s="1"/>
  <c r="G9" i="28"/>
  <c r="F9" i="28"/>
  <c r="F18" i="28" s="1"/>
  <c r="E8" i="28"/>
  <c r="F6" i="28"/>
  <c r="H5" i="28"/>
  <c r="G5" i="28"/>
  <c r="F5" i="28"/>
  <c r="H4" i="28"/>
  <c r="G4" i="28"/>
  <c r="F4" i="28"/>
  <c r="H3" i="28"/>
  <c r="G3" i="28"/>
  <c r="F3" i="28"/>
  <c r="H2" i="28"/>
  <c r="H8" i="28" s="1"/>
  <c r="G2" i="28"/>
  <c r="F2" i="28"/>
  <c r="F8" i="28" s="1"/>
  <c r="F101" i="26"/>
  <c r="H99" i="26"/>
  <c r="G99" i="26"/>
  <c r="F99" i="26"/>
  <c r="H98" i="26"/>
  <c r="G98" i="26"/>
  <c r="F98" i="26"/>
  <c r="E97" i="26"/>
  <c r="G97" i="26" s="1"/>
  <c r="H96" i="26"/>
  <c r="G96" i="26"/>
  <c r="F96" i="26"/>
  <c r="H95" i="26"/>
  <c r="G95" i="26"/>
  <c r="F95" i="26"/>
  <c r="E94" i="26"/>
  <c r="H90" i="26"/>
  <c r="G90" i="26"/>
  <c r="F90" i="26"/>
  <c r="G89" i="26"/>
  <c r="F89" i="26"/>
  <c r="G88" i="26"/>
  <c r="F88" i="26"/>
  <c r="G87" i="26"/>
  <c r="F87" i="26"/>
  <c r="H86" i="26"/>
  <c r="G86" i="26"/>
  <c r="G94" i="26" s="1"/>
  <c r="F86" i="26"/>
  <c r="E85" i="26"/>
  <c r="H84" i="26"/>
  <c r="G84" i="26"/>
  <c r="F84" i="26"/>
  <c r="H83" i="26"/>
  <c r="H85" i="26" s="1"/>
  <c r="G83" i="26"/>
  <c r="F83" i="26"/>
  <c r="F85" i="26" s="1"/>
  <c r="F81" i="26"/>
  <c r="H80" i="26"/>
  <c r="G80" i="26"/>
  <c r="F80" i="26"/>
  <c r="H79" i="26"/>
  <c r="G79" i="26"/>
  <c r="F79" i="26"/>
  <c r="E78" i="26"/>
  <c r="G78" i="26" s="1"/>
  <c r="H77" i="26"/>
  <c r="G77" i="26"/>
  <c r="F77" i="26"/>
  <c r="E76" i="26"/>
  <c r="E82" i="26" s="1"/>
  <c r="E75" i="26"/>
  <c r="F73" i="26"/>
  <c r="F71" i="26"/>
  <c r="G70" i="26"/>
  <c r="F70" i="26"/>
  <c r="G69" i="26"/>
  <c r="F69" i="26"/>
  <c r="G68" i="26"/>
  <c r="F68" i="26"/>
  <c r="H67" i="26"/>
  <c r="G67" i="26"/>
  <c r="F67" i="26"/>
  <c r="H66" i="26"/>
  <c r="G66" i="26"/>
  <c r="G75" i="26" s="1"/>
  <c r="F66" i="26"/>
  <c r="E65" i="26"/>
  <c r="F63" i="26"/>
  <c r="H60" i="26"/>
  <c r="G60" i="26"/>
  <c r="F60" i="26"/>
  <c r="H59" i="26"/>
  <c r="G59" i="26"/>
  <c r="F59" i="26"/>
  <c r="H58" i="26"/>
  <c r="G58" i="26"/>
  <c r="F58" i="26"/>
  <c r="H57" i="26"/>
  <c r="G57" i="26"/>
  <c r="F57" i="26"/>
  <c r="H56" i="26"/>
  <c r="H65" i="26" s="1"/>
  <c r="G56" i="26"/>
  <c r="F56" i="26"/>
  <c r="F65" i="26" s="1"/>
  <c r="E55" i="26"/>
  <c r="F53" i="26"/>
  <c r="H51" i="26"/>
  <c r="G51" i="26"/>
  <c r="F51" i="26"/>
  <c r="H50" i="26"/>
  <c r="G50" i="26"/>
  <c r="F50" i="26"/>
  <c r="H49" i="26"/>
  <c r="G49" i="26"/>
  <c r="F49" i="26"/>
  <c r="H48" i="26"/>
  <c r="G48" i="26"/>
  <c r="F48" i="26"/>
  <c r="H47" i="26"/>
  <c r="G47" i="26"/>
  <c r="G55" i="26" s="1"/>
  <c r="F47" i="26"/>
  <c r="E46" i="26"/>
  <c r="F44" i="26"/>
  <c r="H43" i="26"/>
  <c r="G43" i="26"/>
  <c r="F43" i="26"/>
  <c r="H42" i="26"/>
  <c r="G42" i="26"/>
  <c r="F42" i="26"/>
  <c r="H41" i="26"/>
  <c r="G41" i="26"/>
  <c r="F41" i="26"/>
  <c r="H40" i="26"/>
  <c r="G40" i="26"/>
  <c r="F40" i="26"/>
  <c r="G39" i="26"/>
  <c r="F39" i="26"/>
  <c r="H37" i="26"/>
  <c r="G37" i="26"/>
  <c r="F37" i="26"/>
  <c r="H36" i="26"/>
  <c r="G36" i="26"/>
  <c r="F36" i="26"/>
  <c r="F34" i="26"/>
  <c r="H33" i="26"/>
  <c r="G33" i="26"/>
  <c r="F33" i="26"/>
  <c r="H32" i="26"/>
  <c r="G32" i="26"/>
  <c r="F32" i="26"/>
  <c r="H31" i="26"/>
  <c r="G31" i="26"/>
  <c r="G46" i="26" s="1"/>
  <c r="F31" i="26"/>
  <c r="H29" i="26"/>
  <c r="G29" i="26"/>
  <c r="F29" i="26"/>
  <c r="G28" i="26"/>
  <c r="F28" i="26"/>
  <c r="E27" i="26"/>
  <c r="E30" i="26" s="1"/>
  <c r="E26" i="26"/>
  <c r="G25" i="26"/>
  <c r="F25" i="26"/>
  <c r="G24" i="26"/>
  <c r="F24" i="26"/>
  <c r="G23" i="26"/>
  <c r="F23" i="26"/>
  <c r="H22" i="26"/>
  <c r="G22" i="26"/>
  <c r="F22" i="26"/>
  <c r="H21" i="26"/>
  <c r="G21" i="26"/>
  <c r="F21" i="26"/>
  <c r="H20" i="26"/>
  <c r="G20" i="26"/>
  <c r="F20" i="26"/>
  <c r="H19" i="26"/>
  <c r="H26" i="26" s="1"/>
  <c r="G19" i="26"/>
  <c r="F19" i="26"/>
  <c r="F26" i="26" s="1"/>
  <c r="E18" i="26"/>
  <c r="F16" i="26"/>
  <c r="H14" i="26"/>
  <c r="G14" i="26"/>
  <c r="F14" i="26"/>
  <c r="H13" i="26"/>
  <c r="G13" i="26"/>
  <c r="F13" i="26"/>
  <c r="H12" i="26"/>
  <c r="G12" i="26"/>
  <c r="F12" i="26"/>
  <c r="H11" i="26"/>
  <c r="G11" i="26"/>
  <c r="F11" i="26"/>
  <c r="H10" i="26"/>
  <c r="G10" i="26"/>
  <c r="F10" i="26"/>
  <c r="H9" i="26"/>
  <c r="H18" i="26" s="1"/>
  <c r="G9" i="26"/>
  <c r="F9" i="26"/>
  <c r="F18" i="26" s="1"/>
  <c r="E8" i="26"/>
  <c r="F6" i="26"/>
  <c r="H5" i="26"/>
  <c r="G5" i="26"/>
  <c r="F5" i="26"/>
  <c r="H4" i="26"/>
  <c r="G4" i="26"/>
  <c r="F4" i="26"/>
  <c r="H3" i="26"/>
  <c r="G3" i="26"/>
  <c r="F3" i="26"/>
  <c r="H2" i="26"/>
  <c r="H8" i="26" s="1"/>
  <c r="G2" i="26"/>
  <c r="F2" i="26"/>
  <c r="F8" i="26" s="1"/>
  <c r="E38" i="30"/>
  <c r="H37" i="30"/>
  <c r="H38" i="30" s="1"/>
  <c r="G37" i="30"/>
  <c r="F37" i="30"/>
  <c r="G36" i="30"/>
  <c r="F36" i="30"/>
  <c r="G35" i="30"/>
  <c r="G38" i="30" s="1"/>
  <c r="F35" i="30"/>
  <c r="F38" i="30" s="1"/>
  <c r="E33" i="30"/>
  <c r="H30" i="30"/>
  <c r="H33" i="30" s="1"/>
  <c r="G30" i="30"/>
  <c r="F30" i="30"/>
  <c r="G29" i="30"/>
  <c r="F29" i="30"/>
  <c r="G28" i="30"/>
  <c r="G33" i="30" s="1"/>
  <c r="F28" i="30"/>
  <c r="F33" i="30" s="1"/>
  <c r="E27" i="30"/>
  <c r="H26" i="30"/>
  <c r="G26" i="30"/>
  <c r="F26" i="30"/>
  <c r="H25" i="30"/>
  <c r="G25" i="30"/>
  <c r="F25" i="30"/>
  <c r="G24" i="30"/>
  <c r="F24" i="30"/>
  <c r="G23" i="30"/>
  <c r="F23" i="30"/>
  <c r="H21" i="30"/>
  <c r="G21" i="30"/>
  <c r="F21" i="30"/>
  <c r="H19" i="30"/>
  <c r="G19" i="30"/>
  <c r="F19" i="30"/>
  <c r="E18" i="30"/>
  <c r="F17" i="30"/>
  <c r="H16" i="30"/>
  <c r="G16" i="30"/>
  <c r="F16" i="30"/>
  <c r="H15" i="30"/>
  <c r="G15" i="30"/>
  <c r="F15" i="30"/>
  <c r="H76" i="26" l="1"/>
  <c r="H82" i="26" s="1"/>
  <c r="H76" i="28"/>
  <c r="H82" i="28" s="1"/>
  <c r="G8" i="26"/>
  <c r="G18" i="26"/>
  <c r="G26" i="26"/>
  <c r="F46" i="26"/>
  <c r="H46" i="26"/>
  <c r="F55" i="26"/>
  <c r="H55" i="26"/>
  <c r="G65" i="26"/>
  <c r="F75" i="26"/>
  <c r="H75" i="26"/>
  <c r="F76" i="26"/>
  <c r="G85" i="26"/>
  <c r="F94" i="26"/>
  <c r="H94" i="26"/>
  <c r="G8" i="28"/>
  <c r="G18" i="28"/>
  <c r="G26" i="28"/>
  <c r="F46" i="28"/>
  <c r="H46" i="28"/>
  <c r="F55" i="28"/>
  <c r="H55" i="28"/>
  <c r="G65" i="28"/>
  <c r="F75" i="28"/>
  <c r="H75" i="28"/>
  <c r="F76" i="28"/>
  <c r="G18" i="30"/>
  <c r="G22" i="30"/>
  <c r="F18" i="30"/>
  <c r="H18" i="30"/>
  <c r="F22" i="30"/>
  <c r="H22" i="30"/>
  <c r="F27" i="30"/>
  <c r="H27" i="30"/>
  <c r="G27" i="30"/>
  <c r="G103" i="28"/>
  <c r="G27" i="28"/>
  <c r="G30" i="28" s="1"/>
  <c r="G76" i="28"/>
  <c r="G82" i="28" s="1"/>
  <c r="F78" i="28"/>
  <c r="F82" i="28" s="1"/>
  <c r="F97" i="28"/>
  <c r="F103" i="28" s="1"/>
  <c r="H97" i="28"/>
  <c r="H103" i="28" s="1"/>
  <c r="E103" i="28"/>
  <c r="F27" i="28"/>
  <c r="F30" i="28" s="1"/>
  <c r="H27" i="28"/>
  <c r="H30" i="28" s="1"/>
  <c r="G103" i="26"/>
  <c r="G27" i="26"/>
  <c r="G30" i="26" s="1"/>
  <c r="G76" i="26"/>
  <c r="G82" i="26" s="1"/>
  <c r="F78" i="26"/>
  <c r="F82" i="26" s="1"/>
  <c r="F97" i="26"/>
  <c r="F103" i="26" s="1"/>
  <c r="H97" i="26"/>
  <c r="H103" i="26" s="1"/>
  <c r="E103" i="26"/>
  <c r="F27" i="26"/>
  <c r="F30" i="26" s="1"/>
  <c r="H27" i="26"/>
  <c r="H30" i="26" s="1"/>
  <c r="E13" i="30"/>
  <c r="H11" i="30"/>
  <c r="G11" i="30"/>
  <c r="F11" i="30"/>
  <c r="H10" i="30"/>
  <c r="F10" i="30"/>
  <c r="F13" i="30" s="1"/>
  <c r="G10" i="30"/>
  <c r="G13" i="30" s="1"/>
  <c r="E6" i="30"/>
  <c r="E9" i="30"/>
  <c r="H8" i="30"/>
  <c r="G8" i="30"/>
  <c r="F8" i="30"/>
  <c r="H7" i="30"/>
  <c r="G7" i="30"/>
  <c r="F7" i="30"/>
  <c r="H4" i="30"/>
  <c r="G4" i="30"/>
  <c r="F4" i="30"/>
  <c r="H3" i="30"/>
  <c r="G3" i="30"/>
  <c r="F3" i="30"/>
  <c r="F6" i="30" l="1"/>
  <c r="H6" i="30"/>
  <c r="F9" i="30"/>
  <c r="H9" i="30"/>
  <c r="G9" i="30"/>
  <c r="H13" i="30"/>
  <c r="G6" i="30"/>
  <c r="E226" i="29"/>
  <c r="H224" i="29"/>
  <c r="G224" i="29"/>
  <c r="F224" i="29"/>
  <c r="H223" i="29"/>
  <c r="G223" i="29"/>
  <c r="F223" i="29"/>
  <c r="G219" i="29"/>
  <c r="F219" i="29"/>
  <c r="F226" i="29" l="1"/>
  <c r="H226" i="29"/>
  <c r="G226" i="29"/>
  <c r="E218" i="29"/>
  <c r="H215" i="29"/>
  <c r="G215" i="29"/>
  <c r="F215" i="29"/>
  <c r="H214" i="29"/>
  <c r="G214" i="29"/>
  <c r="F214" i="29"/>
  <c r="H212" i="29"/>
  <c r="G212" i="29"/>
  <c r="F212" i="29"/>
  <c r="G218" i="29" l="1"/>
  <c r="F218" i="29"/>
  <c r="H218" i="29"/>
  <c r="E211" i="29"/>
  <c r="H207" i="29"/>
  <c r="G207" i="29"/>
  <c r="F207" i="29"/>
  <c r="H206" i="29"/>
  <c r="G206" i="29"/>
  <c r="F206" i="29"/>
  <c r="G205" i="29"/>
  <c r="H205" i="29"/>
  <c r="E205" i="29"/>
  <c r="F204" i="29"/>
  <c r="F205" i="29" s="1"/>
  <c r="E200" i="29"/>
  <c r="H197" i="29"/>
  <c r="G197" i="29"/>
  <c r="F197" i="29"/>
  <c r="H196" i="29"/>
  <c r="G196" i="29"/>
  <c r="F196" i="29"/>
  <c r="G200" i="29" l="1"/>
  <c r="F200" i="29"/>
  <c r="H200" i="29"/>
  <c r="F211" i="29"/>
  <c r="H211" i="29"/>
  <c r="G211" i="29"/>
  <c r="E195" i="29"/>
  <c r="H193" i="29"/>
  <c r="H195" i="29" s="1"/>
  <c r="G193" i="29"/>
  <c r="G195" i="29" s="1"/>
  <c r="F193" i="29"/>
  <c r="F195" i="29" s="1"/>
  <c r="E192" i="29" l="1"/>
  <c r="H189" i="29"/>
  <c r="G189" i="29"/>
  <c r="F189" i="29"/>
  <c r="H188" i="29"/>
  <c r="G188" i="29"/>
  <c r="F188" i="29"/>
  <c r="H187" i="29"/>
  <c r="G187" i="29"/>
  <c r="F187" i="29"/>
  <c r="H186" i="29"/>
  <c r="G186" i="29"/>
  <c r="F186" i="29"/>
  <c r="H185" i="29"/>
  <c r="G185" i="29"/>
  <c r="F185" i="29"/>
  <c r="E184" i="29"/>
  <c r="G183" i="29"/>
  <c r="F183" i="29"/>
  <c r="H182" i="29"/>
  <c r="G182" i="29"/>
  <c r="F182" i="29"/>
  <c r="H181" i="29"/>
  <c r="G181" i="29"/>
  <c r="F181" i="29"/>
  <c r="H180" i="29"/>
  <c r="G180" i="29"/>
  <c r="F180" i="29"/>
  <c r="H179" i="29"/>
  <c r="G179" i="29"/>
  <c r="F179" i="29"/>
  <c r="H178" i="29"/>
  <c r="G178" i="29"/>
  <c r="F178" i="29"/>
  <c r="F184" i="29" l="1"/>
  <c r="H184" i="29"/>
  <c r="F192" i="29"/>
  <c r="H192" i="29"/>
  <c r="G184" i="29"/>
  <c r="G192" i="29"/>
  <c r="E177" i="29"/>
  <c r="H175" i="29"/>
  <c r="G175" i="29"/>
  <c r="F175" i="29"/>
  <c r="H173" i="29"/>
  <c r="G173" i="29"/>
  <c r="F173" i="29"/>
  <c r="E172" i="29"/>
  <c r="H170" i="29"/>
  <c r="G170" i="29"/>
  <c r="F170" i="29"/>
  <c r="H168" i="29"/>
  <c r="G168" i="29"/>
  <c r="F168" i="29"/>
  <c r="F172" i="29" s="1"/>
  <c r="H172" i="29" l="1"/>
  <c r="G172" i="29"/>
  <c r="F177" i="29"/>
  <c r="H177" i="29"/>
  <c r="G177" i="29"/>
  <c r="E167" i="29"/>
  <c r="H165" i="29"/>
  <c r="G165" i="29"/>
  <c r="F165" i="29"/>
  <c r="H162" i="29"/>
  <c r="G162" i="29"/>
  <c r="F162" i="29"/>
  <c r="H161" i="29"/>
  <c r="G161" i="29"/>
  <c r="F161" i="29"/>
  <c r="G167" i="29" l="1"/>
  <c r="F167" i="29"/>
  <c r="H167" i="29"/>
  <c r="E160" i="29"/>
  <c r="H157" i="29"/>
  <c r="G157" i="29"/>
  <c r="F157" i="29"/>
  <c r="G156" i="29"/>
  <c r="F156" i="29"/>
  <c r="H155" i="29"/>
  <c r="G155" i="29"/>
  <c r="F155" i="29"/>
  <c r="H154" i="29"/>
  <c r="H160" i="29" s="1"/>
  <c r="G154" i="29"/>
  <c r="F154" i="29"/>
  <c r="F160" i="29" s="1"/>
  <c r="G160" i="29" l="1"/>
  <c r="E153" i="29"/>
  <c r="H151" i="29"/>
  <c r="G151" i="29"/>
  <c r="F151" i="29"/>
  <c r="H148" i="29"/>
  <c r="G148" i="29"/>
  <c r="F148" i="29"/>
  <c r="E147" i="29"/>
  <c r="H145" i="29"/>
  <c r="G145" i="29"/>
  <c r="F145" i="29"/>
  <c r="H144" i="29"/>
  <c r="G144" i="29"/>
  <c r="F144" i="29"/>
  <c r="H143" i="29"/>
  <c r="G143" i="29"/>
  <c r="F143" i="29"/>
  <c r="H141" i="29"/>
  <c r="G141" i="29"/>
  <c r="F141" i="29"/>
  <c r="H140" i="29"/>
  <c r="H147" i="29" s="1"/>
  <c r="G140" i="29"/>
  <c r="F140" i="29"/>
  <c r="F147" i="29" s="1"/>
  <c r="F153" i="29" l="1"/>
  <c r="H153" i="29"/>
  <c r="G153" i="29"/>
  <c r="G147" i="29"/>
  <c r="E139" i="29"/>
  <c r="H137" i="29"/>
  <c r="G137" i="29"/>
  <c r="F137" i="29"/>
  <c r="H136" i="29"/>
  <c r="G136" i="29"/>
  <c r="F136" i="29"/>
  <c r="H135" i="29"/>
  <c r="G135" i="29"/>
  <c r="F135" i="29"/>
  <c r="G134" i="29"/>
  <c r="F134" i="29"/>
  <c r="H132" i="29"/>
  <c r="G132" i="29"/>
  <c r="F132" i="29"/>
  <c r="H131" i="29"/>
  <c r="G131" i="29"/>
  <c r="F131" i="29"/>
  <c r="H130" i="29"/>
  <c r="H139" i="29" s="1"/>
  <c r="G130" i="29"/>
  <c r="F130" i="29"/>
  <c r="F139" i="29" s="1"/>
  <c r="H128" i="29"/>
  <c r="G128" i="29"/>
  <c r="F128" i="29"/>
  <c r="H127" i="29"/>
  <c r="G127" i="29"/>
  <c r="F127" i="29"/>
  <c r="G126" i="29"/>
  <c r="F126" i="29"/>
  <c r="H125" i="29"/>
  <c r="G125" i="29"/>
  <c r="F125" i="29"/>
  <c r="H124" i="29"/>
  <c r="G124" i="29"/>
  <c r="F124" i="29"/>
  <c r="G139" i="29" l="1"/>
  <c r="E123" i="29"/>
  <c r="E129" i="29" s="1"/>
  <c r="H120" i="29"/>
  <c r="G120" i="29"/>
  <c r="F120" i="29"/>
  <c r="G119" i="29"/>
  <c r="F119" i="29"/>
  <c r="H118" i="29"/>
  <c r="G118" i="29"/>
  <c r="F118" i="29"/>
  <c r="H123" i="29" l="1"/>
  <c r="H129" i="29" s="1"/>
  <c r="F123" i="29"/>
  <c r="F129" i="29" s="1"/>
  <c r="G123" i="29"/>
  <c r="G129" i="29" s="1"/>
  <c r="E117" i="29"/>
  <c r="H115" i="29"/>
  <c r="G115" i="29"/>
  <c r="F115" i="29"/>
  <c r="H114" i="29"/>
  <c r="G114" i="29"/>
  <c r="F114" i="29"/>
  <c r="G113" i="29"/>
  <c r="F113" i="29"/>
  <c r="H112" i="29"/>
  <c r="G112" i="29"/>
  <c r="F112" i="29"/>
  <c r="H111" i="29"/>
  <c r="G111" i="29"/>
  <c r="F111" i="29"/>
  <c r="G117" i="29" l="1"/>
  <c r="H117" i="29"/>
  <c r="F117" i="29"/>
  <c r="E109" i="29"/>
  <c r="H108" i="29"/>
  <c r="G108" i="29"/>
  <c r="F108" i="29"/>
  <c r="H107" i="29"/>
  <c r="G107" i="29"/>
  <c r="F107" i="29"/>
  <c r="H106" i="29"/>
  <c r="G106" i="29"/>
  <c r="F106" i="29"/>
  <c r="H105" i="29"/>
  <c r="G105" i="29"/>
  <c r="H104" i="29"/>
  <c r="G104" i="29"/>
  <c r="F104" i="29"/>
  <c r="H103" i="29"/>
  <c r="E103" i="29"/>
  <c r="F101" i="29"/>
  <c r="G100" i="29"/>
  <c r="G103" i="29" s="1"/>
  <c r="F100" i="29"/>
  <c r="F103" i="29" s="1"/>
  <c r="E99" i="29"/>
  <c r="H96" i="29"/>
  <c r="G96" i="29"/>
  <c r="F96" i="29"/>
  <c r="H95" i="29"/>
  <c r="G95" i="29"/>
  <c r="F95" i="29"/>
  <c r="G94" i="29"/>
  <c r="F94" i="29"/>
  <c r="F93" i="29"/>
  <c r="H92" i="29"/>
  <c r="G92" i="29"/>
  <c r="F92" i="29"/>
  <c r="G91" i="29"/>
  <c r="H91" i="29"/>
  <c r="F91" i="29"/>
  <c r="H90" i="29"/>
  <c r="G90" i="29"/>
  <c r="F90" i="29"/>
  <c r="G109" i="29" l="1"/>
  <c r="F109" i="29"/>
  <c r="H109" i="29"/>
  <c r="F99" i="29"/>
  <c r="H99" i="29"/>
  <c r="G99" i="29"/>
  <c r="E89" i="29"/>
  <c r="H88" i="29"/>
  <c r="G88" i="29"/>
  <c r="F87" i="29"/>
  <c r="H86" i="29"/>
  <c r="G86" i="29"/>
  <c r="F86" i="29"/>
  <c r="F85" i="29"/>
  <c r="H84" i="29"/>
  <c r="G84" i="29"/>
  <c r="F84" i="29"/>
  <c r="H83" i="29"/>
  <c r="G83" i="29"/>
  <c r="F83" i="29"/>
  <c r="F89" i="29" l="1"/>
  <c r="H89" i="29"/>
  <c r="G89" i="29"/>
  <c r="E82" i="29"/>
  <c r="G79" i="29"/>
  <c r="F79" i="29"/>
  <c r="F76" i="29"/>
  <c r="H75" i="29"/>
  <c r="G75" i="29"/>
  <c r="F75" i="29"/>
  <c r="H74" i="29"/>
  <c r="G74" i="29"/>
  <c r="F74" i="29"/>
  <c r="H73" i="29"/>
  <c r="G73" i="29"/>
  <c r="F73" i="29"/>
  <c r="H72" i="29"/>
  <c r="G72" i="29"/>
  <c r="F72" i="29"/>
  <c r="H71" i="29"/>
  <c r="G71" i="29"/>
  <c r="F71" i="29"/>
  <c r="H70" i="29"/>
  <c r="G70" i="29"/>
  <c r="F70" i="29"/>
  <c r="G82" i="29" l="1"/>
  <c r="F82" i="29"/>
  <c r="H82" i="29"/>
  <c r="E69" i="29"/>
  <c r="F67" i="29"/>
  <c r="G67" i="29"/>
  <c r="H66" i="29" l="1"/>
  <c r="G66" i="29"/>
  <c r="F66" i="29"/>
  <c r="H65" i="29"/>
  <c r="G65" i="29"/>
  <c r="F65" i="29"/>
  <c r="H64" i="29"/>
  <c r="G64" i="29"/>
  <c r="F64" i="29"/>
  <c r="H63" i="29"/>
  <c r="G63" i="29"/>
  <c r="F63" i="29"/>
  <c r="G52" i="29"/>
  <c r="E62" i="29"/>
  <c r="H59" i="29"/>
  <c r="G59" i="29"/>
  <c r="F59" i="29"/>
  <c r="F58" i="29"/>
  <c r="H56" i="29"/>
  <c r="G56" i="29"/>
  <c r="F56" i="29"/>
  <c r="H55" i="29"/>
  <c r="G55" i="29"/>
  <c r="F55" i="29"/>
  <c r="H54" i="29"/>
  <c r="G54" i="29"/>
  <c r="F54" i="29"/>
  <c r="G53" i="29"/>
  <c r="G62" i="29" s="1"/>
  <c r="F53" i="29"/>
  <c r="H52" i="29"/>
  <c r="H62" i="29" s="1"/>
  <c r="F52" i="29"/>
  <c r="F69" i="29" l="1"/>
  <c r="F62" i="29"/>
  <c r="G69" i="29"/>
  <c r="H69" i="29"/>
  <c r="E51" i="29"/>
  <c r="H50" i="29"/>
  <c r="G50" i="29"/>
  <c r="F50" i="29"/>
  <c r="F48" i="29"/>
  <c r="G47" i="29"/>
  <c r="F47" i="29"/>
  <c r="H46" i="29"/>
  <c r="G46" i="29"/>
  <c r="F46" i="29"/>
  <c r="G45" i="29"/>
  <c r="F45" i="29"/>
  <c r="H44" i="29"/>
  <c r="G44" i="29"/>
  <c r="F44" i="29"/>
  <c r="G51" i="29" l="1"/>
  <c r="F51" i="29"/>
  <c r="H51" i="29"/>
  <c r="E43" i="29"/>
  <c r="F40" i="29"/>
  <c r="H39" i="29"/>
  <c r="G39" i="29"/>
  <c r="F39" i="29"/>
  <c r="H38" i="29"/>
  <c r="G38" i="29"/>
  <c r="F38" i="29"/>
  <c r="G37" i="29"/>
  <c r="F37" i="29"/>
  <c r="F34" i="29"/>
  <c r="H33" i="29"/>
  <c r="G33" i="29"/>
  <c r="F33" i="29"/>
  <c r="H32" i="29"/>
  <c r="G32" i="29"/>
  <c r="F32" i="29"/>
  <c r="H31" i="29"/>
  <c r="G31" i="29"/>
  <c r="F31" i="29"/>
  <c r="H30" i="29"/>
  <c r="G30" i="29"/>
  <c r="F30" i="29"/>
  <c r="H29" i="29"/>
  <c r="G29" i="29"/>
  <c r="F29" i="29"/>
  <c r="G43" i="29" l="1"/>
  <c r="F43" i="29"/>
  <c r="H43" i="29"/>
  <c r="E28" i="29"/>
  <c r="H23" i="29"/>
  <c r="G23" i="29"/>
  <c r="F23" i="29"/>
  <c r="H21" i="29"/>
  <c r="H20" i="29"/>
  <c r="G21" i="29"/>
  <c r="F21" i="29"/>
  <c r="G20" i="29"/>
  <c r="F20" i="29"/>
  <c r="G19" i="29"/>
  <c r="G28" i="29" s="1"/>
  <c r="F19" i="29"/>
  <c r="F28" i="29" s="1"/>
  <c r="H12" i="29"/>
  <c r="G12" i="29"/>
  <c r="F12" i="29"/>
  <c r="G13" i="29"/>
  <c r="F13" i="29"/>
  <c r="G14" i="29"/>
  <c r="F14" i="29"/>
  <c r="G15" i="29"/>
  <c r="F15" i="29"/>
  <c r="H16" i="29"/>
  <c r="G16" i="29"/>
  <c r="F16" i="29"/>
  <c r="E17" i="29"/>
  <c r="E18" i="29" s="1"/>
  <c r="H28" i="29" l="1"/>
  <c r="G17" i="29"/>
  <c r="G18" i="29" s="1"/>
  <c r="F17" i="29"/>
  <c r="F18" i="29" s="1"/>
  <c r="H17" i="29"/>
  <c r="H18" i="29" s="1"/>
  <c r="E11" i="29"/>
  <c r="F7" i="29"/>
  <c r="G7" i="29"/>
  <c r="H6" i="29"/>
  <c r="F6" i="29"/>
  <c r="G6" i="29"/>
  <c r="H5" i="29"/>
  <c r="G5" i="29"/>
  <c r="F5" i="29"/>
  <c r="H4" i="29"/>
  <c r="G4" i="29"/>
  <c r="F4" i="29"/>
  <c r="H3" i="29"/>
  <c r="G3" i="29"/>
  <c r="F3" i="29"/>
  <c r="H2" i="29"/>
  <c r="G2" i="29"/>
  <c r="F2" i="29"/>
  <c r="G11" i="29" l="1"/>
  <c r="F11" i="29"/>
  <c r="H11" i="29"/>
  <c r="E308" i="27"/>
  <c r="G305" i="27"/>
  <c r="F301" i="27"/>
  <c r="G301" i="27"/>
  <c r="H300" i="27"/>
  <c r="G300" i="27"/>
  <c r="F300" i="27"/>
  <c r="G299" i="27"/>
  <c r="F299" i="27"/>
  <c r="H298" i="27"/>
  <c r="G298" i="27"/>
  <c r="F298" i="27"/>
  <c r="H297" i="27"/>
  <c r="G297" i="27"/>
  <c r="G308" i="27" s="1"/>
  <c r="F297" i="27"/>
  <c r="F308" i="27" l="1"/>
  <c r="H308" i="27"/>
  <c r="F294" i="27"/>
  <c r="G292" i="27"/>
  <c r="F292" i="27"/>
  <c r="G290" i="27"/>
  <c r="F290" i="27"/>
  <c r="H288" i="27"/>
  <c r="G288" i="27"/>
  <c r="G287" i="27"/>
  <c r="F287" i="27"/>
  <c r="G286" i="27"/>
  <c r="H285" i="27"/>
  <c r="F285" i="27"/>
  <c r="G285" i="27"/>
  <c r="H284" i="27"/>
  <c r="G284" i="27"/>
  <c r="F284" i="27"/>
  <c r="E283" i="27"/>
  <c r="G283" i="27" s="1"/>
  <c r="H282" i="27"/>
  <c r="G282" i="27"/>
  <c r="F282" i="27"/>
  <c r="H280" i="27"/>
  <c r="G280" i="27"/>
  <c r="F280" i="27"/>
  <c r="G296" i="27" l="1"/>
  <c r="H296" i="27"/>
  <c r="F283" i="27"/>
  <c r="F296" i="27" s="1"/>
  <c r="E296" i="27"/>
  <c r="E279" i="27"/>
  <c r="F278" i="27"/>
  <c r="H277" i="27"/>
  <c r="G277" i="27"/>
  <c r="F277" i="27"/>
  <c r="H276" i="27"/>
  <c r="G276" i="27"/>
  <c r="F276" i="27"/>
  <c r="H271" i="27"/>
  <c r="G271" i="27"/>
  <c r="F271" i="27"/>
  <c r="H270" i="27"/>
  <c r="G270" i="27"/>
  <c r="F270" i="27"/>
  <c r="F269" i="27"/>
  <c r="G269" i="27"/>
  <c r="H268" i="27"/>
  <c r="F268" i="27"/>
  <c r="G268" i="27"/>
  <c r="G267" i="27"/>
  <c r="F267" i="27"/>
  <c r="G266" i="27"/>
  <c r="F266" i="27"/>
  <c r="G265" i="27"/>
  <c r="F265" i="27"/>
  <c r="H264" i="27"/>
  <c r="G264" i="27"/>
  <c r="G279" i="27" s="1"/>
  <c r="F264" i="27"/>
  <c r="F279" i="27" l="1"/>
  <c r="H279" i="27"/>
  <c r="E263" i="27"/>
  <c r="F256" i="27"/>
  <c r="G256" i="27"/>
  <c r="H255" i="27"/>
  <c r="F255" i="27"/>
  <c r="G255" i="27"/>
  <c r="G254" i="27"/>
  <c r="F254" i="27"/>
  <c r="H253" i="27"/>
  <c r="G253" i="27"/>
  <c r="F253" i="27"/>
  <c r="G252" i="27"/>
  <c r="F252" i="27"/>
  <c r="H251" i="27"/>
  <c r="G251" i="27"/>
  <c r="F251" i="27"/>
  <c r="E250" i="27"/>
  <c r="G245" i="27"/>
  <c r="F245" i="27"/>
  <c r="F263" i="27" l="1"/>
  <c r="H263" i="27"/>
  <c r="G263" i="27"/>
  <c r="H244" i="27"/>
  <c r="G244" i="27"/>
  <c r="F244" i="27"/>
  <c r="H243" i="27"/>
  <c r="G243" i="27"/>
  <c r="F243" i="27"/>
  <c r="G242" i="27"/>
  <c r="F242" i="27"/>
  <c r="H241" i="27"/>
  <c r="G241" i="27"/>
  <c r="F241" i="27"/>
  <c r="H240" i="27"/>
  <c r="G240" i="27"/>
  <c r="F240" i="27"/>
  <c r="H239" i="27"/>
  <c r="G239" i="27"/>
  <c r="F239" i="27"/>
  <c r="H238" i="27"/>
  <c r="G238" i="27"/>
  <c r="F238" i="27"/>
  <c r="H237" i="27"/>
  <c r="G237" i="27"/>
  <c r="F237" i="27"/>
  <c r="E236" i="27"/>
  <c r="H230" i="27"/>
  <c r="G230" i="27"/>
  <c r="F230" i="27"/>
  <c r="G229" i="27"/>
  <c r="F229" i="27"/>
  <c r="H228" i="27"/>
  <c r="G228" i="27"/>
  <c r="F228" i="27"/>
  <c r="G225" i="27"/>
  <c r="F225" i="27"/>
  <c r="G224" i="27"/>
  <c r="F224" i="27"/>
  <c r="H223" i="27"/>
  <c r="G223" i="27"/>
  <c r="F223" i="27"/>
  <c r="F236" i="27" l="1"/>
  <c r="H236" i="27"/>
  <c r="F250" i="27"/>
  <c r="H250" i="27"/>
  <c r="G236" i="27"/>
  <c r="G250" i="27"/>
  <c r="E222" i="27"/>
  <c r="H221" i="27"/>
  <c r="G221" i="27"/>
  <c r="H220" i="27"/>
  <c r="G220" i="27"/>
  <c r="F220" i="27"/>
  <c r="H219" i="27"/>
  <c r="G219" i="27"/>
  <c r="F219" i="27"/>
  <c r="G218" i="27"/>
  <c r="F218" i="27"/>
  <c r="H217" i="27"/>
  <c r="G217" i="27"/>
  <c r="F217" i="27"/>
  <c r="H213" i="27"/>
  <c r="G213" i="27"/>
  <c r="H212" i="27"/>
  <c r="G212" i="27"/>
  <c r="F212" i="27"/>
  <c r="G211" i="27"/>
  <c r="F211" i="27"/>
  <c r="H210" i="27"/>
  <c r="G210" i="27"/>
  <c r="F210" i="27"/>
  <c r="G209" i="27"/>
  <c r="F209" i="27"/>
  <c r="G208" i="27"/>
  <c r="F208" i="27"/>
  <c r="E207" i="27"/>
  <c r="G204" i="27"/>
  <c r="F204" i="27"/>
  <c r="F199" i="27"/>
  <c r="G199" i="27"/>
  <c r="H198" i="27"/>
  <c r="F198" i="27"/>
  <c r="G198" i="27"/>
  <c r="H197" i="27"/>
  <c r="G197" i="27"/>
  <c r="F197" i="27"/>
  <c r="H196" i="27"/>
  <c r="G196" i="27"/>
  <c r="F196" i="27"/>
  <c r="H195" i="27"/>
  <c r="G195" i="27"/>
  <c r="F195" i="27"/>
  <c r="H194" i="27"/>
  <c r="G194" i="27"/>
  <c r="F194" i="27"/>
  <c r="F207" i="27" l="1"/>
  <c r="H207" i="27"/>
  <c r="F222" i="27"/>
  <c r="H222" i="27"/>
  <c r="G207" i="27"/>
  <c r="G222" i="27"/>
  <c r="G192" i="27"/>
  <c r="F192" i="27"/>
  <c r="E193" i="27"/>
  <c r="H187" i="27"/>
  <c r="G187" i="27"/>
  <c r="G185" i="27"/>
  <c r="F185" i="27"/>
  <c r="F181" i="27"/>
  <c r="G181" i="27"/>
  <c r="H180" i="27"/>
  <c r="F180" i="27"/>
  <c r="G180" i="27"/>
  <c r="G179" i="27"/>
  <c r="F179" i="27"/>
  <c r="G178" i="27"/>
  <c r="F178" i="27"/>
  <c r="H177" i="27"/>
  <c r="G177" i="27"/>
  <c r="F177" i="27"/>
  <c r="H176" i="27"/>
  <c r="G176" i="27"/>
  <c r="F176" i="27"/>
  <c r="F193" i="27" l="1"/>
  <c r="H193" i="27"/>
  <c r="G193" i="27"/>
  <c r="G170" i="27"/>
  <c r="F170" i="27"/>
  <c r="H169" i="27"/>
  <c r="G169" i="27"/>
  <c r="F169" i="27"/>
  <c r="H168" i="27"/>
  <c r="G168" i="27"/>
  <c r="F168" i="27"/>
  <c r="E167" i="27"/>
  <c r="H167" i="27" s="1"/>
  <c r="H175" i="27" l="1"/>
  <c r="G167" i="27"/>
  <c r="G175" i="27" s="1"/>
  <c r="E175" i="27"/>
  <c r="F167" i="27"/>
  <c r="F175" i="27" s="1"/>
  <c r="E166" i="27"/>
  <c r="G160" i="27"/>
  <c r="F160" i="27"/>
  <c r="F158" i="27"/>
  <c r="G158" i="27"/>
  <c r="H157" i="27" l="1"/>
  <c r="G157" i="27"/>
  <c r="F157" i="27"/>
  <c r="H156" i="27"/>
  <c r="F156" i="27"/>
  <c r="G156" i="27"/>
  <c r="H155" i="27"/>
  <c r="G155" i="27"/>
  <c r="H154" i="27"/>
  <c r="G154" i="27"/>
  <c r="F154" i="27"/>
  <c r="G153" i="27"/>
  <c r="F153" i="27"/>
  <c r="H152" i="27"/>
  <c r="G152" i="27"/>
  <c r="F152" i="27"/>
  <c r="H151" i="27"/>
  <c r="G151" i="27"/>
  <c r="F151" i="27"/>
  <c r="F146" i="27"/>
  <c r="H145" i="27"/>
  <c r="G145" i="27"/>
  <c r="F145" i="27"/>
  <c r="G166" i="27" l="1"/>
  <c r="F166" i="27"/>
  <c r="H166" i="27"/>
  <c r="E150" i="27"/>
  <c r="H141" i="27"/>
  <c r="G141" i="27"/>
  <c r="F141" i="27"/>
  <c r="H140" i="27"/>
  <c r="G140" i="27"/>
  <c r="F140" i="27"/>
  <c r="G139" i="27"/>
  <c r="F139" i="27"/>
  <c r="H138" i="27"/>
  <c r="G138" i="27"/>
  <c r="F138" i="27"/>
  <c r="H137" i="27"/>
  <c r="G137" i="27"/>
  <c r="F137" i="27"/>
  <c r="H135" i="27"/>
  <c r="G135" i="27"/>
  <c r="F135" i="27"/>
  <c r="H134" i="27"/>
  <c r="G134" i="27"/>
  <c r="F134" i="27"/>
  <c r="H133" i="27"/>
  <c r="H150" i="27" s="1"/>
  <c r="G133" i="27"/>
  <c r="F133" i="27"/>
  <c r="F150" i="27" s="1"/>
  <c r="E132" i="27"/>
  <c r="H131" i="27"/>
  <c r="G131" i="27"/>
  <c r="F131" i="27"/>
  <c r="G128" i="27"/>
  <c r="F128" i="27"/>
  <c r="G124" i="27"/>
  <c r="F124" i="27"/>
  <c r="G123" i="27"/>
  <c r="F123" i="27"/>
  <c r="H122" i="27"/>
  <c r="G122" i="27"/>
  <c r="F122" i="27"/>
  <c r="H121" i="27"/>
  <c r="H132" i="27" s="1"/>
  <c r="G121" i="27"/>
  <c r="F121" i="27"/>
  <c r="F132" i="27" s="1"/>
  <c r="G132" i="27" l="1"/>
  <c r="G150" i="27"/>
  <c r="E120" i="27"/>
  <c r="G115" i="27"/>
  <c r="F115" i="27"/>
  <c r="H110" i="27"/>
  <c r="F110" i="27"/>
  <c r="G110" i="27"/>
  <c r="H109" i="27"/>
  <c r="G109" i="27"/>
  <c r="F109" i="27"/>
  <c r="H108" i="27"/>
  <c r="G108" i="27"/>
  <c r="F108" i="27"/>
  <c r="H99" i="27"/>
  <c r="F99" i="27"/>
  <c r="G99" i="27"/>
  <c r="H107" i="27"/>
  <c r="G107" i="27"/>
  <c r="F107" i="27"/>
  <c r="H106" i="27"/>
  <c r="G106" i="27"/>
  <c r="F106" i="27"/>
  <c r="E105" i="27"/>
  <c r="G102" i="27"/>
  <c r="F102" i="27"/>
  <c r="H100" i="27"/>
  <c r="G100" i="27"/>
  <c r="F100" i="27"/>
  <c r="H98" i="27"/>
  <c r="G98" i="27"/>
  <c r="F98" i="27"/>
  <c r="G97" i="27"/>
  <c r="F97" i="27"/>
  <c r="H96" i="27"/>
  <c r="G96" i="27"/>
  <c r="F96" i="27"/>
  <c r="H95" i="27"/>
  <c r="G95" i="27"/>
  <c r="F95" i="27"/>
  <c r="F105" i="27" l="1"/>
  <c r="H105" i="27"/>
  <c r="G120" i="27"/>
  <c r="G105" i="27"/>
  <c r="F120" i="27"/>
  <c r="H120" i="27"/>
  <c r="E93" i="27"/>
  <c r="G92" i="27"/>
  <c r="F92" i="27"/>
  <c r="F91" i="27"/>
  <c r="H90" i="27"/>
  <c r="G90" i="27"/>
  <c r="G89" i="27"/>
  <c r="F89" i="27"/>
  <c r="F88" i="27"/>
  <c r="G88" i="27"/>
  <c r="H87" i="27"/>
  <c r="F87" i="27"/>
  <c r="G87" i="27"/>
  <c r="H86" i="27"/>
  <c r="F86" i="27"/>
  <c r="G86" i="27"/>
  <c r="G85" i="27"/>
  <c r="F85" i="27"/>
  <c r="H84" i="27"/>
  <c r="G84" i="27"/>
  <c r="F84" i="27"/>
  <c r="H83" i="27"/>
  <c r="G83" i="27"/>
  <c r="F83" i="27"/>
  <c r="H82" i="27"/>
  <c r="G82" i="27"/>
  <c r="F82" i="27"/>
  <c r="F93" i="27" l="1"/>
  <c r="H93" i="27"/>
  <c r="G93" i="27"/>
  <c r="E81" i="27"/>
  <c r="G78" i="27"/>
  <c r="F78" i="27"/>
  <c r="F74" i="27"/>
  <c r="G74" i="27"/>
  <c r="H73" i="27"/>
  <c r="G73" i="27"/>
  <c r="F73" i="27"/>
  <c r="H72" i="27"/>
  <c r="G72" i="27"/>
  <c r="F72" i="27"/>
  <c r="G71" i="27"/>
  <c r="F71" i="27"/>
  <c r="H70" i="27"/>
  <c r="G70" i="27"/>
  <c r="F70" i="27"/>
  <c r="G81" i="27" l="1"/>
  <c r="F81" i="27"/>
  <c r="H81" i="27"/>
  <c r="G64" i="27"/>
  <c r="F64" i="27"/>
  <c r="E69" i="27" l="1"/>
  <c r="H61" i="27"/>
  <c r="G61" i="27"/>
  <c r="F61" i="27"/>
  <c r="H60" i="27"/>
  <c r="G60" i="27"/>
  <c r="F60" i="27"/>
  <c r="H59" i="27"/>
  <c r="G59" i="27"/>
  <c r="F59" i="27"/>
  <c r="H57" i="27"/>
  <c r="G57" i="27"/>
  <c r="F57" i="27"/>
  <c r="H56" i="27"/>
  <c r="G56" i="27"/>
  <c r="F56" i="27"/>
  <c r="G55" i="27"/>
  <c r="F54" i="27"/>
  <c r="H51" i="27"/>
  <c r="G51" i="27"/>
  <c r="F51" i="27"/>
  <c r="H50" i="27"/>
  <c r="G50" i="27"/>
  <c r="F50" i="27"/>
  <c r="H49" i="27"/>
  <c r="G49" i="27"/>
  <c r="F49" i="27"/>
  <c r="E48" i="27"/>
  <c r="H44" i="27"/>
  <c r="G44" i="27"/>
  <c r="F44" i="27"/>
  <c r="H43" i="27"/>
  <c r="G43" i="27"/>
  <c r="F43" i="27"/>
  <c r="G40" i="27"/>
  <c r="F40" i="27"/>
  <c r="F48" i="27" s="1"/>
  <c r="E39" i="27"/>
  <c r="F37" i="27"/>
  <c r="H36" i="27"/>
  <c r="H39" i="27" s="1"/>
  <c r="G36" i="27"/>
  <c r="G39" i="27" s="1"/>
  <c r="F36" i="27"/>
  <c r="H48" i="27" l="1"/>
  <c r="F39" i="27"/>
  <c r="G48" i="27"/>
  <c r="F69" i="27"/>
  <c r="H69" i="27"/>
  <c r="G69" i="27"/>
  <c r="E18" i="27"/>
  <c r="G16" i="27"/>
  <c r="G14" i="27"/>
  <c r="F14" i="27"/>
  <c r="H3" i="27"/>
  <c r="G3" i="27"/>
  <c r="F3" i="27"/>
  <c r="H4" i="27"/>
  <c r="G4" i="27"/>
  <c r="F4" i="27"/>
  <c r="H5" i="27"/>
  <c r="G5" i="27"/>
  <c r="F5" i="27"/>
  <c r="H6" i="27"/>
  <c r="G6" i="27"/>
  <c r="F6" i="27"/>
  <c r="F7" i="27"/>
  <c r="H7" i="27"/>
  <c r="G7" i="27"/>
  <c r="H9" i="27"/>
  <c r="G9" i="27"/>
  <c r="F9" i="27"/>
  <c r="H8" i="27"/>
  <c r="G8" i="27"/>
  <c r="F8" i="27"/>
  <c r="F11" i="27"/>
  <c r="H10" i="27"/>
  <c r="G10" i="27"/>
  <c r="F10" i="27"/>
  <c r="F13" i="27"/>
  <c r="E25" i="27"/>
  <c r="H19" i="27"/>
  <c r="G19" i="27"/>
  <c r="F19" i="27"/>
  <c r="G20" i="27"/>
  <c r="F20" i="27"/>
  <c r="H21" i="27"/>
  <c r="G21" i="27"/>
  <c r="F21" i="27"/>
  <c r="G22" i="27"/>
  <c r="F22" i="27"/>
  <c r="F23" i="27"/>
  <c r="E35" i="27"/>
  <c r="H34" i="27"/>
  <c r="G34" i="27"/>
  <c r="F34" i="27"/>
  <c r="G33" i="27"/>
  <c r="F33" i="27"/>
  <c r="H32" i="27"/>
  <c r="G32" i="27"/>
  <c r="F32" i="27"/>
  <c r="H31" i="27"/>
  <c r="G31" i="27"/>
  <c r="F31" i="27"/>
  <c r="G30" i="27"/>
  <c r="F30" i="27"/>
  <c r="F27" i="27"/>
  <c r="H26" i="27"/>
  <c r="G26" i="27"/>
  <c r="G35" i="27" s="1"/>
  <c r="F26" i="27"/>
  <c r="F18" i="27" l="1"/>
  <c r="H18" i="27"/>
  <c r="F35" i="27"/>
  <c r="H35" i="27"/>
  <c r="G18" i="27"/>
  <c r="F25" i="27"/>
  <c r="H25" i="27"/>
  <c r="G25" i="27"/>
  <c r="F101" i="25"/>
  <c r="H99" i="25"/>
  <c r="G99" i="25"/>
  <c r="F99" i="25"/>
  <c r="H98" i="25"/>
  <c r="G98" i="25"/>
  <c r="F98" i="25"/>
  <c r="H96" i="25"/>
  <c r="G96" i="25"/>
  <c r="F96" i="25"/>
  <c r="H95" i="25"/>
  <c r="G95" i="25"/>
  <c r="F95" i="25"/>
  <c r="E97" i="25"/>
  <c r="G97" i="25" s="1"/>
  <c r="G103" i="25" l="1"/>
  <c r="F97" i="25"/>
  <c r="F103" i="25" s="1"/>
  <c r="H97" i="25"/>
  <c r="H103" i="25" s="1"/>
  <c r="E103" i="25"/>
  <c r="E94" i="25"/>
  <c r="H90" i="25"/>
  <c r="G90" i="25"/>
  <c r="F90" i="25"/>
  <c r="F89" i="25"/>
  <c r="G89" i="25"/>
  <c r="G88" i="25"/>
  <c r="F88" i="25"/>
  <c r="G87" i="25"/>
  <c r="F87" i="25"/>
  <c r="H86" i="25"/>
  <c r="H94" i="25" s="1"/>
  <c r="G86" i="25"/>
  <c r="G94" i="25" s="1"/>
  <c r="F86" i="25"/>
  <c r="F94" i="25" s="1"/>
  <c r="E85" i="25" l="1"/>
  <c r="H84" i="25"/>
  <c r="G84" i="25"/>
  <c r="F84" i="25"/>
  <c r="H83" i="25"/>
  <c r="G83" i="25"/>
  <c r="G85" i="25" s="1"/>
  <c r="F83" i="25"/>
  <c r="F85" i="25" s="1"/>
  <c r="H85" i="25" l="1"/>
  <c r="F81" i="25"/>
  <c r="H80" i="25"/>
  <c r="G80" i="25"/>
  <c r="F80" i="25"/>
  <c r="H79" i="25"/>
  <c r="G79" i="25"/>
  <c r="F79" i="25"/>
  <c r="H77" i="25"/>
  <c r="G77" i="25"/>
  <c r="F77" i="25"/>
  <c r="E76" i="25"/>
  <c r="E78" i="25"/>
  <c r="F78" i="25" s="1"/>
  <c r="H76" i="25" l="1"/>
  <c r="H82" i="25" s="1"/>
  <c r="F76" i="25"/>
  <c r="F82" i="25" s="1"/>
  <c r="G76" i="25"/>
  <c r="G78" i="25"/>
  <c r="E82" i="25"/>
  <c r="E75" i="25"/>
  <c r="F73" i="25"/>
  <c r="F71" i="25"/>
  <c r="G70" i="25"/>
  <c r="F70" i="25"/>
  <c r="G69" i="25"/>
  <c r="F69" i="25"/>
  <c r="G82" i="25" l="1"/>
  <c r="G68" i="25"/>
  <c r="F68" i="25"/>
  <c r="H67" i="25"/>
  <c r="G67" i="25"/>
  <c r="F67" i="25"/>
  <c r="H66" i="25"/>
  <c r="G66" i="25"/>
  <c r="G75" i="25" s="1"/>
  <c r="F66" i="25"/>
  <c r="E65" i="25"/>
  <c r="F63" i="25"/>
  <c r="H60" i="25"/>
  <c r="G60" i="25"/>
  <c r="F60" i="25"/>
  <c r="H59" i="25"/>
  <c r="G59" i="25"/>
  <c r="F59" i="25"/>
  <c r="H58" i="25"/>
  <c r="G58" i="25"/>
  <c r="F58" i="25"/>
  <c r="H57" i="25"/>
  <c r="G57" i="25"/>
  <c r="F57" i="25"/>
  <c r="H56" i="25"/>
  <c r="H65" i="25" s="1"/>
  <c r="G56" i="25"/>
  <c r="G65" i="25" s="1"/>
  <c r="F56" i="25"/>
  <c r="F65" i="25" s="1"/>
  <c r="F75" i="25" l="1"/>
  <c r="H75" i="25"/>
  <c r="E55" i="25"/>
  <c r="F53" i="25"/>
  <c r="F51" i="25"/>
  <c r="H51" i="25"/>
  <c r="G51" i="25"/>
  <c r="H50" i="25"/>
  <c r="G50" i="25"/>
  <c r="F50" i="25"/>
  <c r="H49" i="25"/>
  <c r="G49" i="25"/>
  <c r="F49" i="25"/>
  <c r="H48" i="25"/>
  <c r="G48" i="25"/>
  <c r="F48" i="25"/>
  <c r="H47" i="25"/>
  <c r="H55" i="25" s="1"/>
  <c r="G47" i="25"/>
  <c r="F47" i="25"/>
  <c r="G55" i="25" l="1"/>
  <c r="F55" i="25"/>
  <c r="E46" i="25"/>
  <c r="F44" i="25"/>
  <c r="H43" i="25"/>
  <c r="G43" i="25"/>
  <c r="F43" i="25"/>
  <c r="H42" i="25"/>
  <c r="G42" i="25"/>
  <c r="F42" i="25"/>
  <c r="H41" i="25"/>
  <c r="G41" i="25"/>
  <c r="F41" i="25"/>
  <c r="H40" i="25"/>
  <c r="G40" i="25"/>
  <c r="F40" i="25"/>
  <c r="G39" i="25"/>
  <c r="F39" i="25"/>
  <c r="H37" i="25"/>
  <c r="G37" i="25"/>
  <c r="F37" i="25"/>
  <c r="H36" i="25"/>
  <c r="G36" i="25"/>
  <c r="F36" i="25"/>
  <c r="F34" i="25"/>
  <c r="H33" i="25"/>
  <c r="G33" i="25"/>
  <c r="F33" i="25"/>
  <c r="H32" i="25"/>
  <c r="G32" i="25"/>
  <c r="F32" i="25"/>
  <c r="H31" i="25"/>
  <c r="F31" i="25"/>
  <c r="F46" i="25" s="1"/>
  <c r="G31" i="25"/>
  <c r="H29" i="25"/>
  <c r="G29" i="25"/>
  <c r="F29" i="25"/>
  <c r="G28" i="25"/>
  <c r="F28" i="25"/>
  <c r="E27" i="25"/>
  <c r="E30" i="25" s="1"/>
  <c r="G46" i="25" l="1"/>
  <c r="H46" i="25"/>
  <c r="G27" i="25"/>
  <c r="G30" i="25" s="1"/>
  <c r="F27" i="25"/>
  <c r="F30" i="25" s="1"/>
  <c r="H27" i="25"/>
  <c r="H30" i="25" s="1"/>
  <c r="E26" i="25"/>
  <c r="G25" i="25"/>
  <c r="F25" i="25"/>
  <c r="G24" i="25"/>
  <c r="F24" i="25"/>
  <c r="G23" i="25"/>
  <c r="F23" i="25"/>
  <c r="H22" i="25"/>
  <c r="G22" i="25"/>
  <c r="F22" i="25"/>
  <c r="H21" i="25"/>
  <c r="G21" i="25"/>
  <c r="F21" i="25"/>
  <c r="H20" i="25"/>
  <c r="G20" i="25"/>
  <c r="F20" i="25"/>
  <c r="H19" i="25"/>
  <c r="G19" i="25"/>
  <c r="G26" i="25" s="1"/>
  <c r="F19" i="25"/>
  <c r="F26" i="25" l="1"/>
  <c r="H26" i="25"/>
  <c r="E18" i="25"/>
  <c r="F16" i="25"/>
  <c r="H12" i="25"/>
  <c r="G12" i="25"/>
  <c r="F12" i="25"/>
  <c r="H14" i="25"/>
  <c r="G14" i="25"/>
  <c r="F14" i="25"/>
  <c r="H13" i="25"/>
  <c r="G13" i="25"/>
  <c r="F13" i="25"/>
  <c r="H11" i="25"/>
  <c r="G11" i="25"/>
  <c r="F11" i="25"/>
  <c r="H10" i="25"/>
  <c r="G10" i="25"/>
  <c r="F10" i="25"/>
  <c r="H9" i="25"/>
  <c r="G9" i="25"/>
  <c r="G18" i="25" s="1"/>
  <c r="F9" i="25"/>
  <c r="F18" i="25" s="1"/>
  <c r="H18" i="25" l="1"/>
  <c r="E8" i="25"/>
  <c r="F6" i="25"/>
  <c r="H5" i="25"/>
  <c r="G5" i="25"/>
  <c r="F5" i="25"/>
  <c r="H4" i="25"/>
  <c r="G4" i="25"/>
  <c r="F4" i="25"/>
  <c r="H3" i="25"/>
  <c r="G3" i="25"/>
  <c r="F3" i="25"/>
  <c r="H2" i="25"/>
  <c r="H8" i="25" s="1"/>
  <c r="G2" i="25"/>
  <c r="F2" i="25"/>
  <c r="F8" i="25" s="1"/>
  <c r="G8" i="25" l="1"/>
  <c r="F383" i="24"/>
  <c r="F382" i="24"/>
  <c r="H381" i="24"/>
  <c r="G381" i="24"/>
  <c r="F381" i="24"/>
  <c r="H380" i="24"/>
  <c r="G380" i="24"/>
  <c r="F380" i="24"/>
  <c r="H377" i="24"/>
  <c r="G377" i="24"/>
  <c r="F377" i="24"/>
  <c r="H376" i="24"/>
  <c r="G376" i="24"/>
  <c r="F376" i="24"/>
  <c r="H375" i="24"/>
  <c r="G375" i="24"/>
  <c r="F375" i="24"/>
  <c r="H374" i="24"/>
  <c r="G374" i="24"/>
  <c r="F374" i="24"/>
  <c r="H373" i="24"/>
  <c r="H384" i="24" s="1"/>
  <c r="G373" i="24"/>
  <c r="F373" i="24"/>
  <c r="E379" i="24"/>
  <c r="G379" i="24" s="1"/>
  <c r="F379" i="24" l="1"/>
  <c r="E384" i="24"/>
  <c r="F384" i="24"/>
  <c r="G384" i="24"/>
  <c r="E372" i="24"/>
  <c r="F371" i="24"/>
  <c r="H369" i="24"/>
  <c r="G369" i="24"/>
  <c r="F369" i="24"/>
  <c r="G368" i="24"/>
  <c r="F368" i="24"/>
  <c r="G366" i="24"/>
  <c r="F366" i="24"/>
  <c r="H365" i="24"/>
  <c r="H372" i="24" s="1"/>
  <c r="G365" i="24"/>
  <c r="F365" i="24"/>
  <c r="F372" i="24" l="1"/>
  <c r="G372" i="24"/>
  <c r="E364" i="24"/>
  <c r="G363" i="24"/>
  <c r="H363" i="24"/>
  <c r="F363" i="24"/>
  <c r="H362" i="24"/>
  <c r="F362" i="24"/>
  <c r="G362" i="24"/>
  <c r="G361" i="24"/>
  <c r="F361" i="24"/>
  <c r="H359" i="24"/>
  <c r="G359" i="24"/>
  <c r="F359" i="24"/>
  <c r="H358" i="24"/>
  <c r="G358" i="24"/>
  <c r="F358" i="24"/>
  <c r="H357" i="24"/>
  <c r="G357" i="24"/>
  <c r="F357" i="24"/>
  <c r="G355" i="24"/>
  <c r="F355" i="24"/>
  <c r="H352" i="24"/>
  <c r="G352" i="24"/>
  <c r="F352" i="24"/>
  <c r="H351" i="24"/>
  <c r="G351" i="24"/>
  <c r="F351" i="24"/>
  <c r="G350" i="24"/>
  <c r="F350" i="24"/>
  <c r="E349" i="24"/>
  <c r="H348" i="24"/>
  <c r="G348" i="24"/>
  <c r="F348" i="24"/>
  <c r="H347" i="24"/>
  <c r="G347" i="24"/>
  <c r="F347" i="24"/>
  <c r="H346" i="24"/>
  <c r="G346" i="24"/>
  <c r="F346" i="24"/>
  <c r="H343" i="24"/>
  <c r="G343" i="24"/>
  <c r="F343" i="24"/>
  <c r="G342" i="24"/>
  <c r="F342" i="24"/>
  <c r="G341" i="24"/>
  <c r="F341" i="24"/>
  <c r="G339" i="24"/>
  <c r="F339" i="24"/>
  <c r="E338" i="24"/>
  <c r="H337" i="24"/>
  <c r="G337" i="24"/>
  <c r="F337" i="24"/>
  <c r="G336" i="24"/>
  <c r="F336" i="24"/>
  <c r="F335" i="24"/>
  <c r="G334" i="24"/>
  <c r="F334" i="24"/>
  <c r="H333" i="24"/>
  <c r="G333" i="24"/>
  <c r="F333" i="24"/>
  <c r="H332" i="24"/>
  <c r="G332" i="24"/>
  <c r="F332" i="24"/>
  <c r="H331" i="24"/>
  <c r="G331" i="24"/>
  <c r="F331" i="24"/>
  <c r="G338" i="24" l="1"/>
  <c r="G349" i="24"/>
  <c r="F349" i="24"/>
  <c r="H349" i="24"/>
  <c r="F364" i="24"/>
  <c r="H364" i="24"/>
  <c r="G364" i="24"/>
  <c r="F338" i="24"/>
  <c r="H338" i="24"/>
  <c r="E330" i="24"/>
  <c r="G326" i="24"/>
  <c r="F326" i="24"/>
  <c r="F324" i="24"/>
  <c r="F323" i="24"/>
  <c r="H322" i="24"/>
  <c r="G322" i="24"/>
  <c r="F322" i="24"/>
  <c r="H321" i="24"/>
  <c r="G321" i="24"/>
  <c r="F321" i="24"/>
  <c r="G320" i="24"/>
  <c r="F320" i="24"/>
  <c r="G319" i="24"/>
  <c r="F319" i="24"/>
  <c r="H318" i="24"/>
  <c r="G318" i="24"/>
  <c r="F318" i="24"/>
  <c r="H317" i="24"/>
  <c r="G317" i="24"/>
  <c r="F317" i="24"/>
  <c r="H316" i="24"/>
  <c r="G316" i="24"/>
  <c r="F316" i="24"/>
  <c r="F330" i="24" l="1"/>
  <c r="H330" i="24"/>
  <c r="G330" i="24"/>
  <c r="E315" i="24"/>
  <c r="F313" i="24"/>
  <c r="G311" i="24"/>
  <c r="F311" i="24"/>
  <c r="H306" i="24"/>
  <c r="G306" i="24"/>
  <c r="F306" i="24"/>
  <c r="H305" i="24"/>
  <c r="G305" i="24"/>
  <c r="F305" i="24"/>
  <c r="H304" i="24"/>
  <c r="G304" i="24"/>
  <c r="F304" i="24"/>
  <c r="H303" i="24"/>
  <c r="G303" i="24"/>
  <c r="F303" i="24"/>
  <c r="H302" i="24"/>
  <c r="G302" i="24"/>
  <c r="F302" i="24"/>
  <c r="H301" i="24"/>
  <c r="G301" i="24"/>
  <c r="F301" i="24"/>
  <c r="F315" i="24" l="1"/>
  <c r="G315" i="24"/>
  <c r="H315" i="24"/>
  <c r="E300" i="24"/>
  <c r="H299" i="24"/>
  <c r="G299" i="24"/>
  <c r="F299" i="24"/>
  <c r="H297" i="24"/>
  <c r="G297" i="24"/>
  <c r="F297" i="24"/>
  <c r="H296" i="24"/>
  <c r="G296" i="24"/>
  <c r="H295" i="24"/>
  <c r="G295" i="24"/>
  <c r="F295" i="24"/>
  <c r="F296" i="24"/>
  <c r="H293" i="24"/>
  <c r="G293" i="24"/>
  <c r="F293" i="24"/>
  <c r="F292" i="24"/>
  <c r="G291" i="24"/>
  <c r="F291" i="24"/>
  <c r="H288" i="24"/>
  <c r="G288" i="24"/>
  <c r="F288" i="24"/>
  <c r="H287" i="24"/>
  <c r="G287" i="24"/>
  <c r="F287" i="24"/>
  <c r="F284" i="24"/>
  <c r="H283" i="24"/>
  <c r="G283" i="24"/>
  <c r="F283" i="24"/>
  <c r="H282" i="24"/>
  <c r="G282" i="24"/>
  <c r="F282" i="24"/>
  <c r="G281" i="24"/>
  <c r="F281" i="24"/>
  <c r="H280" i="24"/>
  <c r="G280" i="24"/>
  <c r="F280" i="24"/>
  <c r="H279" i="24"/>
  <c r="G279" i="24"/>
  <c r="F279" i="24"/>
  <c r="H278" i="24"/>
  <c r="G278" i="24"/>
  <c r="F278" i="24"/>
  <c r="G300" i="24" l="1"/>
  <c r="F300" i="24"/>
  <c r="H300" i="24"/>
  <c r="E277" i="24"/>
  <c r="F276" i="24"/>
  <c r="G275" i="24"/>
  <c r="F275" i="24"/>
  <c r="H274" i="24"/>
  <c r="G274" i="24"/>
  <c r="F274" i="24"/>
  <c r="H273" i="24"/>
  <c r="G273" i="24"/>
  <c r="F273" i="24"/>
  <c r="H272" i="24"/>
  <c r="G272" i="24"/>
  <c r="F272" i="24"/>
  <c r="G277" i="24" l="1"/>
  <c r="F277" i="24"/>
  <c r="H277" i="24"/>
  <c r="E271" i="24"/>
  <c r="G270" i="24"/>
  <c r="F270" i="24"/>
  <c r="H269" i="24"/>
  <c r="G269" i="24"/>
  <c r="F269" i="24"/>
  <c r="H268" i="24"/>
  <c r="G268" i="24"/>
  <c r="F268" i="24"/>
  <c r="G267" i="24"/>
  <c r="F267" i="24"/>
  <c r="H266" i="24"/>
  <c r="G266" i="24"/>
  <c r="F266" i="24"/>
  <c r="H264" i="24"/>
  <c r="G264" i="24"/>
  <c r="F264" i="24"/>
  <c r="H263" i="24"/>
  <c r="G263" i="24"/>
  <c r="F263" i="24"/>
  <c r="E261" i="24"/>
  <c r="H259" i="24"/>
  <c r="G259" i="24"/>
  <c r="H258" i="24"/>
  <c r="G258" i="24"/>
  <c r="F259" i="24"/>
  <c r="F258" i="24"/>
  <c r="G257" i="24"/>
  <c r="F257" i="24"/>
  <c r="F256" i="24"/>
  <c r="F255" i="24"/>
  <c r="H254" i="24"/>
  <c r="G254" i="24"/>
  <c r="F254" i="24"/>
  <c r="H253" i="24"/>
  <c r="G253" i="24"/>
  <c r="F253" i="24"/>
  <c r="H252" i="24"/>
  <c r="G252" i="24"/>
  <c r="F252" i="24"/>
  <c r="G251" i="24"/>
  <c r="F251" i="24"/>
  <c r="H250" i="24"/>
  <c r="G250" i="24"/>
  <c r="F250" i="24"/>
  <c r="F271" i="24" l="1"/>
  <c r="H271" i="24"/>
  <c r="F261" i="24"/>
  <c r="H261" i="24"/>
  <c r="G261" i="24"/>
  <c r="G271" i="24"/>
  <c r="H247" i="24"/>
  <c r="G247" i="24"/>
  <c r="F247" i="24"/>
  <c r="G246" i="24"/>
  <c r="F246" i="24"/>
  <c r="H245" i="24"/>
  <c r="G245" i="24"/>
  <c r="F245" i="24"/>
  <c r="H244" i="24"/>
  <c r="G244" i="24"/>
  <c r="F244" i="24"/>
  <c r="H242" i="24"/>
  <c r="G242" i="24"/>
  <c r="F242" i="24"/>
  <c r="H241" i="24"/>
  <c r="G241" i="24"/>
  <c r="F241" i="24"/>
  <c r="E243" i="24"/>
  <c r="G243" i="24" s="1"/>
  <c r="G249" i="24" l="1"/>
  <c r="F243" i="24"/>
  <c r="F249" i="24" s="1"/>
  <c r="H243" i="24"/>
  <c r="H249" i="24" s="1"/>
  <c r="E249" i="24"/>
  <c r="E240" i="24"/>
  <c r="G239" i="24"/>
  <c r="F239" i="24"/>
  <c r="F238" i="24"/>
  <c r="G236" i="24"/>
  <c r="F236" i="24"/>
  <c r="G235" i="24"/>
  <c r="F235" i="24"/>
  <c r="H234" i="24"/>
  <c r="G234" i="24"/>
  <c r="F234" i="24"/>
  <c r="H233" i="24"/>
  <c r="G233" i="24"/>
  <c r="F233" i="24"/>
  <c r="H232" i="24"/>
  <c r="G232" i="24"/>
  <c r="F232" i="24"/>
  <c r="H231" i="24" l="1"/>
  <c r="H240" i="24" s="1"/>
  <c r="G231" i="24"/>
  <c r="G240" i="24" s="1"/>
  <c r="F231" i="24"/>
  <c r="F240" i="24" s="1"/>
  <c r="E230" i="24" l="1"/>
  <c r="F229" i="24"/>
  <c r="H227" i="24"/>
  <c r="G227" i="24"/>
  <c r="F227" i="24"/>
  <c r="G226" i="24"/>
  <c r="F226" i="24"/>
  <c r="F224" i="24"/>
  <c r="H223" i="24"/>
  <c r="G223" i="24"/>
  <c r="F223" i="24"/>
  <c r="H222" i="24"/>
  <c r="G222" i="24"/>
  <c r="F222" i="24"/>
  <c r="G221" i="24"/>
  <c r="F221" i="24"/>
  <c r="H220" i="24"/>
  <c r="G220" i="24"/>
  <c r="F220" i="24"/>
  <c r="H219" i="24"/>
  <c r="G219" i="24"/>
  <c r="F219" i="24"/>
  <c r="H218" i="24"/>
  <c r="G218" i="24"/>
  <c r="F218" i="24"/>
  <c r="H217" i="24"/>
  <c r="G217" i="24"/>
  <c r="F217" i="24"/>
  <c r="F230" i="24" l="1"/>
  <c r="G230" i="24"/>
  <c r="H230" i="24"/>
  <c r="E216" i="24"/>
  <c r="F214" i="24"/>
  <c r="H213" i="24"/>
  <c r="G213" i="24"/>
  <c r="F213" i="24"/>
  <c r="F212" i="24"/>
  <c r="H211" i="24"/>
  <c r="G211" i="24"/>
  <c r="F211" i="24"/>
  <c r="H210" i="24"/>
  <c r="G210" i="24"/>
  <c r="F210" i="24"/>
  <c r="H209" i="24"/>
  <c r="G209" i="24"/>
  <c r="F209" i="24"/>
  <c r="H208" i="24"/>
  <c r="G208" i="24"/>
  <c r="F208" i="24"/>
  <c r="H207" i="24"/>
  <c r="G207" i="24"/>
  <c r="F207" i="24"/>
  <c r="H206" i="24"/>
  <c r="G206" i="24"/>
  <c r="F206" i="24"/>
  <c r="H205" i="24"/>
  <c r="G205" i="24"/>
  <c r="F205" i="24"/>
  <c r="H204" i="24"/>
  <c r="G204" i="24"/>
  <c r="F204" i="24"/>
  <c r="H203" i="24"/>
  <c r="G203" i="24"/>
  <c r="F203" i="24"/>
  <c r="F216" i="24" l="1"/>
  <c r="H216" i="24"/>
  <c r="G216" i="24"/>
  <c r="H200" i="24"/>
  <c r="G200" i="24"/>
  <c r="F200" i="24"/>
  <c r="G198" i="24"/>
  <c r="F198" i="24"/>
  <c r="F196" i="24"/>
  <c r="H195" i="24"/>
  <c r="G195" i="24"/>
  <c r="F195" i="24"/>
  <c r="H194" i="24"/>
  <c r="G194" i="24"/>
  <c r="F194" i="24"/>
  <c r="G193" i="24"/>
  <c r="F193" i="24"/>
  <c r="H193" i="24"/>
  <c r="H191" i="24"/>
  <c r="G191" i="24"/>
  <c r="F191" i="24"/>
  <c r="H190" i="24"/>
  <c r="G190" i="24"/>
  <c r="F190" i="24"/>
  <c r="E192" i="24"/>
  <c r="H192" i="24" s="1"/>
  <c r="H202" i="24" l="1"/>
  <c r="F192" i="24"/>
  <c r="F202" i="24" s="1"/>
  <c r="E202" i="24"/>
  <c r="G192" i="24"/>
  <c r="G202" i="24" s="1"/>
  <c r="E189" i="24"/>
  <c r="G188" i="24"/>
  <c r="F188" i="24"/>
  <c r="H186" i="24"/>
  <c r="G186" i="24"/>
  <c r="F186" i="24"/>
  <c r="G185" i="24"/>
  <c r="F185" i="24"/>
  <c r="G184" i="24"/>
  <c r="F184" i="24"/>
  <c r="F183" i="24"/>
  <c r="F181" i="24"/>
  <c r="H180" i="24"/>
  <c r="G180" i="24"/>
  <c r="F180" i="24"/>
  <c r="H179" i="24"/>
  <c r="G179" i="24"/>
  <c r="F179" i="24"/>
  <c r="G178" i="24"/>
  <c r="F178" i="24"/>
  <c r="H174" i="24"/>
  <c r="G174" i="24"/>
  <c r="F174" i="24"/>
  <c r="H173" i="24"/>
  <c r="G173" i="24"/>
  <c r="F173" i="24"/>
  <c r="F171" i="24"/>
  <c r="F170" i="24"/>
  <c r="F168" i="24"/>
  <c r="H164" i="24"/>
  <c r="G164" i="24"/>
  <c r="F164" i="24"/>
  <c r="H163" i="24"/>
  <c r="G163" i="24"/>
  <c r="F163" i="24"/>
  <c r="G162" i="24"/>
  <c r="F162" i="24"/>
  <c r="H161" i="24"/>
  <c r="G161" i="24"/>
  <c r="F161" i="24"/>
  <c r="H160" i="24"/>
  <c r="G160" i="24"/>
  <c r="F160" i="24"/>
  <c r="E167" i="24"/>
  <c r="H167" i="24" s="1"/>
  <c r="E166" i="24"/>
  <c r="G166" i="24" s="1"/>
  <c r="E165" i="24"/>
  <c r="H159" i="24"/>
  <c r="G159" i="24"/>
  <c r="F159" i="24"/>
  <c r="E172" i="24" l="1"/>
  <c r="F189" i="24"/>
  <c r="H189" i="24"/>
  <c r="G189" i="24"/>
  <c r="G165" i="24"/>
  <c r="F166" i="24"/>
  <c r="H166" i="24"/>
  <c r="G167" i="24"/>
  <c r="F165" i="24"/>
  <c r="H165" i="24"/>
  <c r="F167" i="24"/>
  <c r="E158" i="24"/>
  <c r="H157" i="24"/>
  <c r="G157" i="24"/>
  <c r="F157" i="24"/>
  <c r="F153" i="24"/>
  <c r="H152" i="24"/>
  <c r="G152" i="24"/>
  <c r="F152" i="24"/>
  <c r="H151" i="24"/>
  <c r="G151" i="24"/>
  <c r="F151" i="24"/>
  <c r="H150" i="24"/>
  <c r="G150" i="24"/>
  <c r="F150" i="24"/>
  <c r="H149" i="24"/>
  <c r="G149" i="24"/>
  <c r="F149" i="24"/>
  <c r="H148" i="24"/>
  <c r="G148" i="24"/>
  <c r="F148" i="24"/>
  <c r="F158" i="24" l="1"/>
  <c r="G158" i="24"/>
  <c r="H172" i="24"/>
  <c r="H158" i="24"/>
  <c r="G172" i="24"/>
  <c r="F172" i="24"/>
  <c r="F145" i="24"/>
  <c r="H144" i="24"/>
  <c r="G144" i="24"/>
  <c r="F144" i="24"/>
  <c r="F143" i="24"/>
  <c r="H141" i="24"/>
  <c r="G141" i="24"/>
  <c r="F141" i="24"/>
  <c r="H139" i="24"/>
  <c r="H140" i="24"/>
  <c r="G139" i="24"/>
  <c r="G140" i="24"/>
  <c r="F139" i="24"/>
  <c r="F140" i="24"/>
  <c r="H136" i="24"/>
  <c r="G136" i="24"/>
  <c r="F136" i="24"/>
  <c r="H135" i="24"/>
  <c r="G135" i="24"/>
  <c r="F135" i="24"/>
  <c r="H134" i="24"/>
  <c r="G134" i="24"/>
  <c r="F134" i="24"/>
  <c r="E138" i="24"/>
  <c r="H138" i="24" s="1"/>
  <c r="E137" i="24"/>
  <c r="G137" i="24" s="1"/>
  <c r="F137" i="24" l="1"/>
  <c r="H137" i="24"/>
  <c r="H147" i="24" s="1"/>
  <c r="G138" i="24"/>
  <c r="G147" i="24" s="1"/>
  <c r="E147" i="24"/>
  <c r="F138" i="24"/>
  <c r="F131" i="24"/>
  <c r="G131" i="24"/>
  <c r="F129" i="24"/>
  <c r="H128" i="24"/>
  <c r="G128" i="24"/>
  <c r="F128" i="24"/>
  <c r="H127" i="24"/>
  <c r="G127" i="24"/>
  <c r="F127" i="24"/>
  <c r="H126" i="24"/>
  <c r="G126" i="24"/>
  <c r="F126" i="24"/>
  <c r="H125" i="24"/>
  <c r="G125" i="24"/>
  <c r="F125" i="24"/>
  <c r="F123" i="24"/>
  <c r="H122" i="24"/>
  <c r="G122" i="24"/>
  <c r="F122" i="24"/>
  <c r="H121" i="24"/>
  <c r="G121" i="24"/>
  <c r="F121" i="24"/>
  <c r="H119" i="24"/>
  <c r="G119" i="24"/>
  <c r="F119" i="24"/>
  <c r="H118" i="24"/>
  <c r="G118" i="24"/>
  <c r="F118" i="24"/>
  <c r="E120" i="24"/>
  <c r="G120" i="24" s="1"/>
  <c r="G133" i="24" l="1"/>
  <c r="F147" i="24"/>
  <c r="F120" i="24"/>
  <c r="F133" i="24" s="1"/>
  <c r="E133" i="24"/>
  <c r="H120" i="24"/>
  <c r="H133" i="24" s="1"/>
  <c r="F116" i="24"/>
  <c r="H115" i="24"/>
  <c r="G115" i="24"/>
  <c r="F115" i="24"/>
  <c r="H114" i="24"/>
  <c r="G114" i="24"/>
  <c r="F114" i="24"/>
  <c r="H112" i="24"/>
  <c r="G112" i="24"/>
  <c r="F112" i="24"/>
  <c r="E113" i="24"/>
  <c r="G113" i="24" s="1"/>
  <c r="G117" i="24" l="1"/>
  <c r="F113" i="24"/>
  <c r="F117" i="24" s="1"/>
  <c r="H113" i="24"/>
  <c r="H117" i="24" s="1"/>
  <c r="E117" i="24"/>
  <c r="E111" i="24"/>
  <c r="H110" i="24"/>
  <c r="G110" i="24"/>
  <c r="F110" i="24"/>
  <c r="H109" i="24"/>
  <c r="G109" i="24"/>
  <c r="F109" i="24"/>
  <c r="F108" i="24"/>
  <c r="H106" i="24"/>
  <c r="G106" i="24"/>
  <c r="F106" i="24"/>
  <c r="H105" i="24"/>
  <c r="G105" i="24"/>
  <c r="F105" i="24"/>
  <c r="H104" i="24"/>
  <c r="G104" i="24"/>
  <c r="F104" i="24"/>
  <c r="G103" i="24"/>
  <c r="F103" i="24"/>
  <c r="H102" i="24"/>
  <c r="G102" i="24"/>
  <c r="F102" i="24"/>
  <c r="H101" i="24"/>
  <c r="G101" i="24"/>
  <c r="F101" i="24"/>
  <c r="F111" i="24" l="1"/>
  <c r="H111" i="24"/>
  <c r="G111" i="24"/>
  <c r="E100" i="24"/>
  <c r="H99" i="24"/>
  <c r="G99" i="24"/>
  <c r="F99" i="24"/>
  <c r="H98" i="24"/>
  <c r="G98" i="24"/>
  <c r="F98" i="24"/>
  <c r="H97" i="24"/>
  <c r="G97" i="24"/>
  <c r="F97" i="24"/>
  <c r="H95" i="24"/>
  <c r="G95" i="24"/>
  <c r="F95" i="24"/>
  <c r="F94" i="24"/>
  <c r="G93" i="24"/>
  <c r="F93" i="24"/>
  <c r="F92" i="24"/>
  <c r="F90" i="24"/>
  <c r="H89" i="24"/>
  <c r="G89" i="24"/>
  <c r="F89" i="24"/>
  <c r="H88" i="24"/>
  <c r="G88" i="24"/>
  <c r="F88" i="24"/>
  <c r="G87" i="24"/>
  <c r="F87" i="24"/>
  <c r="G100" i="24" l="1"/>
  <c r="F100" i="24"/>
  <c r="H100" i="24"/>
  <c r="F85" i="24"/>
  <c r="H84" i="24"/>
  <c r="G84" i="24"/>
  <c r="F84" i="24"/>
  <c r="F82" i="24"/>
  <c r="F81" i="24"/>
  <c r="H80" i="24"/>
  <c r="G80" i="24"/>
  <c r="F80" i="24"/>
  <c r="H79" i="24"/>
  <c r="G79" i="24"/>
  <c r="F79" i="24"/>
  <c r="G78" i="24"/>
  <c r="F78" i="24"/>
  <c r="F76" i="24"/>
  <c r="G75" i="24"/>
  <c r="F75" i="24"/>
  <c r="E74" i="24"/>
  <c r="F74" i="24" s="1"/>
  <c r="E73" i="24"/>
  <c r="G73" i="24" s="1"/>
  <c r="G74" i="24" l="1"/>
  <c r="G86" i="24" s="1"/>
  <c r="F73" i="24"/>
  <c r="F86" i="24" s="1"/>
  <c r="H73" i="24"/>
  <c r="H86" i="24" s="1"/>
  <c r="E86" i="24"/>
  <c r="H69" i="24"/>
  <c r="G69" i="24"/>
  <c r="F69" i="24"/>
  <c r="H66" i="24"/>
  <c r="G66" i="24"/>
  <c r="F66" i="24"/>
  <c r="E68" i="24"/>
  <c r="H68" i="24" s="1"/>
  <c r="E67" i="24"/>
  <c r="E72" i="24" l="1"/>
  <c r="H67" i="24"/>
  <c r="H72" i="24" s="1"/>
  <c r="F67" i="24"/>
  <c r="G68" i="24"/>
  <c r="G67" i="24"/>
  <c r="F68" i="24"/>
  <c r="F64" i="24"/>
  <c r="H63" i="24"/>
  <c r="G63" i="24"/>
  <c r="F63" i="24"/>
  <c r="G61" i="24"/>
  <c r="F61" i="24"/>
  <c r="F60" i="24"/>
  <c r="H59" i="24"/>
  <c r="G59" i="24"/>
  <c r="F59" i="24"/>
  <c r="H58" i="24"/>
  <c r="G58" i="24"/>
  <c r="F58" i="24"/>
  <c r="H57" i="24"/>
  <c r="G57" i="24"/>
  <c r="F57" i="24"/>
  <c r="E56" i="24"/>
  <c r="E65" i="24" s="1"/>
  <c r="G72" i="24" l="1"/>
  <c r="F72" i="24"/>
  <c r="F56" i="24"/>
  <c r="F65" i="24" s="1"/>
  <c r="H56" i="24"/>
  <c r="H65" i="24" s="1"/>
  <c r="G56" i="24"/>
  <c r="G65" i="24" s="1"/>
  <c r="E55" i="24"/>
  <c r="F54" i="24"/>
  <c r="F52" i="24"/>
  <c r="F50" i="24"/>
  <c r="H48" i="24"/>
  <c r="G48" i="24"/>
  <c r="F48" i="24"/>
  <c r="H47" i="24"/>
  <c r="G47" i="24"/>
  <c r="F47" i="24"/>
  <c r="H46" i="24"/>
  <c r="G46" i="24"/>
  <c r="F46" i="24"/>
  <c r="F44" i="24"/>
  <c r="H42" i="24"/>
  <c r="H43" i="24"/>
  <c r="G42" i="24"/>
  <c r="G43" i="24"/>
  <c r="F42" i="24"/>
  <c r="F43" i="24"/>
  <c r="H41" i="24"/>
  <c r="G41" i="24"/>
  <c r="F41" i="24"/>
  <c r="H40" i="24"/>
  <c r="G40" i="24"/>
  <c r="F40" i="24"/>
  <c r="H39" i="24"/>
  <c r="G39" i="24"/>
  <c r="F39" i="24"/>
  <c r="H38" i="24"/>
  <c r="G38" i="24"/>
  <c r="F38" i="24"/>
  <c r="H37" i="24"/>
  <c r="G37" i="24"/>
  <c r="F37" i="24"/>
  <c r="F55" i="24" l="1"/>
  <c r="H55" i="24"/>
  <c r="G55" i="24"/>
  <c r="F33" i="24"/>
  <c r="G32" i="24"/>
  <c r="F32" i="24"/>
  <c r="F30" i="24"/>
  <c r="F29" i="24"/>
  <c r="H28" i="24"/>
  <c r="G28" i="24"/>
  <c r="F28" i="24"/>
  <c r="H27" i="24"/>
  <c r="G27" i="24"/>
  <c r="F27" i="24"/>
  <c r="H25" i="24"/>
  <c r="G25" i="24"/>
  <c r="F25" i="24"/>
  <c r="H23" i="24"/>
  <c r="G23" i="24"/>
  <c r="F23" i="24"/>
  <c r="H21" i="24"/>
  <c r="G21" i="24"/>
  <c r="F21" i="24"/>
  <c r="E26" i="24"/>
  <c r="G26" i="24" s="1"/>
  <c r="E24" i="24"/>
  <c r="G24" i="24" s="1"/>
  <c r="E22" i="24"/>
  <c r="G22" i="24" s="1"/>
  <c r="H24" i="24" l="1"/>
  <c r="F24" i="24"/>
  <c r="G36" i="24"/>
  <c r="F22" i="24"/>
  <c r="H22" i="24"/>
  <c r="F26" i="24"/>
  <c r="H26" i="24"/>
  <c r="E36" i="24"/>
  <c r="E20" i="24"/>
  <c r="F17" i="24"/>
  <c r="H16" i="24"/>
  <c r="H15" i="24"/>
  <c r="G16" i="24"/>
  <c r="F16" i="24"/>
  <c r="G15" i="24"/>
  <c r="F15" i="24"/>
  <c r="H14" i="24"/>
  <c r="G14" i="24"/>
  <c r="F14" i="24"/>
  <c r="H36" i="24" l="1"/>
  <c r="F36" i="24"/>
  <c r="F20" i="24"/>
  <c r="H20" i="24"/>
  <c r="G20" i="24"/>
  <c r="E13" i="24"/>
  <c r="F10" i="24"/>
  <c r="G9" i="24"/>
  <c r="F9" i="24"/>
  <c r="H8" i="24"/>
  <c r="G8" i="24"/>
  <c r="F8" i="24"/>
  <c r="H7" i="24"/>
  <c r="G7" i="24"/>
  <c r="F7" i="24"/>
  <c r="H6" i="24"/>
  <c r="G6" i="24"/>
  <c r="F6" i="24"/>
  <c r="F5" i="24"/>
  <c r="H4" i="24"/>
  <c r="G4" i="24"/>
  <c r="F4" i="24"/>
  <c r="H3" i="24"/>
  <c r="G3" i="24"/>
  <c r="F3" i="24"/>
  <c r="H2" i="24"/>
  <c r="G2" i="24"/>
  <c r="F2" i="24"/>
  <c r="H376" i="23"/>
  <c r="G376" i="23"/>
  <c r="F376" i="23"/>
  <c r="H375" i="23"/>
  <c r="G375" i="23"/>
  <c r="F375" i="23"/>
  <c r="G373" i="23"/>
  <c r="F373" i="23"/>
  <c r="H372" i="23"/>
  <c r="G372" i="23"/>
  <c r="F372" i="23"/>
  <c r="H370" i="23"/>
  <c r="G370" i="23"/>
  <c r="F370" i="23"/>
  <c r="H369" i="23"/>
  <c r="G369" i="23"/>
  <c r="F369" i="23"/>
  <c r="E371" i="23"/>
  <c r="E378" i="23" s="1"/>
  <c r="F371" i="23" l="1"/>
  <c r="H371" i="23"/>
  <c r="H378" i="23" s="1"/>
  <c r="F378" i="23"/>
  <c r="G371" i="23"/>
  <c r="G378" i="23" s="1"/>
  <c r="F13" i="24"/>
  <c r="H13" i="24"/>
  <c r="G13" i="24"/>
  <c r="E368" i="23"/>
  <c r="F367" i="23"/>
  <c r="H366" i="23"/>
  <c r="G366" i="23"/>
  <c r="F366" i="23"/>
  <c r="H365" i="23"/>
  <c r="G365" i="23"/>
  <c r="F365" i="23"/>
  <c r="H364" i="23"/>
  <c r="G364" i="23"/>
  <c r="F364" i="23"/>
  <c r="H363" i="23"/>
  <c r="G363" i="23"/>
  <c r="F363" i="23"/>
  <c r="F368" i="23" l="1"/>
  <c r="H368" i="23"/>
  <c r="G368" i="23"/>
  <c r="E362" i="23"/>
  <c r="G361" i="23"/>
  <c r="F361" i="23"/>
  <c r="H359" i="23"/>
  <c r="H362" i="23" s="1"/>
  <c r="G359" i="23"/>
  <c r="F359" i="23"/>
  <c r="F358" i="23"/>
  <c r="G357" i="23"/>
  <c r="F357" i="23"/>
  <c r="F362" i="23" l="1"/>
  <c r="G362" i="23"/>
  <c r="F355" i="23"/>
  <c r="H353" i="23"/>
  <c r="G353" i="23"/>
  <c r="F353" i="23"/>
  <c r="H352" i="23"/>
  <c r="G352" i="23"/>
  <c r="F352" i="23"/>
  <c r="G351" i="23"/>
  <c r="F351" i="23"/>
  <c r="H350" i="23"/>
  <c r="G350" i="23"/>
  <c r="F350" i="23"/>
  <c r="H347" i="23"/>
  <c r="G347" i="23"/>
  <c r="F347" i="23"/>
  <c r="H345" i="23"/>
  <c r="G345" i="23"/>
  <c r="F345" i="23"/>
  <c r="E349" i="23"/>
  <c r="G349" i="23" s="1"/>
  <c r="E348" i="23"/>
  <c r="H348" i="23" s="1"/>
  <c r="E346" i="23"/>
  <c r="G346" i="23" s="1"/>
  <c r="G348" i="23" l="1"/>
  <c r="G356" i="23" s="1"/>
  <c r="F349" i="23"/>
  <c r="H349" i="23"/>
  <c r="F348" i="23"/>
  <c r="E356" i="23"/>
  <c r="F346" i="23"/>
  <c r="F356" i="23" s="1"/>
  <c r="H346" i="23"/>
  <c r="H343" i="23"/>
  <c r="G343" i="23"/>
  <c r="F343" i="23"/>
  <c r="H342" i="23"/>
  <c r="G342" i="23"/>
  <c r="F342" i="23"/>
  <c r="H341" i="23"/>
  <c r="G341" i="23"/>
  <c r="F341" i="23"/>
  <c r="H336" i="23"/>
  <c r="G336" i="23"/>
  <c r="F336" i="23"/>
  <c r="H335" i="23"/>
  <c r="F335" i="23"/>
  <c r="G335" i="23"/>
  <c r="H333" i="23"/>
  <c r="G333" i="23"/>
  <c r="F333" i="23"/>
  <c r="E334" i="23"/>
  <c r="H334" i="23" s="1"/>
  <c r="E332" i="23"/>
  <c r="H332" i="23" s="1"/>
  <c r="E331" i="23"/>
  <c r="H331" i="23" s="1"/>
  <c r="H356" i="23" l="1"/>
  <c r="H344" i="23"/>
  <c r="G331" i="23"/>
  <c r="G332" i="23"/>
  <c r="F334" i="23"/>
  <c r="G334" i="23"/>
  <c r="E344" i="23"/>
  <c r="F331" i="23"/>
  <c r="F332" i="23"/>
  <c r="E330" i="23"/>
  <c r="G328" i="23"/>
  <c r="F328" i="23"/>
  <c r="F327" i="23"/>
  <c r="H326" i="23"/>
  <c r="G326" i="23"/>
  <c r="F326" i="23"/>
  <c r="H325" i="23"/>
  <c r="G325" i="23"/>
  <c r="F325" i="23"/>
  <c r="G324" i="23"/>
  <c r="F324" i="23"/>
  <c r="E323" i="23"/>
  <c r="F321" i="23"/>
  <c r="H320" i="23"/>
  <c r="G320" i="23"/>
  <c r="F320" i="23"/>
  <c r="F315" i="23"/>
  <c r="F318" i="23"/>
  <c r="H317" i="23"/>
  <c r="G317" i="23"/>
  <c r="F317" i="23"/>
  <c r="H316" i="23"/>
  <c r="G316" i="23"/>
  <c r="F316" i="23"/>
  <c r="G315" i="23"/>
  <c r="H314" i="23"/>
  <c r="G314" i="23"/>
  <c r="F314" i="23"/>
  <c r="H313" i="23"/>
  <c r="G313" i="23"/>
  <c r="F313" i="23"/>
  <c r="F312" i="23"/>
  <c r="H312" i="23"/>
  <c r="G312" i="23"/>
  <c r="F305" i="23"/>
  <c r="G304" i="23"/>
  <c r="F304" i="23"/>
  <c r="E311" i="23"/>
  <c r="F310" i="23"/>
  <c r="F309" i="23"/>
  <c r="H308" i="23"/>
  <c r="G308" i="23"/>
  <c r="F308" i="23"/>
  <c r="H307" i="23"/>
  <c r="G307" i="23"/>
  <c r="F307" i="23"/>
  <c r="F303" i="23"/>
  <c r="F302" i="23"/>
  <c r="F301" i="23"/>
  <c r="H300" i="23"/>
  <c r="G300" i="23"/>
  <c r="F300" i="23"/>
  <c r="H299" i="23"/>
  <c r="G299" i="23"/>
  <c r="F299" i="23"/>
  <c r="H298" i="23"/>
  <c r="G298" i="23"/>
  <c r="F298" i="23"/>
  <c r="G311" i="23" l="1"/>
  <c r="H323" i="23"/>
  <c r="F330" i="23"/>
  <c r="H330" i="23"/>
  <c r="F311" i="23"/>
  <c r="H311" i="23"/>
  <c r="G323" i="23"/>
  <c r="F323" i="23"/>
  <c r="G330" i="23"/>
  <c r="F344" i="23"/>
  <c r="G344" i="23"/>
  <c r="G295" i="23"/>
  <c r="F295" i="23"/>
  <c r="H294" i="23"/>
  <c r="G294" i="23"/>
  <c r="F294" i="23"/>
  <c r="H293" i="23"/>
  <c r="G293" i="23"/>
  <c r="F293" i="23"/>
  <c r="H292" i="23"/>
  <c r="G292" i="23"/>
  <c r="F292" i="23"/>
  <c r="H291" i="23"/>
  <c r="G291" i="23"/>
  <c r="F291" i="23"/>
  <c r="H289" i="23"/>
  <c r="G289" i="23"/>
  <c r="F289" i="23"/>
  <c r="E290" i="23" l="1"/>
  <c r="H290" i="23" l="1"/>
  <c r="H297" i="23" s="1"/>
  <c r="F290" i="23"/>
  <c r="F297" i="23" s="1"/>
  <c r="E297" i="23"/>
  <c r="G290" i="23"/>
  <c r="G297" i="23" s="1"/>
  <c r="E288" i="23"/>
  <c r="F287" i="23"/>
  <c r="H286" i="23"/>
  <c r="G286" i="23"/>
  <c r="F286" i="23"/>
  <c r="G284" i="23"/>
  <c r="F284" i="23"/>
  <c r="G280" i="23"/>
  <c r="F280" i="23"/>
  <c r="H279" i="23"/>
  <c r="G279" i="23"/>
  <c r="F279" i="23"/>
  <c r="H278" i="23"/>
  <c r="G278" i="23"/>
  <c r="F278" i="23"/>
  <c r="H277" i="23"/>
  <c r="G277" i="23"/>
  <c r="F277" i="23"/>
  <c r="H276" i="23"/>
  <c r="G276" i="23"/>
  <c r="F276" i="23"/>
  <c r="H275" i="23"/>
  <c r="G275" i="23"/>
  <c r="F275" i="23"/>
  <c r="G288" i="23" l="1"/>
  <c r="F288" i="23"/>
  <c r="H288" i="23"/>
  <c r="E274" i="23"/>
  <c r="G272" i="23"/>
  <c r="F272" i="23"/>
  <c r="F271" i="23"/>
  <c r="F268" i="23"/>
  <c r="H267" i="23"/>
  <c r="G267" i="23"/>
  <c r="F267" i="23"/>
  <c r="H266" i="23"/>
  <c r="G266" i="23"/>
  <c r="F266" i="23"/>
  <c r="H265" i="23"/>
  <c r="G265" i="23"/>
  <c r="F265" i="23"/>
  <c r="G264" i="23"/>
  <c r="F264" i="23"/>
  <c r="H262" i="23"/>
  <c r="H263" i="23"/>
  <c r="G262" i="23"/>
  <c r="G263" i="23"/>
  <c r="F262" i="23"/>
  <c r="F263" i="23"/>
  <c r="H261" i="23"/>
  <c r="G261" i="23"/>
  <c r="F261" i="23"/>
  <c r="H260" i="23"/>
  <c r="G260" i="23"/>
  <c r="F260" i="23"/>
  <c r="H259" i="23"/>
  <c r="G259" i="23"/>
  <c r="F259" i="23"/>
  <c r="H258" i="23"/>
  <c r="G258" i="23"/>
  <c r="F258" i="23"/>
  <c r="H257" i="23"/>
  <c r="G257" i="23"/>
  <c r="F257" i="23"/>
  <c r="F274" i="23" l="1"/>
  <c r="G274" i="23"/>
  <c r="H274" i="23"/>
  <c r="F255" i="23"/>
  <c r="H253" i="23"/>
  <c r="H254" i="23"/>
  <c r="G253" i="23"/>
  <c r="G254" i="23"/>
  <c r="F254" i="23"/>
  <c r="F253" i="23"/>
  <c r="H252" i="23"/>
  <c r="G252" i="23"/>
  <c r="F252" i="23"/>
  <c r="H250" i="23"/>
  <c r="G250" i="23"/>
  <c r="F250" i="23"/>
  <c r="H249" i="23"/>
  <c r="G249" i="23"/>
  <c r="F249" i="23"/>
  <c r="H247" i="23"/>
  <c r="G247" i="23"/>
  <c r="F247" i="23"/>
  <c r="E251" i="23"/>
  <c r="H251" i="23" s="1"/>
  <c r="E248" i="23"/>
  <c r="G248" i="23" s="1"/>
  <c r="F248" i="23" l="1"/>
  <c r="H248" i="23"/>
  <c r="H256" i="23" s="1"/>
  <c r="G251" i="23"/>
  <c r="G256" i="23" s="1"/>
  <c r="E256" i="23"/>
  <c r="F251" i="23"/>
  <c r="F256" i="23" l="1"/>
  <c r="F244" i="23"/>
  <c r="H242" i="23"/>
  <c r="G242" i="23"/>
  <c r="F242" i="23"/>
  <c r="H240" i="23"/>
  <c r="H241" i="23"/>
  <c r="G240" i="23"/>
  <c r="G241" i="23"/>
  <c r="F241" i="23"/>
  <c r="F240" i="23"/>
  <c r="F238" i="23"/>
  <c r="H238" i="23"/>
  <c r="G238" i="23"/>
  <c r="H237" i="23"/>
  <c r="G237" i="23"/>
  <c r="F237" i="23"/>
  <c r="H236" i="23"/>
  <c r="G236" i="23"/>
  <c r="F236" i="23"/>
  <c r="H235" i="23"/>
  <c r="G235" i="23"/>
  <c r="F235" i="23"/>
  <c r="H234" i="23"/>
  <c r="G234" i="23"/>
  <c r="F234" i="23"/>
  <c r="H233" i="23"/>
  <c r="G233" i="23"/>
  <c r="F233" i="23"/>
  <c r="E239" i="23"/>
  <c r="E246" i="23" s="1"/>
  <c r="F239" i="23" l="1"/>
  <c r="H239" i="23"/>
  <c r="H246" i="23" s="1"/>
  <c r="F246" i="23"/>
  <c r="G239" i="23"/>
  <c r="G246" i="23" s="1"/>
  <c r="E232" i="23"/>
  <c r="H223" i="23"/>
  <c r="G223" i="23"/>
  <c r="F223" i="23"/>
  <c r="H222" i="23"/>
  <c r="G222" i="23"/>
  <c r="F222" i="23"/>
  <c r="H221" i="23"/>
  <c r="G221" i="23"/>
  <c r="F221" i="23"/>
  <c r="F229" i="23"/>
  <c r="F230" i="23"/>
  <c r="G229" i="23"/>
  <c r="F228" i="23" l="1"/>
  <c r="H227" i="23"/>
  <c r="G227" i="23"/>
  <c r="F227" i="23"/>
  <c r="H226" i="23"/>
  <c r="G226" i="23"/>
  <c r="F226" i="23"/>
  <c r="G225" i="23"/>
  <c r="F225" i="23"/>
  <c r="G232" i="23" l="1"/>
  <c r="F232" i="23"/>
  <c r="H232" i="23"/>
  <c r="E220" i="23"/>
  <c r="G216" i="23"/>
  <c r="F216" i="23"/>
  <c r="H215" i="23"/>
  <c r="G215" i="23"/>
  <c r="F215" i="23"/>
  <c r="H214" i="23"/>
  <c r="G214" i="23"/>
  <c r="F214" i="23"/>
  <c r="G213" i="23"/>
  <c r="F213" i="23"/>
  <c r="F220" i="23" l="1"/>
  <c r="H220" i="23"/>
  <c r="G220" i="23"/>
  <c r="F211" i="23"/>
  <c r="F210" i="23"/>
  <c r="G210" i="23"/>
  <c r="H209" i="23"/>
  <c r="G209" i="23"/>
  <c r="F209" i="23"/>
  <c r="H208" i="23"/>
  <c r="G208" i="23"/>
  <c r="F208" i="23"/>
  <c r="H206" i="23"/>
  <c r="G206" i="23"/>
  <c r="F206" i="23"/>
  <c r="E207" i="23"/>
  <c r="E212" i="23" s="1"/>
  <c r="F207" i="23" l="1"/>
  <c r="H207" i="23"/>
  <c r="F212" i="23"/>
  <c r="H212" i="23"/>
  <c r="G207" i="23"/>
  <c r="G212" i="23" s="1"/>
  <c r="E205" i="23"/>
  <c r="F204" i="23"/>
  <c r="H200" i="23"/>
  <c r="G200" i="23"/>
  <c r="F200" i="23"/>
  <c r="G199" i="23"/>
  <c r="F199" i="23"/>
  <c r="F198" i="23"/>
  <c r="F197" i="23"/>
  <c r="F196" i="23"/>
  <c r="H195" i="23"/>
  <c r="G195" i="23"/>
  <c r="G196" i="23"/>
  <c r="G197" i="23"/>
  <c r="F195" i="23"/>
  <c r="H194" i="23"/>
  <c r="G194" i="23"/>
  <c r="F194" i="23"/>
  <c r="H193" i="23"/>
  <c r="G193" i="23"/>
  <c r="F193" i="23"/>
  <c r="H192" i="23"/>
  <c r="G192" i="23"/>
  <c r="F192" i="23"/>
  <c r="F205" i="23" l="1"/>
  <c r="H205" i="23"/>
  <c r="G205" i="23"/>
  <c r="E179" i="23"/>
  <c r="H179" i="23" s="1"/>
  <c r="G179" i="23" l="1"/>
  <c r="F179" i="23"/>
  <c r="F189" i="23"/>
  <c r="H188" i="23"/>
  <c r="G188" i="23"/>
  <c r="F188" i="23"/>
  <c r="H187" i="23"/>
  <c r="G187" i="23"/>
  <c r="F187" i="23"/>
  <c r="E186" i="23"/>
  <c r="G186" i="23" s="1"/>
  <c r="F182" i="23"/>
  <c r="H180" i="23"/>
  <c r="G180" i="23"/>
  <c r="F180" i="23"/>
  <c r="H178" i="23"/>
  <c r="G178" i="23"/>
  <c r="F178" i="23"/>
  <c r="H185" i="23"/>
  <c r="G185" i="23"/>
  <c r="F185" i="23"/>
  <c r="H184" i="23"/>
  <c r="G184" i="23"/>
  <c r="F184" i="23"/>
  <c r="E181" i="23"/>
  <c r="G181" i="23" s="1"/>
  <c r="H177" i="23"/>
  <c r="G177" i="23"/>
  <c r="F177" i="23"/>
  <c r="H176" i="23"/>
  <c r="G176" i="23"/>
  <c r="F176" i="23"/>
  <c r="H175" i="23"/>
  <c r="G175" i="23"/>
  <c r="F175" i="23"/>
  <c r="H191" i="23" l="1"/>
  <c r="F181" i="23"/>
  <c r="E191" i="23"/>
  <c r="F186" i="23"/>
  <c r="F191" i="23" s="1"/>
  <c r="G191" i="23"/>
  <c r="E173" i="23"/>
  <c r="E174" i="23" s="1"/>
  <c r="H172" i="23"/>
  <c r="G172" i="23"/>
  <c r="F172" i="23"/>
  <c r="H171" i="23"/>
  <c r="G171" i="23"/>
  <c r="F171" i="23"/>
  <c r="H170" i="23"/>
  <c r="G170" i="23"/>
  <c r="F170" i="23"/>
  <c r="F173" i="23" l="1"/>
  <c r="F174" i="23" s="1"/>
  <c r="H173" i="23"/>
  <c r="H174" i="23" s="1"/>
  <c r="G173" i="23"/>
  <c r="G174" i="23" s="1"/>
  <c r="E169" i="23"/>
  <c r="F168" i="23"/>
  <c r="F165" i="23"/>
  <c r="H164" i="23"/>
  <c r="G164" i="23"/>
  <c r="F164" i="23"/>
  <c r="H163" i="23"/>
  <c r="G163" i="23"/>
  <c r="F163" i="23"/>
  <c r="G162" i="23"/>
  <c r="F162" i="23"/>
  <c r="F161" i="23"/>
  <c r="H160" i="23"/>
  <c r="G160" i="23"/>
  <c r="F160" i="23"/>
  <c r="H159" i="23"/>
  <c r="F159" i="23"/>
  <c r="G159" i="23"/>
  <c r="H158" i="23"/>
  <c r="G158" i="23"/>
  <c r="F158" i="23"/>
  <c r="H157" i="23"/>
  <c r="G157" i="23"/>
  <c r="F157" i="23"/>
  <c r="H156" i="23"/>
  <c r="G156" i="23"/>
  <c r="F156" i="23"/>
  <c r="H155" i="23"/>
  <c r="G155" i="23"/>
  <c r="F155" i="23"/>
  <c r="F169" i="23" l="1"/>
  <c r="H169" i="23"/>
  <c r="G169" i="23"/>
  <c r="E154" i="23"/>
  <c r="H153" i="23"/>
  <c r="G153" i="23"/>
  <c r="F153" i="23"/>
  <c r="H152" i="23"/>
  <c r="G152" i="23"/>
  <c r="F152" i="23"/>
  <c r="G151" i="23"/>
  <c r="F151" i="23"/>
  <c r="G150" i="23"/>
  <c r="F150" i="23"/>
  <c r="F148" i="23"/>
  <c r="H147" i="23"/>
  <c r="G147" i="23"/>
  <c r="F147" i="23"/>
  <c r="H146" i="23"/>
  <c r="G146" i="23"/>
  <c r="F146" i="23"/>
  <c r="H145" i="23"/>
  <c r="G145" i="23"/>
  <c r="F145" i="23"/>
  <c r="F144" i="23"/>
  <c r="H142" i="23"/>
  <c r="G142" i="23"/>
  <c r="F142" i="23"/>
  <c r="H141" i="23"/>
  <c r="G141" i="23"/>
  <c r="F141" i="23"/>
  <c r="H140" i="23"/>
  <c r="G140" i="23"/>
  <c r="F140" i="23"/>
  <c r="E139" i="23"/>
  <c r="F138" i="23"/>
  <c r="F137" i="23"/>
  <c r="F135" i="23"/>
  <c r="H134" i="23"/>
  <c r="G134" i="23"/>
  <c r="F134" i="23"/>
  <c r="H133" i="23"/>
  <c r="G133" i="23"/>
  <c r="F133" i="23"/>
  <c r="H132" i="23"/>
  <c r="G132" i="23"/>
  <c r="F132" i="23"/>
  <c r="G129" i="23"/>
  <c r="F129" i="23"/>
  <c r="H128" i="23"/>
  <c r="G128" i="23"/>
  <c r="F128" i="23"/>
  <c r="F139" i="23" l="1"/>
  <c r="H139" i="23"/>
  <c r="F154" i="23"/>
  <c r="H154" i="23"/>
  <c r="G139" i="23"/>
  <c r="G154" i="23"/>
  <c r="F124" i="23"/>
  <c r="H122" i="23"/>
  <c r="G122" i="23"/>
  <c r="F122" i="23"/>
  <c r="H121" i="23"/>
  <c r="G121" i="23"/>
  <c r="F121" i="23"/>
  <c r="G120" i="23"/>
  <c r="F120" i="23"/>
  <c r="F118" i="23"/>
  <c r="G117" i="23"/>
  <c r="F117" i="23"/>
  <c r="H116" i="23"/>
  <c r="G116" i="23"/>
  <c r="F116" i="23"/>
  <c r="H115" i="23"/>
  <c r="G115" i="23"/>
  <c r="F115" i="23"/>
  <c r="H113" i="23"/>
  <c r="G113" i="23"/>
  <c r="F113" i="23"/>
  <c r="E114" i="23"/>
  <c r="E127" i="23" s="1"/>
  <c r="F114" i="23" l="1"/>
  <c r="F127" i="23" s="1"/>
  <c r="H114" i="23"/>
  <c r="H127" i="23" s="1"/>
  <c r="G114" i="23"/>
  <c r="G127" i="23" s="1"/>
  <c r="F111" i="23"/>
  <c r="F110" i="23"/>
  <c r="H109" i="23"/>
  <c r="G109" i="23"/>
  <c r="F109" i="23"/>
  <c r="H108" i="23"/>
  <c r="G108" i="23"/>
  <c r="F108" i="23"/>
  <c r="G107" i="23"/>
  <c r="F107" i="23"/>
  <c r="G102" i="23"/>
  <c r="F102" i="23"/>
  <c r="H98" i="23"/>
  <c r="G98" i="23"/>
  <c r="F98" i="23"/>
  <c r="E101" i="23"/>
  <c r="G101" i="23" s="1"/>
  <c r="E100" i="23"/>
  <c r="H100" i="23" s="1"/>
  <c r="E99" i="23"/>
  <c r="H99" i="23" s="1"/>
  <c r="G100" i="23" l="1"/>
  <c r="F99" i="23"/>
  <c r="F101" i="23"/>
  <c r="H101" i="23"/>
  <c r="H112" i="23" s="1"/>
  <c r="G99" i="23"/>
  <c r="G112" i="23" s="1"/>
  <c r="F100" i="23"/>
  <c r="E112" i="23"/>
  <c r="E97" i="23"/>
  <c r="H96" i="23"/>
  <c r="G96" i="23"/>
  <c r="F96" i="23"/>
  <c r="H95" i="23"/>
  <c r="G95" i="23"/>
  <c r="F95" i="23"/>
  <c r="H94" i="23"/>
  <c r="G94" i="23"/>
  <c r="F94" i="23"/>
  <c r="G93" i="23"/>
  <c r="F93" i="23"/>
  <c r="F89" i="23"/>
  <c r="G88" i="23"/>
  <c r="F88" i="23"/>
  <c r="H87" i="23"/>
  <c r="G87" i="23"/>
  <c r="F87" i="23"/>
  <c r="H86" i="23"/>
  <c r="G86" i="23"/>
  <c r="F86" i="23"/>
  <c r="H85" i="23"/>
  <c r="G85" i="23"/>
  <c r="F85" i="23"/>
  <c r="G97" i="23" l="1"/>
  <c r="F97" i="23"/>
  <c r="H97" i="23"/>
  <c r="F112" i="23"/>
  <c r="F82" i="23"/>
  <c r="H80" i="23"/>
  <c r="G80" i="23"/>
  <c r="F80" i="23"/>
  <c r="H79" i="23"/>
  <c r="G79" i="23"/>
  <c r="F79" i="23"/>
  <c r="G78" i="23"/>
  <c r="F78" i="23"/>
  <c r="F76" i="23"/>
  <c r="F74" i="23"/>
  <c r="F75" i="23"/>
  <c r="G74" i="23"/>
  <c r="G75" i="23"/>
  <c r="E72" i="23"/>
  <c r="H72" i="23" s="1"/>
  <c r="E73" i="23"/>
  <c r="F73" i="23" s="1"/>
  <c r="E71" i="23"/>
  <c r="F71" i="23" s="1"/>
  <c r="E70" i="23"/>
  <c r="G70" i="23" s="1"/>
  <c r="E69" i="23"/>
  <c r="H69" i="23" s="1"/>
  <c r="H71" i="23" l="1"/>
  <c r="G71" i="23"/>
  <c r="G73" i="23"/>
  <c r="F72" i="23"/>
  <c r="G72" i="23"/>
  <c r="E84" i="23"/>
  <c r="G69" i="23"/>
  <c r="F70" i="23"/>
  <c r="H70" i="23"/>
  <c r="H84" i="23" s="1"/>
  <c r="F69" i="23"/>
  <c r="F84" i="23" s="1"/>
  <c r="G67" i="23"/>
  <c r="F67" i="23"/>
  <c r="F66" i="23"/>
  <c r="H65" i="23"/>
  <c r="G65" i="23"/>
  <c r="F65" i="23"/>
  <c r="G64" i="23"/>
  <c r="F64" i="23"/>
  <c r="G63" i="23"/>
  <c r="F63" i="23"/>
  <c r="G62" i="23"/>
  <c r="F62" i="23"/>
  <c r="H61" i="23"/>
  <c r="G61" i="23"/>
  <c r="F61" i="23"/>
  <c r="H60" i="23"/>
  <c r="G60" i="23"/>
  <c r="F60" i="23"/>
  <c r="H59" i="23"/>
  <c r="G59" i="23"/>
  <c r="F59" i="23"/>
  <c r="E58" i="23"/>
  <c r="G58" i="23" s="1"/>
  <c r="E57" i="23"/>
  <c r="G57" i="23" s="1"/>
  <c r="E56" i="23"/>
  <c r="H56" i="23" s="1"/>
  <c r="G84" i="23" l="1"/>
  <c r="G56" i="23"/>
  <c r="G68" i="23" s="1"/>
  <c r="F57" i="23"/>
  <c r="H57" i="23"/>
  <c r="F58" i="23"/>
  <c r="H58" i="23"/>
  <c r="E68" i="23"/>
  <c r="F56" i="23"/>
  <c r="E55" i="23"/>
  <c r="H54" i="23"/>
  <c r="G54" i="23"/>
  <c r="F54" i="23"/>
  <c r="F52" i="23"/>
  <c r="G51" i="23"/>
  <c r="F51" i="23"/>
  <c r="H50" i="23"/>
  <c r="G50" i="23"/>
  <c r="F50" i="23"/>
  <c r="H49" i="23"/>
  <c r="G49" i="23"/>
  <c r="F49" i="23"/>
  <c r="G48" i="23"/>
  <c r="F48" i="23"/>
  <c r="H46" i="23"/>
  <c r="H47" i="23"/>
  <c r="G47" i="23"/>
  <c r="F47" i="23"/>
  <c r="G46" i="23"/>
  <c r="F46" i="23"/>
  <c r="H45" i="23"/>
  <c r="G45" i="23"/>
  <c r="F45" i="23"/>
  <c r="H44" i="23"/>
  <c r="G44" i="23"/>
  <c r="F44" i="23"/>
  <c r="H43" i="23"/>
  <c r="G43" i="23"/>
  <c r="F43" i="23"/>
  <c r="H42" i="23"/>
  <c r="G42" i="23"/>
  <c r="F42" i="23"/>
  <c r="H40" i="23"/>
  <c r="G40" i="23"/>
  <c r="F40" i="23"/>
  <c r="H39" i="23"/>
  <c r="G39" i="23"/>
  <c r="F39" i="23"/>
  <c r="H38" i="23"/>
  <c r="G38" i="23"/>
  <c r="F38" i="23"/>
  <c r="H37" i="23"/>
  <c r="G37" i="23"/>
  <c r="F37" i="23"/>
  <c r="H36" i="23"/>
  <c r="G36" i="23"/>
  <c r="F36" i="23"/>
  <c r="G35" i="23"/>
  <c r="F35" i="23"/>
  <c r="H34" i="23"/>
  <c r="G34" i="23"/>
  <c r="F34" i="23"/>
  <c r="H33" i="23"/>
  <c r="G33" i="23"/>
  <c r="F33" i="23"/>
  <c r="H32" i="23"/>
  <c r="G32" i="23"/>
  <c r="F32" i="23"/>
  <c r="F30" i="23"/>
  <c r="F29" i="23"/>
  <c r="H28" i="23"/>
  <c r="G28" i="23"/>
  <c r="F28" i="23"/>
  <c r="G26" i="23"/>
  <c r="F26" i="23"/>
  <c r="G24" i="23"/>
  <c r="F24" i="23"/>
  <c r="G23" i="23"/>
  <c r="F23" i="23"/>
  <c r="G22" i="23"/>
  <c r="F22" i="23"/>
  <c r="H18" i="23"/>
  <c r="G18" i="23"/>
  <c r="F18" i="23"/>
  <c r="E21" i="23"/>
  <c r="G21" i="23" s="1"/>
  <c r="E20" i="23"/>
  <c r="H20" i="23" s="1"/>
  <c r="E19" i="23"/>
  <c r="G19" i="23" s="1"/>
  <c r="G20" i="23" l="1"/>
  <c r="F55" i="23"/>
  <c r="H55" i="23"/>
  <c r="G55" i="23"/>
  <c r="F68" i="23"/>
  <c r="H68" i="23"/>
  <c r="G41" i="23"/>
  <c r="H19" i="23"/>
  <c r="F21" i="23"/>
  <c r="F19" i="23"/>
  <c r="H21" i="23"/>
  <c r="E41" i="23"/>
  <c r="F20" i="23"/>
  <c r="H15" i="23"/>
  <c r="G15" i="23"/>
  <c r="F15" i="23"/>
  <c r="F41" i="23" l="1"/>
  <c r="H41" i="23"/>
  <c r="H16" i="23"/>
  <c r="G16" i="23"/>
  <c r="F16" i="23"/>
  <c r="H14" i="23"/>
  <c r="G14" i="23"/>
  <c r="F14" i="23"/>
  <c r="H13" i="23"/>
  <c r="G13" i="23"/>
  <c r="F13" i="23"/>
  <c r="H12" i="23"/>
  <c r="G12" i="23"/>
  <c r="F12" i="23"/>
  <c r="G10" i="23"/>
  <c r="F10" i="23"/>
  <c r="H9" i="23"/>
  <c r="G9" i="23"/>
  <c r="F9" i="23"/>
  <c r="H8" i="23"/>
  <c r="G8" i="23"/>
  <c r="F8" i="23"/>
  <c r="G7" i="23"/>
  <c r="F7" i="23"/>
  <c r="G6" i="23"/>
  <c r="F6" i="23"/>
  <c r="E5" i="23"/>
  <c r="H5" i="23" s="1"/>
  <c r="H4" i="23"/>
  <c r="G4" i="23"/>
  <c r="F4" i="23"/>
  <c r="E3" i="23"/>
  <c r="G3" i="23" s="1"/>
  <c r="F2" i="23"/>
  <c r="H2" i="23"/>
  <c r="G2" i="23"/>
  <c r="G381" i="22"/>
  <c r="F381" i="22"/>
  <c r="H379" i="22"/>
  <c r="G380" i="22"/>
  <c r="F380" i="22"/>
  <c r="G379" i="22"/>
  <c r="F379" i="22"/>
  <c r="H378" i="22"/>
  <c r="G378" i="22"/>
  <c r="F378" i="22"/>
  <c r="E377" i="22"/>
  <c r="E383" i="22" s="1"/>
  <c r="F377" i="22" l="1"/>
  <c r="H377" i="22"/>
  <c r="G377" i="22"/>
  <c r="E17" i="23"/>
  <c r="H3" i="23"/>
  <c r="H17" i="23" s="1"/>
  <c r="F383" i="22"/>
  <c r="H383" i="22"/>
  <c r="G383" i="22"/>
  <c r="G5" i="23"/>
  <c r="G17" i="23" s="1"/>
  <c r="F3" i="23"/>
  <c r="F5" i="23"/>
  <c r="H368" i="22"/>
  <c r="G368" i="22"/>
  <c r="F368" i="22"/>
  <c r="F367" i="22"/>
  <c r="G366" i="22"/>
  <c r="F366" i="22"/>
  <c r="H375" i="22"/>
  <c r="G375" i="22"/>
  <c r="H374" i="22"/>
  <c r="G374" i="22"/>
  <c r="H373" i="22"/>
  <c r="G373" i="22"/>
  <c r="H372" i="22"/>
  <c r="G372" i="22"/>
  <c r="G371" i="22"/>
  <c r="F371" i="22"/>
  <c r="F375" i="22"/>
  <c r="F374" i="22"/>
  <c r="F373" i="22"/>
  <c r="F372" i="22"/>
  <c r="E365" i="22"/>
  <c r="E364" i="22"/>
  <c r="E363" i="22"/>
  <c r="H362" i="22"/>
  <c r="G362" i="22"/>
  <c r="F362" i="22"/>
  <c r="E376" i="22" l="1"/>
  <c r="H363" i="22"/>
  <c r="F363" i="22"/>
  <c r="G364" i="22"/>
  <c r="H364" i="22"/>
  <c r="F364" i="22"/>
  <c r="G365" i="22"/>
  <c r="H365" i="22"/>
  <c r="F365" i="22"/>
  <c r="G363" i="22"/>
  <c r="G376" i="22" s="1"/>
  <c r="F17" i="23"/>
  <c r="F376" i="22"/>
  <c r="H360" i="22"/>
  <c r="G360" i="22"/>
  <c r="F360" i="22"/>
  <c r="H359" i="22"/>
  <c r="G359" i="22"/>
  <c r="F359" i="22"/>
  <c r="H358" i="22"/>
  <c r="G358" i="22"/>
  <c r="F358" i="22"/>
  <c r="H355" i="22"/>
  <c r="G355" i="22"/>
  <c r="F355" i="22"/>
  <c r="E357" i="22"/>
  <c r="E356" i="22"/>
  <c r="E361" i="22" s="1"/>
  <c r="G357" i="22" l="1"/>
  <c r="H357" i="22"/>
  <c r="F357" i="22"/>
  <c r="H376" i="22"/>
  <c r="F356" i="22"/>
  <c r="H356" i="22"/>
  <c r="G356" i="22"/>
  <c r="G361" i="22" s="1"/>
  <c r="F361" i="22"/>
  <c r="H361" i="22"/>
  <c r="E346" i="22"/>
  <c r="G353" i="22"/>
  <c r="F353" i="22"/>
  <c r="G352" i="22"/>
  <c r="F352" i="22"/>
  <c r="F351" i="22"/>
  <c r="F350" i="22"/>
  <c r="H349" i="22"/>
  <c r="G349" i="22"/>
  <c r="F349" i="22"/>
  <c r="H348" i="22"/>
  <c r="G348" i="22"/>
  <c r="F348" i="22"/>
  <c r="E347" i="22"/>
  <c r="F347" i="22" s="1"/>
  <c r="H345" i="22"/>
  <c r="F345" i="22"/>
  <c r="G345" i="22"/>
  <c r="H344" i="22"/>
  <c r="G344" i="22"/>
  <c r="F344" i="22"/>
  <c r="G342" i="22"/>
  <c r="E343" i="22"/>
  <c r="G343" i="22" s="1"/>
  <c r="F342" i="22"/>
  <c r="G346" i="22" l="1"/>
  <c r="H346" i="22"/>
  <c r="F346" i="22"/>
  <c r="E354" i="22"/>
  <c r="H343" i="22"/>
  <c r="H354" i="22" s="1"/>
  <c r="F343" i="22"/>
  <c r="F354" i="22" s="1"/>
  <c r="G347" i="22"/>
  <c r="G354" i="22" s="1"/>
  <c r="E341" i="22"/>
  <c r="G340" i="22"/>
  <c r="F340" i="22"/>
  <c r="H339" i="22"/>
  <c r="G339" i="22"/>
  <c r="F339" i="22"/>
  <c r="H338" i="22"/>
  <c r="G338" i="22"/>
  <c r="F338" i="22"/>
  <c r="G337" i="22"/>
  <c r="F337" i="22"/>
  <c r="E336" i="22"/>
  <c r="H335" i="22"/>
  <c r="G335" i="22"/>
  <c r="F335" i="22"/>
  <c r="H334" i="22"/>
  <c r="G334" i="22"/>
  <c r="F334" i="22"/>
  <c r="G333" i="22"/>
  <c r="F333" i="22"/>
  <c r="G332" i="22"/>
  <c r="F332" i="22"/>
  <c r="F331" i="22"/>
  <c r="H330" i="22"/>
  <c r="G330" i="22"/>
  <c r="F330" i="22"/>
  <c r="H329" i="22"/>
  <c r="G329" i="22"/>
  <c r="F329" i="22"/>
  <c r="G328" i="22"/>
  <c r="F328" i="22"/>
  <c r="E327" i="22"/>
  <c r="H326" i="22"/>
  <c r="H327" i="22" s="1"/>
  <c r="G326" i="22"/>
  <c r="F326" i="22"/>
  <c r="G325" i="22"/>
  <c r="F325" i="22"/>
  <c r="F324" i="22"/>
  <c r="G323" i="22"/>
  <c r="F323" i="22"/>
  <c r="F321" i="22"/>
  <c r="G320" i="22"/>
  <c r="F320" i="22"/>
  <c r="F319" i="22"/>
  <c r="H318" i="22"/>
  <c r="G318" i="22"/>
  <c r="F318" i="22"/>
  <c r="G317" i="22"/>
  <c r="H317" i="22"/>
  <c r="F317" i="22"/>
  <c r="H316" i="22"/>
  <c r="G316" i="22"/>
  <c r="F316" i="22"/>
  <c r="H314" i="22"/>
  <c r="G314" i="22"/>
  <c r="F314" i="22"/>
  <c r="H313" i="22"/>
  <c r="G313" i="22"/>
  <c r="F313" i="22"/>
  <c r="H312" i="22"/>
  <c r="G312" i="22"/>
  <c r="F312" i="22"/>
  <c r="H310" i="22"/>
  <c r="G310" i="22"/>
  <c r="F310" i="22"/>
  <c r="E315" i="22"/>
  <c r="H315" i="22" s="1"/>
  <c r="E311" i="22"/>
  <c r="G311" i="22" s="1"/>
  <c r="G336" i="22" l="1"/>
  <c r="G341" i="22"/>
  <c r="F341" i="22"/>
  <c r="H341" i="22"/>
  <c r="G327" i="22"/>
  <c r="F336" i="22"/>
  <c r="H336" i="22"/>
  <c r="F327" i="22"/>
  <c r="F311" i="22"/>
  <c r="H311" i="22"/>
  <c r="H322" i="22" s="1"/>
  <c r="E322" i="22"/>
  <c r="F315" i="22"/>
  <c r="G315" i="22"/>
  <c r="G322" i="22" s="1"/>
  <c r="H308" i="22"/>
  <c r="G308" i="22"/>
  <c r="F308" i="22"/>
  <c r="F322" i="22" l="1"/>
  <c r="G307" i="22"/>
  <c r="F307" i="22"/>
  <c r="F305" i="22"/>
  <c r="F304" i="22"/>
  <c r="H303" i="22"/>
  <c r="G303" i="22"/>
  <c r="F303" i="22"/>
  <c r="H302" i="22"/>
  <c r="G302" i="22"/>
  <c r="F302" i="22"/>
  <c r="G301" i="22"/>
  <c r="F301" i="22"/>
  <c r="F300" i="22"/>
  <c r="G299" i="22"/>
  <c r="F299" i="22"/>
  <c r="H298" i="22"/>
  <c r="G298" i="22"/>
  <c r="F298" i="22"/>
  <c r="E297" i="22"/>
  <c r="E309" i="22" s="1"/>
  <c r="F297" i="22" l="1"/>
  <c r="F309" i="22" s="1"/>
  <c r="G297" i="22"/>
  <c r="G309" i="22" s="1"/>
  <c r="H297" i="22"/>
  <c r="H309" i="22" s="1"/>
  <c r="F295" i="22"/>
  <c r="G294" i="22"/>
  <c r="F294" i="22"/>
  <c r="G292" i="22"/>
  <c r="F292" i="22"/>
  <c r="H291" i="22"/>
  <c r="G291" i="22"/>
  <c r="F291" i="22"/>
  <c r="H290" i="22"/>
  <c r="G290" i="22"/>
  <c r="F290" i="22"/>
  <c r="H288" i="22"/>
  <c r="G288" i="22"/>
  <c r="F288" i="22"/>
  <c r="E293" i="22"/>
  <c r="G293" i="22" s="1"/>
  <c r="E289" i="22"/>
  <c r="E296" i="22" s="1"/>
  <c r="F289" i="22" l="1"/>
  <c r="H289" i="22"/>
  <c r="G289" i="22"/>
  <c r="G296" i="22" s="1"/>
  <c r="F293" i="22"/>
  <c r="H293" i="22"/>
  <c r="G286" i="22"/>
  <c r="H286" i="22"/>
  <c r="F286" i="22"/>
  <c r="G284" i="22"/>
  <c r="F284" i="22"/>
  <c r="F283" i="22"/>
  <c r="G282" i="22"/>
  <c r="F282" i="22"/>
  <c r="E281" i="22"/>
  <c r="G281" i="22" s="1"/>
  <c r="E280" i="22"/>
  <c r="G280" i="22" s="1"/>
  <c r="E279" i="22"/>
  <c r="E287" i="22" l="1"/>
  <c r="F296" i="22"/>
  <c r="H296" i="22"/>
  <c r="F280" i="22"/>
  <c r="H279" i="22"/>
  <c r="H281" i="22"/>
  <c r="F279" i="22"/>
  <c r="H280" i="22"/>
  <c r="F281" i="22"/>
  <c r="G279" i="22"/>
  <c r="G287" i="22" s="1"/>
  <c r="H277" i="22"/>
  <c r="G277" i="22"/>
  <c r="F277" i="22"/>
  <c r="G275" i="22"/>
  <c r="F275" i="22"/>
  <c r="G274" i="22"/>
  <c r="F274" i="22"/>
  <c r="G272" i="22"/>
  <c r="F272" i="22"/>
  <c r="G271" i="22"/>
  <c r="F271" i="22"/>
  <c r="H270" i="22"/>
  <c r="G270" i="22"/>
  <c r="F270" i="22"/>
  <c r="E269" i="22"/>
  <c r="H269" i="22" s="1"/>
  <c r="H278" i="22" l="1"/>
  <c r="H287" i="22"/>
  <c r="F287" i="22"/>
  <c r="G269" i="22"/>
  <c r="G278" i="22" s="1"/>
  <c r="E278" i="22"/>
  <c r="F269" i="22"/>
  <c r="F278" i="22" s="1"/>
  <c r="E268" i="22"/>
  <c r="H266" i="22" l="1"/>
  <c r="G266" i="22"/>
  <c r="F266" i="22"/>
  <c r="G265" i="22"/>
  <c r="F265" i="22"/>
  <c r="H264" i="22"/>
  <c r="G264" i="22"/>
  <c r="F264" i="22"/>
  <c r="H261" i="22"/>
  <c r="G261" i="22"/>
  <c r="F261" i="22"/>
  <c r="H260" i="22"/>
  <c r="G260" i="22"/>
  <c r="F260" i="22"/>
  <c r="H259" i="22"/>
  <c r="G259" i="22"/>
  <c r="F259" i="22"/>
  <c r="H256" i="22"/>
  <c r="G256" i="22"/>
  <c r="F256" i="22"/>
  <c r="F255" i="22"/>
  <c r="G254" i="22"/>
  <c r="F254" i="22"/>
  <c r="F253" i="22"/>
  <c r="F252" i="22"/>
  <c r="F251" i="22"/>
  <c r="H250" i="22"/>
  <c r="G250" i="22"/>
  <c r="F250" i="22"/>
  <c r="H249" i="22"/>
  <c r="G249" i="22"/>
  <c r="F249" i="22"/>
  <c r="G248" i="22"/>
  <c r="F248" i="22"/>
  <c r="E257" i="22"/>
  <c r="E258" i="22" s="1"/>
  <c r="F268" i="22" l="1"/>
  <c r="H268" i="22"/>
  <c r="F257" i="22"/>
  <c r="F258" i="22" s="1"/>
  <c r="H257" i="22"/>
  <c r="H258" i="22" s="1"/>
  <c r="G268" i="22"/>
  <c r="G257" i="22"/>
  <c r="G258" i="22" s="1"/>
  <c r="E247" i="22"/>
  <c r="F246" i="22"/>
  <c r="F245" i="22"/>
  <c r="H244" i="22"/>
  <c r="G244" i="22"/>
  <c r="F244" i="22"/>
  <c r="H243" i="22"/>
  <c r="G243" i="22"/>
  <c r="F243" i="22"/>
  <c r="G242" i="22"/>
  <c r="F242" i="22"/>
  <c r="G240" i="22"/>
  <c r="F240" i="22"/>
  <c r="H238" i="22"/>
  <c r="H239" i="22"/>
  <c r="G238" i="22"/>
  <c r="G239" i="22"/>
  <c r="F238" i="22"/>
  <c r="F239" i="22"/>
  <c r="H237" i="22"/>
  <c r="G237" i="22"/>
  <c r="F237" i="22"/>
  <c r="H236" i="22"/>
  <c r="G236" i="22"/>
  <c r="F236" i="22"/>
  <c r="H235" i="22"/>
  <c r="G235" i="22"/>
  <c r="F235" i="22"/>
  <c r="F247" i="22" l="1"/>
  <c r="H247" i="22"/>
  <c r="G247" i="22"/>
  <c r="H234" i="22"/>
  <c r="E234" i="22"/>
  <c r="F233" i="22"/>
  <c r="G232" i="22"/>
  <c r="G234" i="22" s="1"/>
  <c r="F232" i="22"/>
  <c r="F234" i="22" s="1"/>
  <c r="G229" i="22" l="1"/>
  <c r="F229" i="22"/>
  <c r="F226" i="22"/>
  <c r="G224" i="22"/>
  <c r="F224" i="22"/>
  <c r="F222" i="22"/>
  <c r="H221" i="22"/>
  <c r="G221" i="22"/>
  <c r="G222" i="22"/>
  <c r="F221" i="22"/>
  <c r="H220" i="22"/>
  <c r="G220" i="22"/>
  <c r="F220" i="22"/>
  <c r="H218" i="22"/>
  <c r="G218" i="22"/>
  <c r="F218" i="22"/>
  <c r="E219" i="22"/>
  <c r="G219" i="22" s="1"/>
  <c r="G231" i="22" l="1"/>
  <c r="F219" i="22"/>
  <c r="F231" i="22" s="1"/>
  <c r="H219" i="22"/>
  <c r="H231" i="22" s="1"/>
  <c r="E231" i="22"/>
  <c r="H216" i="22"/>
  <c r="G216" i="22"/>
  <c r="F216" i="22"/>
  <c r="H215" i="22"/>
  <c r="G215" i="22"/>
  <c r="F215" i="22"/>
  <c r="H214" i="22"/>
  <c r="G214" i="22"/>
  <c r="F214" i="22"/>
  <c r="F212" i="22"/>
  <c r="F211" i="22"/>
  <c r="G209" i="22"/>
  <c r="H209" i="22"/>
  <c r="F209" i="22"/>
  <c r="H208" i="22"/>
  <c r="G208" i="22"/>
  <c r="F208" i="22"/>
  <c r="F206" i="22"/>
  <c r="G205" i="22"/>
  <c r="F205" i="22"/>
  <c r="H204" i="22"/>
  <c r="G204" i="22"/>
  <c r="F204" i="22"/>
  <c r="G203" i="22"/>
  <c r="F203" i="22"/>
  <c r="H202" i="22"/>
  <c r="H201" i="22"/>
  <c r="G202" i="22"/>
  <c r="F202" i="22"/>
  <c r="H200" i="22"/>
  <c r="F200" i="22"/>
  <c r="G201" i="22"/>
  <c r="F201" i="22"/>
  <c r="G200" i="22"/>
  <c r="H199" i="22"/>
  <c r="G199" i="22"/>
  <c r="F199" i="22"/>
  <c r="E207" i="22"/>
  <c r="F207" i="22" s="1"/>
  <c r="F217" i="22" l="1"/>
  <c r="H217" i="22"/>
  <c r="G207" i="22"/>
  <c r="G217" i="22" s="1"/>
  <c r="E217" i="22"/>
  <c r="G196" i="22" l="1"/>
  <c r="F196" i="22"/>
  <c r="H194" i="22"/>
  <c r="G194" i="22"/>
  <c r="F194" i="22"/>
  <c r="E195" i="22"/>
  <c r="H195" i="22" s="1"/>
  <c r="E193" i="22"/>
  <c r="G195" i="22" l="1"/>
  <c r="E198" i="22"/>
  <c r="F195" i="22"/>
  <c r="F193" i="22"/>
  <c r="G193" i="22"/>
  <c r="G198" i="22" s="1"/>
  <c r="H193" i="22"/>
  <c r="H198" i="22" s="1"/>
  <c r="E192" i="22"/>
  <c r="F190" i="22"/>
  <c r="F188" i="22"/>
  <c r="H187" i="22"/>
  <c r="G187" i="22"/>
  <c r="F187" i="22"/>
  <c r="H186" i="22"/>
  <c r="G186" i="22"/>
  <c r="F186" i="22"/>
  <c r="H185" i="22"/>
  <c r="G185" i="22"/>
  <c r="F185" i="22"/>
  <c r="F184" i="22"/>
  <c r="G183" i="22"/>
  <c r="F183" i="22"/>
  <c r="H181" i="22"/>
  <c r="G181" i="22"/>
  <c r="F181" i="22"/>
  <c r="G180" i="22"/>
  <c r="F180" i="22"/>
  <c r="F179" i="22"/>
  <c r="F177" i="22"/>
  <c r="H176" i="22"/>
  <c r="G176" i="22"/>
  <c r="F176" i="22"/>
  <c r="H175" i="22"/>
  <c r="G175" i="22"/>
  <c r="F175" i="22"/>
  <c r="H174" i="22"/>
  <c r="G174" i="22"/>
  <c r="F174" i="22"/>
  <c r="F172" i="22"/>
  <c r="H171" i="22"/>
  <c r="G171" i="22"/>
  <c r="F171" i="22"/>
  <c r="H170" i="22"/>
  <c r="G170" i="22"/>
  <c r="F170" i="22"/>
  <c r="F166" i="22"/>
  <c r="G165" i="22"/>
  <c r="F165" i="22"/>
  <c r="E169" i="22"/>
  <c r="F169" i="22" s="1"/>
  <c r="G192" i="22" l="1"/>
  <c r="H192" i="22"/>
  <c r="F198" i="22"/>
  <c r="F192" i="22"/>
  <c r="G169" i="22"/>
  <c r="E182" i="22"/>
  <c r="H164" i="22"/>
  <c r="H182" i="22" s="1"/>
  <c r="G164" i="22"/>
  <c r="F164" i="22"/>
  <c r="F182" i="22" s="1"/>
  <c r="H162" i="22"/>
  <c r="G162" i="22"/>
  <c r="F162" i="22"/>
  <c r="H159" i="22"/>
  <c r="G159" i="22"/>
  <c r="F159" i="22"/>
  <c r="H158" i="22"/>
  <c r="G158" i="22"/>
  <c r="F158" i="22"/>
  <c r="G157" i="22"/>
  <c r="F157" i="22"/>
  <c r="F156" i="22"/>
  <c r="H155" i="22"/>
  <c r="G155" i="22"/>
  <c r="F155" i="22"/>
  <c r="H152" i="22"/>
  <c r="G152" i="22"/>
  <c r="F152" i="22"/>
  <c r="E154" i="22"/>
  <c r="F154" i="22" s="1"/>
  <c r="E153" i="22"/>
  <c r="G153" i="22" s="1"/>
  <c r="G182" i="22" l="1"/>
  <c r="F153" i="22"/>
  <c r="F163" i="22" s="1"/>
  <c r="H153" i="22"/>
  <c r="H154" i="22"/>
  <c r="E163" i="22"/>
  <c r="G154" i="22"/>
  <c r="G163" i="22" s="1"/>
  <c r="G147" i="22"/>
  <c r="F147" i="22"/>
  <c r="G146" i="22"/>
  <c r="F146" i="22"/>
  <c r="G144" i="22"/>
  <c r="F144" i="22"/>
  <c r="G143" i="22"/>
  <c r="F143" i="22"/>
  <c r="H139" i="22"/>
  <c r="G139" i="22"/>
  <c r="F139" i="22"/>
  <c r="E142" i="22"/>
  <c r="H142" i="22" s="1"/>
  <c r="E141" i="22"/>
  <c r="G141" i="22" s="1"/>
  <c r="E140" i="22"/>
  <c r="H140" i="22" s="1"/>
  <c r="H163" i="22" l="1"/>
  <c r="G140" i="22"/>
  <c r="F141" i="22"/>
  <c r="H141" i="22"/>
  <c r="H151" i="22" s="1"/>
  <c r="G142" i="22"/>
  <c r="E151" i="22"/>
  <c r="F140" i="22"/>
  <c r="F142" i="22"/>
  <c r="F137" i="22"/>
  <c r="F135" i="22"/>
  <c r="H134" i="22"/>
  <c r="G134" i="22"/>
  <c r="F134" i="22"/>
  <c r="G133" i="22"/>
  <c r="F133" i="22"/>
  <c r="G132" i="22"/>
  <c r="F132" i="22"/>
  <c r="E131" i="22"/>
  <c r="G131" i="22" s="1"/>
  <c r="H130" i="22"/>
  <c r="G130" i="22"/>
  <c r="F130" i="22"/>
  <c r="H129" i="22"/>
  <c r="G129" i="22"/>
  <c r="F129" i="22"/>
  <c r="H128" i="22"/>
  <c r="G128" i="22"/>
  <c r="F128" i="22"/>
  <c r="H127" i="22"/>
  <c r="G127" i="22"/>
  <c r="F127" i="22"/>
  <c r="H126" i="22"/>
  <c r="G126" i="22"/>
  <c r="F126" i="22"/>
  <c r="G125" i="22"/>
  <c r="F125" i="22"/>
  <c r="H124" i="22"/>
  <c r="G124" i="22"/>
  <c r="F124" i="22"/>
  <c r="H123" i="22"/>
  <c r="G123" i="22"/>
  <c r="F123" i="22"/>
  <c r="G138" i="22" l="1"/>
  <c r="H131" i="22"/>
  <c r="G151" i="22"/>
  <c r="H138" i="22"/>
  <c r="F131" i="22"/>
  <c r="F138" i="22" s="1"/>
  <c r="F151" i="22"/>
  <c r="E138" i="22"/>
  <c r="E122" i="22"/>
  <c r="F98" i="22"/>
  <c r="H119" i="22"/>
  <c r="G119" i="22"/>
  <c r="F119" i="22"/>
  <c r="F118" i="22"/>
  <c r="H117" i="22"/>
  <c r="G117" i="22"/>
  <c r="F117" i="22"/>
  <c r="H116" i="22"/>
  <c r="G116" i="22"/>
  <c r="F116" i="22"/>
  <c r="G115" i="22"/>
  <c r="F115" i="22"/>
  <c r="G114" i="22"/>
  <c r="F114" i="22"/>
  <c r="H113" i="22"/>
  <c r="G113" i="22"/>
  <c r="F113" i="22"/>
  <c r="H112" i="22"/>
  <c r="G112" i="22"/>
  <c r="F112" i="22"/>
  <c r="H111" i="22"/>
  <c r="G111" i="22"/>
  <c r="F111" i="22"/>
  <c r="H110" i="22"/>
  <c r="G110" i="22"/>
  <c r="F110" i="22"/>
  <c r="G122" i="22" l="1"/>
  <c r="F122" i="22"/>
  <c r="H122" i="22"/>
  <c r="E109" i="22"/>
  <c r="H104" i="22"/>
  <c r="H105" i="22"/>
  <c r="H106" i="22"/>
  <c r="H107" i="22"/>
  <c r="H108" i="22"/>
  <c r="G104" i="22"/>
  <c r="G105" i="22"/>
  <c r="G106" i="22"/>
  <c r="G107" i="22"/>
  <c r="G108" i="22"/>
  <c r="F104" i="22"/>
  <c r="F105" i="22"/>
  <c r="F106" i="22"/>
  <c r="F107" i="22"/>
  <c r="F108" i="22"/>
  <c r="H103" i="22"/>
  <c r="G103" i="22"/>
  <c r="F103" i="22"/>
  <c r="F101" i="22" l="1"/>
  <c r="G100" i="22"/>
  <c r="F100" i="22"/>
  <c r="F99" i="22"/>
  <c r="H98" i="22"/>
  <c r="G98" i="22"/>
  <c r="H97" i="22"/>
  <c r="G97" i="22"/>
  <c r="F97" i="22"/>
  <c r="G96" i="22"/>
  <c r="F96" i="22"/>
  <c r="H95" i="22"/>
  <c r="G95" i="22"/>
  <c r="F95" i="22"/>
  <c r="H94" i="22"/>
  <c r="G94" i="22"/>
  <c r="F94" i="22"/>
  <c r="H93" i="22"/>
  <c r="G93" i="22"/>
  <c r="G92" i="22"/>
  <c r="F93" i="22"/>
  <c r="H92" i="22"/>
  <c r="F92" i="22"/>
  <c r="H91" i="22"/>
  <c r="G91" i="22"/>
  <c r="F91" i="22"/>
  <c r="H90" i="22"/>
  <c r="G90" i="22"/>
  <c r="F90" i="22"/>
  <c r="G109" i="22" l="1"/>
  <c r="F109" i="22"/>
  <c r="H109" i="22"/>
  <c r="H85" i="22"/>
  <c r="G85" i="22"/>
  <c r="F85" i="22"/>
  <c r="H84" i="22"/>
  <c r="G84" i="22"/>
  <c r="F84" i="22"/>
  <c r="E83" i="22"/>
  <c r="H83" i="22" s="1"/>
  <c r="H81" i="22"/>
  <c r="G81" i="22"/>
  <c r="F81" i="22"/>
  <c r="G80" i="22"/>
  <c r="F80" i="22"/>
  <c r="G79" i="22"/>
  <c r="F79" i="22"/>
  <c r="G78" i="22"/>
  <c r="F78" i="22"/>
  <c r="H75" i="22"/>
  <c r="G75" i="22"/>
  <c r="F75" i="22"/>
  <c r="G74" i="22"/>
  <c r="F74" i="22"/>
  <c r="H69" i="22"/>
  <c r="G69" i="22"/>
  <c r="F69" i="22"/>
  <c r="H68" i="22"/>
  <c r="G68" i="22"/>
  <c r="F68" i="22"/>
  <c r="H67" i="22"/>
  <c r="G67" i="22"/>
  <c r="F67" i="22"/>
  <c r="G83" i="22" l="1"/>
  <c r="E89" i="22"/>
  <c r="F83" i="22"/>
  <c r="G65" i="22"/>
  <c r="F65" i="22"/>
  <c r="F64" i="22"/>
  <c r="H63" i="22"/>
  <c r="H89" i="22" s="1"/>
  <c r="G63" i="22"/>
  <c r="F63" i="22"/>
  <c r="G89" i="22" l="1"/>
  <c r="F89" i="22"/>
  <c r="G61" i="22"/>
  <c r="F61" i="22"/>
  <c r="G59" i="22" l="1"/>
  <c r="F59" i="22"/>
  <c r="G58" i="22"/>
  <c r="F58" i="22"/>
  <c r="G57" i="22"/>
  <c r="F57" i="22"/>
  <c r="G55" i="22"/>
  <c r="F55" i="22"/>
  <c r="E56" i="22"/>
  <c r="E62" i="22" s="1"/>
  <c r="H56" i="22" l="1"/>
  <c r="H62" i="22" s="1"/>
  <c r="F56" i="22"/>
  <c r="F62" i="22" s="1"/>
  <c r="G56" i="22"/>
  <c r="G62" i="22" s="1"/>
  <c r="H48" i="22"/>
  <c r="F48" i="22"/>
  <c r="G48" i="22"/>
  <c r="F50" i="22" l="1"/>
  <c r="G49" i="22"/>
  <c r="F49" i="22"/>
  <c r="G47" i="22"/>
  <c r="F47" i="22"/>
  <c r="H46" i="22"/>
  <c r="G46" i="22"/>
  <c r="F46" i="22"/>
  <c r="H44" i="22"/>
  <c r="G44" i="22"/>
  <c r="F44" i="22"/>
  <c r="E45" i="22"/>
  <c r="E54" i="22" s="1"/>
  <c r="F45" i="22" l="1"/>
  <c r="F54" i="22" s="1"/>
  <c r="H45" i="22"/>
  <c r="H54" i="22" s="1"/>
  <c r="G45" i="22"/>
  <c r="G54" i="22" s="1"/>
  <c r="E43" i="22"/>
  <c r="F40" i="22"/>
  <c r="H38" i="22"/>
  <c r="G38" i="22"/>
  <c r="F38" i="22"/>
  <c r="G37" i="22"/>
  <c r="F37" i="22"/>
  <c r="F34" i="22"/>
  <c r="G33" i="22"/>
  <c r="F33" i="22"/>
  <c r="H32" i="22"/>
  <c r="G32" i="22"/>
  <c r="F32" i="22"/>
  <c r="G31" i="22"/>
  <c r="F31" i="22"/>
  <c r="G30" i="22"/>
  <c r="F30" i="22"/>
  <c r="H29" i="22"/>
  <c r="G29" i="22"/>
  <c r="F29" i="22"/>
  <c r="H28" i="22"/>
  <c r="G28" i="22"/>
  <c r="F28" i="22"/>
  <c r="H27" i="22"/>
  <c r="G27" i="22"/>
  <c r="F27" i="22"/>
  <c r="G43" i="22" l="1"/>
  <c r="F43" i="22"/>
  <c r="H43" i="22"/>
  <c r="E26" i="22"/>
  <c r="F25" i="22"/>
  <c r="H24" i="22"/>
  <c r="G24" i="22"/>
  <c r="F24" i="22"/>
  <c r="H23" i="22"/>
  <c r="G23" i="22"/>
  <c r="F23" i="22"/>
  <c r="G22" i="22"/>
  <c r="F22" i="22"/>
  <c r="G20" i="22"/>
  <c r="F20" i="22"/>
  <c r="H19" i="22"/>
  <c r="G19" i="22"/>
  <c r="F19" i="22"/>
  <c r="H18" i="22"/>
  <c r="G18" i="22"/>
  <c r="F18" i="22"/>
  <c r="H17" i="22"/>
  <c r="G17" i="22"/>
  <c r="F17" i="22"/>
  <c r="H16" i="22"/>
  <c r="G16" i="22"/>
  <c r="F16" i="22"/>
  <c r="H15" i="22"/>
  <c r="G15" i="22"/>
  <c r="F15" i="22"/>
  <c r="F26" i="22" l="1"/>
  <c r="G26" i="22"/>
  <c r="H26" i="22"/>
  <c r="E14" i="22"/>
  <c r="H9" i="22"/>
  <c r="G9" i="22"/>
  <c r="F9" i="22"/>
  <c r="G8" i="22"/>
  <c r="F8" i="22"/>
  <c r="G7" i="22"/>
  <c r="F7" i="22"/>
  <c r="F6" i="22"/>
  <c r="G6" i="22"/>
  <c r="H4" i="22"/>
  <c r="H5" i="22"/>
  <c r="G4" i="22"/>
  <c r="G5" i="22"/>
  <c r="F4" i="22"/>
  <c r="F5" i="22"/>
  <c r="H3" i="22"/>
  <c r="G3" i="22"/>
  <c r="F3" i="22"/>
  <c r="H2" i="22"/>
  <c r="G2" i="22"/>
  <c r="F2" i="22"/>
  <c r="F14" i="22" l="1"/>
  <c r="G14" i="22"/>
  <c r="H14" i="22"/>
  <c r="H377" i="21"/>
  <c r="G377" i="21"/>
  <c r="F377" i="21"/>
  <c r="G376" i="21"/>
  <c r="F376" i="21"/>
  <c r="G375" i="21"/>
  <c r="F375" i="21"/>
  <c r="G374" i="21"/>
  <c r="F374" i="21"/>
  <c r="H370" i="21"/>
  <c r="G370" i="21"/>
  <c r="F370" i="21"/>
  <c r="E373" i="21"/>
  <c r="G373" i="21" s="1"/>
  <c r="E372" i="21"/>
  <c r="E371" i="21"/>
  <c r="G371" i="21" s="1"/>
  <c r="H372" i="21" l="1"/>
  <c r="G372" i="21"/>
  <c r="F371" i="21"/>
  <c r="H371" i="21"/>
  <c r="F373" i="21"/>
  <c r="H373" i="21"/>
  <c r="E379" i="21"/>
  <c r="F372" i="21"/>
  <c r="G379" i="21"/>
  <c r="F379" i="21"/>
  <c r="E369" i="21"/>
  <c r="F368" i="21"/>
  <c r="F367" i="21"/>
  <c r="H366" i="21"/>
  <c r="G366" i="21"/>
  <c r="F366" i="21"/>
  <c r="H365" i="21"/>
  <c r="G365" i="21"/>
  <c r="F365" i="21"/>
  <c r="H364" i="21"/>
  <c r="G364" i="21"/>
  <c r="F364" i="21"/>
  <c r="H363" i="21"/>
  <c r="G363" i="21"/>
  <c r="F363" i="21"/>
  <c r="H362" i="21"/>
  <c r="G362" i="21"/>
  <c r="F362" i="21"/>
  <c r="H361" i="21"/>
  <c r="G361" i="21"/>
  <c r="F361" i="21"/>
  <c r="H360" i="21"/>
  <c r="G360" i="21"/>
  <c r="F360" i="21"/>
  <c r="H359" i="21"/>
  <c r="G359" i="21"/>
  <c r="F359" i="21"/>
  <c r="H358" i="21"/>
  <c r="G358" i="21"/>
  <c r="F358" i="21"/>
  <c r="G357" i="21"/>
  <c r="F357" i="21"/>
  <c r="F356" i="21"/>
  <c r="F355" i="21"/>
  <c r="F354" i="21"/>
  <c r="H353" i="21"/>
  <c r="G353" i="21"/>
  <c r="F353" i="21"/>
  <c r="H352" i="21"/>
  <c r="G352" i="21"/>
  <c r="F352" i="21"/>
  <c r="G351" i="21"/>
  <c r="F351" i="21"/>
  <c r="F350" i="21"/>
  <c r="G349" i="21"/>
  <c r="F349" i="21"/>
  <c r="H379" i="21" l="1"/>
  <c r="F369" i="21"/>
  <c r="H369" i="21"/>
  <c r="G369" i="21"/>
  <c r="E348" i="21"/>
  <c r="F347" i="21"/>
  <c r="H346" i="21"/>
  <c r="G346" i="21"/>
  <c r="F346" i="21"/>
  <c r="H345" i="21"/>
  <c r="G345" i="21"/>
  <c r="F345" i="21"/>
  <c r="G344" i="21"/>
  <c r="F344" i="21"/>
  <c r="G341" i="21"/>
  <c r="F341" i="21"/>
  <c r="H340" i="21"/>
  <c r="G340" i="21"/>
  <c r="F340" i="21"/>
  <c r="G339" i="21"/>
  <c r="F339" i="21"/>
  <c r="H338" i="21"/>
  <c r="G338" i="21"/>
  <c r="F338" i="21"/>
  <c r="F348" i="21" l="1"/>
  <c r="H348" i="21"/>
  <c r="G348" i="21"/>
  <c r="E337" i="21"/>
  <c r="H328" i="21"/>
  <c r="H330" i="21"/>
  <c r="H335" i="21"/>
  <c r="G335" i="21"/>
  <c r="H334" i="21"/>
  <c r="G334" i="21"/>
  <c r="G333" i="21"/>
  <c r="G328" i="21"/>
  <c r="G329" i="21"/>
  <c r="G330" i="21"/>
  <c r="G331" i="21"/>
  <c r="F336" i="21"/>
  <c r="F335" i="21"/>
  <c r="F334" i="21"/>
  <c r="F333" i="21"/>
  <c r="F331" i="21" l="1"/>
  <c r="F329" i="21"/>
  <c r="F328" i="21"/>
  <c r="F330" i="21"/>
  <c r="H327" i="21"/>
  <c r="G327" i="21"/>
  <c r="F327" i="21"/>
  <c r="H326" i="21"/>
  <c r="G326" i="21"/>
  <c r="F326" i="21"/>
  <c r="H325" i="21"/>
  <c r="G325" i="21"/>
  <c r="F325" i="21"/>
  <c r="F337" i="21" l="1"/>
  <c r="H337" i="21"/>
  <c r="G337" i="21"/>
  <c r="E324" i="21" l="1"/>
  <c r="F323" i="21"/>
  <c r="F319" i="21"/>
  <c r="F318" i="21"/>
  <c r="H317" i="21"/>
  <c r="G317" i="21"/>
  <c r="F317" i="21"/>
  <c r="H316" i="21"/>
  <c r="G316" i="21"/>
  <c r="F316" i="21"/>
  <c r="G315" i="21"/>
  <c r="F315" i="21"/>
  <c r="F313" i="21"/>
  <c r="G312" i="21"/>
  <c r="F312" i="21"/>
  <c r="H311" i="21"/>
  <c r="G311" i="21"/>
  <c r="F311" i="21"/>
  <c r="H310" i="21"/>
  <c r="G310" i="21"/>
  <c r="F310" i="21"/>
  <c r="H309" i="21"/>
  <c r="G309" i="21"/>
  <c r="F309" i="21"/>
  <c r="H308" i="21"/>
  <c r="G308" i="21"/>
  <c r="F308" i="21"/>
  <c r="G324" i="21" l="1"/>
  <c r="F324" i="21"/>
  <c r="H324" i="21"/>
  <c r="F306" i="21"/>
  <c r="F305" i="21"/>
  <c r="H304" i="21"/>
  <c r="G304" i="21"/>
  <c r="F304" i="21"/>
  <c r="G303" i="21"/>
  <c r="F303" i="21"/>
  <c r="F301" i="21" l="1"/>
  <c r="F300" i="21"/>
  <c r="F299" i="21"/>
  <c r="F298" i="21"/>
  <c r="H297" i="21"/>
  <c r="G297" i="21"/>
  <c r="F297" i="21"/>
  <c r="G295" i="21"/>
  <c r="F295" i="21"/>
  <c r="H294" i="21"/>
  <c r="G294" i="21"/>
  <c r="F294" i="21"/>
  <c r="H293" i="21"/>
  <c r="G293" i="21"/>
  <c r="F293" i="21"/>
  <c r="H291" i="21"/>
  <c r="G291" i="21"/>
  <c r="F291" i="21"/>
  <c r="E296" i="21"/>
  <c r="E307" i="21" s="1"/>
  <c r="G292" i="21"/>
  <c r="F292" i="21"/>
  <c r="F296" i="21" l="1"/>
  <c r="H296" i="21"/>
  <c r="F307" i="21"/>
  <c r="H307" i="21"/>
  <c r="G296" i="21"/>
  <c r="G307" i="21" s="1"/>
  <c r="E290" i="21"/>
  <c r="G286" i="21"/>
  <c r="F286" i="21"/>
  <c r="F283" i="21"/>
  <c r="G282" i="21"/>
  <c r="F282" i="21"/>
  <c r="H281" i="21"/>
  <c r="G281" i="21"/>
  <c r="F281" i="21"/>
  <c r="H280" i="21"/>
  <c r="G280" i="21"/>
  <c r="F280" i="21"/>
  <c r="H279" i="21"/>
  <c r="G279" i="21"/>
  <c r="F279" i="21"/>
  <c r="G290" i="21" l="1"/>
  <c r="F290" i="21"/>
  <c r="H290" i="21"/>
  <c r="F225" i="21"/>
  <c r="G225" i="21"/>
  <c r="H225" i="21"/>
  <c r="E278" i="21" l="1"/>
  <c r="H274" i="21"/>
  <c r="G274" i="21"/>
  <c r="F274" i="21"/>
  <c r="F273" i="21"/>
  <c r="G272" i="21"/>
  <c r="F272" i="21"/>
  <c r="H271" i="21"/>
  <c r="G271" i="21"/>
  <c r="F271" i="21"/>
  <c r="H270" i="21"/>
  <c r="G270" i="21"/>
  <c r="F270" i="21"/>
  <c r="H269" i="21"/>
  <c r="G269" i="21"/>
  <c r="F269" i="21"/>
  <c r="G278" i="21" l="1"/>
  <c r="F278" i="21"/>
  <c r="H278" i="21"/>
  <c r="E268" i="21"/>
  <c r="F267" i="21"/>
  <c r="F266" i="21"/>
  <c r="H265" i="21"/>
  <c r="G265" i="21"/>
  <c r="F265" i="21"/>
  <c r="H264" i="21"/>
  <c r="G264" i="21"/>
  <c r="F264" i="21"/>
  <c r="H261" i="21"/>
  <c r="G261" i="21"/>
  <c r="F261" i="21"/>
  <c r="G259" i="21"/>
  <c r="F259" i="21"/>
  <c r="F256" i="21"/>
  <c r="H255" i="21"/>
  <c r="G255" i="21"/>
  <c r="F255" i="21"/>
  <c r="F268" i="21" l="1"/>
  <c r="H268" i="21"/>
  <c r="G268" i="21"/>
  <c r="E254" i="21"/>
  <c r="F251" i="21"/>
  <c r="F250" i="21"/>
  <c r="H249" i="21"/>
  <c r="G249" i="21"/>
  <c r="F249" i="21"/>
  <c r="H248" i="21"/>
  <c r="G248" i="21"/>
  <c r="F248" i="21"/>
  <c r="G247" i="21"/>
  <c r="F247" i="21"/>
  <c r="F246" i="21"/>
  <c r="F245" i="21"/>
  <c r="F244" i="21"/>
  <c r="H242" i="21"/>
  <c r="G242" i="21"/>
  <c r="F242" i="21"/>
  <c r="H241" i="21"/>
  <c r="G241" i="21"/>
  <c r="F241" i="21"/>
  <c r="G240" i="21"/>
  <c r="F240" i="21"/>
  <c r="E238" i="21"/>
  <c r="F237" i="21"/>
  <c r="F236" i="21"/>
  <c r="H235" i="21"/>
  <c r="G235" i="21"/>
  <c r="F235" i="21"/>
  <c r="H234" i="21"/>
  <c r="G234" i="21"/>
  <c r="F234" i="21"/>
  <c r="F232" i="21"/>
  <c r="F231" i="21"/>
  <c r="H230" i="21"/>
  <c r="G230" i="21"/>
  <c r="F230" i="21"/>
  <c r="H229" i="21"/>
  <c r="G229" i="21"/>
  <c r="F229" i="21"/>
  <c r="G228" i="21"/>
  <c r="F228" i="21"/>
  <c r="F227" i="21"/>
  <c r="H218" i="21"/>
  <c r="H219" i="21"/>
  <c r="H220" i="21"/>
  <c r="H221" i="21"/>
  <c r="H222" i="21"/>
  <c r="H223" i="21"/>
  <c r="H224" i="21"/>
  <c r="H226" i="21"/>
  <c r="G218" i="21"/>
  <c r="G219" i="21"/>
  <c r="G220" i="21"/>
  <c r="G221" i="21"/>
  <c r="G222" i="21"/>
  <c r="G223" i="21"/>
  <c r="G224" i="21"/>
  <c r="G226" i="21"/>
  <c r="F218" i="21"/>
  <c r="F219" i="21"/>
  <c r="F220" i="21"/>
  <c r="F221" i="21"/>
  <c r="F222" i="21"/>
  <c r="F223" i="21"/>
  <c r="F224" i="21"/>
  <c r="F226" i="21"/>
  <c r="H217" i="21"/>
  <c r="G217" i="21"/>
  <c r="F217" i="21"/>
  <c r="F254" i="21" l="1"/>
  <c r="H254" i="21"/>
  <c r="G254" i="21"/>
  <c r="G238" i="21"/>
  <c r="F238" i="21"/>
  <c r="H238" i="21"/>
  <c r="E216" i="21"/>
  <c r="H213" i="21"/>
  <c r="G213" i="21"/>
  <c r="F213" i="21"/>
  <c r="H212" i="21"/>
  <c r="G212" i="21"/>
  <c r="F212" i="21"/>
  <c r="G211" i="21"/>
  <c r="H211" i="21"/>
  <c r="F211" i="21"/>
  <c r="H210" i="21"/>
  <c r="G210" i="21"/>
  <c r="F210" i="21"/>
  <c r="H209" i="21"/>
  <c r="G209" i="21"/>
  <c r="F209" i="21"/>
  <c r="H208" i="21"/>
  <c r="G208" i="21"/>
  <c r="F208" i="21"/>
  <c r="F206" i="21"/>
  <c r="G206" i="21"/>
  <c r="F216" i="21" l="1"/>
  <c r="G216" i="21"/>
  <c r="H216" i="21"/>
  <c r="E205" i="21"/>
  <c r="H202" i="21"/>
  <c r="G202" i="21"/>
  <c r="F202" i="21"/>
  <c r="H201" i="21"/>
  <c r="G201" i="21"/>
  <c r="F201" i="21"/>
  <c r="G200" i="21"/>
  <c r="F200" i="21"/>
  <c r="H199" i="21"/>
  <c r="G199" i="21"/>
  <c r="F199" i="21"/>
  <c r="H198" i="21"/>
  <c r="G198" i="21"/>
  <c r="F198" i="21"/>
  <c r="H197" i="21"/>
  <c r="G197" i="21"/>
  <c r="F197" i="21"/>
  <c r="H196" i="21"/>
  <c r="G196" i="21"/>
  <c r="F196" i="21"/>
  <c r="F195" i="21"/>
  <c r="G194" i="21"/>
  <c r="F194" i="21"/>
  <c r="G205" i="21" l="1"/>
  <c r="H205" i="21"/>
  <c r="F205" i="21"/>
  <c r="E193" i="21"/>
  <c r="H192" i="21"/>
  <c r="G192" i="21"/>
  <c r="F192" i="21"/>
  <c r="H191" i="21"/>
  <c r="G191" i="21"/>
  <c r="F191" i="21"/>
  <c r="F190" i="21"/>
  <c r="F188" i="21"/>
  <c r="G188" i="21"/>
  <c r="H187" i="21"/>
  <c r="G187" i="21"/>
  <c r="F187" i="21"/>
  <c r="H186" i="21"/>
  <c r="G186" i="21"/>
  <c r="F186" i="21"/>
  <c r="H185" i="21"/>
  <c r="G185" i="21"/>
  <c r="F185" i="21"/>
  <c r="H184" i="21"/>
  <c r="G184" i="21"/>
  <c r="F184" i="21"/>
  <c r="H182" i="21"/>
  <c r="G182" i="21"/>
  <c r="F182" i="21"/>
  <c r="H181" i="21"/>
  <c r="G181" i="21"/>
  <c r="F181" i="21"/>
  <c r="G180" i="21"/>
  <c r="F180" i="21"/>
  <c r="G179" i="21"/>
  <c r="F179" i="21"/>
  <c r="G193" i="21" l="1"/>
  <c r="F193" i="21"/>
  <c r="H193" i="21"/>
  <c r="E178" i="21"/>
  <c r="H177" i="21"/>
  <c r="G177" i="21"/>
  <c r="F177" i="21"/>
  <c r="F176" i="21"/>
  <c r="H175" i="21"/>
  <c r="G175" i="21"/>
  <c r="F175" i="21"/>
  <c r="G174" i="21"/>
  <c r="F174" i="21"/>
  <c r="H173" i="21"/>
  <c r="G173" i="21"/>
  <c r="F173" i="21"/>
  <c r="F171" i="21"/>
  <c r="G170" i="21"/>
  <c r="F170" i="21"/>
  <c r="F178" i="21" l="1"/>
  <c r="G178" i="21"/>
  <c r="H178" i="21"/>
  <c r="H169" i="21"/>
  <c r="E169" i="21"/>
  <c r="G164" i="21"/>
  <c r="F164" i="21"/>
  <c r="G163" i="21" l="1"/>
  <c r="G169" i="21" s="1"/>
  <c r="F163" i="21"/>
  <c r="F169" i="21" s="1"/>
  <c r="E162" i="21" l="1"/>
  <c r="H159" i="21"/>
  <c r="G159" i="21"/>
  <c r="F159" i="21"/>
  <c r="H158" i="21"/>
  <c r="G158" i="21"/>
  <c r="F158" i="21"/>
  <c r="H157" i="21"/>
  <c r="G157" i="21"/>
  <c r="F157" i="21"/>
  <c r="G156" i="21"/>
  <c r="F156" i="21"/>
  <c r="H151" i="21"/>
  <c r="G151" i="21"/>
  <c r="F151" i="21"/>
  <c r="H152" i="21"/>
  <c r="F152" i="21"/>
  <c r="G152" i="21"/>
  <c r="H150" i="21"/>
  <c r="G150" i="21"/>
  <c r="F150" i="21"/>
  <c r="G149" i="21"/>
  <c r="F149" i="21"/>
  <c r="G162" i="21" l="1"/>
  <c r="F162" i="21"/>
  <c r="H162" i="21"/>
  <c r="H148" i="21"/>
  <c r="E148" i="21"/>
  <c r="G143" i="21"/>
  <c r="F143" i="21"/>
  <c r="G142" i="21"/>
  <c r="F142" i="21"/>
  <c r="F141" i="21"/>
  <c r="G140" i="21"/>
  <c r="F140" i="21"/>
  <c r="F148" i="21" l="1"/>
  <c r="G148" i="21"/>
  <c r="E139" i="21"/>
  <c r="F136" i="21"/>
  <c r="G134" i="21"/>
  <c r="F134" i="21"/>
  <c r="G133" i="21"/>
  <c r="F133" i="21"/>
  <c r="H131" i="21"/>
  <c r="H139" i="21" s="1"/>
  <c r="G131" i="21"/>
  <c r="F131" i="21"/>
  <c r="F139" i="21" l="1"/>
  <c r="G139" i="21"/>
  <c r="E130" i="21"/>
  <c r="F128" i="21"/>
  <c r="G127" i="21"/>
  <c r="F127" i="21"/>
  <c r="H125" i="21"/>
  <c r="H130" i="21" s="1"/>
  <c r="G125" i="21"/>
  <c r="G130" i="21" s="1"/>
  <c r="F125" i="21"/>
  <c r="F130" i="21" l="1"/>
  <c r="E124" i="21"/>
  <c r="F123" i="21"/>
  <c r="H122" i="21"/>
  <c r="G122" i="21"/>
  <c r="F122" i="21"/>
  <c r="H121" i="21"/>
  <c r="G121" i="21"/>
  <c r="F121" i="21"/>
  <c r="F118" i="21" l="1"/>
  <c r="G116" i="21"/>
  <c r="F116" i="21"/>
  <c r="H114" i="21"/>
  <c r="G114" i="21"/>
  <c r="F114" i="21"/>
  <c r="H113" i="21"/>
  <c r="G113" i="21"/>
  <c r="F113" i="21"/>
  <c r="G112" i="21"/>
  <c r="F112" i="21"/>
  <c r="H111" i="21"/>
  <c r="G111" i="21"/>
  <c r="F111" i="21"/>
  <c r="G124" i="21" l="1"/>
  <c r="F124" i="21"/>
  <c r="H124" i="21"/>
  <c r="E110" i="21"/>
  <c r="H109" i="21"/>
  <c r="G109" i="21"/>
  <c r="F109" i="21"/>
  <c r="F108" i="21"/>
  <c r="H107" i="21"/>
  <c r="H110" i="21" s="1"/>
  <c r="G107" i="21"/>
  <c r="F107" i="21"/>
  <c r="G103" i="21"/>
  <c r="G110" i="21" s="1"/>
  <c r="F103" i="21"/>
  <c r="F110" i="21" l="1"/>
  <c r="E102" i="21"/>
  <c r="G100" i="21"/>
  <c r="F100" i="21"/>
  <c r="H99" i="21"/>
  <c r="G99" i="21"/>
  <c r="F99" i="21"/>
  <c r="F98" i="21"/>
  <c r="H97" i="21"/>
  <c r="H102" i="21" s="1"/>
  <c r="G97" i="21"/>
  <c r="F97" i="21"/>
  <c r="G96" i="21"/>
  <c r="F96" i="21"/>
  <c r="F102" i="21" l="1"/>
  <c r="G102" i="21"/>
  <c r="E95" i="21"/>
  <c r="F94" i="21"/>
  <c r="F91" i="21"/>
  <c r="H90" i="21"/>
  <c r="G90" i="21"/>
  <c r="F90" i="21"/>
  <c r="H89" i="21"/>
  <c r="G89" i="21"/>
  <c r="F89" i="21"/>
  <c r="H88" i="21"/>
  <c r="G88" i="21"/>
  <c r="F88" i="21"/>
  <c r="F86" i="21"/>
  <c r="F85" i="21"/>
  <c r="H84" i="21"/>
  <c r="G84" i="21"/>
  <c r="F84" i="21"/>
  <c r="H83" i="21"/>
  <c r="G83" i="21"/>
  <c r="F83" i="21"/>
  <c r="G82" i="21"/>
  <c r="F82" i="21"/>
  <c r="G95" i="21" l="1"/>
  <c r="F95" i="21"/>
  <c r="H95" i="21"/>
  <c r="E81" i="21"/>
  <c r="F80" i="21"/>
  <c r="F77" i="21"/>
  <c r="H76" i="21"/>
  <c r="G76" i="21"/>
  <c r="F76" i="21"/>
  <c r="H75" i="21"/>
  <c r="G75" i="21"/>
  <c r="F75" i="21"/>
  <c r="G74" i="21"/>
  <c r="F74" i="21"/>
  <c r="H71" i="21"/>
  <c r="G71" i="21"/>
  <c r="F71" i="21"/>
  <c r="H70" i="21"/>
  <c r="G70" i="21"/>
  <c r="F70" i="21"/>
  <c r="G69" i="21"/>
  <c r="F69" i="21"/>
  <c r="F81" i="21" l="1"/>
  <c r="H81" i="21"/>
  <c r="G81" i="21"/>
  <c r="E68" i="21"/>
  <c r="G66" i="21"/>
  <c r="F66" i="21"/>
  <c r="F64" i="21"/>
  <c r="H62" i="21"/>
  <c r="G62" i="21"/>
  <c r="F62" i="21"/>
  <c r="H61" i="21"/>
  <c r="G61" i="21"/>
  <c r="F61" i="21"/>
  <c r="G60" i="21"/>
  <c r="F60" i="21"/>
  <c r="H56" i="21"/>
  <c r="G56" i="21"/>
  <c r="F56" i="21"/>
  <c r="H55" i="21"/>
  <c r="G55" i="21"/>
  <c r="F55" i="21"/>
  <c r="G54" i="21"/>
  <c r="F54" i="21"/>
  <c r="G68" i="21" l="1"/>
  <c r="F68" i="21"/>
  <c r="H68" i="21"/>
  <c r="E52" i="21"/>
  <c r="H51" i="21"/>
  <c r="G51" i="21"/>
  <c r="F51" i="21"/>
  <c r="H50" i="21"/>
  <c r="G50" i="21"/>
  <c r="F50" i="21"/>
  <c r="H49" i="21"/>
  <c r="G49" i="21"/>
  <c r="F49" i="21"/>
  <c r="G47" i="21"/>
  <c r="F47" i="21"/>
  <c r="G46" i="21"/>
  <c r="F46" i="21"/>
  <c r="H45" i="21"/>
  <c r="H52" i="21" s="1"/>
  <c r="G45" i="21"/>
  <c r="F45" i="21"/>
  <c r="F52" i="21" s="1"/>
  <c r="G52" i="21" l="1"/>
  <c r="E44" i="21"/>
  <c r="G43" i="21"/>
  <c r="F43" i="21"/>
  <c r="G41" i="21"/>
  <c r="F41" i="21"/>
  <c r="F40" i="21"/>
  <c r="G39" i="21"/>
  <c r="F39" i="21"/>
  <c r="F38" i="21"/>
  <c r="H37" i="21"/>
  <c r="G37" i="21"/>
  <c r="F37" i="21"/>
  <c r="H36" i="21"/>
  <c r="G36" i="21"/>
  <c r="F36" i="21"/>
  <c r="F44" i="21" l="1"/>
  <c r="H44" i="21"/>
  <c r="G44" i="21"/>
  <c r="E35" i="21"/>
  <c r="G33" i="21"/>
  <c r="F33" i="21"/>
  <c r="F29" i="21"/>
  <c r="H28" i="21"/>
  <c r="G28" i="21"/>
  <c r="F28" i="21"/>
  <c r="H25" i="21"/>
  <c r="G25" i="21"/>
  <c r="F25" i="21"/>
  <c r="F24" i="21"/>
  <c r="H23" i="21"/>
  <c r="G23" i="21"/>
  <c r="F23" i="21"/>
  <c r="F35" i="21" l="1"/>
  <c r="H35" i="21"/>
  <c r="G35" i="21"/>
  <c r="E22" i="21"/>
  <c r="F21" i="21"/>
  <c r="F20" i="21"/>
  <c r="F19" i="21"/>
  <c r="H18" i="21"/>
  <c r="G18" i="21"/>
  <c r="F18" i="21"/>
  <c r="H17" i="21"/>
  <c r="G17" i="21"/>
  <c r="F17" i="21"/>
  <c r="H16" i="21"/>
  <c r="G16" i="21"/>
  <c r="F16" i="21"/>
  <c r="F15" i="21"/>
  <c r="G14" i="21"/>
  <c r="F14" i="21"/>
  <c r="G22" i="21" l="1"/>
  <c r="H22" i="21"/>
  <c r="F22" i="21"/>
  <c r="E13" i="21"/>
  <c r="G12" i="21"/>
  <c r="F12" i="21"/>
  <c r="G11" i="21"/>
  <c r="F11" i="21"/>
  <c r="H10" i="21"/>
  <c r="G10" i="21"/>
  <c r="F10" i="21"/>
  <c r="H9" i="21"/>
  <c r="G9" i="21"/>
  <c r="F9" i="21"/>
  <c r="H7" i="21"/>
  <c r="G7" i="21"/>
  <c r="F7" i="21"/>
  <c r="H6" i="21"/>
  <c r="G6" i="21"/>
  <c r="F6" i="21"/>
  <c r="H5" i="21"/>
  <c r="E5" i="21"/>
  <c r="G4" i="21"/>
  <c r="F4" i="21"/>
  <c r="F3" i="21"/>
  <c r="G2" i="21"/>
  <c r="F2" i="21"/>
  <c r="F5" i="21" l="1"/>
  <c r="G5" i="21"/>
  <c r="F13" i="21"/>
  <c r="H13" i="21"/>
  <c r="G13" i="21"/>
  <c r="H441" i="20"/>
  <c r="E441" i="20"/>
  <c r="F439" i="20"/>
  <c r="G438" i="20"/>
  <c r="G441" i="20" s="1"/>
  <c r="F438" i="20"/>
  <c r="F441" i="20" s="1"/>
  <c r="E437" i="20" l="1"/>
  <c r="H435" i="20"/>
  <c r="H437" i="20" s="1"/>
  <c r="G435" i="20"/>
  <c r="F435" i="20"/>
  <c r="G434" i="20"/>
  <c r="F434" i="20"/>
  <c r="G433" i="20"/>
  <c r="G437" i="20" s="1"/>
  <c r="F433" i="20"/>
  <c r="F437" i="20" s="1"/>
  <c r="E432" i="20" l="1"/>
  <c r="H431" i="20"/>
  <c r="G431" i="20"/>
  <c r="F431" i="20"/>
  <c r="F428" i="20"/>
  <c r="H427" i="20"/>
  <c r="G427" i="20"/>
  <c r="F427" i="20"/>
  <c r="H426" i="20"/>
  <c r="G426" i="20"/>
  <c r="F426" i="20"/>
  <c r="F424" i="20"/>
  <c r="H423" i="20"/>
  <c r="G423" i="20"/>
  <c r="F423" i="20"/>
  <c r="H422" i="20"/>
  <c r="G422" i="20"/>
  <c r="F422" i="20"/>
  <c r="G420" i="20"/>
  <c r="F420" i="20"/>
  <c r="G419" i="20"/>
  <c r="F419" i="20"/>
  <c r="G432" i="20" l="1"/>
  <c r="F432" i="20"/>
  <c r="H432" i="20"/>
  <c r="E418" i="20"/>
  <c r="F415" i="20"/>
  <c r="F414" i="20"/>
  <c r="H413" i="20"/>
  <c r="G413" i="20"/>
  <c r="F413" i="20"/>
  <c r="H411" i="20"/>
  <c r="G411" i="20"/>
  <c r="F411" i="20"/>
  <c r="F410" i="20"/>
  <c r="G409" i="20"/>
  <c r="F409" i="20"/>
  <c r="G418" i="20" l="1"/>
  <c r="F418" i="20"/>
  <c r="H418" i="20"/>
  <c r="E408" i="20"/>
  <c r="F406" i="20"/>
  <c r="G405" i="20"/>
  <c r="F405" i="20"/>
  <c r="F404" i="20"/>
  <c r="H401" i="20"/>
  <c r="H408" i="20" s="1"/>
  <c r="G401" i="20"/>
  <c r="G408" i="20" s="1"/>
  <c r="F401" i="20"/>
  <c r="F408" i="20" l="1"/>
  <c r="E400" i="20"/>
  <c r="F397" i="20"/>
  <c r="G396" i="20"/>
  <c r="F396" i="20"/>
  <c r="F395" i="20"/>
  <c r="F394" i="20"/>
  <c r="F393" i="20"/>
  <c r="H392" i="20"/>
  <c r="G392" i="20"/>
  <c r="F392" i="20"/>
  <c r="H391" i="20"/>
  <c r="G391" i="20"/>
  <c r="F391" i="20"/>
  <c r="F400" i="20" l="1"/>
  <c r="H400" i="20"/>
  <c r="G400" i="20"/>
  <c r="E390" i="20"/>
  <c r="F388" i="20"/>
  <c r="H387" i="20"/>
  <c r="G387" i="20"/>
  <c r="F387" i="20"/>
  <c r="H386" i="20"/>
  <c r="G386" i="20"/>
  <c r="F386" i="20"/>
  <c r="F385" i="20"/>
  <c r="G385" i="20"/>
  <c r="F382" i="20"/>
  <c r="H381" i="20"/>
  <c r="G381" i="20"/>
  <c r="F381" i="20"/>
  <c r="G380" i="20"/>
  <c r="F380" i="20"/>
  <c r="G379" i="20"/>
  <c r="F379" i="20"/>
  <c r="F390" i="20" l="1"/>
  <c r="H390" i="20"/>
  <c r="G390" i="20"/>
  <c r="E378" i="20"/>
  <c r="F377" i="20"/>
  <c r="F376" i="20"/>
  <c r="F375" i="20"/>
  <c r="H374" i="20"/>
  <c r="G374" i="20"/>
  <c r="F374" i="20"/>
  <c r="H373" i="20"/>
  <c r="G373" i="20"/>
  <c r="F373" i="20"/>
  <c r="G372" i="20"/>
  <c r="F372" i="20"/>
  <c r="G370" i="20"/>
  <c r="G378" i="20" s="1"/>
  <c r="F370" i="20"/>
  <c r="F378" i="20" l="1"/>
  <c r="H378" i="20"/>
  <c r="E369" i="20"/>
  <c r="F368" i="20"/>
  <c r="F367" i="20"/>
  <c r="F366" i="20"/>
  <c r="H365" i="20"/>
  <c r="G365" i="20"/>
  <c r="F365" i="20"/>
  <c r="H364" i="20"/>
  <c r="G364" i="20"/>
  <c r="F364" i="20"/>
  <c r="G363" i="20"/>
  <c r="F363" i="20"/>
  <c r="G369" i="20" l="1"/>
  <c r="F369" i="20"/>
  <c r="H369" i="20"/>
  <c r="E362" i="20"/>
  <c r="F359" i="20"/>
  <c r="H357" i="20"/>
  <c r="G357" i="20"/>
  <c r="F357" i="20"/>
  <c r="H356" i="20"/>
  <c r="G356" i="20"/>
  <c r="F356" i="20"/>
  <c r="H355" i="20"/>
  <c r="G355" i="20"/>
  <c r="F355" i="20"/>
  <c r="F354" i="20"/>
  <c r="F353" i="20"/>
  <c r="F352" i="20"/>
  <c r="H351" i="20"/>
  <c r="G351" i="20"/>
  <c r="F351" i="20"/>
  <c r="H350" i="20"/>
  <c r="G350" i="20"/>
  <c r="F350" i="20"/>
  <c r="G349" i="20"/>
  <c r="F349" i="20"/>
  <c r="H347" i="20"/>
  <c r="G347" i="20"/>
  <c r="F347" i="20"/>
  <c r="F346" i="20"/>
  <c r="H345" i="20"/>
  <c r="G345" i="20"/>
  <c r="F345" i="20"/>
  <c r="H344" i="20"/>
  <c r="G344" i="20"/>
  <c r="F344" i="20"/>
  <c r="H343" i="20"/>
  <c r="G343" i="20"/>
  <c r="F343" i="20"/>
  <c r="F362" i="20" l="1"/>
  <c r="H362" i="20"/>
  <c r="G362" i="20"/>
  <c r="E342" i="20"/>
  <c r="F340" i="20"/>
  <c r="H339" i="20"/>
  <c r="G339" i="20"/>
  <c r="F339" i="20"/>
  <c r="G337" i="20"/>
  <c r="F337" i="20"/>
  <c r="G334" i="20"/>
  <c r="F334" i="20"/>
  <c r="H333" i="20"/>
  <c r="G333" i="20"/>
  <c r="F333" i="20"/>
  <c r="H332" i="20"/>
  <c r="G332" i="20"/>
  <c r="F332" i="20"/>
  <c r="H331" i="20"/>
  <c r="G331" i="20"/>
  <c r="F331" i="20"/>
  <c r="H330" i="20"/>
  <c r="G330" i="20"/>
  <c r="F330" i="20"/>
  <c r="H329" i="20"/>
  <c r="G329" i="20"/>
  <c r="F329" i="20"/>
  <c r="F342" i="20" l="1"/>
  <c r="H342" i="20"/>
  <c r="G342" i="20"/>
  <c r="E328" i="20"/>
  <c r="H308" i="20"/>
  <c r="H309" i="20"/>
  <c r="H310" i="20"/>
  <c r="H311" i="20"/>
  <c r="H312" i="20"/>
  <c r="H313" i="20"/>
  <c r="H314" i="20"/>
  <c r="H315" i="20"/>
  <c r="H316" i="20"/>
  <c r="H317" i="20"/>
  <c r="H318" i="20"/>
  <c r="F308" i="20"/>
  <c r="F309" i="20"/>
  <c r="F310" i="20"/>
  <c r="F311" i="20"/>
  <c r="F312" i="20"/>
  <c r="F313" i="20"/>
  <c r="F314" i="20"/>
  <c r="F315" i="20"/>
  <c r="F316" i="20"/>
  <c r="F317" i="20"/>
  <c r="F318" i="20"/>
  <c r="H307" i="20"/>
  <c r="F307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H325" i="20" l="1"/>
  <c r="G325" i="20"/>
  <c r="F325" i="20"/>
  <c r="H324" i="20"/>
  <c r="G324" i="20"/>
  <c r="F324" i="20"/>
  <c r="G323" i="20"/>
  <c r="F323" i="20"/>
  <c r="H321" i="20"/>
  <c r="G321" i="20"/>
  <c r="F321" i="20"/>
  <c r="F320" i="20"/>
  <c r="G319" i="20"/>
  <c r="F319" i="20"/>
  <c r="H306" i="20"/>
  <c r="G306" i="20"/>
  <c r="F306" i="20"/>
  <c r="H305" i="20"/>
  <c r="G305" i="20"/>
  <c r="F305" i="20"/>
  <c r="H304" i="20"/>
  <c r="G304" i="20"/>
  <c r="F304" i="20"/>
  <c r="H303" i="20"/>
  <c r="G303" i="20"/>
  <c r="F303" i="20"/>
  <c r="F328" i="20" l="1"/>
  <c r="H328" i="20"/>
  <c r="G328" i="20"/>
  <c r="E302" i="20"/>
  <c r="F300" i="20"/>
  <c r="F298" i="20"/>
  <c r="F296" i="20"/>
  <c r="F295" i="20"/>
  <c r="H294" i="20"/>
  <c r="G294" i="20"/>
  <c r="F294" i="20"/>
  <c r="H293" i="20"/>
  <c r="G293" i="20"/>
  <c r="F293" i="20"/>
  <c r="G292" i="20"/>
  <c r="F292" i="20"/>
  <c r="G291" i="20"/>
  <c r="F291" i="20"/>
  <c r="G290" i="20"/>
  <c r="F290" i="20"/>
  <c r="H289" i="20"/>
  <c r="G289" i="20"/>
  <c r="G302" i="20" s="1"/>
  <c r="F289" i="20"/>
  <c r="F302" i="20" l="1"/>
  <c r="H302" i="20"/>
  <c r="H288" i="20"/>
  <c r="E288" i="20"/>
  <c r="G287" i="20"/>
  <c r="F287" i="20"/>
  <c r="G286" i="20"/>
  <c r="G288" i="20" s="1"/>
  <c r="F286" i="20"/>
  <c r="F288" i="20" s="1"/>
  <c r="E285" i="20" l="1"/>
  <c r="F283" i="20"/>
  <c r="F282" i="20"/>
  <c r="F281" i="20"/>
  <c r="F280" i="20"/>
  <c r="H279" i="20"/>
  <c r="G279" i="20"/>
  <c r="F279" i="20"/>
  <c r="H278" i="20"/>
  <c r="G278" i="20"/>
  <c r="F278" i="20"/>
  <c r="G277" i="20"/>
  <c r="F277" i="20"/>
  <c r="F275" i="20"/>
  <c r="F274" i="20"/>
  <c r="H273" i="20"/>
  <c r="G273" i="20"/>
  <c r="F273" i="20"/>
  <c r="H272" i="20"/>
  <c r="G272" i="20"/>
  <c r="F272" i="20"/>
  <c r="G271" i="20"/>
  <c r="G285" i="20" s="1"/>
  <c r="F271" i="20"/>
  <c r="F285" i="20" l="1"/>
  <c r="H285" i="20"/>
  <c r="E270" i="20"/>
  <c r="F269" i="20"/>
  <c r="F268" i="20"/>
  <c r="F267" i="20"/>
  <c r="F266" i="20"/>
  <c r="H265" i="20"/>
  <c r="G265" i="20"/>
  <c r="F265" i="20"/>
  <c r="G264" i="20"/>
  <c r="H264" i="20"/>
  <c r="F264" i="20"/>
  <c r="G263" i="20"/>
  <c r="F263" i="20"/>
  <c r="H262" i="20"/>
  <c r="G262" i="20"/>
  <c r="F262" i="20"/>
  <c r="F260" i="20"/>
  <c r="G259" i="20"/>
  <c r="F259" i="20"/>
  <c r="F256" i="20"/>
  <c r="H255" i="20"/>
  <c r="G255" i="20"/>
  <c r="F255" i="20"/>
  <c r="H254" i="20"/>
  <c r="G254" i="20"/>
  <c r="F254" i="20"/>
  <c r="G253" i="20"/>
  <c r="F253" i="20"/>
  <c r="H252" i="20"/>
  <c r="G252" i="20"/>
  <c r="F252" i="20"/>
  <c r="G270" i="20" l="1"/>
  <c r="F270" i="20"/>
  <c r="H270" i="20"/>
  <c r="F245" i="20"/>
  <c r="H244" i="20"/>
  <c r="G244" i="20"/>
  <c r="F244" i="20"/>
  <c r="G243" i="20"/>
  <c r="F243" i="20"/>
  <c r="G242" i="20"/>
  <c r="F242" i="20"/>
  <c r="H240" i="20"/>
  <c r="G240" i="20"/>
  <c r="F240" i="20"/>
  <c r="H239" i="20"/>
  <c r="G239" i="20"/>
  <c r="F239" i="20"/>
  <c r="H238" i="20"/>
  <c r="G238" i="20"/>
  <c r="F238" i="20"/>
  <c r="H236" i="20"/>
  <c r="G236" i="20"/>
  <c r="F236" i="20"/>
  <c r="H235" i="20"/>
  <c r="G235" i="20"/>
  <c r="F235" i="20"/>
  <c r="E237" i="20"/>
  <c r="G237" i="20" s="1"/>
  <c r="G251" i="20" l="1"/>
  <c r="F237" i="20"/>
  <c r="F251" i="20" s="1"/>
  <c r="H237" i="20"/>
  <c r="H251" i="20" s="1"/>
  <c r="E251" i="20"/>
  <c r="H233" i="20"/>
  <c r="G233" i="20"/>
  <c r="F233" i="20"/>
  <c r="F231" i="20"/>
  <c r="F229" i="20"/>
  <c r="H228" i="20"/>
  <c r="G228" i="20"/>
  <c r="F228" i="20"/>
  <c r="G226" i="20"/>
  <c r="F226" i="20"/>
  <c r="G224" i="20"/>
  <c r="F224" i="20"/>
  <c r="G223" i="20"/>
  <c r="F223" i="20"/>
  <c r="H222" i="20"/>
  <c r="G222" i="20"/>
  <c r="F222" i="20"/>
  <c r="H220" i="20"/>
  <c r="G220" i="20"/>
  <c r="F220" i="20"/>
  <c r="E221" i="20"/>
  <c r="G221" i="20" s="1"/>
  <c r="G234" i="20" l="1"/>
  <c r="F221" i="20"/>
  <c r="F234" i="20" s="1"/>
  <c r="H221" i="20"/>
  <c r="H234" i="20" s="1"/>
  <c r="E234" i="20"/>
  <c r="E219" i="20"/>
  <c r="H218" i="20"/>
  <c r="G218" i="20"/>
  <c r="F218" i="20"/>
  <c r="F216" i="20"/>
  <c r="F215" i="20"/>
  <c r="F214" i="20"/>
  <c r="H213" i="20"/>
  <c r="G213" i="20"/>
  <c r="F213" i="20"/>
  <c r="H212" i="20"/>
  <c r="G212" i="20"/>
  <c r="F212" i="20"/>
  <c r="H211" i="20"/>
  <c r="G211" i="20"/>
  <c r="F211" i="20"/>
  <c r="H209" i="20"/>
  <c r="G209" i="20"/>
  <c r="F209" i="20"/>
  <c r="G208" i="20"/>
  <c r="F208" i="20"/>
  <c r="H207" i="20"/>
  <c r="G207" i="20"/>
  <c r="F207" i="20"/>
  <c r="H206" i="20"/>
  <c r="G206" i="20"/>
  <c r="F206" i="20"/>
  <c r="H205" i="20"/>
  <c r="G205" i="20"/>
  <c r="F205" i="20"/>
  <c r="H204" i="20"/>
  <c r="G204" i="20"/>
  <c r="F204" i="20"/>
  <c r="H203" i="20"/>
  <c r="G203" i="20"/>
  <c r="F203" i="20"/>
  <c r="H202" i="20"/>
  <c r="G202" i="20"/>
  <c r="F202" i="20"/>
  <c r="F219" i="20" l="1"/>
  <c r="H219" i="20"/>
  <c r="G219" i="20"/>
  <c r="E201" i="20"/>
  <c r="H197" i="20"/>
  <c r="G197" i="20"/>
  <c r="F197" i="20"/>
  <c r="H196" i="20"/>
  <c r="G196" i="20"/>
  <c r="F196" i="20"/>
  <c r="H195" i="20"/>
  <c r="G195" i="20"/>
  <c r="F195" i="20"/>
  <c r="G193" i="20"/>
  <c r="F193" i="20"/>
  <c r="G192" i="20"/>
  <c r="F192" i="20"/>
  <c r="H191" i="20"/>
  <c r="G191" i="20"/>
  <c r="F191" i="20"/>
  <c r="H190" i="20"/>
  <c r="G190" i="20"/>
  <c r="F190" i="20"/>
  <c r="G201" i="20" l="1"/>
  <c r="F201" i="20"/>
  <c r="H201" i="20"/>
  <c r="F188" i="20"/>
  <c r="F187" i="20"/>
  <c r="F186" i="20"/>
  <c r="H185" i="20"/>
  <c r="G185" i="20"/>
  <c r="F185" i="20"/>
  <c r="H184" i="20"/>
  <c r="G184" i="20"/>
  <c r="F184" i="20"/>
  <c r="G183" i="20"/>
  <c r="F183" i="20"/>
  <c r="G182" i="20"/>
  <c r="F182" i="20"/>
  <c r="H181" i="20"/>
  <c r="G181" i="20"/>
  <c r="F181" i="20"/>
  <c r="H179" i="20"/>
  <c r="G179" i="20"/>
  <c r="F179" i="20"/>
  <c r="H178" i="20"/>
  <c r="G178" i="20"/>
  <c r="F178" i="20"/>
  <c r="H177" i="20"/>
  <c r="G177" i="20"/>
  <c r="F177" i="20"/>
  <c r="H176" i="20"/>
  <c r="G176" i="20"/>
  <c r="F176" i="20"/>
  <c r="E180" i="20"/>
  <c r="H180" i="20" s="1"/>
  <c r="H189" i="20" l="1"/>
  <c r="G180" i="20"/>
  <c r="G189" i="20" s="1"/>
  <c r="E189" i="20"/>
  <c r="F180" i="20"/>
  <c r="F189" i="20" s="1"/>
  <c r="E175" i="20"/>
  <c r="F174" i="20"/>
  <c r="F173" i="20"/>
  <c r="H172" i="20"/>
  <c r="G172" i="20"/>
  <c r="F172" i="20"/>
  <c r="H171" i="20"/>
  <c r="G171" i="20"/>
  <c r="F171" i="20"/>
  <c r="G170" i="20"/>
  <c r="F170" i="20"/>
  <c r="F167" i="20"/>
  <c r="H166" i="20"/>
  <c r="G166" i="20"/>
  <c r="H164" i="20"/>
  <c r="G164" i="20"/>
  <c r="F164" i="20"/>
  <c r="H163" i="20"/>
  <c r="G163" i="20"/>
  <c r="F163" i="20"/>
  <c r="H160" i="20"/>
  <c r="G160" i="20"/>
  <c r="F160" i="20"/>
  <c r="H159" i="20"/>
  <c r="G159" i="20"/>
  <c r="F159" i="20"/>
  <c r="H158" i="20"/>
  <c r="G158" i="20"/>
  <c r="F158" i="20"/>
  <c r="H157" i="20"/>
  <c r="G157" i="20"/>
  <c r="F157" i="20"/>
  <c r="H156" i="20"/>
  <c r="G156" i="20"/>
  <c r="F156" i="20"/>
  <c r="H155" i="20"/>
  <c r="G155" i="20"/>
  <c r="F155" i="20"/>
  <c r="G154" i="20"/>
  <c r="F154" i="20"/>
  <c r="G153" i="20"/>
  <c r="F153" i="20"/>
  <c r="F166" i="20"/>
  <c r="E152" i="20"/>
  <c r="G151" i="20"/>
  <c r="F151" i="20"/>
  <c r="F148" i="20"/>
  <c r="H147" i="20"/>
  <c r="G147" i="20"/>
  <c r="F147" i="20"/>
  <c r="G145" i="20"/>
  <c r="F145" i="20"/>
  <c r="F175" i="20" l="1"/>
  <c r="H175" i="20"/>
  <c r="G175" i="20"/>
  <c r="F143" i="20"/>
  <c r="F141" i="20"/>
  <c r="H140" i="20"/>
  <c r="G140" i="20"/>
  <c r="F140" i="20"/>
  <c r="H139" i="20"/>
  <c r="G139" i="20"/>
  <c r="F139" i="20"/>
  <c r="G138" i="20"/>
  <c r="F138" i="20"/>
  <c r="H135" i="20"/>
  <c r="H152" i="20" s="1"/>
  <c r="G135" i="20"/>
  <c r="F135" i="20"/>
  <c r="G134" i="20"/>
  <c r="F134" i="20"/>
  <c r="G133" i="20"/>
  <c r="F133" i="20"/>
  <c r="F152" i="20" s="1"/>
  <c r="G152" i="20" l="1"/>
  <c r="E132" i="20"/>
  <c r="G131" i="20"/>
  <c r="F131" i="20"/>
  <c r="F130" i="20"/>
  <c r="H127" i="20"/>
  <c r="G127" i="20"/>
  <c r="F127" i="20"/>
  <c r="H126" i="20"/>
  <c r="G126" i="20"/>
  <c r="F126" i="20"/>
  <c r="F125" i="20"/>
  <c r="H124" i="20"/>
  <c r="G124" i="20"/>
  <c r="F124" i="20"/>
  <c r="H123" i="20"/>
  <c r="G123" i="20"/>
  <c r="F123" i="20"/>
  <c r="H122" i="20"/>
  <c r="G122" i="20"/>
  <c r="F122" i="20"/>
  <c r="H121" i="20"/>
  <c r="G121" i="20"/>
  <c r="F121" i="20"/>
  <c r="H120" i="20"/>
  <c r="G120" i="20"/>
  <c r="F120" i="20"/>
  <c r="G132" i="20" l="1"/>
  <c r="F132" i="20"/>
  <c r="H132" i="20"/>
  <c r="F117" i="20"/>
  <c r="H116" i="20"/>
  <c r="G116" i="20"/>
  <c r="F116" i="20"/>
  <c r="H115" i="20"/>
  <c r="G115" i="20"/>
  <c r="F115" i="20"/>
  <c r="H114" i="20"/>
  <c r="G114" i="20"/>
  <c r="F114" i="20"/>
  <c r="G113" i="20"/>
  <c r="F113" i="20"/>
  <c r="H112" i="20"/>
  <c r="G112" i="20"/>
  <c r="F112" i="20"/>
  <c r="H111" i="20"/>
  <c r="G111" i="20"/>
  <c r="F111" i="20"/>
  <c r="F110" i="20"/>
  <c r="H102" i="20"/>
  <c r="H103" i="20"/>
  <c r="H104" i="20"/>
  <c r="H105" i="20"/>
  <c r="H106" i="20"/>
  <c r="H107" i="20"/>
  <c r="H108" i="20"/>
  <c r="H109" i="20"/>
  <c r="H110" i="20"/>
  <c r="G102" i="20"/>
  <c r="G103" i="20"/>
  <c r="G104" i="20"/>
  <c r="G105" i="20"/>
  <c r="G106" i="20"/>
  <c r="G107" i="20"/>
  <c r="G108" i="20"/>
  <c r="G109" i="20"/>
  <c r="F102" i="20"/>
  <c r="F103" i="20"/>
  <c r="F104" i="20"/>
  <c r="F105" i="20"/>
  <c r="F106" i="20"/>
  <c r="F107" i="20"/>
  <c r="F108" i="20"/>
  <c r="F109" i="20"/>
  <c r="H101" i="20"/>
  <c r="G101" i="20"/>
  <c r="F101" i="20"/>
  <c r="H100" i="20"/>
  <c r="G100" i="20"/>
  <c r="F100" i="20"/>
  <c r="H98" i="20"/>
  <c r="G98" i="20"/>
  <c r="F98" i="20"/>
  <c r="E99" i="20"/>
  <c r="H99" i="20" s="1"/>
  <c r="H119" i="20" l="1"/>
  <c r="G99" i="20"/>
  <c r="G119" i="20" s="1"/>
  <c r="E119" i="20"/>
  <c r="F99" i="20"/>
  <c r="F119" i="20" s="1"/>
  <c r="E97" i="20"/>
  <c r="H96" i="20"/>
  <c r="G96" i="20"/>
  <c r="F96" i="20"/>
  <c r="G94" i="20"/>
  <c r="F94" i="20"/>
  <c r="F93" i="20"/>
  <c r="G92" i="20"/>
  <c r="F92" i="20"/>
  <c r="H83" i="20"/>
  <c r="G83" i="20"/>
  <c r="F83" i="20"/>
  <c r="H84" i="20"/>
  <c r="G84" i="20"/>
  <c r="F84" i="20"/>
  <c r="H85" i="20"/>
  <c r="G85" i="20"/>
  <c r="F85" i="20"/>
  <c r="G86" i="20"/>
  <c r="F86" i="20"/>
  <c r="H87" i="20"/>
  <c r="G87" i="20"/>
  <c r="F87" i="20"/>
  <c r="H88" i="20"/>
  <c r="G88" i="20"/>
  <c r="F88" i="20"/>
  <c r="F89" i="20"/>
  <c r="F90" i="20"/>
  <c r="F91" i="20"/>
  <c r="H97" i="20" l="1"/>
  <c r="F97" i="20"/>
  <c r="G97" i="20"/>
  <c r="E82" i="20"/>
  <c r="H78" i="20"/>
  <c r="G78" i="20"/>
  <c r="F78" i="20"/>
  <c r="G77" i="20"/>
  <c r="F77" i="20"/>
  <c r="H75" i="20"/>
  <c r="G75" i="20"/>
  <c r="F75" i="20"/>
  <c r="H74" i="20"/>
  <c r="G74" i="20"/>
  <c r="F74" i="20"/>
  <c r="H73" i="20"/>
  <c r="G73" i="20"/>
  <c r="F73" i="20"/>
  <c r="H72" i="20"/>
  <c r="G72" i="20"/>
  <c r="F72" i="20"/>
  <c r="H71" i="20"/>
  <c r="G71" i="20"/>
  <c r="F71" i="20"/>
  <c r="H70" i="20"/>
  <c r="G70" i="20"/>
  <c r="F70" i="20"/>
  <c r="F82" i="20" l="1"/>
  <c r="H82" i="20"/>
  <c r="G82" i="20"/>
  <c r="G68" i="20"/>
  <c r="F68" i="20"/>
  <c r="G67" i="20"/>
  <c r="F67" i="20"/>
  <c r="G66" i="20"/>
  <c r="F66" i="20"/>
  <c r="H65" i="20"/>
  <c r="H69" i="20" s="1"/>
  <c r="G65" i="20"/>
  <c r="F65" i="20"/>
  <c r="G63" i="20"/>
  <c r="F63" i="20"/>
  <c r="E64" i="20"/>
  <c r="F64" i="20" s="1"/>
  <c r="F69" i="20" l="1"/>
  <c r="G64" i="20"/>
  <c r="G69" i="20" s="1"/>
  <c r="E69" i="20"/>
  <c r="H62" i="20"/>
  <c r="E62" i="20"/>
  <c r="G59" i="20"/>
  <c r="F59" i="20"/>
  <c r="G58" i="20"/>
  <c r="F58" i="20"/>
  <c r="G57" i="20"/>
  <c r="F57" i="20"/>
  <c r="G56" i="20"/>
  <c r="F56" i="20"/>
  <c r="G55" i="20"/>
  <c r="G62" i="20" s="1"/>
  <c r="F55" i="20"/>
  <c r="F62" i="20" s="1"/>
  <c r="G34" i="20" l="1"/>
  <c r="F34" i="20"/>
  <c r="H33" i="20"/>
  <c r="G33" i="20"/>
  <c r="F33" i="20"/>
  <c r="E54" i="20"/>
  <c r="G53" i="20"/>
  <c r="F53" i="20"/>
  <c r="F50" i="20"/>
  <c r="F49" i="20"/>
  <c r="H48" i="20"/>
  <c r="G48" i="20"/>
  <c r="F48" i="20"/>
  <c r="H47" i="20"/>
  <c r="G47" i="20"/>
  <c r="F47" i="20"/>
  <c r="G46" i="20"/>
  <c r="F46" i="20"/>
  <c r="F42" i="20"/>
  <c r="H41" i="20"/>
  <c r="G41" i="20"/>
  <c r="F41" i="20"/>
  <c r="H40" i="20"/>
  <c r="G40" i="20"/>
  <c r="F40" i="20"/>
  <c r="G39" i="20"/>
  <c r="F39" i="20"/>
  <c r="E38" i="20"/>
  <c r="F36" i="20"/>
  <c r="F35" i="20"/>
  <c r="F32" i="20"/>
  <c r="F30" i="20"/>
  <c r="H29" i="20"/>
  <c r="G29" i="20"/>
  <c r="F29" i="20"/>
  <c r="H28" i="20"/>
  <c r="G28" i="20"/>
  <c r="F28" i="20"/>
  <c r="G27" i="20"/>
  <c r="F27" i="20"/>
  <c r="F38" i="20" l="1"/>
  <c r="H38" i="20"/>
  <c r="G38" i="20"/>
  <c r="G54" i="20"/>
  <c r="F54" i="20"/>
  <c r="H54" i="20"/>
  <c r="E26" i="20"/>
  <c r="G22" i="20"/>
  <c r="F22" i="20"/>
  <c r="G21" i="20"/>
  <c r="F21" i="20"/>
  <c r="F18" i="20"/>
  <c r="H17" i="20"/>
  <c r="G17" i="20"/>
  <c r="F17" i="20"/>
  <c r="H16" i="20"/>
  <c r="G16" i="20"/>
  <c r="F16" i="20"/>
  <c r="F26" i="20" s="1"/>
  <c r="G26" i="20" l="1"/>
  <c r="H26" i="20"/>
  <c r="E15" i="20"/>
  <c r="H12" i="20"/>
  <c r="G12" i="20"/>
  <c r="F12" i="20"/>
  <c r="F11" i="20"/>
  <c r="F10" i="20"/>
  <c r="H8" i="20"/>
  <c r="G8" i="20"/>
  <c r="F8" i="20"/>
  <c r="G7" i="20"/>
  <c r="F7" i="20"/>
  <c r="F6" i="20"/>
  <c r="F5" i="20"/>
  <c r="F4" i="20"/>
  <c r="H2" i="20"/>
  <c r="G2" i="20"/>
  <c r="F2" i="20"/>
  <c r="F15" i="20" l="1"/>
  <c r="H15" i="20"/>
  <c r="G15" i="20"/>
  <c r="E406" i="19"/>
  <c r="F404" i="19"/>
  <c r="H403" i="19"/>
  <c r="G403" i="19"/>
  <c r="F403" i="19"/>
  <c r="G402" i="19"/>
  <c r="F402" i="19"/>
  <c r="G401" i="19"/>
  <c r="F401" i="19"/>
  <c r="G400" i="19"/>
  <c r="F400" i="19"/>
  <c r="H399" i="19"/>
  <c r="G399" i="19"/>
  <c r="F399" i="19"/>
  <c r="H398" i="19"/>
  <c r="G398" i="19"/>
  <c r="F398" i="19"/>
  <c r="H397" i="19"/>
  <c r="G397" i="19"/>
  <c r="F397" i="19"/>
  <c r="H396" i="19"/>
  <c r="G396" i="19"/>
  <c r="F396" i="19"/>
  <c r="F406" i="19" l="1"/>
  <c r="H406" i="19"/>
  <c r="G406" i="19"/>
  <c r="H393" i="19"/>
  <c r="G393" i="19"/>
  <c r="F393" i="19"/>
  <c r="G392" i="19"/>
  <c r="F392" i="19"/>
  <c r="G391" i="19"/>
  <c r="F391" i="19"/>
  <c r="H390" i="19"/>
  <c r="G390" i="19"/>
  <c r="F390" i="19"/>
  <c r="H389" i="19"/>
  <c r="G389" i="19"/>
  <c r="F389" i="19"/>
  <c r="H387" i="19"/>
  <c r="G387" i="19"/>
  <c r="F387" i="19"/>
  <c r="E388" i="19"/>
  <c r="G388" i="19" s="1"/>
  <c r="F388" i="19" l="1"/>
  <c r="H388" i="19"/>
  <c r="H395" i="19" s="1"/>
  <c r="E395" i="19"/>
  <c r="F395" i="19"/>
  <c r="G395" i="19"/>
  <c r="E386" i="19"/>
  <c r="G385" i="19"/>
  <c r="F385" i="19"/>
  <c r="H383" i="19"/>
  <c r="G383" i="19"/>
  <c r="F383" i="19"/>
  <c r="G381" i="19"/>
  <c r="F381" i="19"/>
  <c r="H380" i="19"/>
  <c r="G380" i="19"/>
  <c r="F380" i="19"/>
  <c r="H379" i="19"/>
  <c r="G379" i="19"/>
  <c r="F379" i="19"/>
  <c r="H378" i="19"/>
  <c r="G378" i="19"/>
  <c r="F378" i="19"/>
  <c r="H377" i="19"/>
  <c r="G377" i="19"/>
  <c r="F377" i="19"/>
  <c r="H376" i="19"/>
  <c r="G376" i="19"/>
  <c r="F376" i="19"/>
  <c r="H375" i="19"/>
  <c r="G375" i="19"/>
  <c r="F375" i="19"/>
  <c r="H374" i="19"/>
  <c r="G374" i="19"/>
  <c r="F374" i="19"/>
  <c r="H373" i="19"/>
  <c r="G373" i="19"/>
  <c r="F373" i="19"/>
  <c r="G386" i="19" l="1"/>
  <c r="F386" i="19"/>
  <c r="H386" i="19"/>
  <c r="E372" i="19"/>
  <c r="G371" i="19"/>
  <c r="F371" i="19"/>
  <c r="G370" i="19"/>
  <c r="F370" i="19"/>
  <c r="F367" i="19"/>
  <c r="F366" i="19"/>
  <c r="F365" i="19"/>
  <c r="H364" i="19"/>
  <c r="G364" i="19"/>
  <c r="F364" i="19"/>
  <c r="H363" i="19"/>
  <c r="G363" i="19"/>
  <c r="F363" i="19"/>
  <c r="G362" i="19"/>
  <c r="F362" i="19"/>
  <c r="F360" i="19"/>
  <c r="H358" i="19"/>
  <c r="G358" i="19"/>
  <c r="F358" i="19"/>
  <c r="G357" i="19"/>
  <c r="H357" i="19"/>
  <c r="F357" i="19"/>
  <c r="G356" i="19"/>
  <c r="F356" i="19"/>
  <c r="F372" i="19" s="1"/>
  <c r="E355" i="19"/>
  <c r="F353" i="19"/>
  <c r="H352" i="19"/>
  <c r="G352" i="19"/>
  <c r="F352" i="19"/>
  <c r="H351" i="19"/>
  <c r="G351" i="19"/>
  <c r="F351" i="19"/>
  <c r="H350" i="19"/>
  <c r="G350" i="19"/>
  <c r="F350" i="19"/>
  <c r="H349" i="19"/>
  <c r="H355" i="19" s="1"/>
  <c r="G349" i="19"/>
  <c r="F349" i="19"/>
  <c r="G347" i="19"/>
  <c r="F347" i="19"/>
  <c r="F355" i="19" s="1"/>
  <c r="G372" i="19" l="1"/>
  <c r="G355" i="19"/>
  <c r="H372" i="19"/>
  <c r="F344" i="19"/>
  <c r="H343" i="19"/>
  <c r="G343" i="19"/>
  <c r="F343" i="19"/>
  <c r="G341" i="19"/>
  <c r="F341" i="19"/>
  <c r="G339" i="19" l="1"/>
  <c r="F339" i="19"/>
  <c r="F338" i="19"/>
  <c r="G337" i="19"/>
  <c r="F337" i="19"/>
  <c r="H336" i="19"/>
  <c r="G336" i="19"/>
  <c r="F336" i="19"/>
  <c r="H335" i="19"/>
  <c r="G335" i="19"/>
  <c r="F335" i="19"/>
  <c r="H333" i="19"/>
  <c r="G333" i="19"/>
  <c r="F333" i="19"/>
  <c r="E334" i="19"/>
  <c r="E346" i="19" s="1"/>
  <c r="G334" i="19" l="1"/>
  <c r="G346" i="19" s="1"/>
  <c r="F334" i="19"/>
  <c r="F346" i="19" s="1"/>
  <c r="H334" i="19"/>
  <c r="H346" i="19" s="1"/>
  <c r="G331" i="19"/>
  <c r="F331" i="19"/>
  <c r="F329" i="19"/>
  <c r="F328" i="19"/>
  <c r="H327" i="19"/>
  <c r="G327" i="19"/>
  <c r="F327" i="19"/>
  <c r="H326" i="19"/>
  <c r="G326" i="19"/>
  <c r="F326" i="19"/>
  <c r="H325" i="19"/>
  <c r="G325" i="19"/>
  <c r="F325" i="19"/>
  <c r="G324" i="19"/>
  <c r="F324" i="19"/>
  <c r="H323" i="19"/>
  <c r="G323" i="19"/>
  <c r="F323" i="19"/>
  <c r="H320" i="19"/>
  <c r="H321" i="19"/>
  <c r="F321" i="19"/>
  <c r="G320" i="19"/>
  <c r="G321" i="19"/>
  <c r="F320" i="19"/>
  <c r="H318" i="19"/>
  <c r="G318" i="19"/>
  <c r="F318" i="19"/>
  <c r="H315" i="19"/>
  <c r="G315" i="19"/>
  <c r="F315" i="19"/>
  <c r="E319" i="19"/>
  <c r="H319" i="19" s="1"/>
  <c r="E317" i="19"/>
  <c r="H317" i="19" s="1"/>
  <c r="E316" i="19"/>
  <c r="G316" i="19" s="1"/>
  <c r="F316" i="19" l="1"/>
  <c r="H316" i="19"/>
  <c r="H332" i="19" s="1"/>
  <c r="G317" i="19"/>
  <c r="G319" i="19"/>
  <c r="E332" i="19"/>
  <c r="F317" i="19"/>
  <c r="F319" i="19"/>
  <c r="E314" i="19"/>
  <c r="G312" i="19"/>
  <c r="F312" i="19"/>
  <c r="F311" i="19"/>
  <c r="G310" i="19"/>
  <c r="F310" i="19"/>
  <c r="H309" i="19"/>
  <c r="G309" i="19"/>
  <c r="F309" i="19"/>
  <c r="H308" i="19"/>
  <c r="G308" i="19"/>
  <c r="F308" i="19"/>
  <c r="H307" i="19"/>
  <c r="G307" i="19"/>
  <c r="F307" i="19"/>
  <c r="H306" i="19"/>
  <c r="G306" i="19"/>
  <c r="F306" i="19"/>
  <c r="F314" i="19" l="1"/>
  <c r="H314" i="19"/>
  <c r="G332" i="19"/>
  <c r="G314" i="19"/>
  <c r="F332" i="19"/>
  <c r="E305" i="19"/>
  <c r="H304" i="19"/>
  <c r="G304" i="19"/>
  <c r="F304" i="19"/>
  <c r="H302" i="19"/>
  <c r="G302" i="19"/>
  <c r="F302" i="19"/>
  <c r="G301" i="19"/>
  <c r="F301" i="19"/>
  <c r="F300" i="19"/>
  <c r="G300" i="19"/>
  <c r="G299" i="19"/>
  <c r="F299" i="19"/>
  <c r="H298" i="19"/>
  <c r="G298" i="19"/>
  <c r="F298" i="19"/>
  <c r="H297" i="19"/>
  <c r="G297" i="19"/>
  <c r="F297" i="19"/>
  <c r="H296" i="19"/>
  <c r="G296" i="19"/>
  <c r="F296" i="19"/>
  <c r="H295" i="19"/>
  <c r="G295" i="19"/>
  <c r="F295" i="19"/>
  <c r="F305" i="19" l="1"/>
  <c r="H305" i="19"/>
  <c r="G305" i="19"/>
  <c r="E294" i="19"/>
  <c r="H293" i="19"/>
  <c r="F293" i="19"/>
  <c r="G293" i="19"/>
  <c r="H292" i="19"/>
  <c r="G292" i="19"/>
  <c r="F292" i="19"/>
  <c r="H291" i="19"/>
  <c r="G291" i="19"/>
  <c r="F291" i="19"/>
  <c r="H290" i="19"/>
  <c r="G290" i="19"/>
  <c r="F290" i="19"/>
  <c r="H286" i="19"/>
  <c r="G286" i="19"/>
  <c r="F286" i="19"/>
  <c r="H285" i="19"/>
  <c r="G285" i="19"/>
  <c r="F285" i="19"/>
  <c r="G289" i="19"/>
  <c r="F289" i="19"/>
  <c r="H288" i="19"/>
  <c r="G288" i="19"/>
  <c r="F288" i="19"/>
  <c r="H287" i="19"/>
  <c r="G287" i="19"/>
  <c r="F287" i="19"/>
  <c r="G283" i="19"/>
  <c r="F283" i="19"/>
  <c r="G282" i="19"/>
  <c r="F282" i="19"/>
  <c r="F294" i="19" l="1"/>
  <c r="H294" i="19"/>
  <c r="G294" i="19"/>
  <c r="G278" i="19"/>
  <c r="F278" i="19"/>
  <c r="H277" i="19" l="1"/>
  <c r="G277" i="19"/>
  <c r="F277" i="19"/>
  <c r="H276" i="19"/>
  <c r="G276" i="19"/>
  <c r="F276" i="19"/>
  <c r="H274" i="19"/>
  <c r="G274" i="19"/>
  <c r="F274" i="19"/>
  <c r="G273" i="19"/>
  <c r="F273" i="19"/>
  <c r="G272" i="19"/>
  <c r="F272" i="19"/>
  <c r="E281" i="19" l="1"/>
  <c r="H271" i="19"/>
  <c r="G271" i="19"/>
  <c r="F271" i="19"/>
  <c r="H270" i="19"/>
  <c r="G270" i="19"/>
  <c r="F270" i="19"/>
  <c r="G269" i="19"/>
  <c r="F269" i="19"/>
  <c r="F268" i="19"/>
  <c r="H267" i="19"/>
  <c r="G267" i="19"/>
  <c r="F267" i="19"/>
  <c r="H266" i="19"/>
  <c r="G266" i="19"/>
  <c r="F266" i="19"/>
  <c r="H265" i="19"/>
  <c r="G265" i="19"/>
  <c r="F265" i="19"/>
  <c r="G264" i="19"/>
  <c r="F264" i="19"/>
  <c r="G281" i="19" l="1"/>
  <c r="F281" i="19"/>
  <c r="H281" i="19"/>
  <c r="E263" i="19"/>
  <c r="F261" i="19"/>
  <c r="F260" i="19"/>
  <c r="H259" i="19"/>
  <c r="G259" i="19"/>
  <c r="F259" i="19"/>
  <c r="H258" i="19"/>
  <c r="G258" i="19"/>
  <c r="F258" i="19"/>
  <c r="G257" i="19"/>
  <c r="F257" i="19"/>
  <c r="G255" i="19"/>
  <c r="F255" i="19"/>
  <c r="F263" i="19" l="1"/>
  <c r="H263" i="19"/>
  <c r="G263" i="19"/>
  <c r="H254" i="19"/>
  <c r="E254" i="19"/>
  <c r="G253" i="19"/>
  <c r="F253" i="19"/>
  <c r="G252" i="19"/>
  <c r="F252" i="19"/>
  <c r="G251" i="19"/>
  <c r="G254" i="19" s="1"/>
  <c r="F251" i="19"/>
  <c r="F254" i="19" s="1"/>
  <c r="E250" i="19" l="1"/>
  <c r="G248" i="19"/>
  <c r="F248" i="19"/>
  <c r="H246" i="19"/>
  <c r="H250" i="19" s="1"/>
  <c r="G246" i="19"/>
  <c r="F246" i="19"/>
  <c r="G245" i="19"/>
  <c r="F245" i="19"/>
  <c r="G244" i="19"/>
  <c r="F244" i="19"/>
  <c r="G250" i="19" l="1"/>
  <c r="F250" i="19"/>
  <c r="E243" i="19"/>
  <c r="H241" i="19"/>
  <c r="G241" i="19"/>
  <c r="F241" i="19"/>
  <c r="H240" i="19"/>
  <c r="G240" i="19"/>
  <c r="F240" i="19"/>
  <c r="G239" i="19"/>
  <c r="F239" i="19"/>
  <c r="G237" i="19"/>
  <c r="F237" i="19"/>
  <c r="G236" i="19"/>
  <c r="F236" i="19"/>
  <c r="F243" i="19" l="1"/>
  <c r="H243" i="19"/>
  <c r="G243" i="19"/>
  <c r="E235" i="19"/>
  <c r="G234" i="19"/>
  <c r="F234" i="19"/>
  <c r="F233" i="19"/>
  <c r="H231" i="19"/>
  <c r="H235" i="19" s="1"/>
  <c r="G231" i="19"/>
  <c r="F231" i="19"/>
  <c r="G230" i="19"/>
  <c r="F230" i="19"/>
  <c r="G229" i="19"/>
  <c r="F229" i="19"/>
  <c r="G228" i="19"/>
  <c r="G235" i="19" s="1"/>
  <c r="F228" i="19"/>
  <c r="F235" i="19" l="1"/>
  <c r="E227" i="19"/>
  <c r="H226" i="19"/>
  <c r="F226" i="19"/>
  <c r="G226" i="19"/>
  <c r="G221" i="19"/>
  <c r="G222" i="19"/>
  <c r="G223" i="19"/>
  <c r="G224" i="19"/>
  <c r="G225" i="19"/>
  <c r="F221" i="19"/>
  <c r="F222" i="19"/>
  <c r="F223" i="19"/>
  <c r="F224" i="19"/>
  <c r="F225" i="19"/>
  <c r="G220" i="19"/>
  <c r="F220" i="19"/>
  <c r="H219" i="19"/>
  <c r="G219" i="19"/>
  <c r="F219" i="19"/>
  <c r="H218" i="19"/>
  <c r="G218" i="19"/>
  <c r="F218" i="19"/>
  <c r="G217" i="19"/>
  <c r="F217" i="19"/>
  <c r="G215" i="19"/>
  <c r="F215" i="19"/>
  <c r="G214" i="19"/>
  <c r="F214" i="19"/>
  <c r="G227" i="19" l="1"/>
  <c r="F227" i="19"/>
  <c r="H227" i="19"/>
  <c r="E213" i="19"/>
  <c r="G212" i="19"/>
  <c r="F212" i="19"/>
  <c r="F210" i="19"/>
  <c r="F208" i="19"/>
  <c r="H207" i="19"/>
  <c r="G207" i="19"/>
  <c r="F207" i="19"/>
  <c r="H206" i="19"/>
  <c r="G206" i="19"/>
  <c r="F206" i="19"/>
  <c r="H203" i="19" l="1"/>
  <c r="G203" i="19"/>
  <c r="F203" i="19"/>
  <c r="G202" i="19"/>
  <c r="F202" i="19"/>
  <c r="F201" i="19" l="1"/>
  <c r="F198" i="19"/>
  <c r="H197" i="19"/>
  <c r="G197" i="19"/>
  <c r="F197" i="19"/>
  <c r="H196" i="19"/>
  <c r="G196" i="19"/>
  <c r="F196" i="19"/>
  <c r="G195" i="19"/>
  <c r="F195" i="19"/>
  <c r="F192" i="19"/>
  <c r="H191" i="19"/>
  <c r="G191" i="19"/>
  <c r="F191" i="19"/>
  <c r="H190" i="19"/>
  <c r="G190" i="19"/>
  <c r="F190" i="19"/>
  <c r="G189" i="19"/>
  <c r="F189" i="19"/>
  <c r="E188" i="19"/>
  <c r="G187" i="19"/>
  <c r="F187" i="19"/>
  <c r="F185" i="19"/>
  <c r="F184" i="19"/>
  <c r="H183" i="19"/>
  <c r="G183" i="19"/>
  <c r="F183" i="19"/>
  <c r="H182" i="19"/>
  <c r="G182" i="19"/>
  <c r="F182" i="19"/>
  <c r="F181" i="19"/>
  <c r="G181" i="19"/>
  <c r="G180" i="19"/>
  <c r="F180" i="19"/>
  <c r="E179" i="19"/>
  <c r="F178" i="19"/>
  <c r="G178" i="19"/>
  <c r="G177" i="19"/>
  <c r="F177" i="19"/>
  <c r="H176" i="19"/>
  <c r="G176" i="19"/>
  <c r="F176" i="19"/>
  <c r="H175" i="19"/>
  <c r="G175" i="19"/>
  <c r="F175" i="19"/>
  <c r="H174" i="19"/>
  <c r="G174" i="19"/>
  <c r="F174" i="19"/>
  <c r="H173" i="19"/>
  <c r="G173" i="19"/>
  <c r="F173" i="19"/>
  <c r="F171" i="19"/>
  <c r="H170" i="19"/>
  <c r="G170" i="19"/>
  <c r="F170" i="19"/>
  <c r="G169" i="19"/>
  <c r="F169" i="19"/>
  <c r="G168" i="19"/>
  <c r="F168" i="19"/>
  <c r="G165" i="19"/>
  <c r="F165" i="19"/>
  <c r="G164" i="19"/>
  <c r="F164" i="19"/>
  <c r="G179" i="19" l="1"/>
  <c r="G213" i="19"/>
  <c r="F179" i="19"/>
  <c r="H179" i="19"/>
  <c r="G188" i="19"/>
  <c r="F188" i="19"/>
  <c r="H188" i="19"/>
  <c r="F213" i="19"/>
  <c r="H213" i="19"/>
  <c r="E163" i="19"/>
  <c r="H161" i="19"/>
  <c r="G161" i="19"/>
  <c r="F161" i="19"/>
  <c r="H160" i="19"/>
  <c r="G160" i="19"/>
  <c r="F160" i="19"/>
  <c r="G159" i="19"/>
  <c r="F159" i="19"/>
  <c r="G162" i="19" l="1"/>
  <c r="F162" i="19"/>
  <c r="F156" i="19"/>
  <c r="G155" i="19"/>
  <c r="F155" i="19"/>
  <c r="G154" i="19"/>
  <c r="F154" i="19"/>
  <c r="H153" i="19"/>
  <c r="G153" i="19"/>
  <c r="F153" i="19"/>
  <c r="H152" i="19"/>
  <c r="G152" i="19"/>
  <c r="F152" i="19"/>
  <c r="H151" i="19"/>
  <c r="G151" i="19"/>
  <c r="F151" i="19"/>
  <c r="H150" i="19"/>
  <c r="G150" i="19"/>
  <c r="F150" i="19"/>
  <c r="H163" i="19" l="1"/>
  <c r="F163" i="19"/>
  <c r="G163" i="19"/>
  <c r="H147" i="19"/>
  <c r="G147" i="19"/>
  <c r="F147" i="19"/>
  <c r="G145" i="19"/>
  <c r="F145" i="19"/>
  <c r="G144" i="19"/>
  <c r="F144" i="19"/>
  <c r="F142" i="19"/>
  <c r="H140" i="19"/>
  <c r="F140" i="19"/>
  <c r="G140" i="19"/>
  <c r="F139" i="19"/>
  <c r="G139" i="19"/>
  <c r="G138" i="19"/>
  <c r="F138" i="19"/>
  <c r="H137" i="19"/>
  <c r="G137" i="19"/>
  <c r="F137" i="19"/>
  <c r="H135" i="19"/>
  <c r="G135" i="19"/>
  <c r="F135" i="19"/>
  <c r="E136" i="19"/>
  <c r="G136" i="19" s="1"/>
  <c r="H149" i="19" l="1"/>
  <c r="G149" i="19"/>
  <c r="F136" i="19"/>
  <c r="F149" i="19" s="1"/>
  <c r="E149" i="19"/>
  <c r="G133" i="19"/>
  <c r="F133" i="19"/>
  <c r="E134" i="19"/>
  <c r="H132" i="19"/>
  <c r="G132" i="19"/>
  <c r="G129" i="19"/>
  <c r="H122" i="19"/>
  <c r="G123" i="19"/>
  <c r="G124" i="19"/>
  <c r="G125" i="19"/>
  <c r="G126" i="19"/>
  <c r="G122" i="19"/>
  <c r="F129" i="19"/>
  <c r="F127" i="19"/>
  <c r="F124" i="19"/>
  <c r="F125" i="19"/>
  <c r="F126" i="19"/>
  <c r="F123" i="19"/>
  <c r="F122" i="19"/>
  <c r="G134" i="19" l="1"/>
  <c r="H134" i="19"/>
  <c r="F134" i="19"/>
  <c r="E121" i="19"/>
  <c r="F120" i="19"/>
  <c r="G119" i="19"/>
  <c r="F119" i="19"/>
  <c r="F117" i="19"/>
  <c r="H116" i="19"/>
  <c r="G116" i="19"/>
  <c r="F116" i="19"/>
  <c r="H115" i="19"/>
  <c r="G115" i="19"/>
  <c r="F115" i="19"/>
  <c r="H114" i="19"/>
  <c r="G114" i="19"/>
  <c r="F114" i="19"/>
  <c r="G113" i="19"/>
  <c r="F113" i="19"/>
  <c r="G111" i="19"/>
  <c r="F111" i="19"/>
  <c r="G110" i="19"/>
  <c r="F110" i="19"/>
  <c r="H109" i="19"/>
  <c r="G109" i="19"/>
  <c r="F109" i="19"/>
  <c r="H108" i="19"/>
  <c r="G108" i="19"/>
  <c r="F108" i="19"/>
  <c r="H107" i="19"/>
  <c r="G107" i="19"/>
  <c r="F107" i="19"/>
  <c r="H106" i="19"/>
  <c r="G106" i="19"/>
  <c r="F106" i="19"/>
  <c r="F121" i="19" l="1"/>
  <c r="H121" i="19"/>
  <c r="G121" i="19"/>
  <c r="G104" i="19"/>
  <c r="F104" i="19"/>
  <c r="E105" i="19"/>
  <c r="H102" i="19" l="1"/>
  <c r="G102" i="19"/>
  <c r="F102" i="19"/>
  <c r="G100" i="19"/>
  <c r="F100" i="19"/>
  <c r="G99" i="19"/>
  <c r="F99" i="19"/>
  <c r="G98" i="19"/>
  <c r="F98" i="19"/>
  <c r="F97" i="19"/>
  <c r="H95" i="19"/>
  <c r="G95" i="19"/>
  <c r="F95" i="19"/>
  <c r="H96" i="19"/>
  <c r="G96" i="19"/>
  <c r="F96" i="19"/>
  <c r="F93" i="19"/>
  <c r="F91" i="19"/>
  <c r="H90" i="19"/>
  <c r="G90" i="19"/>
  <c r="F90" i="19"/>
  <c r="H89" i="19"/>
  <c r="G89" i="19"/>
  <c r="F89" i="19"/>
  <c r="H88" i="19"/>
  <c r="G88" i="19"/>
  <c r="F88" i="19"/>
  <c r="F87" i="19"/>
  <c r="G87" i="19"/>
  <c r="H87" i="19"/>
  <c r="H84" i="19"/>
  <c r="H85" i="19"/>
  <c r="H86" i="19"/>
  <c r="G84" i="19"/>
  <c r="G85" i="19"/>
  <c r="G86" i="19"/>
  <c r="F84" i="19"/>
  <c r="F85" i="19"/>
  <c r="F86" i="19"/>
  <c r="H83" i="19"/>
  <c r="G83" i="19"/>
  <c r="F83" i="19"/>
  <c r="F105" i="19" l="1"/>
  <c r="H105" i="19"/>
  <c r="G105" i="19"/>
  <c r="E82" i="19"/>
  <c r="G80" i="19"/>
  <c r="F80" i="19"/>
  <c r="F79" i="19"/>
  <c r="F78" i="19"/>
  <c r="G77" i="19"/>
  <c r="G78" i="19"/>
  <c r="G79" i="19"/>
  <c r="F77" i="19"/>
  <c r="H76" i="19"/>
  <c r="G76" i="19"/>
  <c r="F76" i="19"/>
  <c r="H75" i="19"/>
  <c r="G75" i="19"/>
  <c r="F75" i="19"/>
  <c r="F82" i="19" l="1"/>
  <c r="G82" i="19"/>
  <c r="H82" i="19"/>
  <c r="G73" i="19"/>
  <c r="F73" i="19"/>
  <c r="E74" i="19"/>
  <c r="F70" i="19"/>
  <c r="G69" i="19"/>
  <c r="F69" i="19"/>
  <c r="H68" i="19"/>
  <c r="F68" i="19"/>
  <c r="G68" i="19"/>
  <c r="G67" i="19"/>
  <c r="F67" i="19"/>
  <c r="F66" i="19"/>
  <c r="G66" i="19"/>
  <c r="F65" i="19"/>
  <c r="G65" i="19"/>
  <c r="H64" i="19"/>
  <c r="F64" i="19"/>
  <c r="H63" i="19"/>
  <c r="F63" i="19"/>
  <c r="G64" i="19"/>
  <c r="G63" i="19"/>
  <c r="H62" i="19"/>
  <c r="G62" i="19"/>
  <c r="F62" i="19"/>
  <c r="H61" i="19"/>
  <c r="G61" i="19"/>
  <c r="F61" i="19"/>
  <c r="F74" i="19" l="1"/>
  <c r="H74" i="19"/>
  <c r="G74" i="19"/>
  <c r="E60" i="19"/>
  <c r="G59" i="19"/>
  <c r="F59" i="19"/>
  <c r="G58" i="19"/>
  <c r="F58" i="19"/>
  <c r="H55" i="19"/>
  <c r="G55" i="19"/>
  <c r="F55" i="19"/>
  <c r="G53" i="19"/>
  <c r="G54" i="19"/>
  <c r="F53" i="19"/>
  <c r="F54" i="19"/>
  <c r="G52" i="19"/>
  <c r="F52" i="19"/>
  <c r="H51" i="19"/>
  <c r="G51" i="19"/>
  <c r="F51" i="19"/>
  <c r="H48" i="19"/>
  <c r="H49" i="19"/>
  <c r="H50" i="19"/>
  <c r="G50" i="19"/>
  <c r="F50" i="19"/>
  <c r="G49" i="19"/>
  <c r="F49" i="19"/>
  <c r="G48" i="19"/>
  <c r="F48" i="19"/>
  <c r="G60" i="19" l="1"/>
  <c r="F60" i="19"/>
  <c r="H60" i="19"/>
  <c r="E47" i="19"/>
  <c r="G46" i="19"/>
  <c r="F46" i="19"/>
  <c r="G44" i="19"/>
  <c r="F44" i="19"/>
  <c r="G43" i="19"/>
  <c r="F43" i="19"/>
  <c r="G42" i="19"/>
  <c r="F42" i="19"/>
  <c r="F41" i="19"/>
  <c r="H39" i="19"/>
  <c r="G39" i="19"/>
  <c r="F39" i="19"/>
  <c r="H38" i="19"/>
  <c r="G38" i="19"/>
  <c r="F38" i="19"/>
  <c r="G37" i="19"/>
  <c r="F37" i="19"/>
  <c r="H36" i="19"/>
  <c r="G36" i="19"/>
  <c r="F36" i="19"/>
  <c r="H35" i="19"/>
  <c r="G35" i="19"/>
  <c r="F35" i="19"/>
  <c r="G34" i="19"/>
  <c r="F34" i="19"/>
  <c r="H33" i="19"/>
  <c r="G33" i="19"/>
  <c r="F33" i="19"/>
  <c r="G47" i="19" l="1"/>
  <c r="F47" i="19"/>
  <c r="H47" i="19"/>
  <c r="E32" i="19"/>
  <c r="G30" i="19"/>
  <c r="F30" i="19"/>
  <c r="F28" i="19"/>
  <c r="F27" i="19"/>
  <c r="F26" i="19"/>
  <c r="H24" i="19"/>
  <c r="G24" i="19"/>
  <c r="F24" i="19"/>
  <c r="H22" i="19"/>
  <c r="G22" i="19"/>
  <c r="F22" i="19"/>
  <c r="G21" i="19"/>
  <c r="F21" i="19"/>
  <c r="G20" i="19"/>
  <c r="F20" i="19"/>
  <c r="F32" i="19" l="1"/>
  <c r="H32" i="19"/>
  <c r="G32" i="19"/>
  <c r="E14" i="19"/>
  <c r="G13" i="19"/>
  <c r="F13" i="19"/>
  <c r="G11" i="19"/>
  <c r="F11" i="19"/>
  <c r="F9" i="19"/>
  <c r="F8" i="19"/>
  <c r="G7" i="19"/>
  <c r="F7" i="19"/>
  <c r="G6" i="19"/>
  <c r="F6" i="19"/>
  <c r="H5" i="19" l="1"/>
  <c r="G5" i="19"/>
  <c r="F5" i="19"/>
  <c r="H4" i="19"/>
  <c r="G4" i="19"/>
  <c r="F4" i="19"/>
  <c r="G3" i="19"/>
  <c r="F3" i="19"/>
  <c r="H2" i="19"/>
  <c r="G2" i="19"/>
  <c r="F2" i="19"/>
  <c r="F14" i="19" l="1"/>
  <c r="H14" i="19"/>
  <c r="G14" i="19"/>
  <c r="E357" i="18"/>
  <c r="H356" i="18"/>
  <c r="G356" i="18"/>
  <c r="F356" i="18"/>
  <c r="H355" i="18"/>
  <c r="G355" i="18"/>
  <c r="F355" i="18"/>
  <c r="G354" i="18"/>
  <c r="F354" i="18"/>
  <c r="F353" i="18"/>
  <c r="F352" i="18"/>
  <c r="H350" i="18"/>
  <c r="G350" i="18"/>
  <c r="F350" i="18"/>
  <c r="G349" i="18"/>
  <c r="F349" i="18"/>
  <c r="H348" i="18"/>
  <c r="G348" i="18"/>
  <c r="F348" i="18"/>
  <c r="H347" i="18"/>
  <c r="G347" i="18"/>
  <c r="F347" i="18"/>
  <c r="G346" i="18"/>
  <c r="G357" i="18" s="1"/>
  <c r="F346" i="18"/>
  <c r="F357" i="18" l="1"/>
  <c r="H357" i="18"/>
  <c r="E345" i="18"/>
  <c r="H344" i="18"/>
  <c r="G344" i="18"/>
  <c r="F344" i="18"/>
  <c r="H343" i="18"/>
  <c r="G343" i="18"/>
  <c r="F343" i="18"/>
  <c r="G342" i="18"/>
  <c r="F342" i="18"/>
  <c r="F341" i="18"/>
  <c r="F340" i="18"/>
  <c r="H339" i="18"/>
  <c r="G339" i="18"/>
  <c r="F339" i="18"/>
  <c r="H338" i="18"/>
  <c r="G338" i="18"/>
  <c r="F338" i="18"/>
  <c r="H337" i="18"/>
  <c r="G337" i="18"/>
  <c r="F337" i="18"/>
  <c r="H336" i="18"/>
  <c r="G336" i="18"/>
  <c r="F336" i="18"/>
  <c r="H335" i="18"/>
  <c r="G335" i="18"/>
  <c r="F335" i="18"/>
  <c r="G334" i="18"/>
  <c r="F334" i="18"/>
  <c r="G333" i="18"/>
  <c r="F333" i="18"/>
  <c r="F345" i="18" s="1"/>
  <c r="G345" i="18" l="1"/>
  <c r="H345" i="18"/>
  <c r="E332" i="18"/>
  <c r="H331" i="18"/>
  <c r="G331" i="18"/>
  <c r="F331" i="18"/>
  <c r="H330" i="18"/>
  <c r="G330" i="18"/>
  <c r="F330" i="18"/>
  <c r="H325" i="18"/>
  <c r="G325" i="18"/>
  <c r="F325" i="18"/>
  <c r="H324" i="18"/>
  <c r="G324" i="18"/>
  <c r="F324" i="18"/>
  <c r="G323" i="18"/>
  <c r="F323" i="18"/>
  <c r="G332" i="18" l="1"/>
  <c r="F332" i="18"/>
  <c r="H332" i="18"/>
  <c r="E322" i="18"/>
  <c r="G319" i="18"/>
  <c r="F319" i="18"/>
  <c r="F317" i="18"/>
  <c r="F316" i="18"/>
  <c r="H314" i="18"/>
  <c r="G314" i="18"/>
  <c r="F314" i="18"/>
  <c r="G313" i="18"/>
  <c r="F313" i="18"/>
  <c r="H312" i="18"/>
  <c r="G312" i="18"/>
  <c r="F312" i="18"/>
  <c r="H311" i="18"/>
  <c r="G311" i="18"/>
  <c r="F311" i="18"/>
  <c r="H310" i="18"/>
  <c r="G310" i="18"/>
  <c r="F310" i="18"/>
  <c r="G309" i="18"/>
  <c r="F309" i="18"/>
  <c r="H308" i="18"/>
  <c r="G308" i="18"/>
  <c r="F308" i="18"/>
  <c r="H307" i="18"/>
  <c r="G307" i="18"/>
  <c r="F307" i="18"/>
  <c r="G306" i="18"/>
  <c r="F306" i="18"/>
  <c r="H304" i="18"/>
  <c r="G304" i="18"/>
  <c r="F304" i="18"/>
  <c r="H303" i="18"/>
  <c r="G303" i="18"/>
  <c r="F303" i="18"/>
  <c r="G302" i="18"/>
  <c r="F302" i="18"/>
  <c r="G301" i="18"/>
  <c r="F301" i="18"/>
  <c r="G300" i="18"/>
  <c r="H300" i="18"/>
  <c r="G322" i="18" l="1"/>
  <c r="F322" i="18"/>
  <c r="H322" i="18"/>
  <c r="H295" i="18"/>
  <c r="G295" i="18"/>
  <c r="F295" i="18"/>
  <c r="G294" i="18"/>
  <c r="F294" i="18"/>
  <c r="H292" i="18"/>
  <c r="G292" i="18"/>
  <c r="F292" i="18"/>
  <c r="H291" i="18"/>
  <c r="G291" i="18"/>
  <c r="F291" i="18"/>
  <c r="G290" i="18"/>
  <c r="F290" i="18"/>
  <c r="G289" i="18"/>
  <c r="F289" i="18"/>
  <c r="F296" i="18" s="1"/>
  <c r="H298" i="18"/>
  <c r="G298" i="18"/>
  <c r="F298" i="18"/>
  <c r="H297" i="18"/>
  <c r="G297" i="18"/>
  <c r="F297" i="18"/>
  <c r="E296" i="18"/>
  <c r="G296" i="18" l="1"/>
  <c r="H296" i="18"/>
  <c r="E288" i="18"/>
  <c r="G287" i="18"/>
  <c r="F287" i="18"/>
  <c r="G286" i="18"/>
  <c r="F286" i="18"/>
  <c r="H284" i="18"/>
  <c r="G284" i="18"/>
  <c r="F284" i="18"/>
  <c r="H283" i="18"/>
  <c r="G283" i="18"/>
  <c r="F283" i="18"/>
  <c r="G282" i="18"/>
  <c r="F282" i="18"/>
  <c r="G281" i="18"/>
  <c r="F281" i="18"/>
  <c r="F288" i="18" l="1"/>
  <c r="H288" i="18"/>
  <c r="G288" i="18"/>
  <c r="E280" i="18"/>
  <c r="H279" i="18"/>
  <c r="G279" i="18"/>
  <c r="F279" i="18"/>
  <c r="H278" i="18"/>
  <c r="G278" i="18"/>
  <c r="F278" i="18"/>
  <c r="F276" i="18"/>
  <c r="F275" i="18"/>
  <c r="H274" i="18"/>
  <c r="G274" i="18"/>
  <c r="F274" i="18"/>
  <c r="H273" i="18"/>
  <c r="G273" i="18"/>
  <c r="F273" i="18"/>
  <c r="G272" i="18"/>
  <c r="F272" i="18"/>
  <c r="H271" i="18"/>
  <c r="G271" i="18"/>
  <c r="F271" i="18"/>
  <c r="H270" i="18"/>
  <c r="G270" i="18"/>
  <c r="F270" i="18"/>
  <c r="H269" i="18"/>
  <c r="G269" i="18"/>
  <c r="F269" i="18"/>
  <c r="G268" i="18"/>
  <c r="F268" i="18"/>
  <c r="G265" i="18"/>
  <c r="F265" i="18"/>
  <c r="G264" i="18"/>
  <c r="F264" i="18"/>
  <c r="G263" i="18"/>
  <c r="F263" i="18"/>
  <c r="F280" i="18" l="1"/>
  <c r="H280" i="18"/>
  <c r="G280" i="18"/>
  <c r="E262" i="18"/>
  <c r="H261" i="18"/>
  <c r="G261" i="18"/>
  <c r="F261" i="18"/>
  <c r="H260" i="18"/>
  <c r="G260" i="18"/>
  <c r="F260" i="18"/>
  <c r="G259" i="18"/>
  <c r="F259" i="18"/>
  <c r="F258" i="18"/>
  <c r="F256" i="18"/>
  <c r="F255" i="18"/>
  <c r="H254" i="18"/>
  <c r="G254" i="18"/>
  <c r="F254" i="18"/>
  <c r="H252" i="18"/>
  <c r="G252" i="18"/>
  <c r="F252" i="18"/>
  <c r="G251" i="18"/>
  <c r="F251" i="18"/>
  <c r="H249" i="18"/>
  <c r="G249" i="18"/>
  <c r="F249" i="18"/>
  <c r="H248" i="18"/>
  <c r="G248" i="18"/>
  <c r="F248" i="18"/>
  <c r="G247" i="18"/>
  <c r="F247" i="18"/>
  <c r="G246" i="18"/>
  <c r="F246" i="18"/>
  <c r="G262" i="18" l="1"/>
  <c r="F262" i="18"/>
  <c r="H262" i="18"/>
  <c r="E245" i="18"/>
  <c r="H243" i="18"/>
  <c r="G243" i="18"/>
  <c r="F243" i="18"/>
  <c r="H242" i="18"/>
  <c r="G242" i="18"/>
  <c r="F242" i="18"/>
  <c r="G241" i="18"/>
  <c r="F241" i="18"/>
  <c r="G240" i="18"/>
  <c r="F240" i="18"/>
  <c r="F239" i="18"/>
  <c r="F238" i="18"/>
  <c r="G237" i="18"/>
  <c r="F237" i="18"/>
  <c r="H236" i="18"/>
  <c r="G236" i="18"/>
  <c r="F236" i="18"/>
  <c r="H235" i="18"/>
  <c r="G235" i="18"/>
  <c r="F235" i="18"/>
  <c r="H234" i="18"/>
  <c r="G234" i="18"/>
  <c r="F234" i="18"/>
  <c r="G233" i="18"/>
  <c r="F233" i="18"/>
  <c r="G245" i="18" l="1"/>
  <c r="F245" i="18"/>
  <c r="H245" i="18"/>
  <c r="H232" i="18"/>
  <c r="E232" i="18"/>
  <c r="F229" i="18"/>
  <c r="G228" i="18"/>
  <c r="G232" i="18" s="1"/>
  <c r="F228" i="18"/>
  <c r="F232" i="18" s="1"/>
  <c r="E227" i="18"/>
  <c r="F224" i="18"/>
  <c r="F223" i="18"/>
  <c r="H222" i="18"/>
  <c r="H227" i="18" s="1"/>
  <c r="G222" i="18"/>
  <c r="F222" i="18"/>
  <c r="G220" i="18"/>
  <c r="F220" i="18"/>
  <c r="F218" i="18"/>
  <c r="G217" i="18"/>
  <c r="F217" i="18"/>
  <c r="F227" i="18" l="1"/>
  <c r="G227" i="18"/>
  <c r="E216" i="18"/>
  <c r="H214" i="18"/>
  <c r="G214" i="18"/>
  <c r="F214" i="18"/>
  <c r="F213" i="18"/>
  <c r="G212" i="18"/>
  <c r="F212" i="18"/>
  <c r="F211" i="18"/>
  <c r="F207" i="18"/>
  <c r="H206" i="18" l="1"/>
  <c r="G206" i="18"/>
  <c r="F206" i="18"/>
  <c r="H205" i="18"/>
  <c r="G205" i="18"/>
  <c r="F205" i="18"/>
  <c r="G204" i="18"/>
  <c r="F204" i="18"/>
  <c r="H203" i="18" l="1"/>
  <c r="H216" i="18" s="1"/>
  <c r="G203" i="18"/>
  <c r="G216" i="18" s="1"/>
  <c r="F203" i="18"/>
  <c r="F216" i="18" s="1"/>
  <c r="E202" i="18"/>
  <c r="H201" i="18"/>
  <c r="G201" i="18"/>
  <c r="F201" i="18"/>
  <c r="H200" i="18"/>
  <c r="G200" i="18"/>
  <c r="F200" i="18"/>
  <c r="G199" i="18"/>
  <c r="F199" i="18"/>
  <c r="G198" i="18"/>
  <c r="F198" i="18"/>
  <c r="F195" i="18"/>
  <c r="F194" i="18"/>
  <c r="H193" i="18"/>
  <c r="G193" i="18"/>
  <c r="F193" i="18"/>
  <c r="G191" i="18"/>
  <c r="H192" i="18"/>
  <c r="G192" i="18"/>
  <c r="F192" i="18"/>
  <c r="F191" i="18"/>
  <c r="F202" i="18" l="1"/>
  <c r="G202" i="18"/>
  <c r="H202" i="18"/>
  <c r="E190" i="18"/>
  <c r="G188" i="18"/>
  <c r="F188" i="18"/>
  <c r="G187" i="18"/>
  <c r="F187" i="18"/>
  <c r="F185" i="18"/>
  <c r="F184" i="18"/>
  <c r="H183" i="18"/>
  <c r="G183" i="18"/>
  <c r="F183" i="18"/>
  <c r="H181" i="18"/>
  <c r="G181" i="18"/>
  <c r="F181" i="18"/>
  <c r="G180" i="18"/>
  <c r="F180" i="18"/>
  <c r="G190" i="18" l="1"/>
  <c r="F190" i="18"/>
  <c r="H190" i="18"/>
  <c r="E179" i="18"/>
  <c r="G177" i="18"/>
  <c r="F177" i="18"/>
  <c r="G175" i="18"/>
  <c r="F175" i="18"/>
  <c r="G174" i="18"/>
  <c r="F174" i="18"/>
  <c r="G173" i="18"/>
  <c r="F173" i="18"/>
  <c r="F172" i="18"/>
  <c r="F171" i="18"/>
  <c r="F170" i="18"/>
  <c r="F169" i="18"/>
  <c r="H168" i="18"/>
  <c r="G168" i="18"/>
  <c r="F168" i="18"/>
  <c r="H167" i="18"/>
  <c r="G167" i="18"/>
  <c r="F167" i="18"/>
  <c r="H166" i="18"/>
  <c r="G166" i="18"/>
  <c r="F166" i="18"/>
  <c r="G165" i="18"/>
  <c r="F165" i="18"/>
  <c r="E164" i="18"/>
  <c r="F163" i="18"/>
  <c r="H162" i="18"/>
  <c r="G162" i="18"/>
  <c r="F162" i="18"/>
  <c r="H161" i="18"/>
  <c r="G161" i="18"/>
  <c r="F161" i="18"/>
  <c r="G160" i="18"/>
  <c r="F160" i="18"/>
  <c r="H158" i="18"/>
  <c r="G158" i="18"/>
  <c r="F158" i="18"/>
  <c r="H157" i="18"/>
  <c r="G157" i="18"/>
  <c r="F157" i="18"/>
  <c r="G156" i="18"/>
  <c r="F156" i="18"/>
  <c r="G155" i="18"/>
  <c r="F155" i="18"/>
  <c r="F164" i="18" l="1"/>
  <c r="H164" i="18"/>
  <c r="F179" i="18"/>
  <c r="H179" i="18"/>
  <c r="G164" i="18"/>
  <c r="G179" i="18"/>
  <c r="E154" i="18"/>
  <c r="G152" i="18"/>
  <c r="F152" i="18"/>
  <c r="F151" i="18"/>
  <c r="F150" i="18"/>
  <c r="H148" i="18"/>
  <c r="G148" i="18"/>
  <c r="F148" i="18"/>
  <c r="H147" i="18"/>
  <c r="G147" i="18"/>
  <c r="F147" i="18"/>
  <c r="H146" i="18"/>
  <c r="G146" i="18"/>
  <c r="F146" i="18"/>
  <c r="G145" i="18"/>
  <c r="F145" i="18"/>
  <c r="F154" i="18" l="1"/>
  <c r="H154" i="18"/>
  <c r="G154" i="18"/>
  <c r="E144" i="18"/>
  <c r="H143" i="18"/>
  <c r="G143" i="18"/>
  <c r="F143" i="18"/>
  <c r="H142" i="18"/>
  <c r="G142" i="18"/>
  <c r="F142" i="18"/>
  <c r="H141" i="18"/>
  <c r="G141" i="18"/>
  <c r="F141" i="18"/>
  <c r="G140" i="18"/>
  <c r="F140" i="18"/>
  <c r="F139" i="18"/>
  <c r="H139" i="18"/>
  <c r="G139" i="18"/>
  <c r="H138" i="18"/>
  <c r="G138" i="18"/>
  <c r="F138" i="18"/>
  <c r="G137" i="18"/>
  <c r="F137" i="18"/>
  <c r="H136" i="18"/>
  <c r="G136" i="18"/>
  <c r="F136" i="18"/>
  <c r="F144" i="18" l="1"/>
  <c r="H144" i="18"/>
  <c r="G144" i="18"/>
  <c r="E135" i="18"/>
  <c r="G134" i="18"/>
  <c r="F134" i="18"/>
  <c r="F133" i="18"/>
  <c r="H130" i="18"/>
  <c r="G130" i="18"/>
  <c r="F130" i="18"/>
  <c r="H129" i="18"/>
  <c r="G129" i="18"/>
  <c r="F129" i="18"/>
  <c r="H128" i="18"/>
  <c r="G128" i="18"/>
  <c r="F128" i="18"/>
  <c r="G127" i="18"/>
  <c r="F127" i="18"/>
  <c r="H124" i="18"/>
  <c r="G124" i="18"/>
  <c r="F124" i="18"/>
  <c r="G122" i="18"/>
  <c r="F122" i="18"/>
  <c r="G121" i="18"/>
  <c r="F121" i="18"/>
  <c r="G120" i="18"/>
  <c r="F120" i="18"/>
  <c r="H119" i="18"/>
  <c r="G119" i="18"/>
  <c r="F119" i="18"/>
  <c r="H117" i="18"/>
  <c r="G117" i="18"/>
  <c r="F117" i="18"/>
  <c r="G116" i="18"/>
  <c r="F116" i="18"/>
  <c r="E126" i="18"/>
  <c r="G126" i="18" l="1"/>
  <c r="F135" i="18"/>
  <c r="H135" i="18"/>
  <c r="F126" i="18"/>
  <c r="H126" i="18"/>
  <c r="G135" i="18"/>
  <c r="E115" i="18"/>
  <c r="H113" i="18"/>
  <c r="G113" i="18"/>
  <c r="F113" i="18"/>
  <c r="H112" i="18"/>
  <c r="G112" i="18"/>
  <c r="F112" i="18"/>
  <c r="G111" i="18"/>
  <c r="F111" i="18"/>
  <c r="G110" i="18"/>
  <c r="F110" i="18"/>
  <c r="E109" i="18"/>
  <c r="H108" i="18"/>
  <c r="G108" i="18"/>
  <c r="F108" i="18"/>
  <c r="H107" i="18"/>
  <c r="G107" i="18"/>
  <c r="F107" i="18"/>
  <c r="G106" i="18"/>
  <c r="F106" i="18"/>
  <c r="H105" i="18"/>
  <c r="G105" i="18"/>
  <c r="F105" i="18"/>
  <c r="H103" i="18"/>
  <c r="G103" i="18"/>
  <c r="F103" i="18"/>
  <c r="G102" i="18"/>
  <c r="F102" i="18"/>
  <c r="G101" i="18"/>
  <c r="F101" i="18"/>
  <c r="G109" i="18" l="1"/>
  <c r="F115" i="18"/>
  <c r="F109" i="18"/>
  <c r="H109" i="18"/>
  <c r="G115" i="18"/>
  <c r="H115" i="18"/>
  <c r="E100" i="18"/>
  <c r="H99" i="18"/>
  <c r="G99" i="18"/>
  <c r="F99" i="18"/>
  <c r="H98" i="18"/>
  <c r="G98" i="18"/>
  <c r="F98" i="18"/>
  <c r="F95" i="18"/>
  <c r="H94" i="18"/>
  <c r="G94" i="18"/>
  <c r="F94" i="18"/>
  <c r="H92" i="18"/>
  <c r="G92" i="18"/>
  <c r="F92" i="18"/>
  <c r="G91" i="18"/>
  <c r="F91" i="18"/>
  <c r="H88" i="18"/>
  <c r="G88" i="18"/>
  <c r="F88" i="18"/>
  <c r="G87" i="18"/>
  <c r="F87" i="18"/>
  <c r="G100" i="18" l="1"/>
  <c r="H100" i="18"/>
  <c r="F100" i="18"/>
  <c r="E86" i="18"/>
  <c r="G84" i="18"/>
  <c r="F84" i="18"/>
  <c r="G83" i="18"/>
  <c r="F83" i="18"/>
  <c r="H81" i="18"/>
  <c r="G81" i="18"/>
  <c r="F81" i="18"/>
  <c r="G80" i="18"/>
  <c r="F80" i="18"/>
  <c r="H78" i="18"/>
  <c r="G78" i="18"/>
  <c r="F78" i="18"/>
  <c r="H76" i="18"/>
  <c r="G76" i="18"/>
  <c r="F76" i="18"/>
  <c r="G75" i="18"/>
  <c r="F75" i="18"/>
  <c r="G86" i="18" l="1"/>
  <c r="F86" i="18"/>
  <c r="H86" i="18"/>
  <c r="E74" i="18"/>
  <c r="H73" i="18"/>
  <c r="G73" i="18"/>
  <c r="F73" i="18"/>
  <c r="H72" i="18"/>
  <c r="G72" i="18"/>
  <c r="F72" i="18"/>
  <c r="G70" i="18"/>
  <c r="F70" i="18"/>
  <c r="H69" i="18"/>
  <c r="G69" i="18"/>
  <c r="F69" i="18"/>
  <c r="H68" i="18"/>
  <c r="G68" i="18"/>
  <c r="F68" i="18"/>
  <c r="H67" i="18"/>
  <c r="G67" i="18"/>
  <c r="F67" i="18"/>
  <c r="H63" i="18"/>
  <c r="G63" i="18"/>
  <c r="F63" i="18"/>
  <c r="H61" i="18"/>
  <c r="G61" i="18"/>
  <c r="F61" i="18"/>
  <c r="G60" i="18"/>
  <c r="F60" i="18"/>
  <c r="F74" i="18" l="1"/>
  <c r="H74" i="18"/>
  <c r="G74" i="18"/>
  <c r="E59" i="18"/>
  <c r="G58" i="18"/>
  <c r="F58" i="18"/>
  <c r="G56" i="18"/>
  <c r="F56" i="18"/>
  <c r="H54" i="18"/>
  <c r="G54" i="18"/>
  <c r="F54" i="18"/>
  <c r="H53" i="18"/>
  <c r="G53" i="18"/>
  <c r="F53" i="18"/>
  <c r="G52" i="18"/>
  <c r="F52" i="18"/>
  <c r="F59" i="18" l="1"/>
  <c r="H59" i="18"/>
  <c r="G59" i="18"/>
  <c r="E51" i="18"/>
  <c r="F49" i="18"/>
  <c r="F48" i="18"/>
  <c r="H46" i="18"/>
  <c r="G46" i="18"/>
  <c r="F46" i="18"/>
  <c r="H45" i="18"/>
  <c r="G45" i="18"/>
  <c r="F45" i="18"/>
  <c r="G44" i="18"/>
  <c r="F44" i="18"/>
  <c r="H43" i="18"/>
  <c r="G43" i="18"/>
  <c r="F43" i="18"/>
  <c r="H42" i="18"/>
  <c r="G42" i="18"/>
  <c r="F42" i="18"/>
  <c r="G40" i="18"/>
  <c r="F40" i="18"/>
  <c r="G39" i="18"/>
  <c r="F39" i="18"/>
  <c r="F51" i="18" l="1"/>
  <c r="G51" i="18"/>
  <c r="H51" i="18"/>
  <c r="E38" i="18"/>
  <c r="H37" i="18"/>
  <c r="G37" i="18"/>
  <c r="F37" i="18"/>
  <c r="H35" i="18"/>
  <c r="G35" i="18"/>
  <c r="F35" i="18"/>
  <c r="G34" i="18"/>
  <c r="F34" i="18"/>
  <c r="G31" i="18"/>
  <c r="F31" i="18"/>
  <c r="H29" i="18"/>
  <c r="G29" i="18"/>
  <c r="F29" i="18"/>
  <c r="G38" i="18" l="1"/>
  <c r="F38" i="18"/>
  <c r="H38" i="18"/>
  <c r="E28" i="18"/>
  <c r="H27" i="18"/>
  <c r="G27" i="18"/>
  <c r="F27" i="18"/>
  <c r="H26" i="18"/>
  <c r="G26" i="18"/>
  <c r="F26" i="18"/>
  <c r="F24" i="18"/>
  <c r="H23" i="18"/>
  <c r="G23" i="18"/>
  <c r="F23" i="18"/>
  <c r="H19" i="18"/>
  <c r="G19" i="18"/>
  <c r="F19" i="18"/>
  <c r="H18" i="18"/>
  <c r="G18" i="18"/>
  <c r="F18" i="18"/>
  <c r="F28" i="18" l="1"/>
  <c r="G28" i="18"/>
  <c r="H28" i="18"/>
  <c r="E17" i="18"/>
  <c r="H16" i="18"/>
  <c r="G16" i="18"/>
  <c r="F16" i="18"/>
  <c r="G15" i="18"/>
  <c r="F15" i="18"/>
  <c r="H12" i="18"/>
  <c r="G12" i="18"/>
  <c r="F12" i="18"/>
  <c r="H10" i="18"/>
  <c r="G10" i="18"/>
  <c r="F10" i="18"/>
  <c r="G17" i="18" l="1"/>
  <c r="F17" i="18"/>
  <c r="H17" i="18"/>
  <c r="E9" i="18"/>
  <c r="H8" i="18"/>
  <c r="G8" i="18"/>
  <c r="F8" i="18"/>
  <c r="H7" i="18"/>
  <c r="G7" i="18"/>
  <c r="F7" i="18"/>
  <c r="H4" i="18"/>
  <c r="G4" i="18"/>
  <c r="F4" i="18"/>
  <c r="G6" i="18"/>
  <c r="F6" i="18"/>
  <c r="H3" i="18"/>
  <c r="G3" i="18"/>
  <c r="F3" i="18"/>
  <c r="G2" i="18"/>
  <c r="F2" i="18"/>
  <c r="F9" i="18" l="1"/>
  <c r="H9" i="18"/>
  <c r="G9" i="18"/>
  <c r="E439" i="17"/>
  <c r="H436" i="17"/>
  <c r="G436" i="17"/>
  <c r="F436" i="17"/>
  <c r="H435" i="17"/>
  <c r="G435" i="17"/>
  <c r="F435" i="17"/>
  <c r="H434" i="17"/>
  <c r="G434" i="17"/>
  <c r="F434" i="17"/>
  <c r="G433" i="17"/>
  <c r="F433" i="17"/>
  <c r="G430" i="17"/>
  <c r="F430" i="17"/>
  <c r="G428" i="17"/>
  <c r="F428" i="17"/>
  <c r="G439" i="17" l="1"/>
  <c r="F439" i="17"/>
  <c r="H439" i="17"/>
  <c r="E427" i="17"/>
  <c r="H426" i="17"/>
  <c r="G426" i="17"/>
  <c r="F426" i="17"/>
  <c r="H425" i="17"/>
  <c r="G425" i="17"/>
  <c r="F425" i="17"/>
  <c r="H424" i="17"/>
  <c r="G424" i="17"/>
  <c r="F424" i="17"/>
  <c r="H422" i="17"/>
  <c r="G422" i="17"/>
  <c r="F422" i="17"/>
  <c r="H421" i="17"/>
  <c r="G421" i="17"/>
  <c r="F421" i="17"/>
  <c r="G420" i="17"/>
  <c r="F420" i="17"/>
  <c r="F427" i="17" l="1"/>
  <c r="H427" i="17"/>
  <c r="G427" i="17"/>
  <c r="E419" i="17"/>
  <c r="F418" i="17"/>
  <c r="F417" i="17"/>
  <c r="F415" i="17"/>
  <c r="H414" i="17"/>
  <c r="G414" i="17"/>
  <c r="F414" i="17"/>
  <c r="H413" i="17"/>
  <c r="G413" i="17"/>
  <c r="F413" i="17"/>
  <c r="H412" i="17"/>
  <c r="G412" i="17"/>
  <c r="F412" i="17"/>
  <c r="H411" i="17"/>
  <c r="G411" i="17"/>
  <c r="F411" i="17"/>
  <c r="H410" i="17"/>
  <c r="G410" i="17"/>
  <c r="F410" i="17"/>
  <c r="H409" i="17"/>
  <c r="G409" i="17"/>
  <c r="F409" i="17"/>
  <c r="G408" i="17"/>
  <c r="F408" i="17"/>
  <c r="H407" i="17"/>
  <c r="G407" i="17"/>
  <c r="G406" i="17"/>
  <c r="F406" i="17"/>
  <c r="F407" i="17"/>
  <c r="G419" i="17" l="1"/>
  <c r="H419" i="17"/>
  <c r="F419" i="17"/>
  <c r="E405" i="17"/>
  <c r="H404" i="17"/>
  <c r="G404" i="17"/>
  <c r="F404" i="17"/>
  <c r="H403" i="17"/>
  <c r="G403" i="17"/>
  <c r="F403" i="17"/>
  <c r="H402" i="17"/>
  <c r="G402" i="17"/>
  <c r="F402" i="17"/>
  <c r="H401" i="17"/>
  <c r="G401" i="17"/>
  <c r="F401" i="17"/>
  <c r="G400" i="17"/>
  <c r="F400" i="17"/>
  <c r="F405" i="17" l="1"/>
  <c r="H405" i="17"/>
  <c r="G405" i="17"/>
  <c r="E399" i="17"/>
  <c r="H396" i="17"/>
  <c r="G396" i="17"/>
  <c r="F396" i="17"/>
  <c r="H394" i="17"/>
  <c r="F394" i="17"/>
  <c r="H393" i="17"/>
  <c r="F393" i="17"/>
  <c r="G394" i="17"/>
  <c r="G393" i="17"/>
  <c r="H388" i="17"/>
  <c r="H389" i="17"/>
  <c r="H390" i="17"/>
  <c r="H391" i="17"/>
  <c r="H392" i="17"/>
  <c r="G388" i="17"/>
  <c r="G389" i="17"/>
  <c r="G390" i="17"/>
  <c r="G391" i="17"/>
  <c r="G392" i="17"/>
  <c r="F388" i="17"/>
  <c r="F389" i="17"/>
  <c r="F390" i="17"/>
  <c r="F391" i="17"/>
  <c r="F392" i="17"/>
  <c r="H387" i="17"/>
  <c r="G387" i="17"/>
  <c r="F387" i="17"/>
  <c r="F399" i="17" l="1"/>
  <c r="H399" i="17"/>
  <c r="G399" i="17"/>
  <c r="E386" i="17"/>
  <c r="H385" i="17"/>
  <c r="G385" i="17"/>
  <c r="F385" i="17"/>
  <c r="H384" i="17"/>
  <c r="G384" i="17"/>
  <c r="F384" i="17"/>
  <c r="H383" i="17"/>
  <c r="G383" i="17"/>
  <c r="F383" i="17"/>
  <c r="H382" i="17"/>
  <c r="G382" i="17"/>
  <c r="F382" i="17"/>
  <c r="H380" i="17"/>
  <c r="G380" i="17"/>
  <c r="F380" i="17"/>
  <c r="H379" i="17"/>
  <c r="G379" i="17"/>
  <c r="F379" i="17"/>
  <c r="H378" i="17"/>
  <c r="G378" i="17"/>
  <c r="F378" i="17"/>
  <c r="H377" i="17"/>
  <c r="G377" i="17"/>
  <c r="F377" i="17"/>
  <c r="G386" i="17" l="1"/>
  <c r="H386" i="17"/>
  <c r="F386" i="17"/>
  <c r="E376" i="17"/>
  <c r="F375" i="17"/>
  <c r="F374" i="17"/>
  <c r="H373" i="17"/>
  <c r="G373" i="17"/>
  <c r="F373" i="17"/>
  <c r="H372" i="17"/>
  <c r="G372" i="17"/>
  <c r="F372" i="17"/>
  <c r="F371" i="17"/>
  <c r="G371" i="17"/>
  <c r="H370" i="17" l="1"/>
  <c r="G370" i="17"/>
  <c r="F370" i="17"/>
  <c r="H369" i="17"/>
  <c r="G369" i="17"/>
  <c r="F369" i="17"/>
  <c r="E368" i="17"/>
  <c r="H367" i="17"/>
  <c r="G367" i="17"/>
  <c r="F367" i="17"/>
  <c r="H366" i="17"/>
  <c r="G366" i="17"/>
  <c r="F366" i="17"/>
  <c r="H365" i="17"/>
  <c r="G365" i="17"/>
  <c r="F365" i="17"/>
  <c r="H364" i="17"/>
  <c r="G364" i="17"/>
  <c r="F364" i="17"/>
  <c r="H363" i="17"/>
  <c r="G363" i="17"/>
  <c r="F363" i="17"/>
  <c r="H362" i="17"/>
  <c r="G362" i="17"/>
  <c r="F362" i="17"/>
  <c r="H360" i="17"/>
  <c r="G360" i="17"/>
  <c r="F360" i="17"/>
  <c r="H359" i="17"/>
  <c r="G359" i="17"/>
  <c r="F359" i="17"/>
  <c r="F368" i="17" l="1"/>
  <c r="H368" i="17"/>
  <c r="G376" i="17"/>
  <c r="G368" i="17"/>
  <c r="F376" i="17"/>
  <c r="H376" i="17"/>
  <c r="E358" i="17"/>
  <c r="H357" i="17"/>
  <c r="G357" i="17"/>
  <c r="F357" i="17"/>
  <c r="H356" i="17"/>
  <c r="G356" i="17"/>
  <c r="F356" i="17"/>
  <c r="H355" i="17"/>
  <c r="G355" i="17"/>
  <c r="F355" i="17"/>
  <c r="H354" i="17"/>
  <c r="G354" i="17"/>
  <c r="F354" i="17"/>
  <c r="H353" i="17"/>
  <c r="G353" i="17"/>
  <c r="F353" i="17"/>
  <c r="F358" i="17" l="1"/>
  <c r="H358" i="17"/>
  <c r="G358" i="17"/>
  <c r="E352" i="17"/>
  <c r="H351" i="17"/>
  <c r="G351" i="17"/>
  <c r="F351" i="17"/>
  <c r="H350" i="17"/>
  <c r="G350" i="17"/>
  <c r="F350" i="17"/>
  <c r="G349" i="17"/>
  <c r="F349" i="17"/>
  <c r="G348" i="17"/>
  <c r="F348" i="17"/>
  <c r="H345" i="17"/>
  <c r="G345" i="17"/>
  <c r="F345" i="17"/>
  <c r="H346" i="17"/>
  <c r="G346" i="17"/>
  <c r="F346" i="17"/>
  <c r="H347" i="17"/>
  <c r="G347" i="17"/>
  <c r="F347" i="17"/>
  <c r="F352" i="17" l="1"/>
  <c r="G352" i="17"/>
  <c r="H352" i="17"/>
  <c r="E344" i="17"/>
  <c r="G342" i="17"/>
  <c r="F342" i="17"/>
  <c r="G341" i="17"/>
  <c r="F341" i="17"/>
  <c r="H340" i="17" l="1"/>
  <c r="G340" i="17"/>
  <c r="F340" i="17"/>
  <c r="H339" i="17"/>
  <c r="G339" i="17"/>
  <c r="F339" i="17"/>
  <c r="G338" i="17"/>
  <c r="F338" i="17"/>
  <c r="F335" i="17"/>
  <c r="H334" i="17"/>
  <c r="G334" i="17"/>
  <c r="F334" i="17"/>
  <c r="H333" i="17"/>
  <c r="G333" i="17"/>
  <c r="F333" i="17"/>
  <c r="H332" i="17"/>
  <c r="F332" i="17"/>
  <c r="G332" i="17"/>
  <c r="H331" i="17"/>
  <c r="G331" i="17"/>
  <c r="F331" i="17"/>
  <c r="H330" i="17"/>
  <c r="G330" i="17"/>
  <c r="F330" i="17"/>
  <c r="H329" i="17"/>
  <c r="G329" i="17"/>
  <c r="F329" i="17"/>
  <c r="H328" i="17"/>
  <c r="G328" i="17"/>
  <c r="F328" i="17"/>
  <c r="F344" i="17" l="1"/>
  <c r="H344" i="17"/>
  <c r="G344" i="17"/>
  <c r="E327" i="17"/>
  <c r="G324" i="17"/>
  <c r="F324" i="17"/>
  <c r="H323" i="17"/>
  <c r="G323" i="17"/>
  <c r="F323" i="17"/>
  <c r="H322" i="17"/>
  <c r="G322" i="17"/>
  <c r="F322" i="17"/>
  <c r="H318" i="17"/>
  <c r="G318" i="17"/>
  <c r="F318" i="17"/>
  <c r="H326" i="17"/>
  <c r="G326" i="17"/>
  <c r="F326" i="17"/>
  <c r="G320" i="17"/>
  <c r="F320" i="17"/>
  <c r="H319" i="17"/>
  <c r="G319" i="17"/>
  <c r="F319" i="17"/>
  <c r="H317" i="17"/>
  <c r="G317" i="17"/>
  <c r="F317" i="17"/>
  <c r="G316" i="17"/>
  <c r="F316" i="17"/>
  <c r="G327" i="17" l="1"/>
  <c r="H327" i="17"/>
  <c r="F327" i="17"/>
  <c r="E315" i="17"/>
  <c r="H313" i="17"/>
  <c r="G313" i="17"/>
  <c r="F313" i="17"/>
  <c r="G312" i="17"/>
  <c r="F312" i="17"/>
  <c r="G311" i="17"/>
  <c r="F311" i="17"/>
  <c r="G310" i="17"/>
  <c r="F310" i="17"/>
  <c r="G309" i="17"/>
  <c r="F309" i="17"/>
  <c r="H308" i="17"/>
  <c r="G308" i="17"/>
  <c r="F308" i="17"/>
  <c r="F307" i="17"/>
  <c r="G306" i="17"/>
  <c r="F306" i="17"/>
  <c r="F305" i="17"/>
  <c r="H304" i="17"/>
  <c r="G304" i="17"/>
  <c r="F304" i="17"/>
  <c r="H303" i="17"/>
  <c r="G303" i="17"/>
  <c r="F303" i="17"/>
  <c r="G302" i="17"/>
  <c r="F302" i="17"/>
  <c r="H300" i="17"/>
  <c r="G300" i="17"/>
  <c r="F300" i="17"/>
  <c r="H299" i="17"/>
  <c r="G299" i="17"/>
  <c r="F299" i="17"/>
  <c r="H298" i="17"/>
  <c r="G298" i="17"/>
  <c r="F298" i="17"/>
  <c r="G297" i="17"/>
  <c r="F297" i="17"/>
  <c r="E296" i="17"/>
  <c r="H295" i="17"/>
  <c r="G295" i="17"/>
  <c r="F295" i="17"/>
  <c r="F293" i="17"/>
  <c r="G292" i="17"/>
  <c r="F292" i="17"/>
  <c r="H291" i="17"/>
  <c r="G291" i="17"/>
  <c r="F291" i="17"/>
  <c r="H290" i="17"/>
  <c r="G290" i="17"/>
  <c r="F290" i="17"/>
  <c r="G289" i="17"/>
  <c r="F289" i="17"/>
  <c r="H288" i="17"/>
  <c r="G288" i="17"/>
  <c r="F288" i="17"/>
  <c r="H287" i="17"/>
  <c r="G287" i="17"/>
  <c r="F287" i="17"/>
  <c r="G286" i="17"/>
  <c r="F286" i="17"/>
  <c r="G282" i="17"/>
  <c r="F282" i="17"/>
  <c r="H277" i="17"/>
  <c r="H278" i="17"/>
  <c r="H279" i="17"/>
  <c r="H280" i="17"/>
  <c r="H281" i="17"/>
  <c r="G277" i="17"/>
  <c r="G278" i="17"/>
  <c r="G279" i="17"/>
  <c r="G280" i="17"/>
  <c r="G281" i="17"/>
  <c r="F277" i="17"/>
  <c r="F278" i="17"/>
  <c r="F279" i="17"/>
  <c r="F280" i="17"/>
  <c r="F281" i="17"/>
  <c r="H276" i="17"/>
  <c r="G276" i="17"/>
  <c r="F276" i="17"/>
  <c r="F315" i="17" l="1"/>
  <c r="F296" i="17"/>
  <c r="H296" i="17"/>
  <c r="G296" i="17"/>
  <c r="G315" i="17"/>
  <c r="H315" i="17"/>
  <c r="E275" i="17" l="1"/>
  <c r="G273" i="17"/>
  <c r="F273" i="17"/>
  <c r="G272" i="17"/>
  <c r="F272" i="17"/>
  <c r="H271" i="17"/>
  <c r="G271" i="17"/>
  <c r="F271" i="17"/>
  <c r="H270" i="17"/>
  <c r="G270" i="17"/>
  <c r="F270" i="17"/>
  <c r="H269" i="17"/>
  <c r="G269" i="17"/>
  <c r="F269" i="17"/>
  <c r="H268" i="17"/>
  <c r="F268" i="17"/>
  <c r="H267" i="17"/>
  <c r="F267" i="17"/>
  <c r="H266" i="17"/>
  <c r="F266" i="17"/>
  <c r="F265" i="17"/>
  <c r="H264" i="17"/>
  <c r="F264" i="17"/>
  <c r="H263" i="17"/>
  <c r="F263" i="17"/>
  <c r="F262" i="17"/>
  <c r="G262" i="17"/>
  <c r="G263" i="17"/>
  <c r="G264" i="17"/>
  <c r="G265" i="17"/>
  <c r="G266" i="17"/>
  <c r="G267" i="17"/>
  <c r="G268" i="17"/>
  <c r="H261" i="17"/>
  <c r="G261" i="17"/>
  <c r="F261" i="17"/>
  <c r="F275" i="17" l="1"/>
  <c r="H275" i="17"/>
  <c r="G275" i="17"/>
  <c r="E260" i="17"/>
  <c r="H256" i="17"/>
  <c r="G256" i="17"/>
  <c r="F256" i="17"/>
  <c r="H255" i="17"/>
  <c r="G255" i="17"/>
  <c r="F255" i="17"/>
  <c r="G254" i="17"/>
  <c r="F254" i="17"/>
  <c r="G253" i="17"/>
  <c r="H253" i="17"/>
  <c r="F253" i="17"/>
  <c r="H252" i="17"/>
  <c r="G252" i="17"/>
  <c r="F252" i="17"/>
  <c r="G251" i="17"/>
  <c r="F251" i="17"/>
  <c r="G250" i="17"/>
  <c r="F250" i="17"/>
  <c r="H249" i="17"/>
  <c r="G249" i="17"/>
  <c r="F249" i="17"/>
  <c r="H248" i="17"/>
  <c r="G248" i="17"/>
  <c r="F248" i="17"/>
  <c r="H247" i="17"/>
  <c r="G247" i="17"/>
  <c r="F247" i="17"/>
  <c r="H246" i="17"/>
  <c r="G246" i="17"/>
  <c r="F246" i="17"/>
  <c r="H245" i="17"/>
  <c r="G245" i="17"/>
  <c r="F245" i="17"/>
  <c r="H244" i="17"/>
  <c r="G244" i="17"/>
  <c r="F244" i="17"/>
  <c r="H243" i="17"/>
  <c r="G243" i="17"/>
  <c r="F243" i="17"/>
  <c r="F260" i="17" l="1"/>
  <c r="H260" i="17"/>
  <c r="G260" i="17"/>
  <c r="E242" i="17"/>
  <c r="H241" i="17"/>
  <c r="G241" i="17"/>
  <c r="F241" i="17"/>
  <c r="H240" i="17"/>
  <c r="G240" i="17"/>
  <c r="F240" i="17"/>
  <c r="G239" i="17"/>
  <c r="F239" i="17"/>
  <c r="H238" i="17"/>
  <c r="G238" i="17"/>
  <c r="F238" i="17"/>
  <c r="H235" i="17"/>
  <c r="G235" i="17"/>
  <c r="F235" i="17"/>
  <c r="G234" i="17"/>
  <c r="F234" i="17"/>
  <c r="G233" i="17"/>
  <c r="F233" i="17"/>
  <c r="H232" i="17"/>
  <c r="G232" i="17"/>
  <c r="F232" i="17"/>
  <c r="H231" i="17"/>
  <c r="G231" i="17"/>
  <c r="F231" i="17"/>
  <c r="H230" i="17"/>
  <c r="G230" i="17"/>
  <c r="F230" i="17"/>
  <c r="G229" i="17"/>
  <c r="F229" i="17"/>
  <c r="H228" i="17"/>
  <c r="G228" i="17"/>
  <c r="F228" i="17"/>
  <c r="F242" i="17" l="1"/>
  <c r="H242" i="17"/>
  <c r="G242" i="17"/>
  <c r="E227" i="17"/>
  <c r="G226" i="17"/>
  <c r="F226" i="17"/>
  <c r="H226" i="17"/>
  <c r="H225" i="17"/>
  <c r="F225" i="17"/>
  <c r="G225" i="17"/>
  <c r="H224" i="17"/>
  <c r="F224" i="17"/>
  <c r="G224" i="17"/>
  <c r="H223" i="17"/>
  <c r="G223" i="17"/>
  <c r="F223" i="17"/>
  <c r="H222" i="17"/>
  <c r="G222" i="17"/>
  <c r="F222" i="17"/>
  <c r="H221" i="17"/>
  <c r="G221" i="17"/>
  <c r="F221" i="17"/>
  <c r="H220" i="17"/>
  <c r="G220" i="17"/>
  <c r="F220" i="17"/>
  <c r="F227" i="17" l="1"/>
  <c r="H227" i="17"/>
  <c r="G227" i="17"/>
  <c r="H219" i="17"/>
  <c r="E219" i="17"/>
  <c r="G216" i="17"/>
  <c r="G219" i="17" s="1"/>
  <c r="F216" i="17"/>
  <c r="F219" i="17" s="1"/>
  <c r="E215" i="17" l="1"/>
  <c r="G214" i="17"/>
  <c r="F214" i="17"/>
  <c r="H212" i="17"/>
  <c r="G212" i="17"/>
  <c r="F212" i="17"/>
  <c r="F211" i="17"/>
  <c r="G211" i="17"/>
  <c r="H211" i="17"/>
  <c r="H207" i="17"/>
  <c r="H208" i="17"/>
  <c r="H209" i="17"/>
  <c r="H210" i="17"/>
  <c r="F207" i="17"/>
  <c r="F208" i="17"/>
  <c r="F209" i="17"/>
  <c r="F210" i="17"/>
  <c r="G210" i="17"/>
  <c r="G209" i="17"/>
  <c r="G208" i="17"/>
  <c r="G207" i="17"/>
  <c r="F206" i="17"/>
  <c r="G206" i="17"/>
  <c r="H206" i="17"/>
  <c r="H205" i="17"/>
  <c r="F205" i="17"/>
  <c r="G205" i="17"/>
  <c r="H204" i="17"/>
  <c r="F204" i="17"/>
  <c r="G204" i="17"/>
  <c r="H203" i="17"/>
  <c r="F203" i="17"/>
  <c r="G203" i="17"/>
  <c r="H202" i="17"/>
  <c r="G202" i="17"/>
  <c r="F202" i="17"/>
  <c r="H201" i="17"/>
  <c r="G201" i="17"/>
  <c r="F201" i="17"/>
  <c r="H200" i="17"/>
  <c r="G200" i="17"/>
  <c r="F200" i="17"/>
  <c r="H199" i="17"/>
  <c r="G199" i="17"/>
  <c r="F199" i="17"/>
  <c r="G215" i="17" l="1"/>
  <c r="F215" i="17"/>
  <c r="H215" i="17"/>
  <c r="H197" i="17"/>
  <c r="H198" i="17" s="1"/>
  <c r="G197" i="17"/>
  <c r="F197" i="17"/>
  <c r="E198" i="17"/>
  <c r="G196" i="17"/>
  <c r="F196" i="17"/>
  <c r="G195" i="17"/>
  <c r="F195" i="17"/>
  <c r="F198" i="17" l="1"/>
  <c r="G198" i="17"/>
  <c r="E194" i="17"/>
  <c r="G193" i="17"/>
  <c r="F193" i="17"/>
  <c r="H192" i="17"/>
  <c r="G192" i="17"/>
  <c r="F192" i="17"/>
  <c r="H191" i="17"/>
  <c r="G191" i="17"/>
  <c r="F191" i="17"/>
  <c r="F189" i="17"/>
  <c r="H188" i="17"/>
  <c r="G188" i="17"/>
  <c r="F188" i="17"/>
  <c r="F187" i="17"/>
  <c r="H186" i="17"/>
  <c r="G186" i="17"/>
  <c r="F186" i="17"/>
  <c r="H185" i="17"/>
  <c r="G185" i="17"/>
  <c r="F185" i="17"/>
  <c r="G184" i="17"/>
  <c r="F184" i="17"/>
  <c r="G183" i="17"/>
  <c r="F183" i="17"/>
  <c r="H182" i="17"/>
  <c r="G182" i="17"/>
  <c r="F182" i="17"/>
  <c r="H181" i="17"/>
  <c r="G181" i="17"/>
  <c r="F181" i="17"/>
  <c r="H180" i="17"/>
  <c r="G180" i="17"/>
  <c r="F180" i="17"/>
  <c r="E179" i="17"/>
  <c r="H177" i="17"/>
  <c r="G177" i="17"/>
  <c r="F177" i="17"/>
  <c r="H176" i="17"/>
  <c r="G176" i="17"/>
  <c r="F176" i="17"/>
  <c r="H175" i="17"/>
  <c r="G175" i="17"/>
  <c r="F175" i="17"/>
  <c r="G174" i="17"/>
  <c r="F174" i="17"/>
  <c r="G173" i="17"/>
  <c r="F173" i="17"/>
  <c r="H172" i="17"/>
  <c r="G172" i="17"/>
  <c r="F172" i="17"/>
  <c r="H171" i="17"/>
  <c r="G171" i="17"/>
  <c r="F171" i="17"/>
  <c r="H170" i="17"/>
  <c r="G170" i="17"/>
  <c r="F170" i="17"/>
  <c r="G169" i="17"/>
  <c r="F169" i="17"/>
  <c r="H168" i="17"/>
  <c r="F168" i="17"/>
  <c r="G168" i="17"/>
  <c r="H163" i="17"/>
  <c r="H164" i="17"/>
  <c r="H165" i="17"/>
  <c r="H166" i="17"/>
  <c r="H167" i="17"/>
  <c r="G163" i="17"/>
  <c r="G164" i="17"/>
  <c r="G165" i="17"/>
  <c r="G166" i="17"/>
  <c r="G167" i="17"/>
  <c r="F163" i="17"/>
  <c r="F164" i="17"/>
  <c r="F165" i="17"/>
  <c r="F166" i="17"/>
  <c r="F167" i="17"/>
  <c r="H162" i="17"/>
  <c r="G162" i="17"/>
  <c r="F162" i="17"/>
  <c r="G194" i="17" l="1"/>
  <c r="F179" i="17"/>
  <c r="H179" i="17"/>
  <c r="G179" i="17"/>
  <c r="F194" i="17"/>
  <c r="H194" i="17"/>
  <c r="E161" i="17"/>
  <c r="H159" i="17"/>
  <c r="G159" i="17"/>
  <c r="F159" i="17"/>
  <c r="F157" i="17"/>
  <c r="G157" i="17"/>
  <c r="F156" i="17"/>
  <c r="G156" i="17"/>
  <c r="H155" i="17"/>
  <c r="G155" i="17"/>
  <c r="F155" i="17"/>
  <c r="H154" i="17"/>
  <c r="G154" i="17"/>
  <c r="F154" i="17"/>
  <c r="G153" i="17"/>
  <c r="F153" i="17"/>
  <c r="F152" i="17"/>
  <c r="H152" i="17"/>
  <c r="G152" i="17"/>
  <c r="F161" i="17" l="1"/>
  <c r="H161" i="17"/>
  <c r="G161" i="17"/>
  <c r="E151" i="17"/>
  <c r="H146" i="17"/>
  <c r="G146" i="17"/>
  <c r="F146" i="17"/>
  <c r="F145" i="17"/>
  <c r="G145" i="17"/>
  <c r="H145" i="17"/>
  <c r="H143" i="17"/>
  <c r="H144" i="17"/>
  <c r="G143" i="17"/>
  <c r="G144" i="17"/>
  <c r="F143" i="17"/>
  <c r="F144" i="17"/>
  <c r="H142" i="17"/>
  <c r="G142" i="17"/>
  <c r="F142" i="17"/>
  <c r="H141" i="17"/>
  <c r="G141" i="17"/>
  <c r="F141" i="17"/>
  <c r="G140" i="17"/>
  <c r="F140" i="17"/>
  <c r="G139" i="17"/>
  <c r="F139" i="17"/>
  <c r="H138" i="17"/>
  <c r="G138" i="17"/>
  <c r="F138" i="17"/>
  <c r="G149" i="17"/>
  <c r="F149" i="17"/>
  <c r="G148" i="17"/>
  <c r="F148" i="17"/>
  <c r="F151" i="17" l="1"/>
  <c r="H151" i="17"/>
  <c r="G151" i="17"/>
  <c r="F134" i="17"/>
  <c r="H132" i="17"/>
  <c r="G132" i="17"/>
  <c r="F132" i="17"/>
  <c r="G131" i="17"/>
  <c r="F131" i="17"/>
  <c r="G128" i="17"/>
  <c r="F128" i="17"/>
  <c r="H127" i="17"/>
  <c r="G127" i="17"/>
  <c r="F127" i="17"/>
  <c r="E126" i="17"/>
  <c r="F126" i="17" s="1"/>
  <c r="G125" i="17"/>
  <c r="F125" i="17"/>
  <c r="E124" i="17"/>
  <c r="H124" i="17" s="1"/>
  <c r="H137" i="17" l="1"/>
  <c r="G124" i="17"/>
  <c r="G126" i="17"/>
  <c r="E137" i="17"/>
  <c r="F124" i="17"/>
  <c r="F137" i="17" s="1"/>
  <c r="E123" i="17"/>
  <c r="F114" i="17"/>
  <c r="G114" i="17"/>
  <c r="H114" i="17"/>
  <c r="H113" i="17"/>
  <c r="F113" i="17"/>
  <c r="G113" i="17"/>
  <c r="H112" i="17"/>
  <c r="F112" i="17"/>
  <c r="G112" i="17"/>
  <c r="H111" i="17"/>
  <c r="F111" i="17"/>
  <c r="G111" i="17"/>
  <c r="H110" i="17"/>
  <c r="G110" i="17"/>
  <c r="F110" i="17"/>
  <c r="G109" i="17"/>
  <c r="F109" i="17"/>
  <c r="H108" i="17"/>
  <c r="G108" i="17"/>
  <c r="F108" i="17"/>
  <c r="H107" i="17"/>
  <c r="G107" i="17"/>
  <c r="F107" i="17"/>
  <c r="H120" i="17"/>
  <c r="G120" i="17"/>
  <c r="F120" i="17"/>
  <c r="G119" i="17"/>
  <c r="F119" i="17"/>
  <c r="H118" i="17"/>
  <c r="G118" i="17"/>
  <c r="F118" i="17"/>
  <c r="H117" i="17"/>
  <c r="G117" i="17"/>
  <c r="F117" i="17"/>
  <c r="G116" i="17"/>
  <c r="F116" i="17"/>
  <c r="G115" i="17"/>
  <c r="F115" i="17"/>
  <c r="G137" i="17" l="1"/>
  <c r="G123" i="17"/>
  <c r="F123" i="17"/>
  <c r="H123" i="17"/>
  <c r="E106" i="17"/>
  <c r="H105" i="17"/>
  <c r="G105" i="17"/>
  <c r="F105" i="17"/>
  <c r="G104" i="17"/>
  <c r="F104" i="17"/>
  <c r="F103" i="17"/>
  <c r="H102" i="17"/>
  <c r="G102" i="17"/>
  <c r="F102" i="17"/>
  <c r="H98" i="17"/>
  <c r="G98" i="17"/>
  <c r="F98" i="17"/>
  <c r="H97" i="17"/>
  <c r="G97" i="17"/>
  <c r="F97" i="17"/>
  <c r="H96" i="17"/>
  <c r="G96" i="17"/>
  <c r="F96" i="17"/>
  <c r="G95" i="17"/>
  <c r="F95" i="17"/>
  <c r="H93" i="17"/>
  <c r="F92" i="17"/>
  <c r="G92" i="17"/>
  <c r="H92" i="17"/>
  <c r="H88" i="17"/>
  <c r="H89" i="17"/>
  <c r="H90" i="17"/>
  <c r="H91" i="17"/>
  <c r="F88" i="17"/>
  <c r="F89" i="17"/>
  <c r="F90" i="17"/>
  <c r="F91" i="17"/>
  <c r="H87" i="17"/>
  <c r="F87" i="17"/>
  <c r="G91" i="17"/>
  <c r="G90" i="17"/>
  <c r="G89" i="17"/>
  <c r="G88" i="17"/>
  <c r="G87" i="17"/>
  <c r="H86" i="17"/>
  <c r="F86" i="17"/>
  <c r="G86" i="17"/>
  <c r="H85" i="17"/>
  <c r="F85" i="17"/>
  <c r="G85" i="17"/>
  <c r="H84" i="17"/>
  <c r="G84" i="17"/>
  <c r="F84" i="17"/>
  <c r="G83" i="17"/>
  <c r="F83" i="17"/>
  <c r="H82" i="17"/>
  <c r="G82" i="17"/>
  <c r="F82" i="17"/>
  <c r="H81" i="17"/>
  <c r="G81" i="17"/>
  <c r="F81" i="17"/>
  <c r="G106" i="17" l="1"/>
  <c r="F106" i="17"/>
  <c r="H106" i="17"/>
  <c r="E80" i="17"/>
  <c r="F79" i="17"/>
  <c r="H78" i="17"/>
  <c r="G78" i="17"/>
  <c r="F78" i="17"/>
  <c r="F77" i="17"/>
  <c r="H76" i="17"/>
  <c r="G76" i="17"/>
  <c r="F76" i="17"/>
  <c r="H74" i="17"/>
  <c r="G74" i="17"/>
  <c r="F74" i="17"/>
  <c r="F73" i="17"/>
  <c r="G70" i="17"/>
  <c r="F70" i="17"/>
  <c r="H69" i="17"/>
  <c r="G69" i="17"/>
  <c r="F69" i="17"/>
  <c r="G80" i="17" l="1"/>
  <c r="F80" i="17"/>
  <c r="H80" i="17"/>
  <c r="E68" i="17"/>
  <c r="H67" i="17"/>
  <c r="G67" i="17"/>
  <c r="F67" i="17"/>
  <c r="G66" i="17"/>
  <c r="F66" i="17"/>
  <c r="G65" i="17"/>
  <c r="F65" i="17"/>
  <c r="F64" i="17"/>
  <c r="H63" i="17"/>
  <c r="G63" i="17"/>
  <c r="F63" i="17"/>
  <c r="H62" i="17"/>
  <c r="G62" i="17"/>
  <c r="F62" i="17"/>
  <c r="F61" i="17"/>
  <c r="F60" i="17"/>
  <c r="H59" i="17"/>
  <c r="G59" i="17"/>
  <c r="F59" i="17"/>
  <c r="H58" i="17"/>
  <c r="G58" i="17"/>
  <c r="F58" i="17"/>
  <c r="E57" i="17"/>
  <c r="H56" i="17"/>
  <c r="G56" i="17"/>
  <c r="F56" i="17"/>
  <c r="G55" i="17"/>
  <c r="F55" i="17"/>
  <c r="G54" i="17"/>
  <c r="F54" i="17"/>
  <c r="F53" i="17"/>
  <c r="F52" i="17"/>
  <c r="H51" i="17"/>
  <c r="G51" i="17"/>
  <c r="F51" i="17"/>
  <c r="H49" i="17"/>
  <c r="G49" i="17"/>
  <c r="F49" i="17"/>
  <c r="H48" i="17"/>
  <c r="G48" i="17"/>
  <c r="F48" i="17"/>
  <c r="F47" i="17"/>
  <c r="H46" i="17"/>
  <c r="G46" i="17"/>
  <c r="F46" i="17"/>
  <c r="H42" i="17"/>
  <c r="H43" i="17"/>
  <c r="H44" i="17"/>
  <c r="H45" i="17"/>
  <c r="G42" i="17"/>
  <c r="G43" i="17"/>
  <c r="G44" i="17"/>
  <c r="G45" i="17"/>
  <c r="F42" i="17"/>
  <c r="F43" i="17"/>
  <c r="F44" i="17"/>
  <c r="F45" i="17"/>
  <c r="F41" i="17"/>
  <c r="H41" i="17"/>
  <c r="G41" i="17"/>
  <c r="G57" i="17" l="1"/>
  <c r="F57" i="17"/>
  <c r="F68" i="17"/>
  <c r="H68" i="17"/>
  <c r="H57" i="17"/>
  <c r="G68" i="17"/>
  <c r="H38" i="17"/>
  <c r="G38" i="17"/>
  <c r="F38" i="17"/>
  <c r="G33" i="17"/>
  <c r="F33" i="17"/>
  <c r="F32" i="17"/>
  <c r="G32" i="17"/>
  <c r="F31" i="17"/>
  <c r="G31" i="17"/>
  <c r="H30" i="17"/>
  <c r="G30" i="17"/>
  <c r="F30" i="17"/>
  <c r="E29" i="17"/>
  <c r="F29" i="17" s="1"/>
  <c r="G28" i="17"/>
  <c r="F28" i="17"/>
  <c r="H27" i="17"/>
  <c r="G27" i="17"/>
  <c r="F27" i="17"/>
  <c r="E26" i="17"/>
  <c r="H26" i="17" s="1"/>
  <c r="G29" i="17" l="1"/>
  <c r="G26" i="17"/>
  <c r="G40" i="17" s="1"/>
  <c r="E40" i="17"/>
  <c r="F26" i="17"/>
  <c r="F40" i="17" s="1"/>
  <c r="H29" i="17"/>
  <c r="H40" i="17" s="1"/>
  <c r="H24" i="17"/>
  <c r="G24" i="17"/>
  <c r="F24" i="17"/>
  <c r="H23" i="17"/>
  <c r="G23" i="17"/>
  <c r="F23" i="17"/>
  <c r="H21" i="17"/>
  <c r="F21" i="17"/>
  <c r="G21" i="17"/>
  <c r="H20" i="17"/>
  <c r="F20" i="17"/>
  <c r="G20" i="17"/>
  <c r="H19" i="17"/>
  <c r="G19" i="17"/>
  <c r="F19" i="17"/>
  <c r="E18" i="17"/>
  <c r="G18" i="17" s="1"/>
  <c r="H17" i="17"/>
  <c r="G17" i="17"/>
  <c r="F17" i="17"/>
  <c r="H16" i="17"/>
  <c r="G16" i="17"/>
  <c r="F16" i="17"/>
  <c r="H15" i="17"/>
  <c r="G15" i="17"/>
  <c r="F15" i="17"/>
  <c r="E14" i="17"/>
  <c r="E25" i="17" s="1"/>
  <c r="F18" i="17" l="1"/>
  <c r="G14" i="17"/>
  <c r="G25" i="17" s="1"/>
  <c r="F14" i="17"/>
  <c r="F25" i="17" s="1"/>
  <c r="H14" i="17"/>
  <c r="H25" i="17" s="1"/>
  <c r="G9" i="17"/>
  <c r="F9" i="17"/>
  <c r="H9" i="17"/>
  <c r="H8" i="17"/>
  <c r="F8" i="17"/>
  <c r="G8" i="17"/>
  <c r="H7" i="17"/>
  <c r="G7" i="17"/>
  <c r="F7" i="17"/>
  <c r="H6" i="17"/>
  <c r="F6" i="17"/>
  <c r="G6" i="17"/>
  <c r="H5" i="17"/>
  <c r="G5" i="17"/>
  <c r="F5" i="17"/>
  <c r="H4" i="17"/>
  <c r="G4" i="17"/>
  <c r="F4" i="17"/>
  <c r="G3" i="17"/>
  <c r="F3" i="17"/>
  <c r="E2" i="17"/>
  <c r="E13" i="17" s="1"/>
  <c r="F2" i="17" l="1"/>
  <c r="F13" i="17" s="1"/>
  <c r="H2" i="17"/>
  <c r="H13" i="17" s="1"/>
  <c r="G2" i="17"/>
  <c r="G13" i="17" s="1"/>
  <c r="E326" i="16"/>
  <c r="G324" i="16"/>
  <c r="F324" i="16"/>
  <c r="H323" i="16"/>
  <c r="H326" i="16" s="1"/>
  <c r="G323" i="16"/>
  <c r="F323" i="16"/>
  <c r="G326" i="16" l="1"/>
  <c r="F326" i="16"/>
  <c r="H319" i="16"/>
  <c r="H320" i="16"/>
  <c r="H321" i="16"/>
  <c r="F319" i="16"/>
  <c r="F320" i="16"/>
  <c r="F321" i="16"/>
  <c r="G321" i="16"/>
  <c r="G320" i="16"/>
  <c r="G319" i="16"/>
  <c r="F318" i="16"/>
  <c r="G318" i="16"/>
  <c r="H318" i="16"/>
  <c r="H317" i="16"/>
  <c r="F317" i="16"/>
  <c r="G317" i="16"/>
  <c r="H316" i="16"/>
  <c r="F316" i="16"/>
  <c r="G316" i="16"/>
  <c r="H315" i="16"/>
  <c r="F315" i="16"/>
  <c r="G315" i="16"/>
  <c r="H314" i="16"/>
  <c r="G314" i="16"/>
  <c r="F314" i="16"/>
  <c r="H313" i="16"/>
  <c r="G313" i="16"/>
  <c r="F313" i="16"/>
  <c r="E312" i="16"/>
  <c r="G311" i="16"/>
  <c r="F311" i="16"/>
  <c r="E310" i="16"/>
  <c r="E322" i="16" s="1"/>
  <c r="F312" i="16" l="1"/>
  <c r="G312" i="16"/>
  <c r="G310" i="16"/>
  <c r="F310" i="16"/>
  <c r="F322" i="16" s="1"/>
  <c r="H310" i="16"/>
  <c r="G322" i="16"/>
  <c r="H322" i="16"/>
  <c r="G307" i="16"/>
  <c r="F307" i="16"/>
  <c r="G306" i="16"/>
  <c r="F306" i="16"/>
  <c r="H303" i="16"/>
  <c r="G303" i="16"/>
  <c r="F303" i="16"/>
  <c r="H302" i="16"/>
  <c r="G302" i="16"/>
  <c r="F302" i="16"/>
  <c r="E301" i="16"/>
  <c r="G301" i="16" s="1"/>
  <c r="E300" i="16"/>
  <c r="E309" i="16" s="1"/>
  <c r="F300" i="16" l="1"/>
  <c r="H300" i="16"/>
  <c r="F301" i="16"/>
  <c r="H301" i="16"/>
  <c r="G300" i="16"/>
  <c r="F309" i="16"/>
  <c r="G309" i="16"/>
  <c r="E299" i="16"/>
  <c r="H297" i="16"/>
  <c r="H299" i="16" s="1"/>
  <c r="G297" i="16"/>
  <c r="F297" i="16"/>
  <c r="G296" i="16"/>
  <c r="G299" i="16" s="1"/>
  <c r="F296" i="16"/>
  <c r="F299" i="16" s="1"/>
  <c r="H309" i="16" l="1"/>
  <c r="E295" i="16"/>
  <c r="G293" i="16"/>
  <c r="F293" i="16"/>
  <c r="H292" i="16"/>
  <c r="G292" i="16"/>
  <c r="F292" i="16"/>
  <c r="F291" i="16"/>
  <c r="H290" i="16"/>
  <c r="G290" i="16"/>
  <c r="F290" i="16"/>
  <c r="H289" i="16"/>
  <c r="G289" i="16"/>
  <c r="F289" i="16"/>
  <c r="H288" i="16"/>
  <c r="G288" i="16"/>
  <c r="F288" i="16"/>
  <c r="H287" i="16"/>
  <c r="G287" i="16"/>
  <c r="F287" i="16"/>
  <c r="H282" i="16"/>
  <c r="H283" i="16"/>
  <c r="H284" i="16"/>
  <c r="H285" i="16"/>
  <c r="H286" i="16"/>
  <c r="G282" i="16"/>
  <c r="G283" i="16"/>
  <c r="G284" i="16"/>
  <c r="G285" i="16"/>
  <c r="G286" i="16"/>
  <c r="H281" i="16"/>
  <c r="G281" i="16"/>
  <c r="F282" i="16"/>
  <c r="F283" i="16"/>
  <c r="F284" i="16"/>
  <c r="F285" i="16"/>
  <c r="F286" i="16"/>
  <c r="F281" i="16"/>
  <c r="H279" i="16"/>
  <c r="G279" i="16"/>
  <c r="F279" i="16"/>
  <c r="G275" i="16"/>
  <c r="F275" i="16"/>
  <c r="H274" i="16"/>
  <c r="G274" i="16"/>
  <c r="F274" i="16"/>
  <c r="E273" i="16"/>
  <c r="G273" i="16" s="1"/>
  <c r="G272" i="16"/>
  <c r="F272" i="16"/>
  <c r="F273" i="16" l="1"/>
  <c r="E280" i="16"/>
  <c r="G280" i="16"/>
  <c r="H280" i="16"/>
  <c r="F280" i="16"/>
  <c r="F295" i="16"/>
  <c r="H295" i="16"/>
  <c r="G295" i="16"/>
  <c r="E271" i="16" l="1"/>
  <c r="F269" i="16"/>
  <c r="G269" i="16"/>
  <c r="H268" i="16"/>
  <c r="F268" i="16"/>
  <c r="G268" i="16"/>
  <c r="H267" i="16"/>
  <c r="G267" i="16"/>
  <c r="F267" i="16"/>
  <c r="H266" i="16"/>
  <c r="G266" i="16"/>
  <c r="F266" i="16"/>
  <c r="G265" i="16"/>
  <c r="F265" i="16"/>
  <c r="H264" i="16"/>
  <c r="G264" i="16"/>
  <c r="F264" i="16"/>
  <c r="G271" i="16" l="1"/>
  <c r="F271" i="16"/>
  <c r="H271" i="16"/>
  <c r="E263" i="16"/>
  <c r="G262" i="16"/>
  <c r="F262" i="16"/>
  <c r="H261" i="16"/>
  <c r="F261" i="16"/>
  <c r="G261" i="16"/>
  <c r="H260" i="16"/>
  <c r="F260" i="16"/>
  <c r="G260" i="16"/>
  <c r="H259" i="16"/>
  <c r="F259" i="16"/>
  <c r="G259" i="16"/>
  <c r="H258" i="16"/>
  <c r="G258" i="16"/>
  <c r="F258" i="16"/>
  <c r="G257" i="16"/>
  <c r="F257" i="16"/>
  <c r="H256" i="16"/>
  <c r="G256" i="16"/>
  <c r="F256" i="16"/>
  <c r="H255" i="16"/>
  <c r="G255" i="16"/>
  <c r="F255" i="16"/>
  <c r="G263" i="16" l="1"/>
  <c r="F263" i="16"/>
  <c r="H263" i="16"/>
  <c r="F250" i="16"/>
  <c r="G250" i="16"/>
  <c r="H249" i="16"/>
  <c r="G249" i="16"/>
  <c r="F249" i="16"/>
  <c r="H248" i="16"/>
  <c r="G248" i="16"/>
  <c r="F248" i="16"/>
  <c r="H247" i="16"/>
  <c r="G247" i="16"/>
  <c r="F247" i="16"/>
  <c r="E246" i="16"/>
  <c r="G246" i="16" l="1"/>
  <c r="F246" i="16"/>
  <c r="H246" i="16"/>
  <c r="E254" i="16"/>
  <c r="G254" i="16"/>
  <c r="F254" i="16"/>
  <c r="H254" i="16"/>
  <c r="H244" i="16"/>
  <c r="G244" i="16"/>
  <c r="F244" i="16"/>
  <c r="H243" i="16"/>
  <c r="G243" i="16"/>
  <c r="F243" i="16"/>
  <c r="F242" i="16"/>
  <c r="H241" i="16"/>
  <c r="G241" i="16"/>
  <c r="F241" i="16"/>
  <c r="H240" i="16"/>
  <c r="G240" i="16"/>
  <c r="F240" i="16"/>
  <c r="H239" i="16"/>
  <c r="G239" i="16"/>
  <c r="F239" i="16"/>
  <c r="H238" i="16"/>
  <c r="G238" i="16"/>
  <c r="F238" i="16"/>
  <c r="G237" i="16"/>
  <c r="F237" i="16"/>
  <c r="E236" i="16"/>
  <c r="E245" i="16" s="1"/>
  <c r="F236" i="16" l="1"/>
  <c r="G236" i="16"/>
  <c r="H236" i="16"/>
  <c r="G245" i="16"/>
  <c r="F245" i="16"/>
  <c r="H245" i="16"/>
  <c r="G233" i="16"/>
  <c r="F233" i="16"/>
  <c r="H232" i="16"/>
  <c r="G232" i="16"/>
  <c r="F232" i="16"/>
  <c r="H231" i="16"/>
  <c r="G231" i="16"/>
  <c r="F231" i="16"/>
  <c r="H230" i="16"/>
  <c r="G230" i="16"/>
  <c r="F230" i="16"/>
  <c r="F228" i="16"/>
  <c r="G228" i="16"/>
  <c r="H227" i="16"/>
  <c r="G227" i="16"/>
  <c r="F227" i="16"/>
  <c r="G226" i="16"/>
  <c r="F226" i="16"/>
  <c r="G225" i="16"/>
  <c r="F225" i="16"/>
  <c r="E224" i="16"/>
  <c r="H224" i="16" s="1"/>
  <c r="G224" i="16" l="1"/>
  <c r="E235" i="16"/>
  <c r="F224" i="16"/>
  <c r="F235" i="16"/>
  <c r="H235" i="16"/>
  <c r="G235" i="16"/>
  <c r="E223" i="16"/>
  <c r="H222" i="16"/>
  <c r="H223" i="16" s="1"/>
  <c r="G222" i="16"/>
  <c r="F222" i="16"/>
  <c r="F221" i="16"/>
  <c r="G220" i="16"/>
  <c r="F220" i="16"/>
  <c r="G219" i="16"/>
  <c r="F219" i="16"/>
  <c r="F223" i="16" l="1"/>
  <c r="G223" i="16"/>
  <c r="E218" i="16"/>
  <c r="G217" i="16"/>
  <c r="F217" i="16"/>
  <c r="H216" i="16"/>
  <c r="G216" i="16"/>
  <c r="F216" i="16"/>
  <c r="F215" i="16"/>
  <c r="H214" i="16"/>
  <c r="G214" i="16"/>
  <c r="F214" i="16"/>
  <c r="H213" i="16"/>
  <c r="G213" i="16"/>
  <c r="F213" i="16"/>
  <c r="H212" i="16"/>
  <c r="G212" i="16"/>
  <c r="F212" i="16"/>
  <c r="G211" i="16"/>
  <c r="F211" i="16"/>
  <c r="H209" i="16"/>
  <c r="G209" i="16"/>
  <c r="F209" i="16"/>
  <c r="H208" i="16"/>
  <c r="G208" i="16"/>
  <c r="F208" i="16"/>
  <c r="H207" i="16"/>
  <c r="G207" i="16"/>
  <c r="F207" i="16"/>
  <c r="E206" i="16"/>
  <c r="F204" i="16"/>
  <c r="F203" i="16"/>
  <c r="H202" i="16"/>
  <c r="G202" i="16"/>
  <c r="F202" i="16"/>
  <c r="F201" i="16"/>
  <c r="H200" i="16"/>
  <c r="G200" i="16"/>
  <c r="F200" i="16"/>
  <c r="H198" i="16"/>
  <c r="G198" i="16"/>
  <c r="F198" i="16"/>
  <c r="H197" i="16"/>
  <c r="G197" i="16"/>
  <c r="F197" i="16"/>
  <c r="H196" i="16"/>
  <c r="G196" i="16"/>
  <c r="F196" i="16"/>
  <c r="G206" i="16" l="1"/>
  <c r="H206" i="16"/>
  <c r="F218" i="16"/>
  <c r="H218" i="16"/>
  <c r="F206" i="16"/>
  <c r="G218" i="16"/>
  <c r="G193" i="16"/>
  <c r="F193" i="16"/>
  <c r="H193" i="16"/>
  <c r="H192" i="16"/>
  <c r="F192" i="16"/>
  <c r="G192" i="16"/>
  <c r="H189" i="16"/>
  <c r="H190" i="16"/>
  <c r="H191" i="16"/>
  <c r="F189" i="16"/>
  <c r="F190" i="16"/>
  <c r="F191" i="16"/>
  <c r="G191" i="16"/>
  <c r="G190" i="16"/>
  <c r="G189" i="16"/>
  <c r="F188" i="16"/>
  <c r="G188" i="16"/>
  <c r="H188" i="16"/>
  <c r="H187" i="16"/>
  <c r="F187" i="16"/>
  <c r="G187" i="16"/>
  <c r="H184" i="16"/>
  <c r="H185" i="16"/>
  <c r="H186" i="16"/>
  <c r="H183" i="16"/>
  <c r="F184" i="16"/>
  <c r="F185" i="16"/>
  <c r="F186" i="16"/>
  <c r="F183" i="16"/>
  <c r="G186" i="16"/>
  <c r="G185" i="16"/>
  <c r="G184" i="16"/>
  <c r="G183" i="16"/>
  <c r="H182" i="16"/>
  <c r="G182" i="16"/>
  <c r="F182" i="16"/>
  <c r="G181" i="16"/>
  <c r="F181" i="16"/>
  <c r="G180" i="16"/>
  <c r="F180" i="16"/>
  <c r="E179" i="16"/>
  <c r="H179" i="16" s="1"/>
  <c r="E178" i="16"/>
  <c r="E195" i="16" l="1"/>
  <c r="G179" i="16"/>
  <c r="F178" i="16"/>
  <c r="G178" i="16"/>
  <c r="G195" i="16" s="1"/>
  <c r="F179" i="16"/>
  <c r="H178" i="16"/>
  <c r="F195" i="16"/>
  <c r="H195" i="16"/>
  <c r="E177" i="16"/>
  <c r="G175" i="16"/>
  <c r="F175" i="16"/>
  <c r="H174" i="16"/>
  <c r="H177" i="16" s="1"/>
  <c r="G174" i="16"/>
  <c r="F174" i="16"/>
  <c r="G173" i="16"/>
  <c r="F173" i="16"/>
  <c r="G177" i="16" l="1"/>
  <c r="F177" i="16"/>
  <c r="H162" i="16"/>
  <c r="H163" i="16"/>
  <c r="H164" i="16"/>
  <c r="H165" i="16"/>
  <c r="H166" i="16"/>
  <c r="F162" i="16"/>
  <c r="F163" i="16"/>
  <c r="F164" i="16"/>
  <c r="F165" i="16"/>
  <c r="F166" i="16"/>
  <c r="G166" i="16"/>
  <c r="G165" i="16"/>
  <c r="G164" i="16"/>
  <c r="G163" i="16"/>
  <c r="G162" i="16"/>
  <c r="H161" i="16"/>
  <c r="F161" i="16"/>
  <c r="G161" i="16"/>
  <c r="H170" i="16"/>
  <c r="G170" i="16"/>
  <c r="F170" i="16"/>
  <c r="F167" i="16"/>
  <c r="G167" i="16"/>
  <c r="H160" i="16"/>
  <c r="G160" i="16"/>
  <c r="F160" i="16"/>
  <c r="H159" i="16"/>
  <c r="G159" i="16"/>
  <c r="F159" i="16"/>
  <c r="H158" i="16"/>
  <c r="G158" i="16"/>
  <c r="F158" i="16"/>
  <c r="E157" i="16"/>
  <c r="E172" i="16" s="1"/>
  <c r="G157" i="16" l="1"/>
  <c r="F157" i="16"/>
  <c r="F172" i="16" s="1"/>
  <c r="H157" i="16"/>
  <c r="G172" i="16"/>
  <c r="H172" i="16"/>
  <c r="H155" i="16"/>
  <c r="G155" i="16"/>
  <c r="F155" i="16"/>
  <c r="H154" i="16"/>
  <c r="G154" i="16"/>
  <c r="F154" i="16"/>
  <c r="H151" i="16"/>
  <c r="G151" i="16"/>
  <c r="F151" i="16"/>
  <c r="H150" i="16"/>
  <c r="G150" i="16"/>
  <c r="F150" i="16"/>
  <c r="E149" i="16"/>
  <c r="G149" i="16" s="1"/>
  <c r="E146" i="16"/>
  <c r="F146" i="16" s="1"/>
  <c r="H148" i="16"/>
  <c r="G148" i="16"/>
  <c r="F148" i="16"/>
  <c r="G147" i="16"/>
  <c r="F147" i="16"/>
  <c r="H149" i="16" l="1"/>
  <c r="E156" i="16"/>
  <c r="H146" i="16"/>
  <c r="F149" i="16"/>
  <c r="G146" i="16"/>
  <c r="F156" i="16"/>
  <c r="H156" i="16"/>
  <c r="G156" i="16"/>
  <c r="H143" i="16"/>
  <c r="G143" i="16"/>
  <c r="F143" i="16"/>
  <c r="G141" i="16"/>
  <c r="F141" i="16"/>
  <c r="G140" i="16"/>
  <c r="F140" i="16"/>
  <c r="H139" i="16"/>
  <c r="G139" i="16"/>
  <c r="F139" i="16"/>
  <c r="G138" i="16"/>
  <c r="F138" i="16"/>
  <c r="E137" i="16"/>
  <c r="E145" i="16" s="1"/>
  <c r="F137" i="16" l="1"/>
  <c r="H137" i="16"/>
  <c r="H145" i="16" s="1"/>
  <c r="G137" i="16"/>
  <c r="F145" i="16"/>
  <c r="G145" i="16"/>
  <c r="E136" i="16"/>
  <c r="G133" i="16"/>
  <c r="F133" i="16"/>
  <c r="H132" i="16"/>
  <c r="H136" i="16" s="1"/>
  <c r="G132" i="16"/>
  <c r="F132" i="16"/>
  <c r="F136" i="16" l="1"/>
  <c r="G136" i="16"/>
  <c r="H126" i="16"/>
  <c r="H127" i="16"/>
  <c r="H128" i="16"/>
  <c r="H129" i="16"/>
  <c r="G126" i="16"/>
  <c r="G127" i="16"/>
  <c r="G128" i="16"/>
  <c r="G129" i="16"/>
  <c r="F126" i="16"/>
  <c r="F127" i="16"/>
  <c r="F128" i="16"/>
  <c r="F129" i="16"/>
  <c r="H125" i="16"/>
  <c r="G125" i="16"/>
  <c r="F125" i="16"/>
  <c r="E130" i="16"/>
  <c r="E131" i="16" s="1"/>
  <c r="H124" i="16"/>
  <c r="G124" i="16"/>
  <c r="F124" i="16"/>
  <c r="H123" i="16"/>
  <c r="G123" i="16"/>
  <c r="F123" i="16"/>
  <c r="H122" i="16"/>
  <c r="G122" i="16"/>
  <c r="F122" i="16"/>
  <c r="F120" i="16"/>
  <c r="F119" i="16"/>
  <c r="H118" i="16"/>
  <c r="G118" i="16"/>
  <c r="F118" i="16"/>
  <c r="H117" i="16"/>
  <c r="G117" i="16"/>
  <c r="F117" i="16"/>
  <c r="H116" i="16"/>
  <c r="G116" i="16"/>
  <c r="F116" i="16"/>
  <c r="H115" i="16"/>
  <c r="G115" i="16"/>
  <c r="F115" i="16"/>
  <c r="H114" i="16"/>
  <c r="G114" i="16"/>
  <c r="F114" i="16"/>
  <c r="H112" i="16"/>
  <c r="G112" i="16"/>
  <c r="F112" i="16"/>
  <c r="H111" i="16"/>
  <c r="G111" i="16"/>
  <c r="F111" i="16"/>
  <c r="G109" i="16"/>
  <c r="F109" i="16"/>
  <c r="E108" i="16"/>
  <c r="G108" i="16" s="1"/>
  <c r="E107" i="16"/>
  <c r="E113" i="16" s="1"/>
  <c r="F107" i="16" l="1"/>
  <c r="H107" i="16"/>
  <c r="F108" i="16"/>
  <c r="H108" i="16"/>
  <c r="F130" i="16"/>
  <c r="H130" i="16"/>
  <c r="G107" i="16"/>
  <c r="G130" i="16"/>
  <c r="F113" i="16"/>
  <c r="H113" i="16"/>
  <c r="F131" i="16"/>
  <c r="H131" i="16"/>
  <c r="G113" i="16"/>
  <c r="G131" i="16"/>
  <c r="H105" i="16"/>
  <c r="G105" i="16"/>
  <c r="F105" i="16"/>
  <c r="H104" i="16"/>
  <c r="G104" i="16"/>
  <c r="F104" i="16"/>
  <c r="F101" i="16"/>
  <c r="G101" i="16"/>
  <c r="G100" i="16"/>
  <c r="F100" i="16"/>
  <c r="H99" i="16"/>
  <c r="G99" i="16"/>
  <c r="F99" i="16"/>
  <c r="H98" i="16"/>
  <c r="G98" i="16"/>
  <c r="F98" i="16"/>
  <c r="E97" i="16"/>
  <c r="E106" i="16" s="1"/>
  <c r="G97" i="16" l="1"/>
  <c r="F97" i="16"/>
  <c r="F106" i="16" s="1"/>
  <c r="H97" i="16"/>
  <c r="G106" i="16"/>
  <c r="H106" i="16"/>
  <c r="G94" i="16"/>
  <c r="F94" i="16"/>
  <c r="G93" i="16"/>
  <c r="F93" i="16"/>
  <c r="H92" i="16"/>
  <c r="G92" i="16"/>
  <c r="F92" i="16"/>
  <c r="G91" i="16"/>
  <c r="F91" i="16"/>
  <c r="E90" i="16"/>
  <c r="E96" i="16" l="1"/>
  <c r="F90" i="16"/>
  <c r="G90" i="16"/>
  <c r="H90" i="16"/>
  <c r="F96" i="16"/>
  <c r="H96" i="16"/>
  <c r="G96" i="16"/>
  <c r="H88" i="16"/>
  <c r="G88" i="16"/>
  <c r="F88" i="16"/>
  <c r="G87" i="16"/>
  <c r="F87" i="16"/>
  <c r="H86" i="16"/>
  <c r="G86" i="16"/>
  <c r="F86" i="16"/>
  <c r="H85" i="16"/>
  <c r="G85" i="16"/>
  <c r="F85" i="16"/>
  <c r="H84" i="16"/>
  <c r="G84" i="16"/>
  <c r="F84" i="16"/>
  <c r="E83" i="16"/>
  <c r="H83" i="16" s="1"/>
  <c r="E89" i="16" l="1"/>
  <c r="G83" i="16"/>
  <c r="F83" i="16"/>
  <c r="H89" i="16"/>
  <c r="F89" i="16"/>
  <c r="G89" i="16"/>
  <c r="F81" i="16"/>
  <c r="H79" i="16"/>
  <c r="G79" i="16"/>
  <c r="F79" i="16"/>
  <c r="G77" i="16"/>
  <c r="F77" i="16"/>
  <c r="G76" i="16"/>
  <c r="F76" i="16"/>
  <c r="G75" i="16"/>
  <c r="F75" i="16"/>
  <c r="H74" i="16"/>
  <c r="G74" i="16"/>
  <c r="F74" i="16"/>
  <c r="H73" i="16"/>
  <c r="G73" i="16"/>
  <c r="F73" i="16"/>
  <c r="H72" i="16"/>
  <c r="G72" i="16"/>
  <c r="F72" i="16"/>
  <c r="E71" i="16"/>
  <c r="E82" i="16" s="1"/>
  <c r="G71" i="16" l="1"/>
  <c r="F71" i="16"/>
  <c r="H71" i="16"/>
  <c r="F82" i="16"/>
  <c r="H82" i="16"/>
  <c r="G82" i="16"/>
  <c r="H69" i="16"/>
  <c r="G69" i="16"/>
  <c r="F69" i="16"/>
  <c r="H67" i="16"/>
  <c r="G67" i="16"/>
  <c r="H65" i="16"/>
  <c r="G65" i="16"/>
  <c r="F65" i="16"/>
  <c r="E64" i="16"/>
  <c r="E70" i="16" s="1"/>
  <c r="F64" i="16" l="1"/>
  <c r="H64" i="16"/>
  <c r="H70" i="16" s="1"/>
  <c r="G64" i="16"/>
  <c r="F70" i="16"/>
  <c r="G70" i="16"/>
  <c r="E63" i="16"/>
  <c r="H62" i="16"/>
  <c r="G62" i="16"/>
  <c r="F62" i="16"/>
  <c r="H61" i="16"/>
  <c r="G61" i="16"/>
  <c r="F61" i="16"/>
  <c r="G60" i="16"/>
  <c r="F60" i="16"/>
  <c r="F58" i="16"/>
  <c r="H57" i="16"/>
  <c r="G57" i="16"/>
  <c r="F57" i="16"/>
  <c r="H56" i="16"/>
  <c r="G56" i="16"/>
  <c r="F56" i="16"/>
  <c r="G55" i="16"/>
  <c r="F55" i="16"/>
  <c r="H54" i="16"/>
  <c r="G54" i="16"/>
  <c r="F54" i="16"/>
  <c r="H53" i="16"/>
  <c r="G53" i="16"/>
  <c r="F53" i="16"/>
  <c r="G52" i="16"/>
  <c r="F52" i="16"/>
  <c r="F50" i="16"/>
  <c r="H48" i="16"/>
  <c r="G48" i="16"/>
  <c r="F48" i="16"/>
  <c r="H47" i="16"/>
  <c r="G47" i="16"/>
  <c r="F47" i="16"/>
  <c r="G63" i="16" l="1"/>
  <c r="F63" i="16"/>
  <c r="H63" i="16"/>
  <c r="H45" i="16"/>
  <c r="G45" i="16"/>
  <c r="F45" i="16"/>
  <c r="H41" i="16"/>
  <c r="H42" i="16"/>
  <c r="H43" i="16"/>
  <c r="F41" i="16"/>
  <c r="F42" i="16"/>
  <c r="F43" i="16"/>
  <c r="E44" i="16"/>
  <c r="H44" i="16" s="1"/>
  <c r="G43" i="16"/>
  <c r="G42" i="16"/>
  <c r="G41" i="16"/>
  <c r="F40" i="16"/>
  <c r="G40" i="16"/>
  <c r="H40" i="16"/>
  <c r="H39" i="16"/>
  <c r="F39" i="16"/>
  <c r="G39" i="16"/>
  <c r="H34" i="16"/>
  <c r="H35" i="16"/>
  <c r="H36" i="16"/>
  <c r="H37" i="16"/>
  <c r="H38" i="16"/>
  <c r="G34" i="16"/>
  <c r="G35" i="16"/>
  <c r="G36" i="16"/>
  <c r="G37" i="16"/>
  <c r="G38" i="16"/>
  <c r="F34" i="16"/>
  <c r="F35" i="16"/>
  <c r="F36" i="16"/>
  <c r="F37" i="16"/>
  <c r="F38" i="16"/>
  <c r="H33" i="16"/>
  <c r="G33" i="16"/>
  <c r="F33" i="16"/>
  <c r="G30" i="16"/>
  <c r="F30" i="16"/>
  <c r="H29" i="16"/>
  <c r="G29" i="16"/>
  <c r="F29" i="16"/>
  <c r="H28" i="16"/>
  <c r="G28" i="16"/>
  <c r="F28" i="16"/>
  <c r="H27" i="16"/>
  <c r="G27" i="16"/>
  <c r="F27" i="16"/>
  <c r="G26" i="16"/>
  <c r="F26" i="16"/>
  <c r="G25" i="16"/>
  <c r="F25" i="16"/>
  <c r="G24" i="16"/>
  <c r="F24" i="16"/>
  <c r="E23" i="16"/>
  <c r="H22" i="16"/>
  <c r="G22" i="16"/>
  <c r="F22" i="16"/>
  <c r="E46" i="16" l="1"/>
  <c r="F23" i="16"/>
  <c r="G23" i="16"/>
  <c r="F44" i="16"/>
  <c r="F46" i="16" s="1"/>
  <c r="G44" i="16"/>
  <c r="G46" i="16"/>
  <c r="H46" i="16"/>
  <c r="E21" i="16"/>
  <c r="H20" i="16"/>
  <c r="G20" i="16"/>
  <c r="F20" i="16"/>
  <c r="G17" i="16"/>
  <c r="F17" i="16"/>
  <c r="G16" i="16"/>
  <c r="F16" i="16"/>
  <c r="H15" i="16"/>
  <c r="G15" i="16"/>
  <c r="F15" i="16"/>
  <c r="G21" i="16" l="1"/>
  <c r="F21" i="16"/>
  <c r="H21" i="16"/>
  <c r="G13" i="16"/>
  <c r="F13" i="16"/>
  <c r="G12" i="16"/>
  <c r="F12" i="16"/>
  <c r="E11" i="16"/>
  <c r="G11" i="16" s="1"/>
  <c r="G10" i="16"/>
  <c r="F10" i="16"/>
  <c r="F9" i="16"/>
  <c r="H9" i="16"/>
  <c r="H14" i="16" s="1"/>
  <c r="G9" i="16"/>
  <c r="F11" i="16" l="1"/>
  <c r="E14" i="16"/>
  <c r="G14" i="16"/>
  <c r="F14" i="16"/>
  <c r="E387" i="15"/>
  <c r="G7" i="16" l="1"/>
  <c r="F7" i="16"/>
  <c r="G6" i="16"/>
  <c r="F6" i="16"/>
  <c r="G5" i="16"/>
  <c r="F5" i="16"/>
  <c r="H4" i="16"/>
  <c r="G4" i="16"/>
  <c r="F4" i="16"/>
  <c r="H3" i="16"/>
  <c r="G3" i="16"/>
  <c r="F3" i="16"/>
  <c r="E2" i="16"/>
  <c r="E8" i="16" s="1"/>
  <c r="F2" i="16" l="1"/>
  <c r="H2" i="16"/>
  <c r="G2" i="16"/>
  <c r="G8" i="16"/>
  <c r="F8" i="16"/>
  <c r="H8" i="16"/>
  <c r="G377" i="15"/>
  <c r="F377" i="15"/>
  <c r="G376" i="15"/>
  <c r="F376" i="15"/>
  <c r="G375" i="15"/>
  <c r="F375" i="15"/>
  <c r="E374" i="15"/>
  <c r="E378" i="15" s="1"/>
  <c r="F374" i="15" l="1"/>
  <c r="H374" i="15"/>
  <c r="H378" i="15" s="1"/>
  <c r="G374" i="15"/>
  <c r="F378" i="15"/>
  <c r="G378" i="15"/>
  <c r="F371" i="15"/>
  <c r="G370" i="15"/>
  <c r="F370" i="15"/>
  <c r="H369" i="15"/>
  <c r="G369" i="15"/>
  <c r="F369" i="15"/>
  <c r="E368" i="15"/>
  <c r="E373" i="15" s="1"/>
  <c r="G368" i="15" l="1"/>
  <c r="F368" i="15"/>
  <c r="F373" i="15" s="1"/>
  <c r="H368" i="15"/>
  <c r="G373" i="15"/>
  <c r="H373" i="15"/>
  <c r="E367" i="15"/>
  <c r="H366" i="15"/>
  <c r="G366" i="15"/>
  <c r="F366" i="15"/>
  <c r="G364" i="15"/>
  <c r="F364" i="15"/>
  <c r="H363" i="15"/>
  <c r="G363" i="15"/>
  <c r="F363" i="15"/>
  <c r="F367" i="15" l="1"/>
  <c r="H367" i="15"/>
  <c r="G367" i="15"/>
  <c r="E362" i="15"/>
  <c r="F361" i="15"/>
  <c r="F360" i="15"/>
  <c r="H359" i="15"/>
  <c r="G359" i="15"/>
  <c r="F359" i="15"/>
  <c r="F358" i="15"/>
  <c r="H357" i="15"/>
  <c r="G357" i="15"/>
  <c r="F357" i="15"/>
  <c r="H356" i="15"/>
  <c r="G356" i="15"/>
  <c r="F356" i="15"/>
  <c r="G355" i="15"/>
  <c r="F355" i="15"/>
  <c r="G354" i="15"/>
  <c r="F354" i="15"/>
  <c r="H353" i="15"/>
  <c r="G353" i="15"/>
  <c r="F353" i="15"/>
  <c r="H352" i="15"/>
  <c r="G352" i="15"/>
  <c r="F352" i="15"/>
  <c r="G350" i="15"/>
  <c r="F350" i="15"/>
  <c r="G362" i="15" l="1"/>
  <c r="F362" i="15"/>
  <c r="H362" i="15"/>
  <c r="E349" i="15"/>
  <c r="H348" i="15"/>
  <c r="F347" i="15"/>
  <c r="G347" i="15"/>
  <c r="H347" i="15"/>
  <c r="H345" i="15"/>
  <c r="H346" i="15"/>
  <c r="F345" i="15"/>
  <c r="F346" i="15"/>
  <c r="H344" i="15"/>
  <c r="F344" i="15"/>
  <c r="G346" i="15"/>
  <c r="G345" i="15"/>
  <c r="G344" i="15"/>
  <c r="F343" i="15"/>
  <c r="G343" i="15"/>
  <c r="H343" i="15"/>
  <c r="H342" i="15"/>
  <c r="F342" i="15"/>
  <c r="G342" i="15"/>
  <c r="H339" i="15"/>
  <c r="H340" i="15"/>
  <c r="H341" i="15"/>
  <c r="G339" i="15"/>
  <c r="G340" i="15"/>
  <c r="G341" i="15"/>
  <c r="F339" i="15"/>
  <c r="F340" i="15"/>
  <c r="F341" i="15"/>
  <c r="H338" i="15"/>
  <c r="G338" i="15"/>
  <c r="G349" i="15" s="1"/>
  <c r="F338" i="15"/>
  <c r="F349" i="15" l="1"/>
  <c r="H349" i="15"/>
  <c r="G336" i="15"/>
  <c r="F336" i="15"/>
  <c r="F334" i="15"/>
  <c r="G334" i="15"/>
  <c r="G333" i="15"/>
  <c r="F333" i="15"/>
  <c r="G332" i="15"/>
  <c r="F332" i="15"/>
  <c r="H331" i="15"/>
  <c r="G331" i="15"/>
  <c r="F331" i="15"/>
  <c r="E330" i="15"/>
  <c r="E337" i="15" l="1"/>
  <c r="F330" i="15"/>
  <c r="G330" i="15"/>
  <c r="H330" i="15"/>
  <c r="H337" i="15" s="1"/>
  <c r="G337" i="15"/>
  <c r="F337" i="15"/>
  <c r="H328" i="15"/>
  <c r="G328" i="15"/>
  <c r="F328" i="15"/>
  <c r="H327" i="15"/>
  <c r="G327" i="15"/>
  <c r="F327" i="15"/>
  <c r="G324" i="15" l="1"/>
  <c r="F324" i="15"/>
  <c r="G323" i="15"/>
  <c r="F323" i="15"/>
  <c r="E322" i="15"/>
  <c r="E329" i="15" s="1"/>
  <c r="G321" i="15"/>
  <c r="F321" i="15"/>
  <c r="H320" i="15"/>
  <c r="H329" i="15" s="1"/>
  <c r="G320" i="15"/>
  <c r="F320" i="15"/>
  <c r="F322" i="15" l="1"/>
  <c r="G322" i="15"/>
  <c r="F329" i="15"/>
  <c r="G329" i="15"/>
  <c r="G317" i="15"/>
  <c r="F317" i="15"/>
  <c r="G316" i="15"/>
  <c r="F316" i="15"/>
  <c r="G315" i="15"/>
  <c r="F315" i="15"/>
  <c r="G314" i="15"/>
  <c r="F314" i="15"/>
  <c r="E313" i="15"/>
  <c r="E319" i="15" s="1"/>
  <c r="F313" i="15" l="1"/>
  <c r="H313" i="15"/>
  <c r="H319" i="15" s="1"/>
  <c r="G313" i="15"/>
  <c r="G319" i="15"/>
  <c r="F319" i="15"/>
  <c r="G311" i="15"/>
  <c r="F311" i="15"/>
  <c r="F309" i="15"/>
  <c r="H308" i="15"/>
  <c r="G308" i="15"/>
  <c r="F308" i="15"/>
  <c r="H307" i="15"/>
  <c r="G307" i="15"/>
  <c r="F307" i="15"/>
  <c r="G305" i="15"/>
  <c r="F305" i="15"/>
  <c r="G304" i="15"/>
  <c r="G303" i="15"/>
  <c r="F303" i="15"/>
  <c r="G302" i="15"/>
  <c r="F302" i="15"/>
  <c r="E301" i="15"/>
  <c r="H301" i="15" s="1"/>
  <c r="G301" i="15" l="1"/>
  <c r="E312" i="15"/>
  <c r="F301" i="15"/>
  <c r="F312" i="15"/>
  <c r="H312" i="15"/>
  <c r="G312" i="15"/>
  <c r="H299" i="15"/>
  <c r="G299" i="15"/>
  <c r="F299" i="15"/>
  <c r="H298" i="15"/>
  <c r="G298" i="15"/>
  <c r="F298" i="15"/>
  <c r="E300" i="15"/>
  <c r="G296" i="15"/>
  <c r="F296" i="15"/>
  <c r="G295" i="15"/>
  <c r="F295" i="15"/>
  <c r="H300" i="15" l="1"/>
  <c r="F300" i="15"/>
  <c r="G300" i="15"/>
  <c r="E294" i="15"/>
  <c r="H292" i="15"/>
  <c r="H294" i="15" s="1"/>
  <c r="G292" i="15"/>
  <c r="F292" i="15"/>
  <c r="G291" i="15"/>
  <c r="F291" i="15"/>
  <c r="G290" i="15"/>
  <c r="G294" i="15" s="1"/>
  <c r="F290" i="15"/>
  <c r="F294" i="15" s="1"/>
  <c r="G285" i="15" l="1"/>
  <c r="F285" i="15"/>
  <c r="H286" i="15"/>
  <c r="G286" i="15"/>
  <c r="F286" i="15"/>
  <c r="G287" i="15"/>
  <c r="F287" i="15"/>
  <c r="H288" i="15"/>
  <c r="G288" i="15"/>
  <c r="F288" i="15"/>
  <c r="G284" i="15"/>
  <c r="F284" i="15"/>
  <c r="H283" i="15"/>
  <c r="G283" i="15"/>
  <c r="F283" i="15"/>
  <c r="F282" i="15"/>
  <c r="H281" i="15"/>
  <c r="G281" i="15"/>
  <c r="F281" i="15"/>
  <c r="H280" i="15"/>
  <c r="G280" i="15"/>
  <c r="F280" i="15"/>
  <c r="G279" i="15"/>
  <c r="F279" i="15"/>
  <c r="G278" i="15"/>
  <c r="F278" i="15"/>
  <c r="G277" i="15"/>
  <c r="F277" i="15"/>
  <c r="E276" i="15"/>
  <c r="G276" i="15" s="1"/>
  <c r="E275" i="15"/>
  <c r="G274" i="15"/>
  <c r="F274" i="15"/>
  <c r="H272" i="15"/>
  <c r="G273" i="15"/>
  <c r="F273" i="15"/>
  <c r="G272" i="15"/>
  <c r="F272" i="15"/>
  <c r="H270" i="15"/>
  <c r="G270" i="15"/>
  <c r="F270" i="15"/>
  <c r="H269" i="15"/>
  <c r="G269" i="15"/>
  <c r="F269" i="15"/>
  <c r="H268" i="15"/>
  <c r="G268" i="15"/>
  <c r="F268" i="15"/>
  <c r="G266" i="15"/>
  <c r="F266" i="15"/>
  <c r="G265" i="15"/>
  <c r="F265" i="15"/>
  <c r="E289" i="15" l="1"/>
  <c r="F276" i="15"/>
  <c r="F275" i="15"/>
  <c r="H276" i="15"/>
  <c r="H275" i="15"/>
  <c r="F289" i="15"/>
  <c r="G275" i="15"/>
  <c r="G289" i="15" s="1"/>
  <c r="H259" i="15"/>
  <c r="H260" i="15"/>
  <c r="H261" i="15"/>
  <c r="G259" i="15"/>
  <c r="G260" i="15"/>
  <c r="G261" i="15"/>
  <c r="F259" i="15"/>
  <c r="F260" i="15"/>
  <c r="F261" i="15"/>
  <c r="E263" i="15"/>
  <c r="H263" i="15" s="1"/>
  <c r="E262" i="15"/>
  <c r="H262" i="15" s="1"/>
  <c r="E258" i="15"/>
  <c r="G258" i="15" s="1"/>
  <c r="H253" i="15"/>
  <c r="H254" i="15"/>
  <c r="H255" i="15"/>
  <c r="H256" i="15"/>
  <c r="H257" i="15"/>
  <c r="G253" i="15"/>
  <c r="G254" i="15"/>
  <c r="G255" i="15"/>
  <c r="G256" i="15"/>
  <c r="G257" i="15"/>
  <c r="F253" i="15"/>
  <c r="F254" i="15"/>
  <c r="F255" i="15"/>
  <c r="F256" i="15"/>
  <c r="F257" i="15"/>
  <c r="H252" i="15"/>
  <c r="G252" i="15"/>
  <c r="F252" i="15"/>
  <c r="H289" i="15" l="1"/>
  <c r="G262" i="15"/>
  <c r="F263" i="15"/>
  <c r="F258" i="15"/>
  <c r="H258" i="15"/>
  <c r="H264" i="15" s="1"/>
  <c r="F262" i="15"/>
  <c r="G263" i="15"/>
  <c r="G264" i="15" s="1"/>
  <c r="E264" i="15"/>
  <c r="E251" i="15"/>
  <c r="F250" i="15"/>
  <c r="G250" i="15"/>
  <c r="G249" i="15"/>
  <c r="F249" i="15"/>
  <c r="G248" i="15"/>
  <c r="F248" i="15"/>
  <c r="G247" i="15"/>
  <c r="F247" i="15"/>
  <c r="H246" i="15"/>
  <c r="H251" i="15" s="1"/>
  <c r="G246" i="15"/>
  <c r="F246" i="15"/>
  <c r="G251" i="15" l="1"/>
  <c r="F251" i="15"/>
  <c r="F264" i="15"/>
  <c r="G244" i="15"/>
  <c r="F244" i="15"/>
  <c r="H243" i="15"/>
  <c r="G243" i="15"/>
  <c r="F243" i="15"/>
  <c r="G242" i="15"/>
  <c r="F242" i="15"/>
  <c r="E241" i="15"/>
  <c r="E245" i="15" s="1"/>
  <c r="G241" i="15" l="1"/>
  <c r="G245" i="15" s="1"/>
  <c r="F241" i="15"/>
  <c r="F245" i="15" s="1"/>
  <c r="H241" i="15"/>
  <c r="H245" i="15" s="1"/>
  <c r="H239" i="15"/>
  <c r="G239" i="15"/>
  <c r="F239" i="15"/>
  <c r="H238" i="15"/>
  <c r="G238" i="15"/>
  <c r="F238" i="15"/>
  <c r="G236" i="15"/>
  <c r="F236" i="15"/>
  <c r="G235" i="15"/>
  <c r="F235" i="15"/>
  <c r="G233" i="15"/>
  <c r="F233" i="15"/>
  <c r="G232" i="15"/>
  <c r="F232" i="15"/>
  <c r="G230" i="15"/>
  <c r="F230" i="15"/>
  <c r="E229" i="15"/>
  <c r="E240" i="15" s="1"/>
  <c r="G229" i="15" l="1"/>
  <c r="G240" i="15" s="1"/>
  <c r="F229" i="15"/>
  <c r="F240" i="15" s="1"/>
  <c r="H229" i="15"/>
  <c r="H240" i="15" s="1"/>
  <c r="G227" i="15"/>
  <c r="F227" i="15"/>
  <c r="G226" i="15"/>
  <c r="F226" i="15"/>
  <c r="G225" i="15"/>
  <c r="F225" i="15"/>
  <c r="H224" i="15"/>
  <c r="G224" i="15"/>
  <c r="F224" i="15"/>
  <c r="H223" i="15"/>
  <c r="G223" i="15"/>
  <c r="F223" i="15"/>
  <c r="H222" i="15"/>
  <c r="G222" i="15"/>
  <c r="F222" i="15"/>
  <c r="G221" i="15"/>
  <c r="F221" i="15"/>
  <c r="E220" i="15"/>
  <c r="G220" i="15" s="1"/>
  <c r="E228" i="15" l="1"/>
  <c r="H220" i="15"/>
  <c r="H228" i="15" s="1"/>
  <c r="F220" i="15"/>
  <c r="G228" i="15"/>
  <c r="F228" i="15"/>
  <c r="E219" i="15"/>
  <c r="G217" i="15"/>
  <c r="F217" i="15"/>
  <c r="G216" i="15"/>
  <c r="F216" i="15"/>
  <c r="H215" i="15"/>
  <c r="H219" i="15" s="1"/>
  <c r="G215" i="15"/>
  <c r="F215" i="15"/>
  <c r="G219" i="15" l="1"/>
  <c r="F219" i="15"/>
  <c r="E214" i="15"/>
  <c r="H213" i="15"/>
  <c r="G213" i="15"/>
  <c r="F213" i="15"/>
  <c r="H212" i="15"/>
  <c r="G212" i="15"/>
  <c r="F212" i="15"/>
  <c r="G211" i="15"/>
  <c r="F211" i="15"/>
  <c r="G210" i="15"/>
  <c r="F210" i="15"/>
  <c r="F214" i="15" l="1"/>
  <c r="G214" i="15"/>
  <c r="H214" i="15"/>
  <c r="H208" i="15"/>
  <c r="G208" i="15"/>
  <c r="F208" i="15"/>
  <c r="H203" i="15"/>
  <c r="H204" i="15"/>
  <c r="H205" i="15"/>
  <c r="H206" i="15"/>
  <c r="H207" i="15"/>
  <c r="G203" i="15"/>
  <c r="G204" i="15"/>
  <c r="G205" i="15"/>
  <c r="G206" i="15"/>
  <c r="G207" i="15"/>
  <c r="F203" i="15"/>
  <c r="F204" i="15"/>
  <c r="F205" i="15"/>
  <c r="F206" i="15"/>
  <c r="F207" i="15"/>
  <c r="H202" i="15"/>
  <c r="G202" i="15"/>
  <c r="F202" i="15"/>
  <c r="G201" i="15"/>
  <c r="F201" i="15"/>
  <c r="F200" i="15"/>
  <c r="G199" i="15"/>
  <c r="F199" i="15"/>
  <c r="H198" i="15"/>
  <c r="G198" i="15"/>
  <c r="F198" i="15"/>
  <c r="F197" i="15"/>
  <c r="H196" i="15"/>
  <c r="G196" i="15"/>
  <c r="F196" i="15"/>
  <c r="H195" i="15"/>
  <c r="G195" i="15"/>
  <c r="F195" i="15"/>
  <c r="G194" i="15"/>
  <c r="F194" i="15"/>
  <c r="H191" i="15"/>
  <c r="G191" i="15"/>
  <c r="F191" i="15"/>
  <c r="H190" i="15"/>
  <c r="G190" i="15"/>
  <c r="F190" i="15"/>
  <c r="E189" i="15"/>
  <c r="G189" i="15" s="1"/>
  <c r="H209" i="15" l="1"/>
  <c r="G209" i="15"/>
  <c r="F189" i="15"/>
  <c r="F209" i="15" s="1"/>
  <c r="E209" i="15"/>
  <c r="E188" i="15"/>
  <c r="H187" i="15"/>
  <c r="G187" i="15"/>
  <c r="F187" i="15"/>
  <c r="G185" i="15"/>
  <c r="F185" i="15"/>
  <c r="H184" i="15"/>
  <c r="G184" i="15"/>
  <c r="F184" i="15"/>
  <c r="H181" i="15"/>
  <c r="G181" i="15"/>
  <c r="F181" i="15"/>
  <c r="F180" i="15"/>
  <c r="G180" i="15"/>
  <c r="H180" i="15"/>
  <c r="H174" i="15"/>
  <c r="H175" i="15"/>
  <c r="H176" i="15"/>
  <c r="H177" i="15"/>
  <c r="H178" i="15"/>
  <c r="H179" i="15"/>
  <c r="H173" i="15"/>
  <c r="G174" i="15"/>
  <c r="G175" i="15"/>
  <c r="G176" i="15"/>
  <c r="G177" i="15"/>
  <c r="G178" i="15"/>
  <c r="G179" i="15"/>
  <c r="F174" i="15"/>
  <c r="F175" i="15"/>
  <c r="F176" i="15"/>
  <c r="F177" i="15"/>
  <c r="F178" i="15"/>
  <c r="F179" i="15"/>
  <c r="G173" i="15"/>
  <c r="F173" i="15"/>
  <c r="G172" i="15"/>
  <c r="F172" i="15"/>
  <c r="H171" i="15"/>
  <c r="G171" i="15"/>
  <c r="F171" i="15"/>
  <c r="F188" i="15" l="1"/>
  <c r="H188" i="15"/>
  <c r="G188" i="15"/>
  <c r="H169" i="15"/>
  <c r="G169" i="15"/>
  <c r="F169" i="15"/>
  <c r="G168" i="15"/>
  <c r="F168" i="15"/>
  <c r="G167" i="15"/>
  <c r="F167" i="15"/>
  <c r="G165" i="15"/>
  <c r="F165" i="15"/>
  <c r="G164" i="15"/>
  <c r="F164" i="15"/>
  <c r="E163" i="15"/>
  <c r="F163" i="15" s="1"/>
  <c r="G162" i="15"/>
  <c r="F162" i="15"/>
  <c r="H161" i="15"/>
  <c r="H170" i="15" s="1"/>
  <c r="G161" i="15"/>
  <c r="F161" i="15"/>
  <c r="F170" i="15" l="1"/>
  <c r="G163" i="15"/>
  <c r="G170" i="15" s="1"/>
  <c r="E170" i="15"/>
  <c r="G146" i="15"/>
  <c r="F146" i="15"/>
  <c r="G145" i="15"/>
  <c r="F145" i="15"/>
  <c r="G144" i="15"/>
  <c r="F144" i="15"/>
  <c r="G143" i="15"/>
  <c r="F143" i="15"/>
  <c r="G142" i="15"/>
  <c r="F142" i="15"/>
  <c r="E141" i="15"/>
  <c r="E151" i="15" s="1"/>
  <c r="H141" i="15" l="1"/>
  <c r="H151" i="15" s="1"/>
  <c r="F141" i="15"/>
  <c r="F151" i="15" s="1"/>
  <c r="G141" i="15"/>
  <c r="G151" i="15" s="1"/>
  <c r="E140" i="15"/>
  <c r="G137" i="15"/>
  <c r="F137" i="15"/>
  <c r="G136" i="15"/>
  <c r="F136" i="15"/>
  <c r="G135" i="15"/>
  <c r="F135" i="15"/>
  <c r="G134" i="15"/>
  <c r="F134" i="15"/>
  <c r="H133" i="15"/>
  <c r="H140" i="15" s="1"/>
  <c r="G133" i="15"/>
  <c r="F133" i="15"/>
  <c r="F140" i="15" l="1"/>
  <c r="G140" i="15"/>
  <c r="E132" i="15"/>
  <c r="G131" i="15"/>
  <c r="F131" i="15"/>
  <c r="G130" i="15"/>
  <c r="F130" i="15"/>
  <c r="H129" i="15"/>
  <c r="G129" i="15"/>
  <c r="F129" i="15"/>
  <c r="H128" i="15"/>
  <c r="G128" i="15"/>
  <c r="F128" i="15"/>
  <c r="H125" i="15"/>
  <c r="G125" i="15"/>
  <c r="F125" i="15"/>
  <c r="G124" i="15"/>
  <c r="F124" i="15"/>
  <c r="G122" i="15"/>
  <c r="F122" i="15"/>
  <c r="H121" i="15"/>
  <c r="G121" i="15"/>
  <c r="H120" i="15"/>
  <c r="G120" i="15"/>
  <c r="F120" i="15"/>
  <c r="H119" i="15"/>
  <c r="G119" i="15"/>
  <c r="F119" i="15"/>
  <c r="H118" i="15"/>
  <c r="G118" i="15"/>
  <c r="F118" i="15"/>
  <c r="G132" i="15" l="1"/>
  <c r="F132" i="15"/>
  <c r="H132" i="15"/>
  <c r="E117" i="15"/>
  <c r="H112" i="15"/>
  <c r="H113" i="15"/>
  <c r="H114" i="15"/>
  <c r="H115" i="15"/>
  <c r="H116" i="15"/>
  <c r="G112" i="15"/>
  <c r="G113" i="15"/>
  <c r="G114" i="15"/>
  <c r="G115" i="15"/>
  <c r="G116" i="15"/>
  <c r="F112" i="15"/>
  <c r="F113" i="15"/>
  <c r="F114" i="15"/>
  <c r="F115" i="15"/>
  <c r="F116" i="15"/>
  <c r="H111" i="15"/>
  <c r="G111" i="15"/>
  <c r="F111" i="15"/>
  <c r="H110" i="15"/>
  <c r="G110" i="15"/>
  <c r="F110" i="15"/>
  <c r="F117" i="15" l="1"/>
  <c r="H117" i="15"/>
  <c r="G117" i="15"/>
  <c r="E109" i="15"/>
  <c r="H108" i="15"/>
  <c r="H109" i="15" s="1"/>
  <c r="G108" i="15"/>
  <c r="F108" i="15"/>
  <c r="G107" i="15"/>
  <c r="F107" i="15"/>
  <c r="G106" i="15"/>
  <c r="G109" i="15" s="1"/>
  <c r="F106" i="15"/>
  <c r="F109" i="15" s="1"/>
  <c r="E105" i="15" l="1"/>
  <c r="H104" i="15"/>
  <c r="G104" i="15"/>
  <c r="F104" i="15"/>
  <c r="H103" i="15"/>
  <c r="G103" i="15"/>
  <c r="F103" i="15"/>
  <c r="G102" i="15"/>
  <c r="F102" i="15"/>
  <c r="G101" i="15"/>
  <c r="F101" i="15"/>
  <c r="G100" i="15"/>
  <c r="F100" i="15"/>
  <c r="G99" i="15"/>
  <c r="F99" i="15"/>
  <c r="G98" i="15"/>
  <c r="F98" i="15"/>
  <c r="H97" i="15"/>
  <c r="G97" i="15"/>
  <c r="F97" i="15"/>
  <c r="H96" i="15"/>
  <c r="G96" i="15"/>
  <c r="F96" i="15"/>
  <c r="H95" i="15"/>
  <c r="G95" i="15"/>
  <c r="F95" i="15"/>
  <c r="G94" i="15"/>
  <c r="F94" i="15"/>
  <c r="H78" i="15"/>
  <c r="H79" i="15"/>
  <c r="H80" i="15"/>
  <c r="H81" i="15"/>
  <c r="H82" i="15"/>
  <c r="G78" i="15"/>
  <c r="G79" i="15"/>
  <c r="G80" i="15"/>
  <c r="G81" i="15"/>
  <c r="G82" i="15"/>
  <c r="F78" i="15"/>
  <c r="F79" i="15"/>
  <c r="F80" i="15"/>
  <c r="F81" i="15"/>
  <c r="F82" i="15"/>
  <c r="H77" i="15"/>
  <c r="G77" i="15"/>
  <c r="F77" i="15"/>
  <c r="H91" i="15"/>
  <c r="G91" i="15"/>
  <c r="F91" i="15"/>
  <c r="G90" i="15"/>
  <c r="F90" i="15"/>
  <c r="G89" i="15"/>
  <c r="F89" i="15"/>
  <c r="F88" i="15"/>
  <c r="G87" i="15"/>
  <c r="F87" i="15"/>
  <c r="G86" i="15"/>
  <c r="F86" i="15"/>
  <c r="H85" i="15"/>
  <c r="G85" i="15"/>
  <c r="F85" i="15"/>
  <c r="G83" i="15"/>
  <c r="F83" i="15"/>
  <c r="E76" i="15"/>
  <c r="G76" i="15" s="1"/>
  <c r="E75" i="15"/>
  <c r="F75" i="15" s="1"/>
  <c r="G74" i="15"/>
  <c r="F74" i="15"/>
  <c r="H73" i="15"/>
  <c r="G73" i="15"/>
  <c r="F73" i="15"/>
  <c r="F76" i="15" l="1"/>
  <c r="F105" i="15"/>
  <c r="H105" i="15"/>
  <c r="G105" i="15"/>
  <c r="F93" i="15"/>
  <c r="G75" i="15"/>
  <c r="G93" i="15" s="1"/>
  <c r="H93" i="15"/>
  <c r="E93" i="15"/>
  <c r="E72" i="15"/>
  <c r="H68" i="15"/>
  <c r="G68" i="15"/>
  <c r="F68" i="15"/>
  <c r="G67" i="15"/>
  <c r="F67" i="15"/>
  <c r="G66" i="15"/>
  <c r="F66" i="15"/>
  <c r="G65" i="15"/>
  <c r="F65" i="15"/>
  <c r="H64" i="15"/>
  <c r="G64" i="15"/>
  <c r="F64" i="15"/>
  <c r="H63" i="15"/>
  <c r="G63" i="15"/>
  <c r="F63" i="15"/>
  <c r="F72" i="15" l="1"/>
  <c r="H72" i="15"/>
  <c r="G72" i="15"/>
  <c r="E62" i="15"/>
  <c r="G59" i="15"/>
  <c r="F59" i="15"/>
  <c r="G58" i="15"/>
  <c r="F58" i="15"/>
  <c r="F57" i="15"/>
  <c r="G57" i="15"/>
  <c r="G56" i="15"/>
  <c r="F56" i="15"/>
  <c r="G55" i="15"/>
  <c r="F55" i="15"/>
  <c r="G54" i="15"/>
  <c r="F54" i="15"/>
  <c r="H53" i="15"/>
  <c r="H62" i="15" s="1"/>
  <c r="G53" i="15"/>
  <c r="F53" i="15"/>
  <c r="F62" i="15" l="1"/>
  <c r="G62" i="15"/>
  <c r="E52" i="15"/>
  <c r="H51" i="15"/>
  <c r="G51" i="15"/>
  <c r="F51" i="15"/>
  <c r="H48" i="15"/>
  <c r="G48" i="15"/>
  <c r="F48" i="15"/>
  <c r="F47" i="15"/>
  <c r="H46" i="15"/>
  <c r="G46" i="15"/>
  <c r="F46" i="15"/>
  <c r="H45" i="15"/>
  <c r="G45" i="15"/>
  <c r="F45" i="15"/>
  <c r="H44" i="15"/>
  <c r="G44" i="15"/>
  <c r="F44" i="15"/>
  <c r="G42" i="15"/>
  <c r="F42" i="15"/>
  <c r="H41" i="15"/>
  <c r="G41" i="15"/>
  <c r="F41" i="15"/>
  <c r="H40" i="15"/>
  <c r="G40" i="15"/>
  <c r="F40" i="15"/>
  <c r="H39" i="15"/>
  <c r="G39" i="15"/>
  <c r="F39" i="15"/>
  <c r="F52" i="15" l="1"/>
  <c r="H52" i="15"/>
  <c r="G52" i="15"/>
  <c r="E38" i="15"/>
  <c r="F37" i="15"/>
  <c r="G35" i="15"/>
  <c r="F35" i="15"/>
  <c r="H33" i="15"/>
  <c r="G33" i="15"/>
  <c r="F33" i="15"/>
  <c r="G31" i="15"/>
  <c r="F31" i="15"/>
  <c r="G30" i="15"/>
  <c r="F30" i="15"/>
  <c r="G29" i="15"/>
  <c r="F29" i="15"/>
  <c r="H28" i="15"/>
  <c r="G28" i="15"/>
  <c r="F28" i="15"/>
  <c r="F38" i="15" l="1"/>
  <c r="H38" i="15"/>
  <c r="G38" i="15"/>
  <c r="E27" i="15"/>
  <c r="H26" i="15"/>
  <c r="G26" i="15"/>
  <c r="F26" i="15"/>
  <c r="H25" i="15"/>
  <c r="G25" i="15"/>
  <c r="F25" i="15"/>
  <c r="G23" i="15"/>
  <c r="F23" i="15"/>
  <c r="H22" i="15"/>
  <c r="G22" i="15"/>
  <c r="F22" i="15"/>
  <c r="F27" i="15" l="1"/>
  <c r="H27" i="15"/>
  <c r="G27" i="15"/>
  <c r="H21" i="15"/>
  <c r="E21" i="15"/>
  <c r="G17" i="15"/>
  <c r="F17" i="15"/>
  <c r="G16" i="15"/>
  <c r="G21" i="15" s="1"/>
  <c r="F16" i="15"/>
  <c r="F21" i="15" s="1"/>
  <c r="E15" i="15" l="1"/>
  <c r="H13" i="15"/>
  <c r="H14" i="15"/>
  <c r="G13" i="15"/>
  <c r="G14" i="15"/>
  <c r="F13" i="15"/>
  <c r="F14" i="15"/>
  <c r="H12" i="15"/>
  <c r="G12" i="15"/>
  <c r="F12" i="15"/>
  <c r="H11" i="15"/>
  <c r="G11" i="15"/>
  <c r="F11" i="15"/>
  <c r="H10" i="15"/>
  <c r="F10" i="15"/>
  <c r="G10" i="15"/>
  <c r="H9" i="15"/>
  <c r="G9" i="15"/>
  <c r="F9" i="15"/>
  <c r="H8" i="15"/>
  <c r="G8" i="15"/>
  <c r="F8" i="15"/>
  <c r="H6" i="15"/>
  <c r="G6" i="15"/>
  <c r="F6" i="15"/>
  <c r="H7" i="15"/>
  <c r="G7" i="15"/>
  <c r="F7" i="15"/>
  <c r="H5" i="15"/>
  <c r="G5" i="15"/>
  <c r="F5" i="15"/>
  <c r="H3" i="15"/>
  <c r="G3" i="15"/>
  <c r="F3" i="15"/>
  <c r="H2" i="15"/>
  <c r="G2" i="15"/>
  <c r="F2" i="15"/>
  <c r="E327" i="14"/>
  <c r="H326" i="14"/>
  <c r="G326" i="14"/>
  <c r="F326" i="14"/>
  <c r="H324" i="14"/>
  <c r="G324" i="14"/>
  <c r="F324" i="14"/>
  <c r="H323" i="14"/>
  <c r="G323" i="14"/>
  <c r="F323" i="14"/>
  <c r="G322" i="14"/>
  <c r="F322" i="14"/>
  <c r="H319" i="14"/>
  <c r="G319" i="14"/>
  <c r="F319" i="14"/>
  <c r="H320" i="14"/>
  <c r="G320" i="14"/>
  <c r="F320" i="14"/>
  <c r="E318" i="14"/>
  <c r="H315" i="14"/>
  <c r="H318" i="14" s="1"/>
  <c r="G315" i="14"/>
  <c r="G318" i="14" s="1"/>
  <c r="F315" i="14"/>
  <c r="F318" i="14" s="1"/>
  <c r="H314" i="14"/>
  <c r="E314" i="14"/>
  <c r="G311" i="14"/>
  <c r="G314" i="14" s="1"/>
  <c r="F311" i="14"/>
  <c r="F314" i="14" s="1"/>
  <c r="E310" i="14"/>
  <c r="H309" i="14"/>
  <c r="G309" i="14"/>
  <c r="F309" i="14"/>
  <c r="G308" i="14"/>
  <c r="F308" i="14"/>
  <c r="H307" i="14"/>
  <c r="G307" i="14"/>
  <c r="F307" i="14"/>
  <c r="G304" i="14"/>
  <c r="G310" i="14" s="1"/>
  <c r="F304" i="14"/>
  <c r="E303" i="14"/>
  <c r="H302" i="14"/>
  <c r="H303" i="14" s="1"/>
  <c r="G302" i="14"/>
  <c r="F302" i="14"/>
  <c r="G301" i="14"/>
  <c r="G303" i="14" s="1"/>
  <c r="F301" i="14"/>
  <c r="F303" i="14" s="1"/>
  <c r="F310" i="14" l="1"/>
  <c r="H310" i="14"/>
  <c r="F327" i="14"/>
  <c r="H327" i="14"/>
  <c r="G327" i="14"/>
  <c r="G15" i="15"/>
  <c r="H15" i="15"/>
  <c r="F15" i="15"/>
  <c r="E300" i="14" l="1"/>
  <c r="H299" i="14"/>
  <c r="H300" i="14" s="1"/>
  <c r="G299" i="14"/>
  <c r="F299" i="14"/>
  <c r="G297" i="14"/>
  <c r="F297" i="14"/>
  <c r="G296" i="14"/>
  <c r="G300" i="14" s="1"/>
  <c r="F296" i="14"/>
  <c r="F300" i="14" s="1"/>
  <c r="H294" i="14" l="1"/>
  <c r="G294" i="14"/>
  <c r="F294" i="14"/>
  <c r="E295" i="14"/>
  <c r="H293" i="14"/>
  <c r="G293" i="14"/>
  <c r="F293" i="14"/>
  <c r="H292" i="14"/>
  <c r="G292" i="14"/>
  <c r="F292" i="14"/>
  <c r="G291" i="14"/>
  <c r="F291" i="14"/>
  <c r="H290" i="14"/>
  <c r="G290" i="14"/>
  <c r="F290" i="14"/>
  <c r="H289" i="14"/>
  <c r="G289" i="14"/>
  <c r="F289" i="14"/>
  <c r="H288" i="14"/>
  <c r="G288" i="14"/>
  <c r="F288" i="14"/>
  <c r="G287" i="14"/>
  <c r="F287" i="14"/>
  <c r="E286" i="14"/>
  <c r="G285" i="14"/>
  <c r="F285" i="14"/>
  <c r="H284" i="14"/>
  <c r="G284" i="14"/>
  <c r="F284" i="14"/>
  <c r="H283" i="14"/>
  <c r="G283" i="14"/>
  <c r="F283" i="14"/>
  <c r="H280" i="14"/>
  <c r="G280" i="14"/>
  <c r="F280" i="14"/>
  <c r="H282" i="14"/>
  <c r="G282" i="14"/>
  <c r="H281" i="14"/>
  <c r="G281" i="14"/>
  <c r="F282" i="14"/>
  <c r="F281" i="14"/>
  <c r="G279" i="14"/>
  <c r="F279" i="14"/>
  <c r="G278" i="14"/>
  <c r="G286" i="14" s="1"/>
  <c r="F278" i="14"/>
  <c r="F295" i="14" l="1"/>
  <c r="F286" i="14"/>
  <c r="H286" i="14"/>
  <c r="H295" i="14"/>
  <c r="G295" i="14"/>
  <c r="H276" i="14"/>
  <c r="G276" i="14"/>
  <c r="F276" i="14"/>
  <c r="G272" i="14"/>
  <c r="F272" i="14"/>
  <c r="H272" i="14"/>
  <c r="H271" i="14"/>
  <c r="F271" i="14"/>
  <c r="G271" i="14"/>
  <c r="H265" i="14"/>
  <c r="H266" i="14"/>
  <c r="H267" i="14"/>
  <c r="H268" i="14"/>
  <c r="H269" i="14"/>
  <c r="H270" i="14"/>
  <c r="G265" i="14"/>
  <c r="G266" i="14"/>
  <c r="G267" i="14"/>
  <c r="G268" i="14"/>
  <c r="G269" i="14"/>
  <c r="G270" i="14"/>
  <c r="F265" i="14"/>
  <c r="F266" i="14"/>
  <c r="F267" i="14"/>
  <c r="F268" i="14"/>
  <c r="F269" i="14"/>
  <c r="F270" i="14"/>
  <c r="H264" i="14"/>
  <c r="G264" i="14"/>
  <c r="F264" i="14"/>
  <c r="E263" i="14"/>
  <c r="E277" i="14" l="1"/>
  <c r="F263" i="14"/>
  <c r="F277" i="14" s="1"/>
  <c r="H263" i="14"/>
  <c r="H277" i="14" s="1"/>
  <c r="G263" i="14"/>
  <c r="G277" i="14" s="1"/>
  <c r="H261" i="14"/>
  <c r="G261" i="14"/>
  <c r="F261" i="14"/>
  <c r="H260" i="14"/>
  <c r="G260" i="14"/>
  <c r="F260" i="14"/>
  <c r="H259" i="14"/>
  <c r="G259" i="14"/>
  <c r="F259" i="14"/>
  <c r="F258" i="14"/>
  <c r="G258" i="14"/>
  <c r="H258" i="14"/>
  <c r="H254" i="14"/>
  <c r="H255" i="14"/>
  <c r="H256" i="14"/>
  <c r="H257" i="14"/>
  <c r="G254" i="14"/>
  <c r="G255" i="14"/>
  <c r="G256" i="14"/>
  <c r="G257" i="14"/>
  <c r="F254" i="14"/>
  <c r="F255" i="14"/>
  <c r="F256" i="14"/>
  <c r="F257" i="14"/>
  <c r="H253" i="14"/>
  <c r="G253" i="14"/>
  <c r="F253" i="14"/>
  <c r="G252" i="14"/>
  <c r="F252" i="14"/>
  <c r="E251" i="14"/>
  <c r="G251" i="14" l="1"/>
  <c r="F251" i="14"/>
  <c r="F262" i="14" s="1"/>
  <c r="G262" i="14"/>
  <c r="H251" i="14"/>
  <c r="H262" i="14" s="1"/>
  <c r="E262" i="14"/>
  <c r="E250" i="14"/>
  <c r="G249" i="14"/>
  <c r="F249" i="14"/>
  <c r="H248" i="14"/>
  <c r="G248" i="14"/>
  <c r="F248" i="14"/>
  <c r="H247" i="14"/>
  <c r="G247" i="14"/>
  <c r="F247" i="14"/>
  <c r="G246" i="14"/>
  <c r="F246" i="14"/>
  <c r="G245" i="14"/>
  <c r="F245" i="14"/>
  <c r="G244" i="14"/>
  <c r="F244" i="14"/>
  <c r="G243" i="14"/>
  <c r="F243" i="14"/>
  <c r="F242" i="14"/>
  <c r="G242" i="14"/>
  <c r="H241" i="14"/>
  <c r="G241" i="14"/>
  <c r="G250" i="14" s="1"/>
  <c r="F241" i="14"/>
  <c r="F250" i="14" l="1"/>
  <c r="H250" i="14"/>
  <c r="G237" i="14"/>
  <c r="F237" i="14"/>
  <c r="G236" i="14"/>
  <c r="F236" i="14"/>
  <c r="G235" i="14"/>
  <c r="F235" i="14"/>
  <c r="G234" i="14"/>
  <c r="F234" i="14"/>
  <c r="E233" i="14"/>
  <c r="E240" i="14" l="1"/>
  <c r="F233" i="14"/>
  <c r="F240" i="14" s="1"/>
  <c r="H233" i="14"/>
  <c r="H240" i="14" s="1"/>
  <c r="G233" i="14"/>
  <c r="G240" i="14" s="1"/>
  <c r="H216" i="14"/>
  <c r="H217" i="14"/>
  <c r="H218" i="14"/>
  <c r="H219" i="14"/>
  <c r="H220" i="14"/>
  <c r="G216" i="14"/>
  <c r="G217" i="14"/>
  <c r="G218" i="14"/>
  <c r="G219" i="14"/>
  <c r="G220" i="14"/>
  <c r="F216" i="14"/>
  <c r="F217" i="14"/>
  <c r="F218" i="14"/>
  <c r="F219" i="14"/>
  <c r="F220" i="14"/>
  <c r="H215" i="14"/>
  <c r="G215" i="14"/>
  <c r="F215" i="14"/>
  <c r="H231" i="14"/>
  <c r="G231" i="14"/>
  <c r="F231" i="14"/>
  <c r="H230" i="14"/>
  <c r="G230" i="14"/>
  <c r="F230" i="14"/>
  <c r="H229" i="14"/>
  <c r="G229" i="14"/>
  <c r="F229" i="14"/>
  <c r="H228" i="14"/>
  <c r="G228" i="14"/>
  <c r="F228" i="14"/>
  <c r="H226" i="14"/>
  <c r="G226" i="14"/>
  <c r="F226" i="14"/>
  <c r="G222" i="14"/>
  <c r="G221" i="14"/>
  <c r="F222" i="14"/>
  <c r="F221" i="14"/>
  <c r="E214" i="14"/>
  <c r="G213" i="14"/>
  <c r="F213" i="14"/>
  <c r="G212" i="14"/>
  <c r="F212" i="14"/>
  <c r="E232" i="14" l="1"/>
  <c r="F214" i="14"/>
  <c r="F232" i="14"/>
  <c r="H232" i="14"/>
  <c r="G214" i="14"/>
  <c r="G232" i="14" s="1"/>
  <c r="E211" i="14"/>
  <c r="G210" i="14"/>
  <c r="F210" i="14"/>
  <c r="G209" i="14"/>
  <c r="G207" i="14"/>
  <c r="F207" i="14"/>
  <c r="H206" i="14"/>
  <c r="G206" i="14"/>
  <c r="F206" i="14"/>
  <c r="H205" i="14"/>
  <c r="G205" i="14"/>
  <c r="F205" i="14"/>
  <c r="G204" i="14"/>
  <c r="F204" i="14"/>
  <c r="H203" i="14"/>
  <c r="G203" i="14"/>
  <c r="F203" i="14"/>
  <c r="H202" i="14"/>
  <c r="G202" i="14"/>
  <c r="F202" i="14"/>
  <c r="G201" i="14"/>
  <c r="F201" i="14"/>
  <c r="H200" i="14"/>
  <c r="G200" i="14"/>
  <c r="H199" i="14"/>
  <c r="G199" i="14"/>
  <c r="H198" i="14"/>
  <c r="G198" i="14"/>
  <c r="F198" i="14"/>
  <c r="H197" i="14"/>
  <c r="G197" i="14"/>
  <c r="F197" i="14"/>
  <c r="H196" i="14"/>
  <c r="G196" i="14"/>
  <c r="F196" i="14"/>
  <c r="G195" i="14"/>
  <c r="F195" i="14"/>
  <c r="F200" i="14"/>
  <c r="F199" i="14"/>
  <c r="G211" i="14" l="1"/>
  <c r="F211" i="14"/>
  <c r="H211" i="14"/>
  <c r="H192" i="14"/>
  <c r="G192" i="14"/>
  <c r="F192" i="14"/>
  <c r="G191" i="14"/>
  <c r="F191" i="14"/>
  <c r="G190" i="14"/>
  <c r="F190" i="14"/>
  <c r="G189" i="14"/>
  <c r="F189" i="14"/>
  <c r="G188" i="14"/>
  <c r="F188" i="14"/>
  <c r="H185" i="14"/>
  <c r="H186" i="14"/>
  <c r="H187" i="14"/>
  <c r="G185" i="14"/>
  <c r="G186" i="14"/>
  <c r="G187" i="14"/>
  <c r="F185" i="14"/>
  <c r="F186" i="14"/>
  <c r="F187" i="14"/>
  <c r="H184" i="14"/>
  <c r="G184" i="14"/>
  <c r="F184" i="14"/>
  <c r="G183" i="14"/>
  <c r="F183" i="14"/>
  <c r="E182" i="14"/>
  <c r="G182" i="14" s="1"/>
  <c r="G194" i="14" l="1"/>
  <c r="F182" i="14"/>
  <c r="F194" i="14" s="1"/>
  <c r="H182" i="14"/>
  <c r="E194" i="14"/>
  <c r="H194" i="14"/>
  <c r="G180" i="14"/>
  <c r="F180" i="14"/>
  <c r="G179" i="14"/>
  <c r="F179" i="14"/>
  <c r="G178" i="14"/>
  <c r="F178" i="14"/>
  <c r="E177" i="14"/>
  <c r="E181" i="14" s="1"/>
  <c r="F177" i="14" l="1"/>
  <c r="F181" i="14" s="1"/>
  <c r="H177" i="14"/>
  <c r="H181" i="14" s="1"/>
  <c r="G177" i="14"/>
  <c r="G181" i="14" s="1"/>
  <c r="E176" i="14"/>
  <c r="H175" i="14"/>
  <c r="G175" i="14"/>
  <c r="F175" i="14"/>
  <c r="H174" i="14"/>
  <c r="G174" i="14"/>
  <c r="F174" i="14"/>
  <c r="H173" i="14"/>
  <c r="G173" i="14"/>
  <c r="F173" i="14"/>
  <c r="G172" i="14"/>
  <c r="F172" i="14"/>
  <c r="G170" i="14"/>
  <c r="F170" i="14"/>
  <c r="G169" i="14"/>
  <c r="F169" i="14"/>
  <c r="G168" i="14"/>
  <c r="F168" i="14"/>
  <c r="G167" i="14"/>
  <c r="F167" i="14"/>
  <c r="H166" i="14"/>
  <c r="H176" i="14" s="1"/>
  <c r="G166" i="14"/>
  <c r="F166" i="14"/>
  <c r="F176" i="14" s="1"/>
  <c r="G176" i="14" l="1"/>
  <c r="E165" i="14"/>
  <c r="G164" i="14"/>
  <c r="F164" i="14"/>
  <c r="G162" i="14"/>
  <c r="F162" i="14"/>
  <c r="G161" i="14"/>
  <c r="F161" i="14"/>
  <c r="G160" i="14"/>
  <c r="H159" i="14"/>
  <c r="H165" i="14" s="1"/>
  <c r="G159" i="14"/>
  <c r="G165" i="14" s="1"/>
  <c r="F159" i="14"/>
  <c r="F165" i="14" s="1"/>
  <c r="E158" i="14" l="1"/>
  <c r="H155" i="14"/>
  <c r="G155" i="14"/>
  <c r="F155" i="14"/>
  <c r="G154" i="14"/>
  <c r="F154" i="14"/>
  <c r="G153" i="14"/>
  <c r="F153" i="14"/>
  <c r="H152" i="14"/>
  <c r="G152" i="14"/>
  <c r="F152" i="14"/>
  <c r="G151" i="14"/>
  <c r="F151" i="14"/>
  <c r="H150" i="14"/>
  <c r="G150" i="14"/>
  <c r="F150" i="14"/>
  <c r="H149" i="14"/>
  <c r="G149" i="14"/>
  <c r="F149" i="14"/>
  <c r="H148" i="14"/>
  <c r="G148" i="14"/>
  <c r="F148" i="14"/>
  <c r="H147" i="14"/>
  <c r="G147" i="14"/>
  <c r="F147" i="14"/>
  <c r="H146" i="14"/>
  <c r="G146" i="14"/>
  <c r="F146" i="14"/>
  <c r="H145" i="14"/>
  <c r="G145" i="14"/>
  <c r="F145" i="14"/>
  <c r="H144" i="14"/>
  <c r="G144" i="14"/>
  <c r="F144" i="14"/>
  <c r="H143" i="14"/>
  <c r="G143" i="14"/>
  <c r="F143" i="14"/>
  <c r="G142" i="14"/>
  <c r="F142" i="14"/>
  <c r="G141" i="14"/>
  <c r="F141" i="14"/>
  <c r="H140" i="14"/>
  <c r="H158" i="14" s="1"/>
  <c r="G140" i="14"/>
  <c r="F140" i="14"/>
  <c r="F158" i="14" s="1"/>
  <c r="G158" i="14" l="1"/>
  <c r="H138" i="14"/>
  <c r="G138" i="14"/>
  <c r="F138" i="14"/>
  <c r="H137" i="14"/>
  <c r="G137" i="14"/>
  <c r="F137" i="14"/>
  <c r="G136" i="14"/>
  <c r="F136" i="14"/>
  <c r="G135" i="14"/>
  <c r="F135" i="14"/>
  <c r="E134" i="14"/>
  <c r="F134" i="14" s="1"/>
  <c r="E133" i="14"/>
  <c r="E139" i="14" l="1"/>
  <c r="F133" i="14"/>
  <c r="F139" i="14" s="1"/>
  <c r="G134" i="14"/>
  <c r="G133" i="14"/>
  <c r="H133" i="14"/>
  <c r="H139" i="14" s="1"/>
  <c r="E132" i="14"/>
  <c r="H131" i="14"/>
  <c r="H132" i="14" s="1"/>
  <c r="G131" i="14"/>
  <c r="F131" i="14"/>
  <c r="G130" i="14"/>
  <c r="F130" i="14"/>
  <c r="G129" i="14"/>
  <c r="G132" i="14" s="1"/>
  <c r="F129" i="14"/>
  <c r="F132" i="14" s="1"/>
  <c r="G139" i="14" l="1"/>
  <c r="E128" i="14"/>
  <c r="H127" i="14"/>
  <c r="G127" i="14"/>
  <c r="F127" i="14"/>
  <c r="H126" i="14"/>
  <c r="G126" i="14"/>
  <c r="F126" i="14"/>
  <c r="G125" i="14"/>
  <c r="F125" i="14"/>
  <c r="F128" i="14" s="1"/>
  <c r="G128" i="14" l="1"/>
  <c r="H128" i="14"/>
  <c r="E124" i="14"/>
  <c r="G121" i="14"/>
  <c r="F121" i="14"/>
  <c r="H120" i="14"/>
  <c r="G120" i="14"/>
  <c r="F120" i="14"/>
  <c r="H119" i="14"/>
  <c r="G119" i="14"/>
  <c r="F119" i="14"/>
  <c r="F118" i="14"/>
  <c r="G118" i="14"/>
  <c r="H118" i="14"/>
  <c r="H114" i="14"/>
  <c r="H115" i="14"/>
  <c r="H116" i="14"/>
  <c r="H117" i="14"/>
  <c r="F114" i="14"/>
  <c r="F115" i="14"/>
  <c r="F116" i="14"/>
  <c r="F117" i="14"/>
  <c r="G117" i="14"/>
  <c r="G116" i="14"/>
  <c r="G115" i="14"/>
  <c r="G114" i="14"/>
  <c r="F113" i="14"/>
  <c r="G113" i="14"/>
  <c r="H113" i="14"/>
  <c r="H112" i="14"/>
  <c r="F112" i="14"/>
  <c r="G112" i="14"/>
  <c r="H105" i="14"/>
  <c r="H106" i="14"/>
  <c r="H107" i="14"/>
  <c r="H108" i="14"/>
  <c r="H109" i="14"/>
  <c r="H110" i="14"/>
  <c r="H111" i="14"/>
  <c r="G105" i="14"/>
  <c r="G106" i="14"/>
  <c r="G107" i="14"/>
  <c r="G108" i="14"/>
  <c r="G109" i="14"/>
  <c r="G110" i="14"/>
  <c r="G111" i="14"/>
  <c r="F105" i="14"/>
  <c r="F106" i="14"/>
  <c r="F107" i="14"/>
  <c r="F108" i="14"/>
  <c r="F109" i="14"/>
  <c r="F110" i="14"/>
  <c r="F111" i="14"/>
  <c r="H104" i="14"/>
  <c r="G104" i="14"/>
  <c r="F104" i="14"/>
  <c r="G124" i="14" l="1"/>
  <c r="F124" i="14"/>
  <c r="H124" i="14"/>
  <c r="G102" i="14"/>
  <c r="F102" i="14"/>
  <c r="H101" i="14"/>
  <c r="G101" i="14"/>
  <c r="F101" i="14"/>
  <c r="H100" i="14"/>
  <c r="G100" i="14"/>
  <c r="F100" i="14"/>
  <c r="H99" i="14"/>
  <c r="G99" i="14"/>
  <c r="F99" i="14"/>
  <c r="G98" i="14"/>
  <c r="F98" i="14"/>
  <c r="H97" i="14"/>
  <c r="G97" i="14"/>
  <c r="F97" i="14"/>
  <c r="G96" i="14"/>
  <c r="F96" i="14"/>
  <c r="G95" i="14"/>
  <c r="F95" i="14"/>
  <c r="E94" i="14"/>
  <c r="G94" i="14" s="1"/>
  <c r="G93" i="14"/>
  <c r="F93" i="14"/>
  <c r="G92" i="14"/>
  <c r="F92" i="14"/>
  <c r="E91" i="14"/>
  <c r="E103" i="14" l="1"/>
  <c r="G91" i="14"/>
  <c r="G103" i="14" s="1"/>
  <c r="F91" i="14"/>
  <c r="H91" i="14"/>
  <c r="H103" i="14" s="1"/>
  <c r="F94" i="14"/>
  <c r="H89" i="14"/>
  <c r="G89" i="14"/>
  <c r="F89" i="14"/>
  <c r="G87" i="14"/>
  <c r="F87" i="14"/>
  <c r="G86" i="14"/>
  <c r="F86" i="14"/>
  <c r="G85" i="14"/>
  <c r="F85" i="14"/>
  <c r="G84" i="14"/>
  <c r="F84" i="14"/>
  <c r="G83" i="14"/>
  <c r="F83" i="14"/>
  <c r="E82" i="14"/>
  <c r="E90" i="14" s="1"/>
  <c r="G82" i="14" l="1"/>
  <c r="G90" i="14" s="1"/>
  <c r="F82" i="14"/>
  <c r="F90" i="14" s="1"/>
  <c r="H82" i="14"/>
  <c r="H90" i="14" s="1"/>
  <c r="F103" i="14"/>
  <c r="H80" i="14"/>
  <c r="G80" i="14"/>
  <c r="F80" i="14"/>
  <c r="G79" i="14"/>
  <c r="F79" i="14"/>
  <c r="H78" i="14"/>
  <c r="G78" i="14"/>
  <c r="F78" i="14"/>
  <c r="G77" i="14"/>
  <c r="F77" i="14"/>
  <c r="G76" i="14"/>
  <c r="F76" i="14"/>
  <c r="E75" i="14"/>
  <c r="G75" i="14" s="1"/>
  <c r="E74" i="14"/>
  <c r="H73" i="14"/>
  <c r="G73" i="14"/>
  <c r="F73" i="14"/>
  <c r="G72" i="14"/>
  <c r="F72" i="14"/>
  <c r="H71" i="14"/>
  <c r="G71" i="14"/>
  <c r="F71" i="14"/>
  <c r="H81" i="14" l="1"/>
  <c r="E81" i="14"/>
  <c r="F74" i="14"/>
  <c r="G74" i="14"/>
  <c r="G81" i="14" s="1"/>
  <c r="F75" i="14"/>
  <c r="F81" i="14" s="1"/>
  <c r="E70" i="14"/>
  <c r="G68" i="14"/>
  <c r="F68" i="14"/>
  <c r="H67" i="14"/>
  <c r="G67" i="14"/>
  <c r="F67" i="14"/>
  <c r="H66" i="14"/>
  <c r="G66" i="14"/>
  <c r="F66" i="14"/>
  <c r="G65" i="14"/>
  <c r="F65" i="14"/>
  <c r="H63" i="14"/>
  <c r="G63" i="14"/>
  <c r="F63" i="14"/>
  <c r="G62" i="14"/>
  <c r="F62" i="14"/>
  <c r="H61" i="14"/>
  <c r="G61" i="14"/>
  <c r="F61" i="14"/>
  <c r="F70" i="14" s="1"/>
  <c r="G70" i="14" l="1"/>
  <c r="H70" i="14"/>
  <c r="H59" i="14"/>
  <c r="G59" i="14"/>
  <c r="F59" i="14"/>
  <c r="G58" i="14"/>
  <c r="F58" i="14"/>
  <c r="G57" i="14"/>
  <c r="F57" i="14"/>
  <c r="E56" i="14"/>
  <c r="G56" i="14" s="1"/>
  <c r="G55" i="14"/>
  <c r="F55" i="14"/>
  <c r="G54" i="14"/>
  <c r="F54" i="14"/>
  <c r="E53" i="14"/>
  <c r="G53" i="14" s="1"/>
  <c r="F53" i="14" l="1"/>
  <c r="G60" i="14"/>
  <c r="H53" i="14"/>
  <c r="F56" i="14"/>
  <c r="F60" i="14" s="1"/>
  <c r="H56" i="14"/>
  <c r="E60" i="14"/>
  <c r="E52" i="14"/>
  <c r="H50" i="14"/>
  <c r="H52" i="14" s="1"/>
  <c r="G50" i="14"/>
  <c r="F50" i="14"/>
  <c r="G48" i="14"/>
  <c r="F48" i="14"/>
  <c r="G47" i="14"/>
  <c r="G52" i="14" s="1"/>
  <c r="F47" i="14"/>
  <c r="F52" i="14" s="1"/>
  <c r="H60" i="14" l="1"/>
  <c r="E46" i="14"/>
  <c r="H45" i="14"/>
  <c r="G45" i="14"/>
  <c r="F45" i="14"/>
  <c r="H44" i="14"/>
  <c r="G44" i="14"/>
  <c r="F44" i="14"/>
  <c r="H43" i="14"/>
  <c r="G43" i="14"/>
  <c r="F43" i="14"/>
  <c r="G42" i="14"/>
  <c r="F42" i="14"/>
  <c r="H41" i="14"/>
  <c r="G41" i="14"/>
  <c r="F41" i="14"/>
  <c r="H40" i="14"/>
  <c r="G40" i="14"/>
  <c r="F40" i="14"/>
  <c r="G39" i="14"/>
  <c r="F39" i="14"/>
  <c r="F46" i="14" l="1"/>
  <c r="H46" i="14"/>
  <c r="G46" i="14"/>
  <c r="E38" i="14"/>
  <c r="H37" i="14"/>
  <c r="G37" i="14"/>
  <c r="F37" i="14"/>
  <c r="H36" i="14"/>
  <c r="G36" i="14"/>
  <c r="F36" i="14"/>
  <c r="F35" i="14"/>
  <c r="G35" i="14"/>
  <c r="H35" i="14"/>
  <c r="H31" i="14"/>
  <c r="H32" i="14"/>
  <c r="H33" i="14"/>
  <c r="H34" i="14"/>
  <c r="F31" i="14"/>
  <c r="F32" i="14"/>
  <c r="F33" i="14"/>
  <c r="F34" i="14"/>
  <c r="G34" i="14"/>
  <c r="G33" i="14"/>
  <c r="G32" i="14"/>
  <c r="G31" i="14"/>
  <c r="F30" i="14"/>
  <c r="G30" i="14"/>
  <c r="H30" i="14"/>
  <c r="H29" i="14"/>
  <c r="F29" i="14"/>
  <c r="G29" i="14"/>
  <c r="H26" i="14"/>
  <c r="H27" i="14"/>
  <c r="H28" i="14"/>
  <c r="G26" i="14"/>
  <c r="G27" i="14"/>
  <c r="G28" i="14"/>
  <c r="F26" i="14"/>
  <c r="F27" i="14"/>
  <c r="F28" i="14"/>
  <c r="H25" i="14"/>
  <c r="F25" i="14"/>
  <c r="G25" i="14"/>
  <c r="G24" i="14"/>
  <c r="F24" i="14"/>
  <c r="G23" i="14"/>
  <c r="F23" i="14"/>
  <c r="F38" i="14" l="1"/>
  <c r="H38" i="14"/>
  <c r="G38" i="14"/>
  <c r="H21" i="14"/>
  <c r="G21" i="14"/>
  <c r="F21" i="14"/>
  <c r="H19" i="14"/>
  <c r="G19" i="14"/>
  <c r="F19" i="14"/>
  <c r="H18" i="14"/>
  <c r="G18" i="14"/>
  <c r="F18" i="14"/>
  <c r="G17" i="14"/>
  <c r="F17" i="14"/>
  <c r="H16" i="14"/>
  <c r="G16" i="14"/>
  <c r="F16" i="14"/>
  <c r="H15" i="14"/>
  <c r="G15" i="14"/>
  <c r="F15" i="14"/>
  <c r="H14" i="14"/>
  <c r="G14" i="14"/>
  <c r="F14" i="14"/>
  <c r="G13" i="14"/>
  <c r="F13" i="14"/>
  <c r="G12" i="14"/>
  <c r="F12" i="14"/>
  <c r="E11" i="14"/>
  <c r="H11" i="14" s="1"/>
  <c r="H22" i="14" l="1"/>
  <c r="G11" i="14"/>
  <c r="G22" i="14" s="1"/>
  <c r="E22" i="14"/>
  <c r="F11" i="14"/>
  <c r="F22" i="14" s="1"/>
  <c r="H9" i="14"/>
  <c r="G9" i="14"/>
  <c r="F9" i="14"/>
  <c r="H8" i="14"/>
  <c r="G8" i="14"/>
  <c r="F8" i="14"/>
  <c r="G7" i="14"/>
  <c r="F7" i="14"/>
  <c r="F5" i="14"/>
  <c r="E2" i="14"/>
  <c r="H2" i="14" s="1"/>
  <c r="E10" i="14" l="1"/>
  <c r="F2" i="14"/>
  <c r="H338" i="13"/>
  <c r="G338" i="13"/>
  <c r="F338" i="13"/>
  <c r="G340" i="13"/>
  <c r="F340" i="13"/>
  <c r="G339" i="13"/>
  <c r="F339" i="13"/>
  <c r="H337" i="13"/>
  <c r="G337" i="13"/>
  <c r="F337" i="13"/>
  <c r="H336" i="13"/>
  <c r="G336" i="13"/>
  <c r="F336" i="13"/>
  <c r="E335" i="13"/>
  <c r="H335" i="13" s="1"/>
  <c r="H341" i="13" l="1"/>
  <c r="E341" i="13"/>
  <c r="G335" i="13"/>
  <c r="G341" i="13" s="1"/>
  <c r="F335" i="13"/>
  <c r="F341" i="13" s="1"/>
  <c r="G5" i="14" l="1"/>
  <c r="H4" i="14"/>
  <c r="G4" i="14"/>
  <c r="F4" i="14"/>
  <c r="H3" i="14"/>
  <c r="G3" i="14"/>
  <c r="F3" i="14"/>
  <c r="G2" i="14"/>
  <c r="G10" i="14" l="1"/>
  <c r="F10" i="14"/>
  <c r="H10" i="14"/>
  <c r="H332" i="13"/>
  <c r="G332" i="13"/>
  <c r="F332" i="13"/>
  <c r="H331" i="13"/>
  <c r="G331" i="13"/>
  <c r="G330" i="13"/>
  <c r="F331" i="13"/>
  <c r="H330" i="13"/>
  <c r="F330" i="13"/>
  <c r="H333" i="13" l="1"/>
  <c r="G333" i="13"/>
  <c r="F333" i="13"/>
  <c r="G329" i="13"/>
  <c r="F329" i="13"/>
  <c r="G328" i="13"/>
  <c r="F328" i="13"/>
  <c r="H327" i="13"/>
  <c r="G327" i="13"/>
  <c r="F327" i="13"/>
  <c r="H326" i="13"/>
  <c r="G326" i="13"/>
  <c r="F326" i="13"/>
  <c r="E325" i="13"/>
  <c r="E334" i="13" s="1"/>
  <c r="G324" i="13"/>
  <c r="H323" i="13"/>
  <c r="G323" i="13"/>
  <c r="F323" i="13"/>
  <c r="G325" i="13" l="1"/>
  <c r="G334" i="13" s="1"/>
  <c r="F325" i="13"/>
  <c r="F334" i="13" s="1"/>
  <c r="H325" i="13"/>
  <c r="H334" i="13" s="1"/>
  <c r="E322" i="13"/>
  <c r="H321" i="13"/>
  <c r="G321" i="13"/>
  <c r="F321" i="13"/>
  <c r="G320" i="13"/>
  <c r="F320" i="13"/>
  <c r="G319" i="13"/>
  <c r="F319" i="13"/>
  <c r="H318" i="13"/>
  <c r="G318" i="13"/>
  <c r="G322" i="13" s="1"/>
  <c r="F318" i="13"/>
  <c r="F322" i="13" l="1"/>
  <c r="H322" i="13"/>
  <c r="H316" i="13"/>
  <c r="G316" i="13"/>
  <c r="E317" i="13"/>
  <c r="F316" i="13"/>
  <c r="F315" i="13"/>
  <c r="H314" i="13"/>
  <c r="G314" i="13"/>
  <c r="H313" i="13"/>
  <c r="H317" i="13" s="1"/>
  <c r="G313" i="13"/>
  <c r="F313" i="13"/>
  <c r="G312" i="13"/>
  <c r="F312" i="13"/>
  <c r="G311" i="13"/>
  <c r="F311" i="13"/>
  <c r="F317" i="13" s="1"/>
  <c r="G317" i="13" l="1"/>
  <c r="E310" i="13"/>
  <c r="H309" i="13"/>
  <c r="G309" i="13"/>
  <c r="F309" i="13"/>
  <c r="H308" i="13"/>
  <c r="G308" i="13"/>
  <c r="F308" i="13"/>
  <c r="H307" i="13"/>
  <c r="G307" i="13"/>
  <c r="F307" i="13"/>
  <c r="H306" i="13"/>
  <c r="G306" i="13"/>
  <c r="F306" i="13"/>
  <c r="H305" i="13"/>
  <c r="G305" i="13"/>
  <c r="F305" i="13"/>
  <c r="G304" i="13"/>
  <c r="F304" i="13"/>
  <c r="G303" i="13"/>
  <c r="F303" i="13"/>
  <c r="H302" i="13"/>
  <c r="G302" i="13"/>
  <c r="F302" i="13"/>
  <c r="H301" i="13"/>
  <c r="G301" i="13"/>
  <c r="F301" i="13"/>
  <c r="G300" i="13"/>
  <c r="F300" i="13"/>
  <c r="H299" i="13"/>
  <c r="G299" i="13"/>
  <c r="H298" i="13"/>
  <c r="G298" i="13"/>
  <c r="F298" i="13"/>
  <c r="G297" i="13"/>
  <c r="F297" i="13"/>
  <c r="H296" i="13"/>
  <c r="G296" i="13"/>
  <c r="H295" i="13"/>
  <c r="G295" i="13"/>
  <c r="F295" i="13"/>
  <c r="G294" i="13"/>
  <c r="H293" i="13"/>
  <c r="G293" i="13"/>
  <c r="F293" i="13"/>
  <c r="G292" i="13"/>
  <c r="F292" i="13"/>
  <c r="G291" i="13"/>
  <c r="G310" i="13" s="1"/>
  <c r="F291" i="13"/>
  <c r="F310" i="13" l="1"/>
  <c r="H310" i="13"/>
  <c r="E290" i="13"/>
  <c r="H289" i="13"/>
  <c r="G289" i="13"/>
  <c r="F289" i="13"/>
  <c r="H285" i="13"/>
  <c r="H286" i="13"/>
  <c r="H287" i="13"/>
  <c r="H288" i="13"/>
  <c r="F285" i="13"/>
  <c r="F286" i="13"/>
  <c r="F287" i="13"/>
  <c r="F288" i="13"/>
  <c r="G288" i="13"/>
  <c r="G287" i="13"/>
  <c r="G286" i="13"/>
  <c r="G285" i="13"/>
  <c r="F284" i="13"/>
  <c r="G284" i="13"/>
  <c r="H284" i="13"/>
  <c r="H283" i="13"/>
  <c r="F283" i="13"/>
  <c r="G283" i="13"/>
  <c r="H278" i="13"/>
  <c r="H279" i="13"/>
  <c r="H280" i="13"/>
  <c r="H281" i="13"/>
  <c r="H282" i="13"/>
  <c r="G278" i="13"/>
  <c r="G279" i="13"/>
  <c r="G280" i="13"/>
  <c r="G281" i="13"/>
  <c r="G282" i="13"/>
  <c r="F278" i="13"/>
  <c r="F279" i="13"/>
  <c r="F280" i="13"/>
  <c r="F281" i="13"/>
  <c r="F282" i="13"/>
  <c r="H277" i="13"/>
  <c r="G277" i="13"/>
  <c r="F277" i="13"/>
  <c r="G276" i="13"/>
  <c r="F276" i="13"/>
  <c r="H275" i="13"/>
  <c r="G275" i="13"/>
  <c r="F275" i="13"/>
  <c r="G290" i="13" l="1"/>
  <c r="F290" i="13"/>
  <c r="H290" i="13"/>
  <c r="H273" i="13"/>
  <c r="G273" i="13"/>
  <c r="F273" i="13"/>
  <c r="H272" i="13"/>
  <c r="G272" i="13"/>
  <c r="F272" i="13"/>
  <c r="G271" i="13"/>
  <c r="F271" i="13"/>
  <c r="G268" i="13"/>
  <c r="F268" i="13"/>
  <c r="G267" i="13"/>
  <c r="F267" i="13"/>
  <c r="G266" i="13"/>
  <c r="F266" i="13"/>
  <c r="G265" i="13"/>
  <c r="F265" i="13"/>
  <c r="E264" i="13"/>
  <c r="E274" i="13" s="1"/>
  <c r="H264" i="13" l="1"/>
  <c r="H274" i="13" s="1"/>
  <c r="F264" i="13"/>
  <c r="F274" i="13" s="1"/>
  <c r="G264" i="13"/>
  <c r="G274" i="13" s="1"/>
  <c r="H260" i="13"/>
  <c r="G260" i="13"/>
  <c r="F260" i="13"/>
  <c r="G258" i="13"/>
  <c r="F258" i="13"/>
  <c r="G257" i="13"/>
  <c r="F257" i="13"/>
  <c r="E256" i="13"/>
  <c r="E263" i="13" s="1"/>
  <c r="G256" i="13" l="1"/>
  <c r="G263" i="13" s="1"/>
  <c r="F256" i="13"/>
  <c r="F263" i="13" s="1"/>
  <c r="H256" i="13"/>
  <c r="H263" i="13" s="1"/>
  <c r="E255" i="13"/>
  <c r="G252" i="13"/>
  <c r="F252" i="13"/>
  <c r="H253" i="13"/>
  <c r="G253" i="13"/>
  <c r="G249" i="13"/>
  <c r="F249" i="13"/>
  <c r="G248" i="13"/>
  <c r="G247" i="13"/>
  <c r="G246" i="13"/>
  <c r="F246" i="13"/>
  <c r="G245" i="13"/>
  <c r="F245" i="13"/>
  <c r="H244" i="13"/>
  <c r="H255" i="13" s="1"/>
  <c r="G244" i="13"/>
  <c r="G255" i="13" s="1"/>
  <c r="F244" i="13"/>
  <c r="F255" i="13" l="1"/>
  <c r="E243" i="13"/>
  <c r="H242" i="13"/>
  <c r="G242" i="13"/>
  <c r="F242" i="13"/>
  <c r="G240" i="13"/>
  <c r="F240" i="13"/>
  <c r="G238" i="13"/>
  <c r="F238" i="13"/>
  <c r="G237" i="13"/>
  <c r="F237" i="13"/>
  <c r="G236" i="13"/>
  <c r="H235" i="13"/>
  <c r="H243" i="13" s="1"/>
  <c r="G235" i="13"/>
  <c r="G243" i="13" s="1"/>
  <c r="F235" i="13"/>
  <c r="F243" i="13" s="1"/>
  <c r="H234" i="13" l="1"/>
  <c r="E234" i="13"/>
  <c r="G232" i="13"/>
  <c r="F232" i="13"/>
  <c r="F234" i="13" s="1"/>
  <c r="G231" i="13"/>
  <c r="G234" i="13" s="1"/>
  <c r="E230" i="13" l="1"/>
  <c r="F229" i="13"/>
  <c r="G229" i="13"/>
  <c r="H229" i="13"/>
  <c r="F228" i="13"/>
  <c r="G228" i="13"/>
  <c r="H228" i="13"/>
  <c r="H223" i="13"/>
  <c r="H224" i="13"/>
  <c r="H225" i="13"/>
  <c r="H226" i="13"/>
  <c r="H227" i="13"/>
  <c r="G223" i="13"/>
  <c r="G224" i="13"/>
  <c r="G225" i="13"/>
  <c r="G226" i="13"/>
  <c r="G227" i="13"/>
  <c r="F223" i="13"/>
  <c r="F224" i="13"/>
  <c r="F225" i="13"/>
  <c r="F226" i="13"/>
  <c r="F227" i="13"/>
  <c r="H222" i="13"/>
  <c r="G222" i="13"/>
  <c r="F222" i="13"/>
  <c r="F230" i="13" l="1"/>
  <c r="H230" i="13"/>
  <c r="G230" i="13"/>
  <c r="E221" i="13"/>
  <c r="H220" i="13"/>
  <c r="G220" i="13"/>
  <c r="F220" i="13"/>
  <c r="H218" i="13"/>
  <c r="G218" i="13"/>
  <c r="F218" i="13"/>
  <c r="H217" i="13"/>
  <c r="G217" i="13"/>
  <c r="F217" i="13"/>
  <c r="H216" i="13"/>
  <c r="G216" i="13"/>
  <c r="F216" i="13"/>
  <c r="G215" i="13"/>
  <c r="F215" i="13"/>
  <c r="F221" i="13" l="1"/>
  <c r="H221" i="13"/>
  <c r="G221" i="13"/>
  <c r="E214" i="13"/>
  <c r="H213" i="13"/>
  <c r="G213" i="13"/>
  <c r="F213" i="13"/>
  <c r="H212" i="13"/>
  <c r="G212" i="13"/>
  <c r="F212" i="13"/>
  <c r="H211" i="13"/>
  <c r="G211" i="13"/>
  <c r="F211" i="13"/>
  <c r="H210" i="13"/>
  <c r="G210" i="13"/>
  <c r="F210" i="13"/>
  <c r="H209" i="13"/>
  <c r="G209" i="13"/>
  <c r="F209" i="13"/>
  <c r="G208" i="13"/>
  <c r="F208" i="13"/>
  <c r="H207" i="13"/>
  <c r="G207" i="13"/>
  <c r="F207" i="13"/>
  <c r="H206" i="13"/>
  <c r="G206" i="13"/>
  <c r="F206" i="13"/>
  <c r="H205" i="13"/>
  <c r="G205" i="13"/>
  <c r="F205" i="13"/>
  <c r="F214" i="13" s="1"/>
  <c r="H204" i="13"/>
  <c r="G204" i="13"/>
  <c r="G203" i="13"/>
  <c r="G214" i="13" l="1"/>
  <c r="H214" i="13"/>
  <c r="E202" i="13"/>
  <c r="F200" i="13"/>
  <c r="G200" i="13"/>
  <c r="H200" i="13"/>
  <c r="H199" i="13"/>
  <c r="F199" i="13"/>
  <c r="G199" i="13"/>
  <c r="H195" i="13"/>
  <c r="H196" i="13"/>
  <c r="H197" i="13"/>
  <c r="H198" i="13"/>
  <c r="G195" i="13"/>
  <c r="G196" i="13"/>
  <c r="G197" i="13"/>
  <c r="G198" i="13"/>
  <c r="F195" i="13"/>
  <c r="F196" i="13"/>
  <c r="F197" i="13"/>
  <c r="F198" i="13"/>
  <c r="H194" i="13"/>
  <c r="G194" i="13"/>
  <c r="F194" i="13"/>
  <c r="G193" i="13"/>
  <c r="F202" i="13" l="1"/>
  <c r="H202" i="13"/>
  <c r="G202" i="13"/>
  <c r="E192" i="13"/>
  <c r="G191" i="13"/>
  <c r="F191" i="13"/>
  <c r="G189" i="13"/>
  <c r="F189" i="13"/>
  <c r="G188" i="13"/>
  <c r="H187" i="13"/>
  <c r="H192" i="13" s="1"/>
  <c r="G187" i="13"/>
  <c r="G192" i="13" s="1"/>
  <c r="F187" i="13"/>
  <c r="F192" i="13" s="1"/>
  <c r="E186" i="13" l="1"/>
  <c r="H184" i="13"/>
  <c r="G184" i="13"/>
  <c r="F184" i="13"/>
  <c r="H183" i="13"/>
  <c r="G183" i="13"/>
  <c r="F183" i="13"/>
  <c r="G182" i="13"/>
  <c r="F182" i="13"/>
  <c r="H181" i="13"/>
  <c r="G181" i="13"/>
  <c r="F181" i="13"/>
  <c r="H180" i="13"/>
  <c r="G180" i="13"/>
  <c r="F180" i="13"/>
  <c r="G186" i="13" l="1"/>
  <c r="H186" i="13"/>
  <c r="F186" i="13"/>
  <c r="E179" i="13"/>
  <c r="G178" i="13"/>
  <c r="F178" i="13"/>
  <c r="G173" i="13"/>
  <c r="G172" i="13"/>
  <c r="H171" i="13"/>
  <c r="H179" i="13" s="1"/>
  <c r="G171" i="13"/>
  <c r="G179" i="13" s="1"/>
  <c r="F171" i="13"/>
  <c r="F179" i="13" l="1"/>
  <c r="H169" i="13"/>
  <c r="G169" i="13"/>
  <c r="G168" i="13"/>
  <c r="F168" i="13"/>
  <c r="G167" i="13"/>
  <c r="E166" i="13"/>
  <c r="E170" i="13" s="1"/>
  <c r="G166" i="13" l="1"/>
  <c r="G170" i="13" s="1"/>
  <c r="F166" i="13"/>
  <c r="F170" i="13" s="1"/>
  <c r="H166" i="13"/>
  <c r="H170" i="13" s="1"/>
  <c r="H162" i="13"/>
  <c r="G162" i="13"/>
  <c r="F162" i="13"/>
  <c r="H161" i="13"/>
  <c r="G161" i="13"/>
  <c r="F161" i="13"/>
  <c r="G160" i="13"/>
  <c r="F160" i="13"/>
  <c r="H159" i="13"/>
  <c r="G159" i="13"/>
  <c r="F159" i="13"/>
  <c r="H149" i="13"/>
  <c r="H150" i="13"/>
  <c r="H151" i="13"/>
  <c r="H152" i="13"/>
  <c r="H153" i="13"/>
  <c r="G149" i="13"/>
  <c r="G150" i="13"/>
  <c r="G151" i="13"/>
  <c r="G152" i="13"/>
  <c r="G153" i="13"/>
  <c r="F149" i="13"/>
  <c r="F150" i="13"/>
  <c r="F151" i="13"/>
  <c r="F152" i="13"/>
  <c r="F153" i="13"/>
  <c r="H148" i="13"/>
  <c r="G148" i="13"/>
  <c r="F148" i="13"/>
  <c r="H163" i="13"/>
  <c r="G163" i="13"/>
  <c r="F163" i="13"/>
  <c r="G157" i="13"/>
  <c r="F157" i="13"/>
  <c r="H156" i="13"/>
  <c r="G156" i="13"/>
  <c r="F156" i="13"/>
  <c r="H155" i="13"/>
  <c r="G155" i="13"/>
  <c r="F155" i="13"/>
  <c r="G154" i="13"/>
  <c r="F154" i="13"/>
  <c r="E147" i="13"/>
  <c r="G146" i="13"/>
  <c r="F146" i="13"/>
  <c r="G145" i="13"/>
  <c r="E144" i="13"/>
  <c r="E165" i="13" s="1"/>
  <c r="G147" i="13" l="1"/>
  <c r="F147" i="13"/>
  <c r="F144" i="13"/>
  <c r="F165" i="13" s="1"/>
  <c r="H144" i="13"/>
  <c r="H165" i="13" s="1"/>
  <c r="G144" i="13"/>
  <c r="G165" i="13" s="1"/>
  <c r="E143" i="13"/>
  <c r="H142" i="13"/>
  <c r="G142" i="13"/>
  <c r="F142" i="13"/>
  <c r="H141" i="13"/>
  <c r="G141" i="13"/>
  <c r="F141" i="13"/>
  <c r="G140" i="13"/>
  <c r="F140" i="13"/>
  <c r="H139" i="13"/>
  <c r="G139" i="13"/>
  <c r="F139" i="13"/>
  <c r="H138" i="13"/>
  <c r="G138" i="13"/>
  <c r="F138" i="13"/>
  <c r="G137" i="13"/>
  <c r="F137" i="13"/>
  <c r="H136" i="13"/>
  <c r="G136" i="13"/>
  <c r="F136" i="13"/>
  <c r="H135" i="13"/>
  <c r="G135" i="13"/>
  <c r="F135" i="13"/>
  <c r="F143" i="13" l="1"/>
  <c r="H143" i="13"/>
  <c r="G143" i="13"/>
  <c r="E134" i="13"/>
  <c r="H133" i="13"/>
  <c r="G133" i="13"/>
  <c r="F133" i="13"/>
  <c r="H132" i="13"/>
  <c r="G132" i="13"/>
  <c r="F132" i="13"/>
  <c r="H130" i="13"/>
  <c r="G130" i="13"/>
  <c r="F130" i="13"/>
  <c r="G127" i="13"/>
  <c r="F127" i="13"/>
  <c r="H127" i="13"/>
  <c r="H126" i="13"/>
  <c r="F126" i="13"/>
  <c r="G126" i="13"/>
  <c r="H125" i="13"/>
  <c r="F125" i="13"/>
  <c r="G125" i="13"/>
  <c r="H120" i="13"/>
  <c r="H121" i="13"/>
  <c r="H122" i="13"/>
  <c r="H123" i="13"/>
  <c r="H124" i="13"/>
  <c r="G120" i="13"/>
  <c r="G121" i="13"/>
  <c r="G122" i="13"/>
  <c r="G123" i="13"/>
  <c r="G124" i="13"/>
  <c r="F120" i="13"/>
  <c r="F121" i="13"/>
  <c r="F122" i="13"/>
  <c r="F123" i="13"/>
  <c r="F124" i="13"/>
  <c r="H119" i="13"/>
  <c r="G119" i="13"/>
  <c r="F119" i="13"/>
  <c r="H118" i="13"/>
  <c r="G118" i="13"/>
  <c r="H117" i="13"/>
  <c r="G117" i="13"/>
  <c r="F117" i="13"/>
  <c r="F134" i="13" l="1"/>
  <c r="H134" i="13"/>
  <c r="G134" i="13"/>
  <c r="G115" i="13"/>
  <c r="F115" i="13"/>
  <c r="H113" i="13"/>
  <c r="H114" i="13"/>
  <c r="G114" i="13"/>
  <c r="G113" i="13"/>
  <c r="F113" i="13"/>
  <c r="F114" i="13"/>
  <c r="H112" i="13"/>
  <c r="G112" i="13"/>
  <c r="F112" i="13"/>
  <c r="H110" i="13"/>
  <c r="G110" i="13"/>
  <c r="F110" i="13"/>
  <c r="F109" i="13"/>
  <c r="G109" i="13"/>
  <c r="G108" i="13"/>
  <c r="F108" i="13"/>
  <c r="G107" i="13"/>
  <c r="F107" i="13"/>
  <c r="G106" i="13"/>
  <c r="F106" i="13"/>
  <c r="E105" i="13"/>
  <c r="E116" i="13" s="1"/>
  <c r="H105" i="13" l="1"/>
  <c r="H116" i="13" s="1"/>
  <c r="F105" i="13"/>
  <c r="F116" i="13" s="1"/>
  <c r="G105" i="13"/>
  <c r="G116" i="13" s="1"/>
  <c r="H103" i="13"/>
  <c r="G103" i="13"/>
  <c r="F103" i="13"/>
  <c r="H102" i="13"/>
  <c r="G102" i="13"/>
  <c r="F102" i="13"/>
  <c r="G101" i="13"/>
  <c r="F101" i="13"/>
  <c r="H100" i="13"/>
  <c r="G100" i="13"/>
  <c r="F100" i="13"/>
  <c r="G98" i="13"/>
  <c r="F98" i="13"/>
  <c r="G97" i="13"/>
  <c r="F97" i="13"/>
  <c r="H96" i="13"/>
  <c r="G96" i="13"/>
  <c r="F96" i="13"/>
  <c r="G95" i="13"/>
  <c r="F95" i="13"/>
  <c r="G94" i="13"/>
  <c r="F94" i="13"/>
  <c r="H93" i="13"/>
  <c r="G93" i="13"/>
  <c r="F93" i="13"/>
  <c r="E92" i="13"/>
  <c r="E104" i="13" s="1"/>
  <c r="H92" i="13" l="1"/>
  <c r="H104" i="13" s="1"/>
  <c r="F92" i="13"/>
  <c r="F104" i="13" s="1"/>
  <c r="G92" i="13"/>
  <c r="G104" i="13" s="1"/>
  <c r="H90" i="13"/>
  <c r="G90" i="13"/>
  <c r="G88" i="13"/>
  <c r="F88" i="13"/>
  <c r="G87" i="13"/>
  <c r="F87" i="13"/>
  <c r="H86" i="13"/>
  <c r="G86" i="13"/>
  <c r="F86" i="13"/>
  <c r="E85" i="13"/>
  <c r="G85" i="13" s="1"/>
  <c r="G91" i="13" l="1"/>
  <c r="H85" i="13"/>
  <c r="H91" i="13" s="1"/>
  <c r="E91" i="13"/>
  <c r="F85" i="13"/>
  <c r="F91" i="13" s="1"/>
  <c r="G83" i="13"/>
  <c r="F83" i="13"/>
  <c r="H82" i="13"/>
  <c r="G82" i="13"/>
  <c r="F82" i="13"/>
  <c r="G81" i="13"/>
  <c r="F81" i="13"/>
  <c r="G80" i="13"/>
  <c r="F80" i="13"/>
  <c r="E79" i="13"/>
  <c r="G79" i="13" s="1"/>
  <c r="G84" i="13" l="1"/>
  <c r="F79" i="13"/>
  <c r="F84" i="13" s="1"/>
  <c r="H79" i="13"/>
  <c r="H84" i="13" s="1"/>
  <c r="E84" i="13"/>
  <c r="E78" i="13"/>
  <c r="H77" i="13"/>
  <c r="G77" i="13"/>
  <c r="F77" i="13"/>
  <c r="H76" i="13"/>
  <c r="G76" i="13"/>
  <c r="F76" i="13"/>
  <c r="G75" i="13"/>
  <c r="F75" i="13"/>
  <c r="F78" i="13" l="1"/>
  <c r="H78" i="13"/>
  <c r="G78" i="13"/>
  <c r="G73" i="13"/>
  <c r="F73" i="13"/>
  <c r="G71" i="13"/>
  <c r="F71" i="13"/>
  <c r="G70" i="13"/>
  <c r="F70" i="13"/>
  <c r="E69" i="13"/>
  <c r="G69" i="13" s="1"/>
  <c r="F68" i="13"/>
  <c r="G68" i="13"/>
  <c r="G67" i="13"/>
  <c r="F67" i="13"/>
  <c r="E66" i="13"/>
  <c r="G66" i="13" s="1"/>
  <c r="H61" i="13"/>
  <c r="H62" i="13"/>
  <c r="H63" i="13"/>
  <c r="H64" i="13"/>
  <c r="H65" i="13"/>
  <c r="G61" i="13"/>
  <c r="G62" i="13"/>
  <c r="G63" i="13"/>
  <c r="G64" i="13"/>
  <c r="G65" i="13"/>
  <c r="F61" i="13"/>
  <c r="F62" i="13"/>
  <c r="F63" i="13"/>
  <c r="F64" i="13"/>
  <c r="F65" i="13"/>
  <c r="H60" i="13"/>
  <c r="G60" i="13"/>
  <c r="F60" i="13"/>
  <c r="G74" i="13" l="1"/>
  <c r="F66" i="13"/>
  <c r="F74" i="13" s="1"/>
  <c r="H66" i="13"/>
  <c r="H74" i="13" s="1"/>
  <c r="E74" i="13"/>
  <c r="E59" i="13"/>
  <c r="H57" i="13"/>
  <c r="G57" i="13"/>
  <c r="F57" i="13"/>
  <c r="G56" i="13"/>
  <c r="F56" i="13"/>
  <c r="H56" i="13"/>
  <c r="H55" i="13"/>
  <c r="G55" i="13"/>
  <c r="G59" i="13" s="1"/>
  <c r="F55" i="13"/>
  <c r="F59" i="13" s="1"/>
  <c r="H59" i="13" l="1"/>
  <c r="E54" i="13"/>
  <c r="H51" i="13"/>
  <c r="H52" i="13"/>
  <c r="H53" i="13"/>
  <c r="G51" i="13"/>
  <c r="G52" i="13"/>
  <c r="G53" i="13"/>
  <c r="F51" i="13"/>
  <c r="F52" i="13"/>
  <c r="F53" i="13"/>
  <c r="H50" i="13"/>
  <c r="G50" i="13"/>
  <c r="F50" i="13"/>
  <c r="H49" i="13"/>
  <c r="G49" i="13"/>
  <c r="F49" i="13"/>
  <c r="H48" i="13"/>
  <c r="G48" i="13"/>
  <c r="F48" i="13"/>
  <c r="G47" i="13"/>
  <c r="F47" i="13"/>
  <c r="H46" i="13"/>
  <c r="G46" i="13"/>
  <c r="F46" i="13"/>
  <c r="H45" i="13"/>
  <c r="G45" i="13"/>
  <c r="F45" i="13"/>
  <c r="G44" i="13"/>
  <c r="F44" i="13"/>
  <c r="G42" i="13"/>
  <c r="F42" i="13"/>
  <c r="H41" i="13"/>
  <c r="G41" i="13"/>
  <c r="F41" i="13"/>
  <c r="G40" i="13"/>
  <c r="F40" i="13"/>
  <c r="H39" i="13"/>
  <c r="G39" i="13"/>
  <c r="F39" i="13"/>
  <c r="H38" i="13"/>
  <c r="G38" i="13"/>
  <c r="E37" i="13"/>
  <c r="E43" i="13" s="1"/>
  <c r="G37" i="13" l="1"/>
  <c r="G43" i="13" s="1"/>
  <c r="H43" i="13"/>
  <c r="G54" i="13"/>
  <c r="F43" i="13"/>
  <c r="F54" i="13"/>
  <c r="H54" i="13"/>
  <c r="E36" i="13"/>
  <c r="G29" i="13"/>
  <c r="G34" i="13"/>
  <c r="F34" i="13"/>
  <c r="G33" i="13"/>
  <c r="F33" i="13"/>
  <c r="G32" i="13"/>
  <c r="F32" i="13"/>
  <c r="G31" i="13"/>
  <c r="F31" i="13"/>
  <c r="H30" i="13"/>
  <c r="G30" i="13"/>
  <c r="F30" i="13"/>
  <c r="H29" i="13"/>
  <c r="F29" i="13"/>
  <c r="F36" i="13" l="1"/>
  <c r="H36" i="13"/>
  <c r="G36" i="13"/>
  <c r="H23" i="13"/>
  <c r="G23" i="13"/>
  <c r="F23" i="13"/>
  <c r="H22" i="13"/>
  <c r="G22" i="13"/>
  <c r="F22" i="13"/>
  <c r="E28" i="13"/>
  <c r="H27" i="13"/>
  <c r="G27" i="13"/>
  <c r="F27" i="13"/>
  <c r="H26" i="13"/>
  <c r="G26" i="13"/>
  <c r="F26" i="13"/>
  <c r="H25" i="13"/>
  <c r="G25" i="13"/>
  <c r="F25" i="13"/>
  <c r="G24" i="13"/>
  <c r="F24" i="13"/>
  <c r="H21" i="13"/>
  <c r="G21" i="13"/>
  <c r="F21" i="13"/>
  <c r="G20" i="13"/>
  <c r="F20" i="13"/>
  <c r="H19" i="13"/>
  <c r="G19" i="13"/>
  <c r="F19" i="13"/>
  <c r="H28" i="13" l="1"/>
  <c r="G28" i="13"/>
  <c r="F28" i="13"/>
  <c r="E18" i="13" l="1"/>
  <c r="H17" i="13"/>
  <c r="G17" i="13"/>
  <c r="H16" i="13"/>
  <c r="G16" i="13"/>
  <c r="H15" i="13"/>
  <c r="G15" i="13"/>
  <c r="F15" i="13"/>
  <c r="G14" i="13"/>
  <c r="H13" i="13"/>
  <c r="H18" i="13" s="1"/>
  <c r="G13" i="13"/>
  <c r="F13" i="13"/>
  <c r="G12" i="13"/>
  <c r="F12" i="13"/>
  <c r="G11" i="13"/>
  <c r="F11" i="13"/>
  <c r="G10" i="13"/>
  <c r="G18" i="13" s="1"/>
  <c r="F10" i="13"/>
  <c r="F18" i="13" s="1"/>
  <c r="E9" i="13"/>
  <c r="H9" i="13" s="1"/>
  <c r="G9" i="13" l="1"/>
  <c r="F9" i="13"/>
  <c r="H6" i="13"/>
  <c r="G6" i="13"/>
  <c r="F6" i="13"/>
  <c r="H5" i="13"/>
  <c r="G5" i="13"/>
  <c r="F5" i="13"/>
  <c r="H4" i="13"/>
  <c r="G4" i="13"/>
  <c r="F4" i="13"/>
  <c r="H3" i="13"/>
  <c r="G3" i="13"/>
  <c r="F3" i="13"/>
  <c r="H2" i="13"/>
  <c r="G2" i="13"/>
  <c r="F2" i="13"/>
  <c r="G8" i="13" l="1"/>
  <c r="F8" i="13"/>
  <c r="H8" i="13"/>
  <c r="G343" i="12"/>
  <c r="F343" i="12"/>
  <c r="H342" i="12"/>
  <c r="H344" i="12" s="1"/>
  <c r="G342" i="12"/>
  <c r="G341" i="12"/>
  <c r="F342" i="12"/>
  <c r="F341" i="12"/>
  <c r="F344" i="12" l="1"/>
  <c r="G344" i="12"/>
  <c r="H339" i="12"/>
  <c r="G339" i="12"/>
  <c r="H337" i="12"/>
  <c r="G337" i="12"/>
  <c r="H336" i="12"/>
  <c r="G336" i="12"/>
  <c r="F336" i="12"/>
  <c r="G335" i="12"/>
  <c r="F335" i="12"/>
  <c r="H335" i="12"/>
  <c r="H334" i="12"/>
  <c r="F334" i="12"/>
  <c r="G334" i="12"/>
  <c r="H329" i="12"/>
  <c r="H330" i="12"/>
  <c r="H331" i="12"/>
  <c r="H332" i="12"/>
  <c r="H333" i="12"/>
  <c r="G329" i="12"/>
  <c r="G330" i="12"/>
  <c r="G331" i="12"/>
  <c r="G332" i="12"/>
  <c r="G333" i="12"/>
  <c r="F329" i="12"/>
  <c r="F330" i="12"/>
  <c r="F331" i="12"/>
  <c r="F332" i="12"/>
  <c r="F333" i="12"/>
  <c r="H328" i="12"/>
  <c r="G328" i="12"/>
  <c r="G340" i="12" s="1"/>
  <c r="F328" i="12"/>
  <c r="F340" i="12" l="1"/>
  <c r="H340" i="12"/>
  <c r="H326" i="12"/>
  <c r="G326" i="12"/>
  <c r="H325" i="12"/>
  <c r="G325" i="12"/>
  <c r="F326" i="12"/>
  <c r="F325" i="12"/>
  <c r="H324" i="12"/>
  <c r="G324" i="12"/>
  <c r="F324" i="12"/>
  <c r="H323" i="12"/>
  <c r="H327" i="12" s="1"/>
  <c r="G323" i="12"/>
  <c r="F323" i="12"/>
  <c r="F327" i="12" s="1"/>
  <c r="G327" i="12" l="1"/>
  <c r="G319" i="12"/>
  <c r="F319" i="12"/>
  <c r="E318" i="12"/>
  <c r="G318" i="12" s="1"/>
  <c r="E317" i="12"/>
  <c r="G317" i="12" s="1"/>
  <c r="G316" i="12"/>
  <c r="F316" i="12"/>
  <c r="H315" i="12"/>
  <c r="G315" i="12"/>
  <c r="F315" i="12"/>
  <c r="H314" i="12"/>
  <c r="G314" i="12"/>
  <c r="F314" i="12"/>
  <c r="G313" i="12"/>
  <c r="F313" i="12"/>
  <c r="F312" i="12"/>
  <c r="H307" i="12"/>
  <c r="H308" i="12"/>
  <c r="H309" i="12"/>
  <c r="H310" i="12"/>
  <c r="H311" i="12"/>
  <c r="H306" i="12"/>
  <c r="G311" i="12"/>
  <c r="G307" i="12"/>
  <c r="G308" i="12"/>
  <c r="G309" i="12"/>
  <c r="G310" i="12"/>
  <c r="G306" i="12"/>
  <c r="F307" i="12"/>
  <c r="F308" i="12"/>
  <c r="F309" i="12"/>
  <c r="F310" i="12"/>
  <c r="F311" i="12"/>
  <c r="F306" i="12"/>
  <c r="G305" i="12"/>
  <c r="F305" i="12"/>
  <c r="G304" i="12"/>
  <c r="H303" i="12"/>
  <c r="G303" i="12"/>
  <c r="F317" i="12" l="1"/>
  <c r="G322" i="12"/>
  <c r="F318" i="12"/>
  <c r="F322" i="12" s="1"/>
  <c r="H318" i="12"/>
  <c r="H322" i="12" s="1"/>
  <c r="G301" i="12"/>
  <c r="G300" i="12"/>
  <c r="F300" i="12"/>
  <c r="H299" i="12"/>
  <c r="G299" i="12"/>
  <c r="H298" i="12"/>
  <c r="H302" i="12" s="1"/>
  <c r="G298" i="12"/>
  <c r="F298" i="12"/>
  <c r="F302" i="12" s="1"/>
  <c r="G302" i="12" l="1"/>
  <c r="H294" i="12"/>
  <c r="G294" i="12"/>
  <c r="F294" i="12"/>
  <c r="H293" i="12"/>
  <c r="G293" i="12"/>
  <c r="F293" i="12"/>
  <c r="G292" i="12"/>
  <c r="E291" i="12"/>
  <c r="G291" i="12" s="1"/>
  <c r="G297" i="12" s="1"/>
  <c r="H291" i="12" l="1"/>
  <c r="H297" i="12" s="1"/>
  <c r="F291" i="12"/>
  <c r="F297" i="12" s="1"/>
  <c r="H289" i="12"/>
  <c r="G289" i="12"/>
  <c r="F289" i="12"/>
  <c r="G288" i="12"/>
  <c r="F288" i="12"/>
  <c r="G286" i="12"/>
  <c r="G285" i="12"/>
  <c r="G284" i="12"/>
  <c r="F284" i="12"/>
  <c r="F290" i="12" s="1"/>
  <c r="H282" i="12"/>
  <c r="G282" i="12"/>
  <c r="H290" i="12" l="1"/>
  <c r="G290" i="12"/>
  <c r="G278" i="12"/>
  <c r="H277" i="12"/>
  <c r="G277" i="12"/>
  <c r="E276" i="12"/>
  <c r="G276" i="12" l="1"/>
  <c r="F276" i="12"/>
  <c r="F281" i="12" s="1"/>
  <c r="G281" i="12"/>
  <c r="H276" i="12"/>
  <c r="H281" i="12" s="1"/>
  <c r="H274" i="12"/>
  <c r="G274" i="12"/>
  <c r="F274" i="12"/>
  <c r="H273" i="12"/>
  <c r="G273" i="12"/>
  <c r="F273" i="12"/>
  <c r="G272" i="12"/>
  <c r="F272" i="12"/>
  <c r="G270" i="12"/>
  <c r="F270" i="12"/>
  <c r="H270" i="12"/>
  <c r="H269" i="12"/>
  <c r="G269" i="12"/>
  <c r="F269" i="12"/>
  <c r="H268" i="12" l="1"/>
  <c r="G268" i="12"/>
  <c r="F268" i="12"/>
  <c r="H263" i="12"/>
  <c r="H264" i="12"/>
  <c r="H265" i="12"/>
  <c r="H266" i="12"/>
  <c r="H267" i="12"/>
  <c r="H262" i="12"/>
  <c r="G263" i="12"/>
  <c r="G264" i="12"/>
  <c r="G265" i="12"/>
  <c r="G266" i="12"/>
  <c r="G267" i="12"/>
  <c r="G262" i="12"/>
  <c r="F263" i="12"/>
  <c r="F264" i="12"/>
  <c r="F265" i="12"/>
  <c r="F266" i="12"/>
  <c r="F267" i="12"/>
  <c r="F262" i="12"/>
  <c r="H261" i="12"/>
  <c r="G261" i="12"/>
  <c r="F261" i="12"/>
  <c r="E260" i="12"/>
  <c r="G260" i="12" s="1"/>
  <c r="G275" i="12" l="1"/>
  <c r="F260" i="12"/>
  <c r="F275" i="12" s="1"/>
  <c r="H275" i="12"/>
  <c r="H258" i="12"/>
  <c r="G258" i="12"/>
  <c r="F258" i="12"/>
  <c r="H257" i="12"/>
  <c r="G257" i="12"/>
  <c r="G256" i="12"/>
  <c r="H255" i="12"/>
  <c r="G255" i="12"/>
  <c r="F255" i="12"/>
  <c r="H254" i="12"/>
  <c r="G254" i="12"/>
  <c r="F254" i="12"/>
  <c r="G253" i="12"/>
  <c r="G250" i="12"/>
  <c r="G249" i="12"/>
  <c r="H259" i="12" l="1"/>
  <c r="G247" i="12"/>
  <c r="G246" i="12"/>
  <c r="F246" i="12"/>
  <c r="F259" i="12" s="1"/>
  <c r="G244" i="12"/>
  <c r="G243" i="12"/>
  <c r="G242" i="12"/>
  <c r="G241" i="12"/>
  <c r="G240" i="12"/>
  <c r="F240" i="12"/>
  <c r="G239" i="12"/>
  <c r="H238" i="12"/>
  <c r="G238" i="12"/>
  <c r="F238" i="12"/>
  <c r="H237" i="12"/>
  <c r="G237" i="12"/>
  <c r="G236" i="12"/>
  <c r="G235" i="12"/>
  <c r="G245" i="12" s="1"/>
  <c r="F235" i="12"/>
  <c r="H245" i="12" l="1"/>
  <c r="F245" i="12"/>
  <c r="G259" i="12"/>
  <c r="E229" i="12"/>
  <c r="H229" i="12" s="1"/>
  <c r="G231" i="12"/>
  <c r="G229" i="12" l="1"/>
  <c r="F229" i="12"/>
  <c r="F234" i="12" s="1"/>
  <c r="H230" i="12"/>
  <c r="H234" i="12" s="1"/>
  <c r="G230" i="12"/>
  <c r="G234" i="12" l="1"/>
  <c r="G224" i="12"/>
  <c r="G223" i="12"/>
  <c r="G221" i="12" l="1"/>
  <c r="E220" i="12"/>
  <c r="G220" i="12" s="1"/>
  <c r="G228" i="12" s="1"/>
  <c r="F220" i="12" l="1"/>
  <c r="F228" i="12" s="1"/>
  <c r="H220" i="12"/>
  <c r="H228" i="12" s="1"/>
  <c r="H218" i="12"/>
  <c r="G218" i="12"/>
  <c r="G217" i="12"/>
  <c r="G216" i="12"/>
  <c r="F216" i="12"/>
  <c r="H215" i="12"/>
  <c r="G215" i="12"/>
  <c r="G214" i="12"/>
  <c r="G213" i="12"/>
  <c r="F213" i="12"/>
  <c r="F212" i="12"/>
  <c r="G212" i="12"/>
  <c r="G211" i="12"/>
  <c r="G210" i="12"/>
  <c r="G209" i="12"/>
  <c r="F209" i="12"/>
  <c r="E208" i="12"/>
  <c r="H208" i="12" s="1"/>
  <c r="G206" i="12"/>
  <c r="F206" i="12"/>
  <c r="F207" i="12" s="1"/>
  <c r="H205" i="12"/>
  <c r="H207" i="12" s="1"/>
  <c r="G205" i="12"/>
  <c r="G207" i="12" l="1"/>
  <c r="H219" i="12"/>
  <c r="G208" i="12"/>
  <c r="G219" i="12" s="1"/>
  <c r="F208" i="12"/>
  <c r="F219" i="12" s="1"/>
  <c r="H203" i="12"/>
  <c r="G203" i="12"/>
  <c r="H202" i="12"/>
  <c r="H204" i="12" s="1"/>
  <c r="G202" i="12"/>
  <c r="G204" i="12" s="1"/>
  <c r="F202" i="12"/>
  <c r="F204" i="12" s="1"/>
  <c r="G196" i="12" l="1"/>
  <c r="H191" i="12"/>
  <c r="H192" i="12"/>
  <c r="H193" i="12"/>
  <c r="H194" i="12"/>
  <c r="H195" i="12"/>
  <c r="G191" i="12"/>
  <c r="G192" i="12"/>
  <c r="G193" i="12"/>
  <c r="G194" i="12"/>
  <c r="G195" i="12"/>
  <c r="F191" i="12"/>
  <c r="F192" i="12"/>
  <c r="F193" i="12"/>
  <c r="H190" i="12" l="1"/>
  <c r="G190" i="12"/>
  <c r="F190" i="12"/>
  <c r="H189" i="12"/>
  <c r="G189" i="12"/>
  <c r="F189" i="12"/>
  <c r="H188" i="12"/>
  <c r="G188" i="12"/>
  <c r="F188" i="12"/>
  <c r="G187" i="12"/>
  <c r="F187" i="12"/>
  <c r="H186" i="12"/>
  <c r="G186" i="12"/>
  <c r="F186" i="12"/>
  <c r="H185" i="12"/>
  <c r="G185" i="12"/>
  <c r="F185" i="12"/>
  <c r="H184" i="12"/>
  <c r="G184" i="12"/>
  <c r="H183" i="12"/>
  <c r="G183" i="12"/>
  <c r="G182" i="12"/>
  <c r="F201" i="12" l="1"/>
  <c r="G201" i="12"/>
  <c r="H201" i="12"/>
  <c r="H180" i="12"/>
  <c r="G180" i="12"/>
  <c r="G179" i="12"/>
  <c r="G178" i="12"/>
  <c r="G176" i="12"/>
  <c r="H168" i="12"/>
  <c r="H169" i="12"/>
  <c r="H170" i="12"/>
  <c r="H171" i="12"/>
  <c r="H172" i="12"/>
  <c r="H173" i="12"/>
  <c r="G168" i="12"/>
  <c r="G169" i="12"/>
  <c r="G170" i="12"/>
  <c r="G171" i="12"/>
  <c r="G172" i="12"/>
  <c r="G173" i="12"/>
  <c r="H167" i="12"/>
  <c r="G167" i="12"/>
  <c r="F168" i="12"/>
  <c r="F169" i="12"/>
  <c r="F170" i="12"/>
  <c r="F171" i="12"/>
  <c r="F172" i="12"/>
  <c r="F167" i="12"/>
  <c r="H181" i="12" l="1"/>
  <c r="G181" i="12"/>
  <c r="F181" i="12"/>
  <c r="H166" i="12"/>
  <c r="F166" i="12"/>
  <c r="G162" i="12"/>
  <c r="G166" i="12" s="1"/>
  <c r="H161" i="12" l="1"/>
  <c r="F161" i="12"/>
  <c r="G160" i="12"/>
  <c r="G159" i="12"/>
  <c r="G161" i="12" s="1"/>
  <c r="H156" i="12" l="1"/>
  <c r="G156" i="12"/>
  <c r="G155" i="12"/>
  <c r="G154" i="12"/>
  <c r="G153" i="12"/>
  <c r="G152" i="12"/>
  <c r="F152" i="12"/>
  <c r="G151" i="12"/>
  <c r="H150" i="12"/>
  <c r="H158" i="12" s="1"/>
  <c r="G150" i="12"/>
  <c r="G158" i="12" s="1"/>
  <c r="F150" i="12"/>
  <c r="F158" i="12" s="1"/>
  <c r="G146" i="12" l="1"/>
  <c r="H145" i="12" l="1"/>
  <c r="G145" i="12"/>
  <c r="H144" i="12"/>
  <c r="G144" i="12"/>
  <c r="G143" i="12"/>
  <c r="G142" i="12"/>
  <c r="H141" i="12"/>
  <c r="G141" i="12"/>
  <c r="H140" i="12"/>
  <c r="G140" i="12"/>
  <c r="F140" i="12"/>
  <c r="G139" i="12"/>
  <c r="F139" i="12"/>
  <c r="G138" i="12"/>
  <c r="H137" i="12"/>
  <c r="G137" i="12"/>
  <c r="F137" i="12"/>
  <c r="E136" i="12"/>
  <c r="F136" i="12" s="1"/>
  <c r="G136" i="12" l="1"/>
  <c r="G149" i="12" s="1"/>
  <c r="F149" i="12"/>
  <c r="H136" i="12"/>
  <c r="H149" i="12" s="1"/>
  <c r="H134" i="12"/>
  <c r="G134" i="12"/>
  <c r="G133" i="12"/>
  <c r="H130" i="12"/>
  <c r="G130" i="12"/>
  <c r="G132" i="12"/>
  <c r="G126" i="12"/>
  <c r="F125" i="12" l="1"/>
  <c r="G125" i="12"/>
  <c r="F124" i="12" l="1"/>
  <c r="G124" i="12"/>
  <c r="H123" i="12"/>
  <c r="G123" i="12"/>
  <c r="F123" i="12"/>
  <c r="E122" i="12"/>
  <c r="H122" i="12" s="1"/>
  <c r="H135" i="12" s="1"/>
  <c r="G122" i="12" l="1"/>
  <c r="G135" i="12" s="1"/>
  <c r="F122" i="12"/>
  <c r="F135" i="12" s="1"/>
  <c r="H118" i="12"/>
  <c r="H119" i="12"/>
  <c r="H120" i="12"/>
  <c r="G118" i="12"/>
  <c r="G119" i="12"/>
  <c r="G120" i="12"/>
  <c r="H117" i="12"/>
  <c r="G117" i="12"/>
  <c r="H116" i="12" l="1"/>
  <c r="G116" i="12"/>
  <c r="F116" i="12"/>
  <c r="H115" i="12"/>
  <c r="G115" i="12"/>
  <c r="F115" i="12"/>
  <c r="G114" i="12"/>
  <c r="H113" i="12"/>
  <c r="G113" i="12"/>
  <c r="H112" i="12"/>
  <c r="G112" i="12"/>
  <c r="G121" i="12" l="1"/>
  <c r="H121" i="12"/>
  <c r="F121" i="12"/>
  <c r="F111" i="12"/>
  <c r="H110" i="12"/>
  <c r="G110" i="12"/>
  <c r="G109" i="12"/>
  <c r="H108" i="12"/>
  <c r="H111" i="12" s="1"/>
  <c r="G108" i="12"/>
  <c r="G107" i="12"/>
  <c r="G99" i="12"/>
  <c r="G111" i="12" l="1"/>
  <c r="H86" i="12"/>
  <c r="F98" i="12"/>
  <c r="H97" i="12"/>
  <c r="G97" i="12"/>
  <c r="H96" i="12"/>
  <c r="G96" i="12"/>
  <c r="H85" i="12"/>
  <c r="H87" i="12"/>
  <c r="H88" i="12"/>
  <c r="H89" i="12"/>
  <c r="H90" i="12"/>
  <c r="H91" i="12"/>
  <c r="H92" i="12"/>
  <c r="H84" i="12"/>
  <c r="G84" i="12"/>
  <c r="G85" i="12"/>
  <c r="G86" i="12"/>
  <c r="G87" i="12"/>
  <c r="G88" i="12"/>
  <c r="G89" i="12"/>
  <c r="G90" i="12"/>
  <c r="G91" i="12"/>
  <c r="G92" i="12"/>
  <c r="G83" i="12"/>
  <c r="H83" i="12"/>
  <c r="G98" i="12" l="1"/>
  <c r="H98" i="12"/>
  <c r="G81" i="12" l="1"/>
  <c r="G80" i="12"/>
  <c r="G79" i="12"/>
  <c r="G77" i="12"/>
  <c r="G76" i="12" l="1"/>
  <c r="H75" i="12"/>
  <c r="G75" i="12"/>
  <c r="H74" i="12"/>
  <c r="G74" i="12"/>
  <c r="H73" i="12"/>
  <c r="H82" i="12" s="1"/>
  <c r="G73" i="12"/>
  <c r="G82" i="12" s="1"/>
  <c r="F73" i="12"/>
  <c r="F82" i="12" s="1"/>
  <c r="G70" i="12" l="1"/>
  <c r="G69" i="12"/>
  <c r="H68" i="12"/>
  <c r="G68" i="12"/>
  <c r="G67" i="12"/>
  <c r="H64" i="12"/>
  <c r="H65" i="12"/>
  <c r="H66" i="12"/>
  <c r="H63" i="12"/>
  <c r="H62" i="12"/>
  <c r="H72" i="12" s="1"/>
  <c r="G63" i="12"/>
  <c r="G64" i="12"/>
  <c r="G65" i="12"/>
  <c r="G66" i="12"/>
  <c r="G62" i="12"/>
  <c r="F64" i="12"/>
  <c r="F63" i="12"/>
  <c r="F62" i="12"/>
  <c r="F72" i="12" s="1"/>
  <c r="G72" i="12" l="1"/>
  <c r="H60" i="12"/>
  <c r="F60" i="12"/>
  <c r="G60" i="12"/>
  <c r="H59" i="12"/>
  <c r="G59" i="12"/>
  <c r="F59" i="12"/>
  <c r="H58" i="12"/>
  <c r="H61" i="12" s="1"/>
  <c r="G58" i="12"/>
  <c r="F58" i="12"/>
  <c r="F61" i="12" s="1"/>
  <c r="G61" i="12" l="1"/>
  <c r="G55" i="12"/>
  <c r="G52" i="12"/>
  <c r="H50" i="12"/>
  <c r="H57" i="12" s="1"/>
  <c r="G50" i="12"/>
  <c r="F55" i="12"/>
  <c r="F52" i="12"/>
  <c r="F50" i="12"/>
  <c r="E50" i="12"/>
  <c r="F57" i="12" l="1"/>
  <c r="G57" i="12"/>
  <c r="F49" i="12"/>
  <c r="H48" i="12"/>
  <c r="H49" i="12" s="1"/>
  <c r="G48" i="12"/>
  <c r="G47" i="12"/>
  <c r="G45" i="12"/>
  <c r="G42" i="12"/>
  <c r="G49" i="12" l="1"/>
  <c r="G40" i="12"/>
  <c r="H38" i="12"/>
  <c r="G38" i="12"/>
  <c r="H29" i="12"/>
  <c r="H30" i="12"/>
  <c r="H32" i="12"/>
  <c r="H33" i="12"/>
  <c r="H34" i="12"/>
  <c r="H35" i="12"/>
  <c r="H36" i="12"/>
  <c r="H37" i="12"/>
  <c r="H28" i="12"/>
  <c r="G28" i="12"/>
  <c r="G29" i="12"/>
  <c r="G30" i="12"/>
  <c r="G32" i="12"/>
  <c r="G33" i="12"/>
  <c r="G34" i="12"/>
  <c r="G35" i="12"/>
  <c r="G36" i="12"/>
  <c r="G37" i="12"/>
  <c r="H27" i="12"/>
  <c r="F38" i="12"/>
  <c r="F33" i="12"/>
  <c r="F34" i="12"/>
  <c r="F35" i="12"/>
  <c r="F36" i="12"/>
  <c r="F37" i="12"/>
  <c r="F32" i="12"/>
  <c r="F30" i="12"/>
  <c r="F29" i="12"/>
  <c r="F28" i="12"/>
  <c r="F27" i="12"/>
  <c r="E27" i="12"/>
  <c r="G27" i="12" s="1"/>
  <c r="F41" i="12" l="1"/>
  <c r="G41" i="12"/>
  <c r="H41" i="12"/>
  <c r="H24" i="12" l="1"/>
  <c r="G24" i="12"/>
  <c r="H23" i="12"/>
  <c r="G23" i="12"/>
  <c r="F24" i="12"/>
  <c r="F23" i="12"/>
  <c r="G22" i="12"/>
  <c r="F22" i="12"/>
  <c r="H21" i="12"/>
  <c r="G21" i="12"/>
  <c r="G20" i="12"/>
  <c r="H19" i="12"/>
  <c r="G19" i="12"/>
  <c r="H18" i="12"/>
  <c r="G18" i="12"/>
  <c r="G17" i="12"/>
  <c r="F17" i="12"/>
  <c r="F26" i="12" l="1"/>
  <c r="G26" i="12"/>
  <c r="H26" i="12"/>
  <c r="H4" i="12"/>
  <c r="H5" i="12"/>
  <c r="H6" i="12"/>
  <c r="H7" i="12"/>
  <c r="H8" i="12"/>
  <c r="G4" i="12"/>
  <c r="G5" i="12"/>
  <c r="G6" i="12"/>
  <c r="G7" i="12"/>
  <c r="G8" i="12"/>
  <c r="H3" i="12"/>
  <c r="G3" i="12"/>
  <c r="H2" i="12"/>
  <c r="H15" i="12"/>
  <c r="G15" i="12"/>
  <c r="G13" i="12"/>
  <c r="H13" i="12"/>
  <c r="G12" i="12" l="1"/>
  <c r="H12" i="12"/>
  <c r="F11" i="12"/>
  <c r="G11" i="12"/>
  <c r="H11" i="12"/>
  <c r="F9" i="12"/>
  <c r="G9" i="12"/>
  <c r="H9" i="12"/>
  <c r="F4" i="12"/>
  <c r="F5" i="12"/>
  <c r="F6" i="12"/>
  <c r="F7" i="12"/>
  <c r="F8" i="12"/>
  <c r="F3" i="12"/>
  <c r="G2" i="12"/>
  <c r="F2" i="12"/>
  <c r="H16" i="12" l="1"/>
  <c r="F16" i="12"/>
  <c r="G16" i="12"/>
  <c r="H383" i="11"/>
  <c r="G383" i="11"/>
  <c r="H382" i="11"/>
  <c r="H384" i="11" s="1"/>
  <c r="G382" i="11"/>
  <c r="F382" i="11"/>
  <c r="G381" i="11"/>
  <c r="F381" i="11"/>
  <c r="F384" i="11" s="1"/>
  <c r="G379" i="11"/>
  <c r="G378" i="11" l="1"/>
  <c r="G377" i="11"/>
  <c r="G384" i="11" s="1"/>
  <c r="G374" i="11"/>
  <c r="G373" i="11"/>
  <c r="H372" i="11"/>
  <c r="G372" i="11"/>
  <c r="F372" i="11"/>
  <c r="H371" i="11"/>
  <c r="G371" i="11"/>
  <c r="F371" i="11"/>
  <c r="E370" i="11"/>
  <c r="F370" i="11" s="1"/>
  <c r="G369" i="11"/>
  <c r="G368" i="11"/>
  <c r="H367" i="11"/>
  <c r="H375" i="11" s="1"/>
  <c r="G367" i="11"/>
  <c r="F375" i="11" l="1"/>
  <c r="G370" i="11"/>
  <c r="G375" i="11" s="1"/>
  <c r="G364" i="11"/>
  <c r="H362" i="11"/>
  <c r="G362" i="11"/>
  <c r="G360" i="11"/>
  <c r="G359" i="11"/>
  <c r="G358" i="11"/>
  <c r="H357" i="11"/>
  <c r="G357" i="11"/>
  <c r="G366" i="11" s="1"/>
  <c r="F359" i="11"/>
  <c r="F358" i="11"/>
  <c r="F357" i="11"/>
  <c r="E357" i="11"/>
  <c r="F366" i="11" l="1"/>
  <c r="H366" i="11"/>
  <c r="F356" i="11"/>
  <c r="G354" i="11"/>
  <c r="G353" i="11"/>
  <c r="H352" i="11"/>
  <c r="G352" i="11"/>
  <c r="H351" i="11"/>
  <c r="G351" i="11"/>
  <c r="G350" i="11"/>
  <c r="G349" i="11"/>
  <c r="H348" i="11"/>
  <c r="H356" i="11" s="1"/>
  <c r="G348" i="11"/>
  <c r="G347" i="11"/>
  <c r="G346" i="11"/>
  <c r="G344" i="11"/>
  <c r="G343" i="11"/>
  <c r="G339" i="11"/>
  <c r="G356" i="11" s="1"/>
  <c r="H338" i="11" l="1"/>
  <c r="F338" i="11"/>
  <c r="G335" i="11"/>
  <c r="G333" i="11"/>
  <c r="G338" i="11" s="1"/>
  <c r="F332" i="11" l="1"/>
  <c r="H324" i="11"/>
  <c r="H325" i="11"/>
  <c r="H326" i="11"/>
  <c r="H327" i="11"/>
  <c r="H328" i="11"/>
  <c r="H329" i="11"/>
  <c r="H330" i="11"/>
  <c r="H323" i="11"/>
  <c r="G323" i="11"/>
  <c r="G324" i="11"/>
  <c r="G325" i="11"/>
  <c r="G326" i="11"/>
  <c r="G327" i="11"/>
  <c r="G328" i="11"/>
  <c r="G329" i="11"/>
  <c r="G330" i="11"/>
  <c r="H322" i="11"/>
  <c r="H332" i="11" s="1"/>
  <c r="G322" i="11"/>
  <c r="G332" i="11" l="1"/>
  <c r="G319" i="11"/>
  <c r="F319" i="11"/>
  <c r="H318" i="11"/>
  <c r="G318" i="11"/>
  <c r="H317" i="11"/>
  <c r="G317" i="11"/>
  <c r="F317" i="11"/>
  <c r="G316" i="11"/>
  <c r="F316" i="11"/>
  <c r="H315" i="11"/>
  <c r="G315" i="11"/>
  <c r="F315" i="11"/>
  <c r="H314" i="11"/>
  <c r="H321" i="11" s="1"/>
  <c r="G314" i="11"/>
  <c r="G313" i="11"/>
  <c r="G321" i="11" s="1"/>
  <c r="F321" i="11" l="1"/>
  <c r="F312" i="11"/>
  <c r="G307" i="11"/>
  <c r="H306" i="11"/>
  <c r="G306" i="11"/>
  <c r="G305" i="11"/>
  <c r="G304" i="11"/>
  <c r="G303" i="11"/>
  <c r="G302" i="11"/>
  <c r="H294" i="11"/>
  <c r="H295" i="11"/>
  <c r="H296" i="11"/>
  <c r="H297" i="11"/>
  <c r="H298" i="11"/>
  <c r="H299" i="11"/>
  <c r="G294" i="11"/>
  <c r="G295" i="11"/>
  <c r="G296" i="11"/>
  <c r="G297" i="11"/>
  <c r="G298" i="11"/>
  <c r="G299" i="11"/>
  <c r="H293" i="11"/>
  <c r="H312" i="11" s="1"/>
  <c r="G293" i="11"/>
  <c r="G292" i="11"/>
  <c r="G291" i="11"/>
  <c r="G312" i="11" l="1"/>
  <c r="H290" i="11"/>
  <c r="F290" i="11"/>
  <c r="G288" i="11"/>
  <c r="G287" i="11"/>
  <c r="G284" i="11"/>
  <c r="G290" i="11" s="1"/>
  <c r="G278" i="11" l="1"/>
  <c r="G277" i="11"/>
  <c r="H275" i="11"/>
  <c r="H283" i="11" s="1"/>
  <c r="G275" i="11"/>
  <c r="G283" i="11" s="1"/>
  <c r="F277" i="11"/>
  <c r="F276" i="11"/>
  <c r="F275" i="11"/>
  <c r="F283" i="11" l="1"/>
  <c r="G270" i="11"/>
  <c r="H269" i="11"/>
  <c r="G269" i="11"/>
  <c r="G268" i="11"/>
  <c r="F268" i="11"/>
  <c r="H267" i="11"/>
  <c r="G267" i="11"/>
  <c r="F266" i="11"/>
  <c r="G266" i="11"/>
  <c r="F265" i="11"/>
  <c r="G265" i="11"/>
  <c r="G264" i="11"/>
  <c r="H263" i="11"/>
  <c r="H274" i="11" s="1"/>
  <c r="G263" i="11"/>
  <c r="F263" i="11"/>
  <c r="F274" i="11" s="1"/>
  <c r="G274" i="11" l="1"/>
  <c r="G256" i="11"/>
  <c r="G261" i="11"/>
  <c r="F261" i="11"/>
  <c r="G259" i="11"/>
  <c r="F259" i="11"/>
  <c r="G260" i="11"/>
  <c r="F260" i="11"/>
  <c r="G257" i="11"/>
  <c r="H256" i="11"/>
  <c r="H262" i="11" s="1"/>
  <c r="G254" i="11"/>
  <c r="G252" i="11"/>
  <c r="G251" i="11"/>
  <c r="G249" i="11"/>
  <c r="F249" i="11"/>
  <c r="G248" i="11"/>
  <c r="H247" i="11"/>
  <c r="G247" i="11"/>
  <c r="G246" i="11"/>
  <c r="G245" i="11"/>
  <c r="F245" i="11"/>
  <c r="H244" i="11"/>
  <c r="G244" i="11"/>
  <c r="F244" i="11"/>
  <c r="G243" i="11"/>
  <c r="F243" i="11"/>
  <c r="H242" i="11"/>
  <c r="G242" i="11"/>
  <c r="F242" i="11"/>
  <c r="H241" i="11"/>
  <c r="H250" i="11" s="1"/>
  <c r="G241" i="11"/>
  <c r="F241" i="11"/>
  <c r="F250" i="11" s="1"/>
  <c r="F262" i="11" l="1"/>
  <c r="G250" i="11"/>
  <c r="G262" i="11"/>
  <c r="H239" i="11" l="1"/>
  <c r="G239" i="11"/>
  <c r="F239" i="11"/>
  <c r="E238" i="11"/>
  <c r="G237" i="11"/>
  <c r="G236" i="11"/>
  <c r="G235" i="11"/>
  <c r="G234" i="11"/>
  <c r="G233" i="11"/>
  <c r="H232" i="11" l="1"/>
  <c r="G232" i="11"/>
  <c r="F232" i="11"/>
  <c r="E231" i="11"/>
  <c r="F231" i="11" s="1"/>
  <c r="F240" i="11" s="1"/>
  <c r="H231" i="11" l="1"/>
  <c r="H240" i="11" s="1"/>
  <c r="G231" i="11"/>
  <c r="G240" i="11" s="1"/>
  <c r="F230" i="11"/>
  <c r="H228" i="11"/>
  <c r="G228" i="11"/>
  <c r="H227" i="11"/>
  <c r="G227" i="11"/>
  <c r="H226" i="11"/>
  <c r="G226" i="11"/>
  <c r="H225" i="11"/>
  <c r="G225" i="11"/>
  <c r="G224" i="11"/>
  <c r="H223" i="11"/>
  <c r="G223" i="11"/>
  <c r="H222" i="11"/>
  <c r="G222" i="11"/>
  <c r="G221" i="11"/>
  <c r="G216" i="11"/>
  <c r="G230" i="11" s="1"/>
  <c r="H230" i="11" l="1"/>
  <c r="H204" i="11"/>
  <c r="G211" i="11"/>
  <c r="G208" i="11"/>
  <c r="H207" i="11"/>
  <c r="G207" i="11"/>
  <c r="H206" i="11"/>
  <c r="G206" i="11"/>
  <c r="H205" i="11"/>
  <c r="G205" i="11"/>
  <c r="G204" i="11"/>
  <c r="G203" i="11"/>
  <c r="H201" i="11"/>
  <c r="H195" i="11"/>
  <c r="H196" i="11"/>
  <c r="H197" i="11"/>
  <c r="H198" i="11"/>
  <c r="H199" i="11"/>
  <c r="H200" i="11"/>
  <c r="G195" i="11"/>
  <c r="G196" i="11"/>
  <c r="G197" i="11"/>
  <c r="G198" i="11"/>
  <c r="G199" i="11"/>
  <c r="G200" i="11"/>
  <c r="H194" i="11"/>
  <c r="G194" i="11"/>
  <c r="H193" i="11"/>
  <c r="H215" i="11" s="1"/>
  <c r="G193" i="11"/>
  <c r="F208" i="11"/>
  <c r="F200" i="11"/>
  <c r="F192" i="11"/>
  <c r="G189" i="11"/>
  <c r="G187" i="11"/>
  <c r="G186" i="11"/>
  <c r="G185" i="11"/>
  <c r="G184" i="11"/>
  <c r="G183" i="11"/>
  <c r="G182" i="11"/>
  <c r="H181" i="11"/>
  <c r="H192" i="11" s="1"/>
  <c r="G181" i="11"/>
  <c r="G192" i="11" l="1"/>
  <c r="F215" i="11"/>
  <c r="G215" i="11"/>
  <c r="G177" i="11"/>
  <c r="G179" i="11" l="1"/>
  <c r="G176" i="11"/>
  <c r="F176" i="11"/>
  <c r="F180" i="11" s="1"/>
  <c r="H175" i="11"/>
  <c r="H180" i="11" s="1"/>
  <c r="G175" i="11"/>
  <c r="G180" i="11" l="1"/>
  <c r="H169" i="11"/>
  <c r="H172" i="11"/>
  <c r="G172" i="11"/>
  <c r="G171" i="11"/>
  <c r="G168" i="11"/>
  <c r="G165" i="11"/>
  <c r="H164" i="11"/>
  <c r="H174" i="11" s="1"/>
  <c r="G164" i="11"/>
  <c r="G174" i="11" l="1"/>
  <c r="F168" i="11"/>
  <c r="F164" i="11"/>
  <c r="E164" i="11"/>
  <c r="F174" i="11" l="1"/>
  <c r="G158" i="11"/>
  <c r="H161" i="11"/>
  <c r="G161" i="11"/>
  <c r="H160" i="11"/>
  <c r="G160" i="11"/>
  <c r="G159" i="11"/>
  <c r="G157" i="11"/>
  <c r="G156" i="11"/>
  <c r="G155" i="11"/>
  <c r="G154" i="11"/>
  <c r="H153" i="11"/>
  <c r="G153" i="11"/>
  <c r="H151" i="11"/>
  <c r="H163" i="11" s="1"/>
  <c r="G151" i="11"/>
  <c r="F161" i="11"/>
  <c r="F160" i="11"/>
  <c r="F163" i="11" l="1"/>
  <c r="G163" i="11"/>
  <c r="G146" i="11"/>
  <c r="H129" i="11"/>
  <c r="H130" i="11"/>
  <c r="H131" i="11"/>
  <c r="G129" i="11"/>
  <c r="G130" i="11"/>
  <c r="G131" i="11"/>
  <c r="F150" i="11" l="1"/>
  <c r="H146" i="11"/>
  <c r="G144" i="11"/>
  <c r="H143" i="11"/>
  <c r="G143" i="11"/>
  <c r="H142" i="11"/>
  <c r="G142" i="11"/>
  <c r="G141" i="11"/>
  <c r="G140" i="11"/>
  <c r="H139" i="11"/>
  <c r="G139" i="11"/>
  <c r="H137" i="11"/>
  <c r="G137" i="11"/>
  <c r="H136" i="11"/>
  <c r="G136" i="11"/>
  <c r="H134" i="11"/>
  <c r="G134" i="11"/>
  <c r="H132" i="11"/>
  <c r="G132" i="11"/>
  <c r="H128" i="11"/>
  <c r="H150" i="11" s="1"/>
  <c r="G128" i="11"/>
  <c r="G150" i="11" l="1"/>
  <c r="F127" i="11"/>
  <c r="H126" i="11"/>
  <c r="G126" i="11"/>
  <c r="G125" i="11"/>
  <c r="H122" i="11"/>
  <c r="G122" i="11"/>
  <c r="H121" i="11"/>
  <c r="G121" i="11"/>
  <c r="H120" i="11"/>
  <c r="H127" i="11" s="1"/>
  <c r="G120" i="11"/>
  <c r="G119" i="11"/>
  <c r="G127" i="11" s="1"/>
  <c r="H106" i="11" l="1"/>
  <c r="H117" i="11"/>
  <c r="G117" i="11"/>
  <c r="H115" i="11"/>
  <c r="G115" i="11"/>
  <c r="H107" i="11"/>
  <c r="H108" i="11"/>
  <c r="H109" i="11"/>
  <c r="H110" i="11"/>
  <c r="H111" i="11"/>
  <c r="H112" i="11"/>
  <c r="H113" i="11"/>
  <c r="G107" i="11"/>
  <c r="G108" i="11"/>
  <c r="G109" i="11"/>
  <c r="G110" i="11"/>
  <c r="G111" i="11"/>
  <c r="G112" i="11"/>
  <c r="G113" i="11"/>
  <c r="G106" i="11"/>
  <c r="H105" i="11"/>
  <c r="G105" i="11"/>
  <c r="F106" i="11"/>
  <c r="F118" i="11" s="1"/>
  <c r="G118" i="11" l="1"/>
  <c r="H118" i="11"/>
  <c r="H104" i="11"/>
  <c r="F104" i="11"/>
  <c r="G99" i="11"/>
  <c r="G98" i="11"/>
  <c r="G97" i="11"/>
  <c r="G104" i="11" l="1"/>
  <c r="F95" i="11"/>
  <c r="H91" i="11"/>
  <c r="H95" i="11" s="1"/>
  <c r="G92" i="11"/>
  <c r="G93" i="11"/>
  <c r="G91" i="11"/>
  <c r="G95" i="11" l="1"/>
  <c r="H65" i="11"/>
  <c r="H77" i="11"/>
  <c r="F90" i="11"/>
  <c r="G88" i="11"/>
  <c r="H87" i="11"/>
  <c r="G87" i="11"/>
  <c r="G86" i="11"/>
  <c r="G85" i="11"/>
  <c r="G81" i="11"/>
  <c r="H80" i="11"/>
  <c r="G80" i="11"/>
  <c r="G79" i="11"/>
  <c r="G78" i="11"/>
  <c r="G77" i="11"/>
  <c r="G90" i="11" l="1"/>
  <c r="H90" i="11"/>
  <c r="F76" i="11" l="1"/>
  <c r="G74" i="11"/>
  <c r="G73" i="11"/>
  <c r="H72" i="11"/>
  <c r="H76" i="11" s="1"/>
  <c r="G72" i="11"/>
  <c r="G70" i="11"/>
  <c r="G68" i="11"/>
  <c r="G67" i="11"/>
  <c r="G66" i="11"/>
  <c r="G65" i="11"/>
  <c r="H64" i="11"/>
  <c r="F64" i="11"/>
  <c r="G63" i="11"/>
  <c r="G62" i="11"/>
  <c r="G60" i="11"/>
  <c r="G59" i="11"/>
  <c r="G58" i="11"/>
  <c r="G57" i="11"/>
  <c r="F56" i="11"/>
  <c r="H55" i="11"/>
  <c r="G55" i="11"/>
  <c r="H54" i="11"/>
  <c r="G54" i="11"/>
  <c r="G53" i="11"/>
  <c r="H52" i="11"/>
  <c r="G52" i="11"/>
  <c r="G51" i="11"/>
  <c r="H49" i="11"/>
  <c r="G49" i="11"/>
  <c r="G48" i="11"/>
  <c r="G46" i="11"/>
  <c r="G45" i="11"/>
  <c r="G44" i="11"/>
  <c r="H43" i="11"/>
  <c r="G43" i="11"/>
  <c r="H42" i="11"/>
  <c r="G42" i="11"/>
  <c r="H40" i="11"/>
  <c r="G40" i="11"/>
  <c r="H39" i="11"/>
  <c r="G39" i="11"/>
  <c r="G38" i="11"/>
  <c r="H35" i="11"/>
  <c r="G35" i="11"/>
  <c r="H34" i="11"/>
  <c r="G34" i="11"/>
  <c r="H33" i="11"/>
  <c r="G33" i="11"/>
  <c r="H32" i="11"/>
  <c r="G32" i="11"/>
  <c r="H31" i="11"/>
  <c r="G31" i="11"/>
  <c r="H30" i="11"/>
  <c r="G30" i="11"/>
  <c r="H29" i="11"/>
  <c r="G29" i="11"/>
  <c r="H28" i="11"/>
  <c r="G28" i="11"/>
  <c r="H27" i="11"/>
  <c r="G27" i="11"/>
  <c r="F27" i="11"/>
  <c r="H26" i="11"/>
  <c r="G26" i="11"/>
  <c r="F26" i="11"/>
  <c r="H25" i="11"/>
  <c r="G25" i="11"/>
  <c r="H24" i="11"/>
  <c r="G24" i="11"/>
  <c r="F23" i="11"/>
  <c r="H20" i="11"/>
  <c r="G20" i="11"/>
  <c r="E19" i="11"/>
  <c r="H19" i="11" s="1"/>
  <c r="H18" i="11"/>
  <c r="G18" i="11"/>
  <c r="H17" i="11"/>
  <c r="G17" i="11"/>
  <c r="H16" i="11"/>
  <c r="G16" i="11"/>
  <c r="H15" i="11"/>
  <c r="G15" i="11"/>
  <c r="F13" i="11"/>
  <c r="G10" i="11"/>
  <c r="G9" i="11"/>
  <c r="H8" i="11"/>
  <c r="G8" i="11"/>
  <c r="G7" i="11"/>
  <c r="F7" i="11"/>
  <c r="F14" i="11" s="1"/>
  <c r="H6" i="11"/>
  <c r="G6" i="11"/>
  <c r="E5" i="11"/>
  <c r="H5" i="11" s="1"/>
  <c r="E4" i="11"/>
  <c r="H4" i="11" s="1"/>
  <c r="E3" i="11"/>
  <c r="H3" i="11" s="1"/>
  <c r="E2" i="11"/>
  <c r="H2" i="11" s="1"/>
  <c r="G76" i="11" l="1"/>
  <c r="G5" i="11"/>
  <c r="F37" i="11"/>
  <c r="G56" i="11"/>
  <c r="H56" i="11"/>
  <c r="G64" i="11"/>
  <c r="G37" i="11"/>
  <c r="H14" i="11"/>
  <c r="G3" i="11"/>
  <c r="H23" i="11"/>
  <c r="H37" i="11"/>
  <c r="G2" i="11"/>
  <c r="G4" i="11"/>
  <c r="G19" i="11"/>
  <c r="G23" i="11" s="1"/>
  <c r="G14" i="11" l="1"/>
  <c r="H390" i="10" l="1"/>
  <c r="F390" i="10"/>
  <c r="G387" i="10"/>
  <c r="G386" i="10"/>
  <c r="G384" i="10"/>
  <c r="G383" i="10"/>
  <c r="G382" i="10"/>
  <c r="G381" i="10"/>
  <c r="G380" i="10"/>
  <c r="G379" i="10"/>
  <c r="G390" i="10" s="1"/>
  <c r="E379" i="10"/>
  <c r="H378" i="10"/>
  <c r="F378" i="10"/>
  <c r="G376" i="10"/>
  <c r="G375" i="10"/>
  <c r="F374" i="10"/>
  <c r="G373" i="10"/>
  <c r="H370" i="10"/>
  <c r="G370" i="10"/>
  <c r="G369" i="10"/>
  <c r="G366" i="10"/>
  <c r="H365" i="10"/>
  <c r="G365" i="10"/>
  <c r="H364" i="10"/>
  <c r="H374" i="10" s="1"/>
  <c r="G364" i="10"/>
  <c r="G374" i="10" l="1"/>
  <c r="G378" i="10"/>
  <c r="F363" i="10"/>
  <c r="H362" i="10"/>
  <c r="G362" i="10"/>
  <c r="H358" i="10"/>
  <c r="H359" i="10"/>
  <c r="H360" i="10"/>
  <c r="H361" i="10"/>
  <c r="G358" i="10"/>
  <c r="G359" i="10"/>
  <c r="G360" i="10"/>
  <c r="G361" i="10"/>
  <c r="H357" i="10"/>
  <c r="G357" i="10"/>
  <c r="G353" i="10"/>
  <c r="H352" i="10"/>
  <c r="G352" i="10"/>
  <c r="G350" i="10"/>
  <c r="H349" i="10"/>
  <c r="G349" i="10"/>
  <c r="H348" i="10"/>
  <c r="G348" i="10"/>
  <c r="H346" i="10"/>
  <c r="G346" i="10"/>
  <c r="H345" i="10"/>
  <c r="H363" i="10" s="1"/>
  <c r="G345" i="10"/>
  <c r="G344" i="10"/>
  <c r="G363" i="10" s="1"/>
  <c r="E362" i="10"/>
  <c r="G339" i="10" l="1"/>
  <c r="H338" i="10"/>
  <c r="G338" i="10"/>
  <c r="G337" i="10"/>
  <c r="G336" i="10"/>
  <c r="H334" i="10"/>
  <c r="G334" i="10"/>
  <c r="G333" i="10"/>
  <c r="F332" i="10"/>
  <c r="G332" i="10"/>
  <c r="H332" i="10"/>
  <c r="H326" i="10"/>
  <c r="H327" i="10"/>
  <c r="H328" i="10"/>
  <c r="H329" i="10"/>
  <c r="H330" i="10"/>
  <c r="H331" i="10"/>
  <c r="H325" i="10"/>
  <c r="H324" i="10"/>
  <c r="G325" i="10"/>
  <c r="G326" i="10"/>
  <c r="G327" i="10"/>
  <c r="G328" i="10"/>
  <c r="G329" i="10"/>
  <c r="G330" i="10"/>
  <c r="G331" i="10"/>
  <c r="G324" i="10"/>
  <c r="F327" i="10"/>
  <c r="F328" i="10"/>
  <c r="F329" i="10"/>
  <c r="F330" i="10"/>
  <c r="F331" i="10"/>
  <c r="F326" i="10"/>
  <c r="F323" i="10"/>
  <c r="G322" i="10"/>
  <c r="G321" i="10"/>
  <c r="G320" i="10"/>
  <c r="H319" i="10"/>
  <c r="H323" i="10" s="1"/>
  <c r="G319" i="10"/>
  <c r="G323" i="10" l="1"/>
  <c r="F343" i="10"/>
  <c r="G343" i="10"/>
  <c r="H343" i="10"/>
  <c r="H314" i="10"/>
  <c r="G314" i="10"/>
  <c r="G313" i="10"/>
  <c r="F318" i="10" l="1"/>
  <c r="G317" i="10"/>
  <c r="G315" i="10"/>
  <c r="H312" i="10"/>
  <c r="G312" i="10"/>
  <c r="H311" i="10"/>
  <c r="G311" i="10"/>
  <c r="G310" i="10"/>
  <c r="H309" i="10"/>
  <c r="G309" i="10"/>
  <c r="G307" i="10"/>
  <c r="H304" i="10"/>
  <c r="G304" i="10"/>
  <c r="G303" i="10"/>
  <c r="G302" i="10"/>
  <c r="G301" i="10"/>
  <c r="G300" i="10"/>
  <c r="G299" i="10"/>
  <c r="H298" i="10"/>
  <c r="G298" i="10"/>
  <c r="H318" i="10" l="1"/>
  <c r="G318" i="10"/>
  <c r="F297" i="10"/>
  <c r="H296" i="10"/>
  <c r="G296" i="10"/>
  <c r="G294" i="10"/>
  <c r="G293" i="10"/>
  <c r="G292" i="10"/>
  <c r="H291" i="10"/>
  <c r="G291" i="10"/>
  <c r="G297" i="10" s="1"/>
  <c r="G287" i="10"/>
  <c r="H297" i="10" l="1"/>
  <c r="H285" i="10"/>
  <c r="G285" i="10"/>
  <c r="G284" i="10"/>
  <c r="F284" i="10"/>
  <c r="F283" i="10"/>
  <c r="G282" i="10"/>
  <c r="F282" i="10"/>
  <c r="G280" i="10"/>
  <c r="F280" i="10"/>
  <c r="G279" i="10"/>
  <c r="G278" i="10"/>
  <c r="F278" i="10"/>
  <c r="G277" i="10"/>
  <c r="F277" i="10"/>
  <c r="G276" i="10"/>
  <c r="F276" i="10"/>
  <c r="H275" i="10"/>
  <c r="H290" i="10" s="1"/>
  <c r="G275" i="10"/>
  <c r="F275" i="10"/>
  <c r="G290" i="10" l="1"/>
  <c r="F290" i="10"/>
  <c r="F274" i="10"/>
  <c r="G271" i="10"/>
  <c r="H270" i="10"/>
  <c r="G270" i="10"/>
  <c r="E265" i="10"/>
  <c r="G265" i="10" s="1"/>
  <c r="E266" i="10"/>
  <c r="G266" i="10" s="1"/>
  <c r="E267" i="10"/>
  <c r="G267" i="10" s="1"/>
  <c r="E268" i="10"/>
  <c r="G268" i="10" s="1"/>
  <c r="E264" i="10"/>
  <c r="H264" i="10" s="1"/>
  <c r="G263" i="10"/>
  <c r="H262" i="10"/>
  <c r="G262" i="10"/>
  <c r="G264" i="10" l="1"/>
  <c r="G274" i="10" s="1"/>
  <c r="H268" i="10"/>
  <c r="H267" i="10"/>
  <c r="H266" i="10"/>
  <c r="H265" i="10"/>
  <c r="F261" i="10"/>
  <c r="H260" i="10"/>
  <c r="G260" i="10"/>
  <c r="G256" i="10"/>
  <c r="H255" i="10"/>
  <c r="G255" i="10"/>
  <c r="H254" i="10"/>
  <c r="G254" i="10"/>
  <c r="G252" i="10"/>
  <c r="G251" i="10"/>
  <c r="G250" i="10"/>
  <c r="H249" i="10"/>
  <c r="G249" i="10"/>
  <c r="F247" i="10"/>
  <c r="G244" i="10"/>
  <c r="G243" i="10"/>
  <c r="H242" i="10"/>
  <c r="G242" i="10"/>
  <c r="G241" i="10"/>
  <c r="G239" i="10"/>
  <c r="G238" i="10"/>
  <c r="G237" i="10"/>
  <c r="H236" i="10"/>
  <c r="H247" i="10" s="1"/>
  <c r="G236" i="10"/>
  <c r="G261" i="10" l="1"/>
  <c r="G247" i="10"/>
  <c r="H261" i="10"/>
  <c r="H274" i="10"/>
  <c r="G234" i="10"/>
  <c r="E234" i="10"/>
  <c r="G233" i="10"/>
  <c r="G232" i="10"/>
  <c r="G231" i="10"/>
  <c r="H229" i="10"/>
  <c r="G230" i="10"/>
  <c r="G229" i="10"/>
  <c r="G228" i="10"/>
  <c r="H226" i="10"/>
  <c r="H235" i="10" s="1"/>
  <c r="G226" i="10"/>
  <c r="G224" i="10"/>
  <c r="F228" i="10"/>
  <c r="F226" i="10"/>
  <c r="F224" i="10"/>
  <c r="G235" i="10" l="1"/>
  <c r="F235" i="10"/>
  <c r="H218" i="10"/>
  <c r="G218" i="10"/>
  <c r="H207" i="10"/>
  <c r="G222" i="10"/>
  <c r="H219" i="10"/>
  <c r="G219" i="10"/>
  <c r="G215" i="10"/>
  <c r="G211" i="10"/>
  <c r="G210" i="10"/>
  <c r="F222" i="10"/>
  <c r="G209" i="10"/>
  <c r="G208" i="10"/>
  <c r="G207" i="10"/>
  <c r="F221" i="10"/>
  <c r="F220" i="10"/>
  <c r="F223" i="10" l="1"/>
  <c r="G223" i="10"/>
  <c r="H223" i="10"/>
  <c r="F203" i="10"/>
  <c r="H202" i="10"/>
  <c r="G202" i="10"/>
  <c r="F202" i="10"/>
  <c r="G201" i="10"/>
  <c r="H201" i="10"/>
  <c r="F201" i="10"/>
  <c r="H200" i="10"/>
  <c r="G200" i="10"/>
  <c r="F200" i="10"/>
  <c r="H199" i="10"/>
  <c r="G199" i="10"/>
  <c r="F199" i="10"/>
  <c r="H205" i="10" l="1"/>
  <c r="G205" i="10"/>
  <c r="F205" i="10"/>
  <c r="H196" i="10"/>
  <c r="G196" i="10"/>
  <c r="H194" i="10"/>
  <c r="G194" i="10"/>
  <c r="G191" i="10"/>
  <c r="H190" i="10"/>
  <c r="G190" i="10"/>
  <c r="G189" i="10"/>
  <c r="H188" i="10"/>
  <c r="G188" i="10"/>
  <c r="H187" i="10"/>
  <c r="G187" i="10"/>
  <c r="G186" i="10"/>
  <c r="G185" i="10"/>
  <c r="G184" i="10"/>
  <c r="G183" i="10"/>
  <c r="G182" i="10"/>
  <c r="G181" i="10"/>
  <c r="E190" i="10"/>
  <c r="E188" i="10"/>
  <c r="F187" i="10"/>
  <c r="F198" i="10" s="1"/>
  <c r="H198" i="10" l="1"/>
  <c r="G198" i="10"/>
  <c r="H174" i="10"/>
  <c r="H172" i="10"/>
  <c r="G170" i="10"/>
  <c r="F180" i="10"/>
  <c r="G178" i="10"/>
  <c r="G176" i="10"/>
  <c r="G175" i="10"/>
  <c r="G174" i="10"/>
  <c r="H173" i="10"/>
  <c r="G173" i="10"/>
  <c r="G172" i="10"/>
  <c r="H171" i="10"/>
  <c r="G171" i="10"/>
  <c r="H170" i="10"/>
  <c r="G180" i="10" l="1"/>
  <c r="H180" i="10"/>
  <c r="F169" i="10"/>
  <c r="H168" i="10"/>
  <c r="G168" i="10"/>
  <c r="H167" i="10"/>
  <c r="G167" i="10"/>
  <c r="H166" i="10"/>
  <c r="G166" i="10"/>
  <c r="G165" i="10"/>
  <c r="H164" i="10"/>
  <c r="G164" i="10"/>
  <c r="H163" i="10"/>
  <c r="G163" i="10"/>
  <c r="G162" i="10"/>
  <c r="G169" i="10" l="1"/>
  <c r="H169" i="10"/>
  <c r="F161" i="10"/>
  <c r="H160" i="10"/>
  <c r="G160" i="10"/>
  <c r="H159" i="10"/>
  <c r="G159" i="10"/>
  <c r="H158" i="10"/>
  <c r="G158" i="10"/>
  <c r="H157" i="10"/>
  <c r="G157" i="10"/>
  <c r="H156" i="10"/>
  <c r="G156" i="10"/>
  <c r="G153" i="10"/>
  <c r="G152" i="10"/>
  <c r="G151" i="10"/>
  <c r="G150" i="10"/>
  <c r="H149" i="10"/>
  <c r="H161" i="10" s="1"/>
  <c r="G149" i="10"/>
  <c r="F148" i="10"/>
  <c r="H147" i="10"/>
  <c r="G147" i="10"/>
  <c r="G146" i="10"/>
  <c r="G145" i="10"/>
  <c r="G142" i="10"/>
  <c r="G141" i="10"/>
  <c r="G140" i="10"/>
  <c r="G139" i="10"/>
  <c r="H138" i="10"/>
  <c r="H148" i="10" s="1"/>
  <c r="G138" i="10"/>
  <c r="G161" i="10" l="1"/>
  <c r="G148" i="10"/>
  <c r="G134" i="10"/>
  <c r="G131" i="10"/>
  <c r="G130" i="10"/>
  <c r="G129" i="10"/>
  <c r="G128" i="10"/>
  <c r="G127" i="10"/>
  <c r="H126" i="10"/>
  <c r="H137" i="10" s="1"/>
  <c r="G126" i="10"/>
  <c r="F126" i="10"/>
  <c r="F137" i="10" s="1"/>
  <c r="G137" i="10" l="1"/>
  <c r="H125" i="10"/>
  <c r="G120" i="10"/>
  <c r="G119" i="10"/>
  <c r="G118" i="10"/>
  <c r="G117" i="10"/>
  <c r="G116" i="10"/>
  <c r="G115" i="10"/>
  <c r="G114" i="10"/>
  <c r="F118" i="10"/>
  <c r="F125" i="10" s="1"/>
  <c r="E118" i="10"/>
  <c r="G125" i="10" l="1"/>
  <c r="G111" i="10"/>
  <c r="H109" i="10"/>
  <c r="G109" i="10"/>
  <c r="G108" i="10"/>
  <c r="G106" i="10"/>
  <c r="G105" i="10"/>
  <c r="H104" i="10"/>
  <c r="G104" i="10"/>
  <c r="G103" i="10"/>
  <c r="G102" i="10"/>
  <c r="H97" i="10"/>
  <c r="H101" i="10"/>
  <c r="G101" i="10"/>
  <c r="G100" i="10"/>
  <c r="G99" i="10"/>
  <c r="G98" i="10"/>
  <c r="G97" i="10"/>
  <c r="F102" i="10"/>
  <c r="F113" i="10" s="1"/>
  <c r="G113" i="10" l="1"/>
  <c r="H113" i="10"/>
  <c r="G95" i="10"/>
  <c r="F96" i="10"/>
  <c r="H94" i="10"/>
  <c r="G94" i="10"/>
  <c r="G93" i="10"/>
  <c r="H91" i="10"/>
  <c r="G91" i="10"/>
  <c r="H90" i="10"/>
  <c r="H96" i="10" s="1"/>
  <c r="G90" i="10"/>
  <c r="G86" i="10"/>
  <c r="G96" i="10" s="1"/>
  <c r="H85" i="10" l="1"/>
  <c r="G81" i="10"/>
  <c r="G79" i="10"/>
  <c r="G78" i="10"/>
  <c r="G77" i="10"/>
  <c r="G76" i="10"/>
  <c r="G75" i="10"/>
  <c r="F79" i="10"/>
  <c r="F85" i="10" s="1"/>
  <c r="G85" i="10" l="1"/>
  <c r="G66" i="10"/>
  <c r="H66" i="10"/>
  <c r="G61" i="10"/>
  <c r="G57" i="10"/>
  <c r="G56" i="10"/>
  <c r="G55" i="10"/>
  <c r="G54" i="10"/>
  <c r="G53" i="10"/>
  <c r="G52" i="10"/>
  <c r="G51" i="10"/>
  <c r="G50" i="10"/>
  <c r="F74" i="10"/>
  <c r="G73" i="10"/>
  <c r="G71" i="10"/>
  <c r="G70" i="10"/>
  <c r="G58" i="10"/>
  <c r="G69" i="10" l="1"/>
  <c r="G68" i="10"/>
  <c r="H67" i="10"/>
  <c r="H74" i="10" s="1"/>
  <c r="G67" i="10"/>
  <c r="F65" i="10"/>
  <c r="H62" i="10"/>
  <c r="G62" i="10"/>
  <c r="H57" i="10"/>
  <c r="H51" i="10"/>
  <c r="H50" i="10"/>
  <c r="G65" i="10"/>
  <c r="F49" i="10"/>
  <c r="G47" i="10"/>
  <c r="G46" i="10"/>
  <c r="G45" i="10"/>
  <c r="H43" i="10"/>
  <c r="H49" i="10" s="1"/>
  <c r="G43" i="10"/>
  <c r="F42" i="10"/>
  <c r="G39" i="10"/>
  <c r="H38" i="10"/>
  <c r="G38" i="10"/>
  <c r="G36" i="10"/>
  <c r="G34" i="10"/>
  <c r="G33" i="10"/>
  <c r="G32" i="10"/>
  <c r="G31" i="10"/>
  <c r="G30" i="10"/>
  <c r="G29" i="10"/>
  <c r="H28" i="10"/>
  <c r="G28" i="10"/>
  <c r="H27" i="10"/>
  <c r="F27" i="10"/>
  <c r="G23" i="10"/>
  <c r="G20" i="10"/>
  <c r="G19" i="10"/>
  <c r="G17" i="10"/>
  <c r="G16" i="10"/>
  <c r="G15" i="10"/>
  <c r="G14" i="10"/>
  <c r="G13" i="10"/>
  <c r="G12" i="10"/>
  <c r="F11" i="10"/>
  <c r="G10" i="10"/>
  <c r="G9" i="10"/>
  <c r="H8" i="10"/>
  <c r="G8" i="10"/>
  <c r="G5" i="10"/>
  <c r="H3" i="10"/>
  <c r="G3" i="10"/>
  <c r="H11" i="10" l="1"/>
  <c r="G42" i="10"/>
  <c r="H65" i="10"/>
  <c r="G74" i="10"/>
  <c r="G11" i="10"/>
  <c r="G27" i="10"/>
  <c r="H42" i="10"/>
  <c r="G49" i="10"/>
  <c r="H362" i="9"/>
  <c r="G362" i="9"/>
  <c r="H361" i="9"/>
  <c r="G361" i="9"/>
  <c r="H359" i="9"/>
  <c r="G359" i="9"/>
  <c r="H358" i="9"/>
  <c r="G358" i="9"/>
  <c r="G357" i="9"/>
  <c r="H356" i="9"/>
  <c r="G356" i="9"/>
  <c r="G355" i="9"/>
  <c r="H354" i="9"/>
  <c r="G354" i="9"/>
  <c r="G353" i="9"/>
  <c r="F361" i="9"/>
  <c r="F363" i="9" s="1"/>
  <c r="G363" i="9" l="1"/>
  <c r="H363" i="9"/>
  <c r="F352" i="9"/>
  <c r="H351" i="9"/>
  <c r="G351" i="9"/>
  <c r="G350" i="9"/>
  <c r="H349" i="9"/>
  <c r="G349" i="9"/>
  <c r="G347" i="9"/>
  <c r="H346" i="9"/>
  <c r="G346" i="9"/>
  <c r="G345" i="9"/>
  <c r="H344" i="9"/>
  <c r="G344" i="9"/>
  <c r="H343" i="9"/>
  <c r="G343" i="9"/>
  <c r="G342" i="9"/>
  <c r="G339" i="9"/>
  <c r="G352" i="9" l="1"/>
  <c r="H352" i="9"/>
  <c r="F338" i="9"/>
  <c r="H336" i="9"/>
  <c r="G336" i="9"/>
  <c r="H334" i="9"/>
  <c r="H338" i="9" s="1"/>
  <c r="G334" i="9"/>
  <c r="G338" i="9" s="1"/>
  <c r="F333" i="9" l="1"/>
  <c r="G329" i="9"/>
  <c r="H328" i="9"/>
  <c r="G328" i="9"/>
  <c r="H327" i="9"/>
  <c r="G327" i="9"/>
  <c r="G326" i="9"/>
  <c r="G323" i="9"/>
  <c r="H322" i="9"/>
  <c r="G322" i="9"/>
  <c r="G321" i="9"/>
  <c r="G320" i="9"/>
  <c r="H319" i="9"/>
  <c r="H333" i="9" s="1"/>
  <c r="G319" i="9"/>
  <c r="G318" i="9"/>
  <c r="H317" i="9"/>
  <c r="G314" i="9"/>
  <c r="G313" i="9"/>
  <c r="G312" i="9"/>
  <c r="G311" i="9"/>
  <c r="G309" i="9"/>
  <c r="G308" i="9"/>
  <c r="G307" i="9"/>
  <c r="F307" i="9"/>
  <c r="F317" i="9" s="1"/>
  <c r="G317" i="9" l="1"/>
  <c r="G333" i="9"/>
  <c r="H306" i="9"/>
  <c r="F306" i="9"/>
  <c r="G303" i="9"/>
  <c r="G300" i="9"/>
  <c r="G299" i="9"/>
  <c r="G298" i="9"/>
  <c r="G296" i="9"/>
  <c r="G295" i="9"/>
  <c r="G306" i="9" l="1"/>
  <c r="H284" i="9"/>
  <c r="F294" i="9"/>
  <c r="H293" i="9"/>
  <c r="G293" i="9"/>
  <c r="H292" i="9"/>
  <c r="H294" i="9" s="1"/>
  <c r="G292" i="9"/>
  <c r="G291" i="9"/>
  <c r="G290" i="9"/>
  <c r="G289" i="9"/>
  <c r="G288" i="9"/>
  <c r="G286" i="9"/>
  <c r="G284" i="9"/>
  <c r="G283" i="9"/>
  <c r="G282" i="9"/>
  <c r="G294" i="9" l="1"/>
  <c r="H281" i="9"/>
  <c r="F281" i="9"/>
  <c r="G279" i="9"/>
  <c r="G278" i="9"/>
  <c r="G275" i="9"/>
  <c r="G281" i="9" l="1"/>
  <c r="H273" i="9"/>
  <c r="G273" i="9"/>
  <c r="H271" i="9"/>
  <c r="H274" i="9" s="1"/>
  <c r="G271" i="9"/>
  <c r="G270" i="9"/>
  <c r="G269" i="9"/>
  <c r="F273" i="9"/>
  <c r="F274" i="9" s="1"/>
  <c r="G274" i="9" l="1"/>
  <c r="F268" i="9"/>
  <c r="G262" i="9"/>
  <c r="H261" i="9"/>
  <c r="G261" i="9"/>
  <c r="H260" i="9"/>
  <c r="G260" i="9"/>
  <c r="G259" i="9"/>
  <c r="H258" i="9"/>
  <c r="G258" i="9"/>
  <c r="H257" i="9"/>
  <c r="G257" i="9"/>
  <c r="G256" i="9"/>
  <c r="H254" i="9"/>
  <c r="H268" i="9" s="1"/>
  <c r="G254" i="9"/>
  <c r="G253" i="9"/>
  <c r="G252" i="9"/>
  <c r="G268" i="9" l="1"/>
  <c r="F251" i="9"/>
  <c r="G250" i="9"/>
  <c r="G249" i="9"/>
  <c r="H248" i="9"/>
  <c r="H251" i="9" s="1"/>
  <c r="G248" i="9"/>
  <c r="G247" i="9"/>
  <c r="G251" i="9" l="1"/>
  <c r="G241" i="9"/>
  <c r="H240" i="9"/>
  <c r="G240" i="9"/>
  <c r="H239" i="9"/>
  <c r="H246" i="9" s="1"/>
  <c r="G239" i="9"/>
  <c r="G238" i="9"/>
  <c r="G237" i="9"/>
  <c r="G236" i="9"/>
  <c r="G235" i="9"/>
  <c r="G234" i="9"/>
  <c r="G233" i="9"/>
  <c r="F237" i="9"/>
  <c r="F246" i="9" s="1"/>
  <c r="E234" i="9"/>
  <c r="E233" i="9"/>
  <c r="G246" i="9" l="1"/>
  <c r="H221" i="9"/>
  <c r="H231" i="9"/>
  <c r="G231" i="9"/>
  <c r="G229" i="9"/>
  <c r="G225" i="9"/>
  <c r="G224" i="9"/>
  <c r="G221" i="9"/>
  <c r="G220" i="9"/>
  <c r="F224" i="9"/>
  <c r="F232" i="9" s="1"/>
  <c r="E221" i="9"/>
  <c r="E220" i="9"/>
  <c r="G232" i="9" l="1"/>
  <c r="H232" i="9"/>
  <c r="H206" i="9"/>
  <c r="F219" i="9"/>
  <c r="G216" i="9"/>
  <c r="G213" i="9"/>
  <c r="H212" i="9"/>
  <c r="H219" i="9" s="1"/>
  <c r="G212" i="9"/>
  <c r="G209" i="9"/>
  <c r="G208" i="9"/>
  <c r="G207" i="9"/>
  <c r="G206" i="9"/>
  <c r="G219" i="9" l="1"/>
  <c r="H205" i="9"/>
  <c r="F205" i="9"/>
  <c r="G203" i="9"/>
  <c r="G202" i="9"/>
  <c r="G201" i="9"/>
  <c r="G200" i="9"/>
  <c r="G199" i="9"/>
  <c r="E202" i="9"/>
  <c r="G205" i="9" l="1"/>
  <c r="H198" i="9"/>
  <c r="H182" i="9"/>
  <c r="G195" i="9"/>
  <c r="G194" i="9"/>
  <c r="G193" i="9"/>
  <c r="G192" i="9"/>
  <c r="G190" i="9"/>
  <c r="G189" i="9"/>
  <c r="G188" i="9"/>
  <c r="G187" i="9"/>
  <c r="F197" i="9"/>
  <c r="F194" i="9"/>
  <c r="F193" i="9"/>
  <c r="F198" i="9" s="1"/>
  <c r="F186" i="9"/>
  <c r="G184" i="9"/>
  <c r="G183" i="9"/>
  <c r="G182" i="9"/>
  <c r="H181" i="9"/>
  <c r="G181" i="9"/>
  <c r="G179" i="9"/>
  <c r="H178" i="9"/>
  <c r="H186" i="9" s="1"/>
  <c r="G178" i="9"/>
  <c r="G177" i="9"/>
  <c r="G186" i="9" s="1"/>
  <c r="E183" i="9"/>
  <c r="H173" i="9"/>
  <c r="G173" i="9"/>
  <c r="H172" i="9"/>
  <c r="G172" i="9"/>
  <c r="H171" i="9"/>
  <c r="G171" i="9"/>
  <c r="F171" i="9"/>
  <c r="G168" i="9"/>
  <c r="H167" i="9"/>
  <c r="G167" i="9"/>
  <c r="G165" i="9"/>
  <c r="G163" i="9"/>
  <c r="H160" i="9"/>
  <c r="H176" i="9" s="1"/>
  <c r="G160" i="9"/>
  <c r="G159" i="9"/>
  <c r="F165" i="9"/>
  <c r="E165" i="9"/>
  <c r="F176" i="9" l="1"/>
  <c r="G176" i="9"/>
  <c r="G198" i="9"/>
  <c r="F158" i="9"/>
  <c r="H156" i="9"/>
  <c r="G156" i="9"/>
  <c r="G155" i="9"/>
  <c r="H154" i="9"/>
  <c r="G154" i="9"/>
  <c r="H152" i="9"/>
  <c r="H158" i="9" s="1"/>
  <c r="G152" i="9"/>
  <c r="G158" i="9" l="1"/>
  <c r="F151" i="9"/>
  <c r="G149" i="9"/>
  <c r="H148" i="9"/>
  <c r="H151" i="9" s="1"/>
  <c r="G148" i="9"/>
  <c r="G147" i="9"/>
  <c r="G151" i="9" s="1"/>
  <c r="F146" i="9"/>
  <c r="G141" i="9"/>
  <c r="H140" i="9"/>
  <c r="H146" i="9" s="1"/>
  <c r="G140" i="9"/>
  <c r="G146" i="9" s="1"/>
  <c r="F137" i="9" l="1"/>
  <c r="G135" i="9"/>
  <c r="H134" i="9"/>
  <c r="H137" i="9" s="1"/>
  <c r="G134" i="9"/>
  <c r="G132" i="9"/>
  <c r="G129" i="9"/>
  <c r="G137" i="9" l="1"/>
  <c r="F128" i="9"/>
  <c r="G123" i="9"/>
  <c r="H122" i="9"/>
  <c r="G122" i="9"/>
  <c r="G121" i="9"/>
  <c r="H120" i="9"/>
  <c r="G120" i="9"/>
  <c r="H119" i="9"/>
  <c r="G119" i="9"/>
  <c r="G118" i="9"/>
  <c r="H128" i="9" l="1"/>
  <c r="G128" i="9"/>
  <c r="F117" i="9"/>
  <c r="G115" i="9"/>
  <c r="G114" i="9"/>
  <c r="H113" i="9"/>
  <c r="G113" i="9"/>
  <c r="H111" i="9"/>
  <c r="G111" i="9"/>
  <c r="G110" i="9"/>
  <c r="G109" i="9"/>
  <c r="H108" i="9"/>
  <c r="G108" i="9"/>
  <c r="H107" i="9"/>
  <c r="H117" i="9" s="1"/>
  <c r="G107" i="9"/>
  <c r="G106" i="9"/>
  <c r="G117" i="9" s="1"/>
  <c r="F105" i="9" l="1"/>
  <c r="G103" i="9"/>
  <c r="G101" i="9"/>
  <c r="H100" i="9"/>
  <c r="G100" i="9"/>
  <c r="H98" i="9"/>
  <c r="H105" i="9" s="1"/>
  <c r="G98" i="9"/>
  <c r="G97" i="9"/>
  <c r="G96" i="9"/>
  <c r="G95" i="9"/>
  <c r="G105" i="9" l="1"/>
  <c r="F93" i="9"/>
  <c r="H92" i="9"/>
  <c r="G92" i="9"/>
  <c r="G91" i="9"/>
  <c r="H90" i="9"/>
  <c r="H93" i="9" s="1"/>
  <c r="G90" i="9"/>
  <c r="G89" i="9"/>
  <c r="G86" i="9"/>
  <c r="G93" i="9" l="1"/>
  <c r="H81" i="9"/>
  <c r="F85" i="9" l="1"/>
  <c r="H84" i="9"/>
  <c r="G84" i="9"/>
  <c r="H80" i="9"/>
  <c r="G80" i="9"/>
  <c r="H79" i="9"/>
  <c r="G79" i="9"/>
  <c r="G78" i="9"/>
  <c r="H76" i="9"/>
  <c r="G76" i="9"/>
  <c r="G75" i="9"/>
  <c r="G70" i="9"/>
  <c r="H85" i="9" l="1"/>
  <c r="G85" i="9"/>
  <c r="F69" i="9"/>
  <c r="G65" i="9"/>
  <c r="H64" i="9"/>
  <c r="H69" i="9" s="1"/>
  <c r="G64" i="9"/>
  <c r="G62" i="9"/>
  <c r="F61" i="9"/>
  <c r="G60" i="9"/>
  <c r="H59" i="9"/>
  <c r="H61" i="9" s="1"/>
  <c r="G59" i="9"/>
  <c r="G57" i="9"/>
  <c r="G56" i="9"/>
  <c r="G52" i="9"/>
  <c r="F51" i="9"/>
  <c r="G48" i="9"/>
  <c r="H47" i="9"/>
  <c r="G47" i="9"/>
  <c r="G46" i="9"/>
  <c r="H45" i="9"/>
  <c r="G45" i="9"/>
  <c r="G44" i="9"/>
  <c r="H43" i="9"/>
  <c r="F43" i="9"/>
  <c r="G42" i="9"/>
  <c r="G37" i="9"/>
  <c r="G36" i="9"/>
  <c r="G33" i="9"/>
  <c r="F32" i="9"/>
  <c r="H31" i="9"/>
  <c r="G31" i="9"/>
  <c r="H30" i="9"/>
  <c r="G30" i="9"/>
  <c r="H29" i="9"/>
  <c r="G29" i="9"/>
  <c r="H28" i="9"/>
  <c r="G28" i="9"/>
  <c r="H27" i="9"/>
  <c r="G27" i="9"/>
  <c r="H25" i="9"/>
  <c r="G25" i="9"/>
  <c r="H24" i="9"/>
  <c r="G24" i="9"/>
  <c r="G23" i="9"/>
  <c r="H22" i="9"/>
  <c r="G22" i="9"/>
  <c r="H21" i="9"/>
  <c r="G21" i="9"/>
  <c r="F20" i="9"/>
  <c r="H19" i="9"/>
  <c r="G19" i="9"/>
  <c r="H18" i="9"/>
  <c r="G18" i="9"/>
  <c r="G17" i="9"/>
  <c r="H16" i="9"/>
  <c r="G16" i="9"/>
  <c r="G15" i="9"/>
  <c r="G12" i="9"/>
  <c r="G11" i="9"/>
  <c r="G10" i="9"/>
  <c r="F9" i="9"/>
  <c r="G7" i="9"/>
  <c r="G6" i="9"/>
  <c r="H4" i="9"/>
  <c r="G4" i="9"/>
  <c r="H3" i="9"/>
  <c r="H9" i="9" s="1"/>
  <c r="G3" i="9"/>
  <c r="G2" i="9"/>
  <c r="H20" i="9" l="1"/>
  <c r="H32" i="9"/>
  <c r="G69" i="9"/>
  <c r="G9" i="9"/>
  <c r="G20" i="9"/>
  <c r="G32" i="9"/>
  <c r="G43" i="9"/>
  <c r="G51" i="9"/>
  <c r="H51" i="9"/>
  <c r="G61" i="9"/>
  <c r="F376" i="8"/>
  <c r="G373" i="8"/>
  <c r="H372" i="8"/>
  <c r="H376" i="8" s="1"/>
  <c r="G372" i="8"/>
  <c r="G370" i="8"/>
  <c r="G368" i="8"/>
  <c r="G367" i="8"/>
  <c r="G376" i="8" l="1"/>
  <c r="H366" i="8"/>
  <c r="F366" i="8"/>
  <c r="G363" i="8"/>
  <c r="G359" i="8"/>
  <c r="G357" i="8"/>
  <c r="G366" i="8" s="1"/>
  <c r="F356" i="8" l="1"/>
  <c r="G351" i="8"/>
  <c r="H347" i="8"/>
  <c r="H356" i="8" s="1"/>
  <c r="G347" i="8"/>
  <c r="G346" i="8"/>
  <c r="G344" i="8"/>
  <c r="G343" i="8"/>
  <c r="G356" i="8" l="1"/>
  <c r="F342" i="8"/>
  <c r="G340" i="8"/>
  <c r="G337" i="8"/>
  <c r="G335" i="8"/>
  <c r="H333" i="8"/>
  <c r="G333" i="8"/>
  <c r="H332" i="8"/>
  <c r="H342" i="8" s="1"/>
  <c r="G332" i="8"/>
  <c r="G342" i="8" l="1"/>
  <c r="F331" i="8"/>
  <c r="G329" i="8"/>
  <c r="G328" i="8"/>
  <c r="H327" i="8"/>
  <c r="G327" i="8"/>
  <c r="H326" i="8"/>
  <c r="G326" i="8"/>
  <c r="H324" i="8"/>
  <c r="G324" i="8"/>
  <c r="H323" i="8"/>
  <c r="H331" i="8" s="1"/>
  <c r="G323" i="8"/>
  <c r="G322" i="8"/>
  <c r="G331" i="8" l="1"/>
  <c r="F321" i="8"/>
  <c r="H320" i="8"/>
  <c r="G320" i="8"/>
  <c r="H319" i="8"/>
  <c r="G319" i="8"/>
  <c r="H318" i="8"/>
  <c r="G318" i="8"/>
  <c r="H317" i="8" l="1"/>
  <c r="G317" i="8"/>
  <c r="G316" i="8"/>
  <c r="G315" i="8"/>
  <c r="H314" i="8"/>
  <c r="H321" i="8" s="1"/>
  <c r="G314" i="8"/>
  <c r="G312" i="8"/>
  <c r="G309" i="8"/>
  <c r="G321" i="8" s="1"/>
  <c r="F308" i="8" l="1"/>
  <c r="H307" i="8"/>
  <c r="G307" i="8"/>
  <c r="G306" i="8"/>
  <c r="G302" i="8"/>
  <c r="G301" i="8"/>
  <c r="H300" i="8"/>
  <c r="G300" i="8"/>
  <c r="H297" i="8"/>
  <c r="G297" i="8"/>
  <c r="H296" i="8"/>
  <c r="G296" i="8"/>
  <c r="H295" i="8"/>
  <c r="G295" i="8"/>
  <c r="G294" i="8"/>
  <c r="H293" i="8"/>
  <c r="H308" i="8" s="1"/>
  <c r="G293" i="8"/>
  <c r="E301" i="8"/>
  <c r="E300" i="8"/>
  <c r="E297" i="8"/>
  <c r="E296" i="8"/>
  <c r="E295" i="8"/>
  <c r="G308" i="8" l="1"/>
  <c r="F292" i="8"/>
  <c r="G291" i="8"/>
  <c r="G290" i="8"/>
  <c r="H289" i="8"/>
  <c r="H292" i="8" s="1"/>
  <c r="G289" i="8"/>
  <c r="G281" i="8"/>
  <c r="E290" i="8"/>
  <c r="G292" i="8" l="1"/>
  <c r="H270" i="8"/>
  <c r="G270" i="8"/>
  <c r="F280" i="8"/>
  <c r="H279" i="8"/>
  <c r="G279" i="8"/>
  <c r="G278" i="8"/>
  <c r="G277" i="8"/>
  <c r="G272" i="8"/>
  <c r="H271" i="8"/>
  <c r="H280" i="8" s="1"/>
  <c r="G271" i="8"/>
  <c r="G268" i="8"/>
  <c r="G280" i="8" s="1"/>
  <c r="H255" i="8" l="1"/>
  <c r="G266" i="8"/>
  <c r="G265" i="8"/>
  <c r="G264" i="8"/>
  <c r="G259" i="8"/>
  <c r="G257" i="8"/>
  <c r="H256" i="8"/>
  <c r="H267" i="8" s="1"/>
  <c r="G256" i="8"/>
  <c r="G255" i="8"/>
  <c r="F265" i="8"/>
  <c r="F267" i="8" s="1"/>
  <c r="E264" i="8"/>
  <c r="G267" i="8" l="1"/>
  <c r="G248" i="8"/>
  <c r="H252" i="8" l="1"/>
  <c r="G252" i="8"/>
  <c r="H251" i="8"/>
  <c r="G251" i="8"/>
  <c r="H250" i="8"/>
  <c r="H254" i="8" s="1"/>
  <c r="G250" i="8"/>
  <c r="G245" i="8"/>
  <c r="G244" i="8"/>
  <c r="G243" i="8"/>
  <c r="F244" i="8"/>
  <c r="E244" i="8"/>
  <c r="F243" i="8"/>
  <c r="F254" i="8" s="1"/>
  <c r="G254" i="8" l="1"/>
  <c r="F242" i="8"/>
  <c r="G239" i="8"/>
  <c r="H238" i="8"/>
  <c r="G238" i="8"/>
  <c r="H237" i="8"/>
  <c r="G237" i="8"/>
  <c r="G236" i="8"/>
  <c r="H235" i="8"/>
  <c r="G235" i="8"/>
  <c r="H234" i="8"/>
  <c r="G234" i="8"/>
  <c r="G242" i="8" s="1"/>
  <c r="H242" i="8" l="1"/>
  <c r="H219" i="8"/>
  <c r="H218" i="8"/>
  <c r="H217" i="8"/>
  <c r="H216" i="8"/>
  <c r="H215" i="8"/>
  <c r="F233" i="8"/>
  <c r="G231" i="8"/>
  <c r="G229" i="8"/>
  <c r="G228" i="8"/>
  <c r="H227" i="8"/>
  <c r="G227" i="8"/>
  <c r="G225" i="8"/>
  <c r="H222" i="8"/>
  <c r="G222" i="8"/>
  <c r="H221" i="8"/>
  <c r="G221" i="8"/>
  <c r="G219" i="8"/>
  <c r="G218" i="8"/>
  <c r="G217" i="8"/>
  <c r="G216" i="8"/>
  <c r="G215" i="8"/>
  <c r="G214" i="8"/>
  <c r="G213" i="8"/>
  <c r="G212" i="8"/>
  <c r="G210" i="8"/>
  <c r="G209" i="8"/>
  <c r="G233" i="8" l="1"/>
  <c r="H233" i="8"/>
  <c r="G207" i="8"/>
  <c r="H203" i="8"/>
  <c r="G203" i="8"/>
  <c r="H202" i="8"/>
  <c r="H208" i="8" s="1"/>
  <c r="G202" i="8"/>
  <c r="G201" i="8"/>
  <c r="G200" i="8"/>
  <c r="F206" i="8"/>
  <c r="F205" i="8"/>
  <c r="F207" i="8"/>
  <c r="F201" i="8"/>
  <c r="F200" i="8"/>
  <c r="F208" i="8" s="1"/>
  <c r="G208" i="8" l="1"/>
  <c r="F199" i="8"/>
  <c r="H198" i="8"/>
  <c r="G198" i="8"/>
  <c r="H197" i="8"/>
  <c r="H199" i="8" s="1"/>
  <c r="G197" i="8"/>
  <c r="G193" i="8"/>
  <c r="G192" i="8"/>
  <c r="G191" i="8"/>
  <c r="E191" i="8"/>
  <c r="E192" i="8"/>
  <c r="G199" i="8" l="1"/>
  <c r="F190" i="8"/>
  <c r="H188" i="8"/>
  <c r="G188" i="8"/>
  <c r="H187" i="8"/>
  <c r="H190" i="8" s="1"/>
  <c r="G187" i="8"/>
  <c r="G185" i="8"/>
  <c r="G184" i="8"/>
  <c r="G183" i="8"/>
  <c r="E184" i="8"/>
  <c r="G190" i="8" l="1"/>
  <c r="H168" i="8"/>
  <c r="H181" i="8"/>
  <c r="G181" i="8"/>
  <c r="G178" i="8"/>
  <c r="G175" i="8"/>
  <c r="G174" i="8"/>
  <c r="H173" i="8"/>
  <c r="G173" i="8"/>
  <c r="G172" i="8"/>
  <c r="F175" i="8"/>
  <c r="F174" i="8"/>
  <c r="F170" i="8"/>
  <c r="G169" i="8"/>
  <c r="G168" i="8"/>
  <c r="H167" i="8"/>
  <c r="G167" i="8"/>
  <c r="H166" i="8"/>
  <c r="G166" i="8"/>
  <c r="G165" i="8"/>
  <c r="H163" i="8"/>
  <c r="H170" i="8" s="1"/>
  <c r="G163" i="8"/>
  <c r="G160" i="8"/>
  <c r="G170" i="8" s="1"/>
  <c r="E169" i="8"/>
  <c r="E168" i="8"/>
  <c r="F182" i="8" l="1"/>
  <c r="G182" i="8"/>
  <c r="H182" i="8"/>
  <c r="E363" i="3"/>
  <c r="H362" i="3"/>
  <c r="G362" i="3"/>
  <c r="F362" i="3"/>
  <c r="H361" i="3"/>
  <c r="G361" i="3"/>
  <c r="F361" i="3"/>
  <c r="H360" i="3"/>
  <c r="G360" i="3"/>
  <c r="F360" i="3"/>
  <c r="H359" i="3"/>
  <c r="G359" i="3"/>
  <c r="F359" i="3"/>
  <c r="H358" i="3"/>
  <c r="G358" i="3"/>
  <c r="F358" i="3"/>
  <c r="H357" i="3"/>
  <c r="G357" i="3"/>
  <c r="F357" i="3"/>
  <c r="H356" i="3"/>
  <c r="G356" i="3"/>
  <c r="G363" i="3" s="1"/>
  <c r="F356" i="3"/>
  <c r="E360" i="4"/>
  <c r="H359" i="4"/>
  <c r="G359" i="4"/>
  <c r="F359" i="4"/>
  <c r="H358" i="4"/>
  <c r="G358" i="4"/>
  <c r="F358" i="4"/>
  <c r="H357" i="4"/>
  <c r="G357" i="4"/>
  <c r="F357" i="4"/>
  <c r="H356" i="4"/>
  <c r="G356" i="4"/>
  <c r="F356" i="4"/>
  <c r="H355" i="4"/>
  <c r="G355" i="4"/>
  <c r="F355" i="4"/>
  <c r="H354" i="4"/>
  <c r="G354" i="4"/>
  <c r="F354" i="4"/>
  <c r="H353" i="4"/>
  <c r="G353" i="4"/>
  <c r="G360" i="4" s="1"/>
  <c r="F353" i="4"/>
  <c r="E421" i="5"/>
  <c r="H420" i="5"/>
  <c r="G420" i="5"/>
  <c r="F420" i="5"/>
  <c r="H419" i="5"/>
  <c r="G419" i="5"/>
  <c r="F419" i="5"/>
  <c r="H418" i="5"/>
  <c r="G418" i="5"/>
  <c r="F418" i="5"/>
  <c r="H417" i="5"/>
  <c r="G417" i="5"/>
  <c r="F417" i="5"/>
  <c r="H416" i="5"/>
  <c r="G416" i="5"/>
  <c r="F416" i="5"/>
  <c r="H415" i="5"/>
  <c r="G415" i="5"/>
  <c r="F415" i="5"/>
  <c r="H414" i="5"/>
  <c r="G414" i="5"/>
  <c r="G421" i="5" s="1"/>
  <c r="F414" i="5"/>
  <c r="E399" i="6"/>
  <c r="H398" i="6"/>
  <c r="G398" i="6"/>
  <c r="F398" i="6"/>
  <c r="H397" i="6"/>
  <c r="G397" i="6"/>
  <c r="F397" i="6"/>
  <c r="H396" i="6"/>
  <c r="G396" i="6"/>
  <c r="F396" i="6"/>
  <c r="H395" i="6"/>
  <c r="G395" i="6"/>
  <c r="F395" i="6"/>
  <c r="H394" i="6"/>
  <c r="G394" i="6"/>
  <c r="F394" i="6"/>
  <c r="H393" i="6"/>
  <c r="G393" i="6"/>
  <c r="F393" i="6"/>
  <c r="H392" i="6"/>
  <c r="G392" i="6"/>
  <c r="G399" i="6" s="1"/>
  <c r="F392" i="6"/>
  <c r="H391" i="7"/>
  <c r="G391" i="7"/>
  <c r="F391" i="7"/>
  <c r="H390" i="7"/>
  <c r="G390" i="7"/>
  <c r="F390" i="7"/>
  <c r="H389" i="7"/>
  <c r="G389" i="7"/>
  <c r="F389" i="7"/>
  <c r="H388" i="7"/>
  <c r="G388" i="7"/>
  <c r="F388" i="7"/>
  <c r="H387" i="7"/>
  <c r="G387" i="7"/>
  <c r="F387" i="7"/>
  <c r="H386" i="7"/>
  <c r="G386" i="7"/>
  <c r="F386" i="7"/>
  <c r="H385" i="7"/>
  <c r="G385" i="7"/>
  <c r="F385" i="7"/>
  <c r="Q167" i="8"/>
  <c r="P167" i="8"/>
  <c r="O167" i="8"/>
  <c r="F399" i="6" l="1"/>
  <c r="H399" i="6"/>
  <c r="F421" i="5"/>
  <c r="H421" i="5"/>
  <c r="F360" i="4"/>
  <c r="H360" i="4"/>
  <c r="F363" i="3"/>
  <c r="H363" i="3"/>
  <c r="H392" i="7"/>
  <c r="G392" i="7"/>
  <c r="N166" i="8"/>
  <c r="N165" i="8"/>
  <c r="N164" i="8"/>
  <c r="G155" i="8"/>
  <c r="G154" i="8"/>
  <c r="H153" i="8"/>
  <c r="H152" i="8"/>
  <c r="G152" i="8"/>
  <c r="H151" i="8"/>
  <c r="G151" i="8"/>
  <c r="H150" i="8"/>
  <c r="G150" i="8"/>
  <c r="H149" i="8"/>
  <c r="G149" i="8"/>
  <c r="F149" i="8"/>
  <c r="F159" i="8" s="1"/>
  <c r="H148" i="8"/>
  <c r="G148" i="8"/>
  <c r="H147" i="8"/>
  <c r="G147" i="8"/>
  <c r="H146" i="8"/>
  <c r="G146" i="8"/>
  <c r="H145" i="8"/>
  <c r="G145" i="8"/>
  <c r="G144" i="8"/>
  <c r="H143" i="8"/>
  <c r="G143" i="8"/>
  <c r="H142" i="8"/>
  <c r="G142" i="8"/>
  <c r="G159" i="8" s="1"/>
  <c r="G138" i="8"/>
  <c r="H137" i="8"/>
  <c r="G137" i="8"/>
  <c r="H136" i="8"/>
  <c r="G136" i="8"/>
  <c r="H135" i="8"/>
  <c r="G135" i="8"/>
  <c r="H134" i="8"/>
  <c r="G134" i="8"/>
  <c r="H133" i="8"/>
  <c r="G133" i="8"/>
  <c r="H132" i="8"/>
  <c r="G132" i="8"/>
  <c r="H131" i="8"/>
  <c r="H141" i="8" s="1"/>
  <c r="G131" i="8"/>
  <c r="G130" i="8"/>
  <c r="F130" i="8"/>
  <c r="G129" i="8"/>
  <c r="F129" i="8"/>
  <c r="F128" i="8"/>
  <c r="F127" i="8"/>
  <c r="G126" i="8"/>
  <c r="G141" i="8" s="1"/>
  <c r="F126" i="8"/>
  <c r="F125" i="8"/>
  <c r="G123" i="8"/>
  <c r="H122" i="8"/>
  <c r="G122" i="8"/>
  <c r="H121" i="8"/>
  <c r="H125" i="8" s="1"/>
  <c r="G121" i="8"/>
  <c r="G120" i="8"/>
  <c r="G119" i="8"/>
  <c r="G118" i="8"/>
  <c r="E118" i="8"/>
  <c r="G116" i="8"/>
  <c r="E116" i="8"/>
  <c r="G115" i="8"/>
  <c r="G125" i="8" s="1"/>
  <c r="E115" i="8"/>
  <c r="H114" i="8"/>
  <c r="F114" i="8"/>
  <c r="G110" i="8"/>
  <c r="G107" i="8"/>
  <c r="G105" i="8"/>
  <c r="E105" i="8"/>
  <c r="G104" i="8"/>
  <c r="G114" i="8" s="1"/>
  <c r="G100" i="8"/>
  <c r="G98" i="8"/>
  <c r="G96" i="8"/>
  <c r="G95" i="8"/>
  <c r="F95" i="8"/>
  <c r="F103" i="8" s="1"/>
  <c r="H93" i="8"/>
  <c r="H103" i="8" s="1"/>
  <c r="G93" i="8"/>
  <c r="G92" i="8"/>
  <c r="G91" i="8"/>
  <c r="G103" i="8" s="1"/>
  <c r="H89" i="8"/>
  <c r="G89" i="8"/>
  <c r="G87" i="8"/>
  <c r="H86" i="8"/>
  <c r="G86" i="8"/>
  <c r="H85" i="8"/>
  <c r="G85" i="8"/>
  <c r="G84" i="8"/>
  <c r="G82" i="8"/>
  <c r="G81" i="8"/>
  <c r="F81" i="8"/>
  <c r="F90" i="8" s="1"/>
  <c r="G80" i="8"/>
  <c r="G79" i="8"/>
  <c r="G78" i="8"/>
  <c r="G73" i="8"/>
  <c r="H72" i="8"/>
  <c r="G72" i="8"/>
  <c r="E72" i="8"/>
  <c r="H71" i="8"/>
  <c r="G71" i="8"/>
  <c r="H70" i="8"/>
  <c r="H77" i="8" s="1"/>
  <c r="G70" i="8"/>
  <c r="E70" i="8"/>
  <c r="G69" i="8"/>
  <c r="F69" i="8"/>
  <c r="G68" i="8"/>
  <c r="E68" i="8"/>
  <c r="G67" i="8"/>
  <c r="E67" i="8"/>
  <c r="G66" i="8"/>
  <c r="F66" i="8"/>
  <c r="F77" i="8" s="1"/>
  <c r="G65" i="8"/>
  <c r="E65" i="8"/>
  <c r="G64" i="8"/>
  <c r="F63" i="8"/>
  <c r="G61" i="8"/>
  <c r="G59" i="8"/>
  <c r="H58" i="8"/>
  <c r="G58" i="8"/>
  <c r="G57" i="8"/>
  <c r="H56" i="8"/>
  <c r="G56" i="8"/>
  <c r="H55" i="8"/>
  <c r="G55" i="8"/>
  <c r="H53" i="8"/>
  <c r="G53" i="8"/>
  <c r="H52" i="8"/>
  <c r="G52" i="8"/>
  <c r="H51" i="8"/>
  <c r="H63" i="8" s="1"/>
  <c r="G51" i="8"/>
  <c r="G50" i="8"/>
  <c r="G63" i="8" s="1"/>
  <c r="F49" i="8"/>
  <c r="G47" i="8"/>
  <c r="G44" i="8"/>
  <c r="H43" i="8"/>
  <c r="G43" i="8"/>
  <c r="H42" i="8"/>
  <c r="H49" i="8" s="1"/>
  <c r="G42" i="8"/>
  <c r="G41" i="8"/>
  <c r="G40" i="8"/>
  <c r="E40" i="8"/>
  <c r="G39" i="8"/>
  <c r="G37" i="8"/>
  <c r="G49" i="8" s="1"/>
  <c r="H34" i="8"/>
  <c r="H36" i="8" s="1"/>
  <c r="G34" i="8"/>
  <c r="G29" i="8"/>
  <c r="G26" i="8"/>
  <c r="E26" i="8"/>
  <c r="G25" i="8"/>
  <c r="F25" i="8"/>
  <c r="G24" i="8"/>
  <c r="F24" i="8"/>
  <c r="F36" i="8" s="1"/>
  <c r="G20" i="8"/>
  <c r="G18" i="8"/>
  <c r="F18" i="8"/>
  <c r="G17" i="8"/>
  <c r="H16" i="8"/>
  <c r="G16" i="8"/>
  <c r="F16" i="8"/>
  <c r="H15" i="8"/>
  <c r="G15" i="8"/>
  <c r="F15" i="8"/>
  <c r="G14" i="8"/>
  <c r="G13" i="8"/>
  <c r="G12" i="8"/>
  <c r="G23" i="8" s="1"/>
  <c r="F12" i="8"/>
  <c r="F11" i="8"/>
  <c r="H10" i="8"/>
  <c r="G10" i="8"/>
  <c r="G9" i="8"/>
  <c r="H8" i="8"/>
  <c r="H11" i="8" s="1"/>
  <c r="G8" i="8"/>
  <c r="G7" i="8"/>
  <c r="G5" i="8"/>
  <c r="G2" i="8"/>
  <c r="G11" i="8" s="1"/>
  <c r="G77" i="8" l="1"/>
  <c r="F23" i="8"/>
  <c r="H23" i="8"/>
  <c r="N163" i="8"/>
  <c r="G36" i="8"/>
  <c r="G90" i="8"/>
  <c r="H90" i="8"/>
  <c r="F141" i="8"/>
  <c r="H159" i="8"/>
  <c r="P163" i="8"/>
  <c r="Q163" i="8"/>
  <c r="O163" i="8"/>
  <c r="P165" i="8"/>
  <c r="O165" i="8"/>
  <c r="Q165" i="8"/>
  <c r="P164" i="8"/>
  <c r="O164" i="8"/>
  <c r="Q164" i="8"/>
  <c r="P166" i="8"/>
  <c r="O166" i="8"/>
  <c r="Q166" i="8"/>
  <c r="F392" i="7"/>
  <c r="H367" i="7"/>
  <c r="F367" i="7"/>
  <c r="H378" i="7"/>
  <c r="G378" i="7"/>
  <c r="G377" i="7"/>
  <c r="G376" i="7"/>
  <c r="G375" i="7"/>
  <c r="G373" i="7"/>
  <c r="G370" i="7"/>
  <c r="G369" i="7"/>
  <c r="G368" i="7"/>
  <c r="G367" i="7"/>
  <c r="G365" i="7"/>
  <c r="G362" i="7"/>
  <c r="E368" i="7"/>
  <c r="F365" i="7"/>
  <c r="F379" i="7" s="1"/>
  <c r="Q168" i="8" l="1"/>
  <c r="O168" i="8"/>
  <c r="P168" i="8"/>
  <c r="H379" i="7"/>
  <c r="G379" i="7"/>
  <c r="G358" i="7"/>
  <c r="G357" i="7"/>
  <c r="H356" i="7"/>
  <c r="H361" i="7" s="1"/>
  <c r="G356" i="7"/>
  <c r="G355" i="7"/>
  <c r="G354" i="7"/>
  <c r="G353" i="7"/>
  <c r="G351" i="7"/>
  <c r="G350" i="7"/>
  <c r="F357" i="7"/>
  <c r="F350" i="7"/>
  <c r="F361" i="7" l="1"/>
  <c r="G361" i="7"/>
  <c r="F349" i="7"/>
  <c r="G346" i="7"/>
  <c r="G344" i="7"/>
  <c r="H343" i="7"/>
  <c r="G343" i="7"/>
  <c r="H342" i="7"/>
  <c r="G342" i="7"/>
  <c r="H340" i="7"/>
  <c r="H349" i="7" s="1"/>
  <c r="G340" i="7"/>
  <c r="G339" i="7"/>
  <c r="G338" i="7"/>
  <c r="G349" i="7" l="1"/>
  <c r="H336" i="7"/>
  <c r="G336" i="7"/>
  <c r="H335" i="7"/>
  <c r="H337" i="7" s="1"/>
  <c r="G335" i="7"/>
  <c r="G333" i="7"/>
  <c r="G331" i="7"/>
  <c r="G330" i="7"/>
  <c r="G329" i="7"/>
  <c r="G328" i="7"/>
  <c r="G337" i="7" s="1"/>
  <c r="F330" i="7"/>
  <c r="F329" i="7"/>
  <c r="E329" i="7"/>
  <c r="E328" i="7"/>
  <c r="F337" i="7" l="1"/>
  <c r="L321" i="7"/>
  <c r="K321" i="7"/>
  <c r="G324" i="7"/>
  <c r="H323" i="7"/>
  <c r="G323" i="7"/>
  <c r="G322" i="7"/>
  <c r="G319" i="7"/>
  <c r="G318" i="7"/>
  <c r="H317" i="7"/>
  <c r="H327" i="7" s="1"/>
  <c r="F322" i="7"/>
  <c r="F323" i="7"/>
  <c r="F319" i="7"/>
  <c r="F327" i="7" l="1"/>
  <c r="G327" i="7"/>
  <c r="G315" i="7"/>
  <c r="G312" i="7"/>
  <c r="H311" i="7"/>
  <c r="H316" i="7" s="1"/>
  <c r="G311" i="7"/>
  <c r="G310" i="7"/>
  <c r="F315" i="7"/>
  <c r="F316" i="7" s="1"/>
  <c r="G316" i="7" l="1"/>
  <c r="H304" i="7"/>
  <c r="F304" i="7"/>
  <c r="G302" i="7"/>
  <c r="G300" i="7"/>
  <c r="G297" i="7"/>
  <c r="G296" i="7"/>
  <c r="G295" i="7"/>
  <c r="G294" i="7"/>
  <c r="G304" i="7" l="1"/>
  <c r="F293" i="7"/>
  <c r="H292" i="7"/>
  <c r="H293" i="7" s="1"/>
  <c r="G292" i="7"/>
  <c r="G291" i="7"/>
  <c r="G289" i="7"/>
  <c r="G286" i="7"/>
  <c r="G284" i="7"/>
  <c r="G293" i="7" l="1"/>
  <c r="H283" i="7"/>
  <c r="G281" i="7"/>
  <c r="G279" i="7"/>
  <c r="G274" i="7"/>
  <c r="G273" i="7"/>
  <c r="G272" i="7"/>
  <c r="F273" i="7"/>
  <c r="F283" i="7" s="1"/>
  <c r="E272" i="7"/>
  <c r="G283" i="7" l="1"/>
  <c r="F271" i="7"/>
  <c r="H270" i="7"/>
  <c r="G270" i="7"/>
  <c r="H269" i="7"/>
  <c r="H271" i="7" s="1"/>
  <c r="G269" i="7"/>
  <c r="G267" i="7"/>
  <c r="G271" i="7" l="1"/>
  <c r="F266" i="7"/>
  <c r="G264" i="7" l="1"/>
  <c r="G263" i="7"/>
  <c r="H261" i="7"/>
  <c r="G261" i="7"/>
  <c r="H260" i="7"/>
  <c r="G260" i="7"/>
  <c r="H256" i="7"/>
  <c r="G256" i="7"/>
  <c r="H255" i="7"/>
  <c r="G255" i="7"/>
  <c r="G254" i="7"/>
  <c r="H252" i="7"/>
  <c r="G252" i="7"/>
  <c r="H251" i="7"/>
  <c r="G251" i="7"/>
  <c r="G249" i="7"/>
  <c r="G245" i="7"/>
  <c r="H266" i="7" l="1"/>
  <c r="G266" i="7"/>
  <c r="H235" i="7"/>
  <c r="H244" i="7" s="1"/>
  <c r="G241" i="7"/>
  <c r="G239" i="7"/>
  <c r="G237" i="7"/>
  <c r="G236" i="7"/>
  <c r="G235" i="7"/>
  <c r="G234" i="7"/>
  <c r="G233" i="7"/>
  <c r="G232" i="7"/>
  <c r="F239" i="7"/>
  <c r="E235" i="7"/>
  <c r="F232" i="7"/>
  <c r="F244" i="7" s="1"/>
  <c r="G244" i="7" l="1"/>
  <c r="H231" i="7"/>
  <c r="G227" i="7"/>
  <c r="G226" i="7"/>
  <c r="G225" i="7"/>
  <c r="G224" i="7"/>
  <c r="F225" i="7"/>
  <c r="F231" i="7" s="1"/>
  <c r="E224" i="7"/>
  <c r="G231" i="7" l="1"/>
  <c r="G221" i="7"/>
  <c r="G220" i="7"/>
  <c r="G219" i="7"/>
  <c r="G218" i="7"/>
  <c r="H217" i="7"/>
  <c r="H223" i="7" s="1"/>
  <c r="G217" i="7"/>
  <c r="G216" i="7"/>
  <c r="G223" i="7" s="1"/>
  <c r="F216" i="7"/>
  <c r="F223" i="7" s="1"/>
  <c r="H214" i="7" l="1"/>
  <c r="G214" i="7"/>
  <c r="F214" i="7"/>
  <c r="H209" i="7"/>
  <c r="G209" i="7"/>
  <c r="G207" i="7"/>
  <c r="F207" i="7"/>
  <c r="H204" i="7"/>
  <c r="H205" i="7"/>
  <c r="G204" i="7"/>
  <c r="G205" i="7"/>
  <c r="F204" i="7"/>
  <c r="F205" i="7"/>
  <c r="H203" i="7"/>
  <c r="G203" i="7"/>
  <c r="F203" i="7"/>
  <c r="G215" i="7" l="1"/>
  <c r="F215" i="7"/>
  <c r="H215" i="7"/>
  <c r="H201" i="7"/>
  <c r="G201" i="7"/>
  <c r="G199" i="7"/>
  <c r="H195" i="7"/>
  <c r="G195" i="7"/>
  <c r="G193" i="7"/>
  <c r="H192" i="7"/>
  <c r="G192" i="7"/>
  <c r="G191" i="7"/>
  <c r="G190" i="7"/>
  <c r="F192" i="7"/>
  <c r="F202" i="7" s="1"/>
  <c r="H202" i="7" l="1"/>
  <c r="G202" i="7"/>
  <c r="F189" i="7"/>
  <c r="H186" i="7" l="1"/>
  <c r="G186" i="7"/>
  <c r="H185" i="7"/>
  <c r="G185" i="7"/>
  <c r="G181" i="7"/>
  <c r="H180" i="7"/>
  <c r="G180" i="7"/>
  <c r="H179" i="7"/>
  <c r="G179" i="7"/>
  <c r="H178" i="7"/>
  <c r="G178" i="7"/>
  <c r="G189" i="7" l="1"/>
  <c r="H189" i="7"/>
  <c r="G176" i="7"/>
  <c r="F177" i="7"/>
  <c r="H176" i="7"/>
  <c r="G175" i="7"/>
  <c r="H174" i="7"/>
  <c r="G174" i="7"/>
  <c r="H173" i="7"/>
  <c r="G173" i="7"/>
  <c r="H172" i="7"/>
  <c r="G172" i="7"/>
  <c r="H171" i="7"/>
  <c r="G171" i="7"/>
  <c r="H170" i="7"/>
  <c r="G170" i="7"/>
  <c r="G169" i="7"/>
  <c r="H169" i="7"/>
  <c r="H168" i="7"/>
  <c r="G168" i="7"/>
  <c r="G166" i="7"/>
  <c r="G177" i="7" l="1"/>
  <c r="H177" i="7"/>
  <c r="H156" i="7"/>
  <c r="H164" i="7"/>
  <c r="G164" i="7"/>
  <c r="G163" i="7"/>
  <c r="G161" i="7"/>
  <c r="G160" i="7"/>
  <c r="G159" i="7"/>
  <c r="G158" i="7"/>
  <c r="G157" i="7"/>
  <c r="G156" i="7"/>
  <c r="H155" i="7"/>
  <c r="G155" i="7"/>
  <c r="F160" i="7"/>
  <c r="F165" i="7" s="1"/>
  <c r="E156" i="7"/>
  <c r="E155" i="7"/>
  <c r="H165" i="7" l="1"/>
  <c r="G165" i="7"/>
  <c r="H151" i="7"/>
  <c r="G151" i="7"/>
  <c r="G150" i="7"/>
  <c r="G148" i="7"/>
  <c r="G144" i="7"/>
  <c r="H143" i="7"/>
  <c r="G143" i="7"/>
  <c r="G142" i="7"/>
  <c r="G141" i="7"/>
  <c r="F141" i="7"/>
  <c r="F152" i="7" s="1"/>
  <c r="G152" i="7" l="1"/>
  <c r="H152" i="7"/>
  <c r="F140" i="7"/>
  <c r="H139" i="7" l="1"/>
  <c r="G139" i="7"/>
  <c r="G138" i="7"/>
  <c r="G137" i="7"/>
  <c r="G136" i="7"/>
  <c r="H135" i="7"/>
  <c r="G134" i="7"/>
  <c r="G133" i="7"/>
  <c r="G132" i="7"/>
  <c r="G131" i="7"/>
  <c r="G140" i="7" l="1"/>
  <c r="H140" i="7"/>
  <c r="F130" i="7"/>
  <c r="H129" i="7"/>
  <c r="G129" i="7"/>
  <c r="G128" i="7"/>
  <c r="G126" i="7"/>
  <c r="G121" i="7"/>
  <c r="H119" i="7"/>
  <c r="G119" i="7"/>
  <c r="H130" i="7" l="1"/>
  <c r="G130" i="7"/>
  <c r="H108" i="7"/>
  <c r="F118" i="7"/>
  <c r="G116" i="7"/>
  <c r="G115" i="7"/>
  <c r="G114" i="7"/>
  <c r="H113" i="7"/>
  <c r="G113" i="7"/>
  <c r="G112" i="7"/>
  <c r="G111" i="7"/>
  <c r="G110" i="7"/>
  <c r="G109" i="7"/>
  <c r="G108" i="7"/>
  <c r="G105" i="7"/>
  <c r="G118" i="7" l="1"/>
  <c r="H118" i="7"/>
  <c r="H103" i="7"/>
  <c r="H104" i="7" s="1"/>
  <c r="G103" i="7"/>
  <c r="G101" i="7"/>
  <c r="G100" i="7"/>
  <c r="G97" i="7"/>
  <c r="G96" i="7"/>
  <c r="G95" i="7"/>
  <c r="F103" i="7"/>
  <c r="F104" i="7" s="1"/>
  <c r="G104" i="7" l="1"/>
  <c r="H85" i="7"/>
  <c r="F94" i="7"/>
  <c r="H93" i="7"/>
  <c r="G93" i="7"/>
  <c r="H91" i="7"/>
  <c r="G91" i="7"/>
  <c r="H90" i="7"/>
  <c r="G90" i="7"/>
  <c r="G89" i="7"/>
  <c r="H88" i="7"/>
  <c r="G88" i="7"/>
  <c r="H87" i="7"/>
  <c r="G87" i="7"/>
  <c r="G86" i="7"/>
  <c r="G85" i="7"/>
  <c r="H84" i="7"/>
  <c r="G84" i="7"/>
  <c r="H94" i="7" l="1"/>
  <c r="G94" i="7"/>
  <c r="F83" i="7"/>
  <c r="H81" i="7"/>
  <c r="G81" i="7"/>
  <c r="G80" i="7"/>
  <c r="G78" i="7"/>
  <c r="H77" i="7"/>
  <c r="G77" i="7"/>
  <c r="H76" i="7"/>
  <c r="H83" i="7" s="1"/>
  <c r="G76" i="7"/>
  <c r="G83" i="7" l="1"/>
  <c r="F74" i="7"/>
  <c r="G70" i="7"/>
  <c r="G69" i="7"/>
  <c r="H68" i="7"/>
  <c r="G68" i="7"/>
  <c r="H67" i="7"/>
  <c r="G67" i="7"/>
  <c r="H66" i="7"/>
  <c r="G66" i="7"/>
  <c r="H62" i="7"/>
  <c r="G62" i="7"/>
  <c r="H61" i="7"/>
  <c r="H74" i="7" s="1"/>
  <c r="G61" i="7"/>
  <c r="G60" i="7"/>
  <c r="G74" i="7" l="1"/>
  <c r="F59" i="7"/>
  <c r="H58" i="7"/>
  <c r="H59" i="7" s="1"/>
  <c r="G58" i="7"/>
  <c r="G57" i="7"/>
  <c r="G55" i="7"/>
  <c r="G54" i="7"/>
  <c r="G53" i="7"/>
  <c r="G52" i="7"/>
  <c r="G59" i="7" l="1"/>
  <c r="F50" i="7"/>
  <c r="H46" i="7"/>
  <c r="G46" i="7"/>
  <c r="G45" i="7"/>
  <c r="G44" i="7"/>
  <c r="G43" i="7"/>
  <c r="H42" i="7"/>
  <c r="G42" i="7"/>
  <c r="G41" i="7"/>
  <c r="H38" i="7"/>
  <c r="G38" i="7"/>
  <c r="H37" i="7"/>
  <c r="G37" i="7"/>
  <c r="H36" i="7"/>
  <c r="G36" i="7"/>
  <c r="G50" i="7" s="1"/>
  <c r="H50" i="7" l="1"/>
  <c r="H33" i="7" l="1"/>
  <c r="G33" i="7"/>
  <c r="G32" i="7"/>
  <c r="G30" i="7"/>
  <c r="H29" i="7"/>
  <c r="G29" i="7"/>
  <c r="G28" i="7"/>
  <c r="H26" i="7"/>
  <c r="G26" i="7"/>
  <c r="G25" i="7"/>
  <c r="F30" i="7"/>
  <c r="F35" i="7" s="1"/>
  <c r="H21" i="7"/>
  <c r="F21" i="7"/>
  <c r="G13" i="7"/>
  <c r="G12" i="7"/>
  <c r="G11" i="7"/>
  <c r="G21" i="7" l="1"/>
  <c r="G35" i="7"/>
  <c r="H35" i="7"/>
  <c r="F386" i="6"/>
  <c r="H381" i="6"/>
  <c r="G381" i="6"/>
  <c r="H380" i="6"/>
  <c r="H386" i="6" s="1"/>
  <c r="G380" i="6"/>
  <c r="G386" i="6" s="1"/>
  <c r="H374" i="6" l="1"/>
  <c r="G375" i="6"/>
  <c r="G374" i="6"/>
  <c r="G373" i="6"/>
  <c r="H371" i="6"/>
  <c r="H377" i="6" s="1"/>
  <c r="G371" i="6"/>
  <c r="G370" i="6"/>
  <c r="G368" i="6"/>
  <c r="G367" i="6"/>
  <c r="F370" i="6"/>
  <c r="F368" i="6"/>
  <c r="F367" i="6"/>
  <c r="F377" i="6" s="1"/>
  <c r="G377" i="6" l="1"/>
  <c r="H356" i="6"/>
  <c r="H363" i="6" s="1"/>
  <c r="F363" i="6"/>
  <c r="G361" i="6"/>
  <c r="G356" i="6"/>
  <c r="G355" i="6"/>
  <c r="G353" i="6"/>
  <c r="G363" i="6" s="1"/>
  <c r="F352" i="6" l="1"/>
  <c r="H349" i="6"/>
  <c r="H352" i="6" s="1"/>
  <c r="G349" i="6"/>
  <c r="G347" i="6"/>
  <c r="G352" i="6" s="1"/>
  <c r="H338" i="6" l="1"/>
  <c r="G338" i="6"/>
  <c r="G335" i="6"/>
  <c r="G330" i="6"/>
  <c r="H329" i="6"/>
  <c r="G329" i="6"/>
  <c r="H325" i="6"/>
  <c r="H339" i="6" s="1"/>
  <c r="G325" i="6"/>
  <c r="F326" i="6"/>
  <c r="F339" i="6" s="1"/>
  <c r="G339" i="6" l="1"/>
  <c r="H321" i="6"/>
  <c r="G318" i="6"/>
  <c r="H317" i="6"/>
  <c r="H323" i="6" s="1"/>
  <c r="G317" i="6"/>
  <c r="G316" i="6"/>
  <c r="G314" i="6"/>
  <c r="G312" i="6"/>
  <c r="G323" i="6" s="1"/>
  <c r="F318" i="6"/>
  <c r="F323" i="6" s="1"/>
  <c r="F311" i="6" l="1"/>
  <c r="H310" i="6"/>
  <c r="G310" i="6"/>
  <c r="G309" i="6"/>
  <c r="H306" i="6"/>
  <c r="G306" i="6"/>
  <c r="G305" i="6"/>
  <c r="H304" i="6"/>
  <c r="H311" i="6" s="1"/>
  <c r="G304" i="6"/>
  <c r="G301" i="6"/>
  <c r="G311" i="6" s="1"/>
  <c r="F299" i="6" l="1"/>
  <c r="H296" i="6"/>
  <c r="G296" i="6"/>
  <c r="G295" i="6"/>
  <c r="G294" i="6"/>
  <c r="H291" i="6"/>
  <c r="G291" i="6"/>
  <c r="G290" i="6"/>
  <c r="H289" i="6"/>
  <c r="G289" i="6"/>
  <c r="G288" i="6"/>
  <c r="G299" i="6" l="1"/>
  <c r="H299" i="6"/>
  <c r="G285" i="6"/>
  <c r="H284" i="6"/>
  <c r="G284" i="6"/>
  <c r="G283" i="6"/>
  <c r="G278" i="6"/>
  <c r="H277" i="6"/>
  <c r="H287" i="6" s="1"/>
  <c r="G277" i="6"/>
  <c r="G274" i="6"/>
  <c r="G272" i="6"/>
  <c r="F272" i="6"/>
  <c r="F287" i="6" s="1"/>
  <c r="G287" i="6" l="1"/>
  <c r="G266" i="6"/>
  <c r="H269" i="6"/>
  <c r="F271" i="6"/>
  <c r="H270" i="6"/>
  <c r="G270" i="6"/>
  <c r="G269" i="6"/>
  <c r="H263" i="6"/>
  <c r="G263" i="6"/>
  <c r="G262" i="6"/>
  <c r="G260" i="6"/>
  <c r="G271" i="6" l="1"/>
  <c r="H271" i="6"/>
  <c r="H254" i="6" l="1"/>
  <c r="G254" i="6"/>
  <c r="G253" i="6"/>
  <c r="G251" i="6"/>
  <c r="G259" i="6" s="1"/>
  <c r="F258" i="6"/>
  <c r="F253" i="6"/>
  <c r="F251" i="6"/>
  <c r="F249" i="6"/>
  <c r="F259" i="6" s="1"/>
  <c r="H248" i="6"/>
  <c r="G245" i="6"/>
  <c r="G243" i="6"/>
  <c r="F246" i="6"/>
  <c r="F248" i="6" s="1"/>
  <c r="G248" i="6" l="1"/>
  <c r="H249" i="6"/>
  <c r="H259" i="6" s="1"/>
  <c r="F241" i="6"/>
  <c r="G239" i="6"/>
  <c r="H234" i="6"/>
  <c r="G234" i="6"/>
  <c r="G233" i="6"/>
  <c r="G232" i="6"/>
  <c r="H231" i="6"/>
  <c r="H241" i="6" s="1"/>
  <c r="G231" i="6"/>
  <c r="G241" i="6" s="1"/>
  <c r="E238" i="6"/>
  <c r="F229" i="6" l="1"/>
  <c r="H227" i="6"/>
  <c r="G227" i="6"/>
  <c r="G226" i="6"/>
  <c r="H225" i="6"/>
  <c r="G225" i="6"/>
  <c r="G229" i="6" s="1"/>
  <c r="H229" i="6" l="1"/>
  <c r="G219" i="6"/>
  <c r="G218" i="6"/>
  <c r="F222" i="6"/>
  <c r="H221" i="6"/>
  <c r="G221" i="6"/>
  <c r="G220" i="6"/>
  <c r="G217" i="6"/>
  <c r="G216" i="6"/>
  <c r="H215" i="6"/>
  <c r="G215" i="6"/>
  <c r="H212" i="6"/>
  <c r="H222" i="6" s="1"/>
  <c r="G212" i="6"/>
  <c r="G222" i="6" l="1"/>
  <c r="F210" i="6" l="1"/>
  <c r="G208" i="6"/>
  <c r="H207" i="6"/>
  <c r="G207" i="6"/>
  <c r="G206" i="6"/>
  <c r="H205" i="6"/>
  <c r="G205" i="6"/>
  <c r="G204" i="6"/>
  <c r="H203" i="6"/>
  <c r="G203" i="6"/>
  <c r="H202" i="6"/>
  <c r="G202" i="6"/>
  <c r="G200" i="6"/>
  <c r="H199" i="6"/>
  <c r="H210" i="6" s="1"/>
  <c r="G199" i="6"/>
  <c r="G198" i="6"/>
  <c r="G210" i="6" s="1"/>
  <c r="F197" i="6" l="1"/>
  <c r="H194" i="6"/>
  <c r="G194" i="6"/>
  <c r="G193" i="6"/>
  <c r="G191" i="6"/>
  <c r="G190" i="6"/>
  <c r="H189" i="6"/>
  <c r="G189" i="6"/>
  <c r="G188" i="6"/>
  <c r="G197" i="6" l="1"/>
  <c r="H197" i="6"/>
  <c r="F187" i="6"/>
  <c r="G185" i="6"/>
  <c r="G184" i="6"/>
  <c r="G183" i="6"/>
  <c r="G182" i="6"/>
  <c r="G181" i="6"/>
  <c r="G180" i="6"/>
  <c r="G176" i="6"/>
  <c r="H175" i="6"/>
  <c r="G175" i="6"/>
  <c r="H174" i="6"/>
  <c r="H187" i="6" s="1"/>
  <c r="G174" i="6"/>
  <c r="G187" i="6" s="1"/>
  <c r="L2" i="6" l="1"/>
  <c r="H172" i="6" l="1"/>
  <c r="G172" i="6"/>
  <c r="G171" i="6"/>
  <c r="G170" i="6"/>
  <c r="G167" i="6"/>
  <c r="G166" i="6"/>
  <c r="G164" i="6"/>
  <c r="H163" i="6"/>
  <c r="G163" i="6"/>
  <c r="G162" i="6"/>
  <c r="H161" i="6"/>
  <c r="G161" i="6"/>
  <c r="G160" i="6"/>
  <c r="F167" i="6"/>
  <c r="F166" i="6"/>
  <c r="F164" i="6"/>
  <c r="G173" i="6" l="1"/>
  <c r="H173" i="6"/>
  <c r="F173" i="6"/>
  <c r="G158" i="6"/>
  <c r="G157" i="6"/>
  <c r="G156" i="6"/>
  <c r="H155" i="6"/>
  <c r="G155" i="6"/>
  <c r="F158" i="6"/>
  <c r="F159" i="6" s="1"/>
  <c r="G152" i="6"/>
  <c r="H151" i="6"/>
  <c r="G151" i="6"/>
  <c r="G150" i="6"/>
  <c r="G147" i="6"/>
  <c r="G146" i="6"/>
  <c r="G145" i="6"/>
  <c r="G143" i="6"/>
  <c r="H142" i="6"/>
  <c r="G142" i="6"/>
  <c r="G141" i="6"/>
  <c r="G139" i="6"/>
  <c r="G159" i="6" l="1"/>
  <c r="H159" i="6"/>
  <c r="G133" i="6"/>
  <c r="G136" i="6" l="1"/>
  <c r="H130" i="6"/>
  <c r="G130" i="6"/>
  <c r="H129" i="6"/>
  <c r="G129" i="6"/>
  <c r="G127" i="6"/>
  <c r="H126" i="6"/>
  <c r="G126" i="6"/>
  <c r="G138" i="6" s="1"/>
  <c r="F131" i="6"/>
  <c r="F138" i="6" s="1"/>
  <c r="H138" i="6" l="1"/>
  <c r="F125" i="6"/>
  <c r="G122" i="6"/>
  <c r="G121" i="6"/>
  <c r="H120" i="6"/>
  <c r="G120" i="6"/>
  <c r="G119" i="6"/>
  <c r="G117" i="6"/>
  <c r="G114" i="6"/>
  <c r="H113" i="6"/>
  <c r="G113" i="6"/>
  <c r="G112" i="6"/>
  <c r="H111" i="6"/>
  <c r="G111" i="6"/>
  <c r="H110" i="6"/>
  <c r="G110" i="6"/>
  <c r="H109" i="6"/>
  <c r="G109" i="6"/>
  <c r="H108" i="6"/>
  <c r="G108" i="6"/>
  <c r="G107" i="6"/>
  <c r="E121" i="6"/>
  <c r="G125" i="6" l="1"/>
  <c r="H125" i="6"/>
  <c r="G105" i="6"/>
  <c r="G104" i="6"/>
  <c r="G103" i="6"/>
  <c r="H102" i="6"/>
  <c r="G102" i="6"/>
  <c r="H100" i="6"/>
  <c r="G100" i="6"/>
  <c r="G99" i="6"/>
  <c r="H98" i="6"/>
  <c r="G98" i="6"/>
  <c r="H97" i="6"/>
  <c r="G97" i="6"/>
  <c r="H96" i="6"/>
  <c r="G96" i="6"/>
  <c r="G95" i="6"/>
  <c r="F105" i="6"/>
  <c r="F103" i="6"/>
  <c r="F106" i="6" l="1"/>
  <c r="G106" i="6"/>
  <c r="H106" i="6"/>
  <c r="H85" i="6"/>
  <c r="G83" i="6"/>
  <c r="H83" i="6"/>
  <c r="F94" i="6"/>
  <c r="H92" i="6"/>
  <c r="G92" i="6"/>
  <c r="G89" i="6"/>
  <c r="G88" i="6"/>
  <c r="G86" i="6"/>
  <c r="G85" i="6"/>
  <c r="H84" i="6"/>
  <c r="G84" i="6"/>
  <c r="H82" i="6"/>
  <c r="G82" i="6"/>
  <c r="G81" i="6"/>
  <c r="G94" i="6" l="1"/>
  <c r="H94" i="6"/>
  <c r="F73" i="6"/>
  <c r="H73" i="6"/>
  <c r="F80" i="6"/>
  <c r="G78" i="6"/>
  <c r="H75" i="6"/>
  <c r="G75" i="6"/>
  <c r="H74" i="6"/>
  <c r="G74" i="6"/>
  <c r="G73" i="6"/>
  <c r="H72" i="6"/>
  <c r="G72" i="6"/>
  <c r="G71" i="6"/>
  <c r="G70" i="6"/>
  <c r="G68" i="6"/>
  <c r="F58" i="6"/>
  <c r="G58" i="6"/>
  <c r="H57" i="6"/>
  <c r="F67" i="6"/>
  <c r="G65" i="6"/>
  <c r="H63" i="6"/>
  <c r="G63" i="6"/>
  <c r="G62" i="6"/>
  <c r="H61" i="6"/>
  <c r="G61" i="6"/>
  <c r="G60" i="6"/>
  <c r="H59" i="6"/>
  <c r="G59" i="6"/>
  <c r="G57" i="6"/>
  <c r="H56" i="6"/>
  <c r="G56" i="6"/>
  <c r="G55" i="6"/>
  <c r="G80" i="6" l="1"/>
  <c r="G67" i="6"/>
  <c r="H67" i="6"/>
  <c r="H80" i="6"/>
  <c r="G51" i="6"/>
  <c r="H48" i="6"/>
  <c r="G48" i="6"/>
  <c r="G47" i="6"/>
  <c r="H45" i="6"/>
  <c r="G45" i="6"/>
  <c r="H44" i="6"/>
  <c r="G44" i="6"/>
  <c r="H43" i="6"/>
  <c r="G43" i="6"/>
  <c r="G54" i="6" s="1"/>
  <c r="F46" i="6"/>
  <c r="F54" i="6" s="1"/>
  <c r="H54" i="6" l="1"/>
  <c r="G33" i="6"/>
  <c r="H33" i="6"/>
  <c r="H39" i="6" l="1"/>
  <c r="G39" i="6"/>
  <c r="G38" i="6"/>
  <c r="H37" i="6"/>
  <c r="G36" i="6"/>
  <c r="H35" i="6"/>
  <c r="H42" i="6" s="1"/>
  <c r="G35" i="6"/>
  <c r="G34" i="6"/>
  <c r="G32" i="6"/>
  <c r="F41" i="6"/>
  <c r="F40" i="6"/>
  <c r="F38" i="6"/>
  <c r="F42" i="6" s="1"/>
  <c r="G42" i="6" l="1"/>
  <c r="F31" i="6"/>
  <c r="G28" i="6"/>
  <c r="G27" i="6"/>
  <c r="H26" i="6"/>
  <c r="G26" i="6"/>
  <c r="G23" i="6"/>
  <c r="H22" i="6"/>
  <c r="G22" i="6"/>
  <c r="G31" i="6" l="1"/>
  <c r="H31" i="6"/>
  <c r="H21" i="6"/>
  <c r="F21" i="6"/>
  <c r="G16" i="6"/>
  <c r="G15" i="6"/>
  <c r="G14" i="6"/>
  <c r="G21" i="6" l="1"/>
  <c r="G2" i="5"/>
  <c r="G3" i="5"/>
  <c r="G4" i="5"/>
  <c r="G5" i="5"/>
  <c r="G6" i="5"/>
  <c r="G7" i="5"/>
  <c r="G8" i="5"/>
  <c r="H8" i="5"/>
  <c r="F10" i="5"/>
  <c r="H10" i="5" s="1"/>
  <c r="H11" i="5" s="1"/>
  <c r="F12" i="5"/>
  <c r="G12" i="5"/>
  <c r="G13" i="5"/>
  <c r="G14" i="5"/>
  <c r="G15" i="5"/>
  <c r="G16" i="5"/>
  <c r="H16" i="5"/>
  <c r="G17" i="5"/>
  <c r="G19" i="5"/>
  <c r="G21" i="5"/>
  <c r="F25" i="5"/>
  <c r="H25" i="5"/>
  <c r="G26" i="5"/>
  <c r="G28" i="5"/>
  <c r="H28" i="5"/>
  <c r="H32" i="5" s="1"/>
  <c r="G30" i="5"/>
  <c r="F32" i="5"/>
  <c r="G33" i="5"/>
  <c r="H33" i="5"/>
  <c r="H42" i="5" s="1"/>
  <c r="G34" i="5"/>
  <c r="G40" i="5"/>
  <c r="F42" i="5"/>
  <c r="G44" i="5"/>
  <c r="G45" i="5"/>
  <c r="G46" i="5"/>
  <c r="G48" i="5"/>
  <c r="G51" i="5"/>
  <c r="H51" i="5"/>
  <c r="F52" i="5"/>
  <c r="H52" i="5"/>
  <c r="G53" i="5"/>
  <c r="G54" i="5"/>
  <c r="G55" i="5"/>
  <c r="G56" i="5"/>
  <c r="H56" i="5"/>
  <c r="G57" i="5"/>
  <c r="G58" i="5"/>
  <c r="G59" i="5"/>
  <c r="G60" i="5"/>
  <c r="H60" i="5"/>
  <c r="G61" i="5"/>
  <c r="G63" i="5"/>
  <c r="H63" i="5"/>
  <c r="G64" i="5"/>
  <c r="H64" i="5"/>
  <c r="F65" i="5"/>
  <c r="G66" i="5"/>
  <c r="H66" i="5"/>
  <c r="G67" i="5"/>
  <c r="H67" i="5"/>
  <c r="G68" i="5"/>
  <c r="H68" i="5"/>
  <c r="G69" i="5"/>
  <c r="H69" i="5"/>
  <c r="G70" i="5"/>
  <c r="G71" i="5"/>
  <c r="H71" i="5"/>
  <c r="G75" i="5"/>
  <c r="G76" i="5"/>
  <c r="H76" i="5"/>
  <c r="G77" i="5"/>
  <c r="F81" i="5"/>
  <c r="G82" i="5"/>
  <c r="G83" i="5"/>
  <c r="G84" i="5"/>
  <c r="G85" i="5"/>
  <c r="G86" i="5"/>
  <c r="G87" i="5"/>
  <c r="F90" i="5"/>
  <c r="H90" i="5"/>
  <c r="G91" i="5"/>
  <c r="G92" i="5"/>
  <c r="G93" i="5"/>
  <c r="G94" i="5"/>
  <c r="G95" i="5"/>
  <c r="G96" i="5"/>
  <c r="G98" i="5"/>
  <c r="G100" i="5"/>
  <c r="G102" i="5"/>
  <c r="G103" i="5"/>
  <c r="F104" i="5"/>
  <c r="H104" i="5"/>
  <c r="G105" i="5"/>
  <c r="G106" i="5"/>
  <c r="H106" i="5"/>
  <c r="G107" i="5"/>
  <c r="G108" i="5"/>
  <c r="G109" i="5"/>
  <c r="G110" i="5"/>
  <c r="G113" i="5"/>
  <c r="F118" i="5"/>
  <c r="H118" i="5"/>
  <c r="G119" i="5"/>
  <c r="G123" i="5"/>
  <c r="G125" i="5"/>
  <c r="G126" i="5"/>
  <c r="G127" i="5"/>
  <c r="G128" i="5"/>
  <c r="G129" i="5"/>
  <c r="F132" i="5"/>
  <c r="H132" i="5"/>
  <c r="G133" i="5"/>
  <c r="G134" i="5"/>
  <c r="G135" i="5"/>
  <c r="G138" i="5"/>
  <c r="F142" i="5"/>
  <c r="H142" i="5"/>
  <c r="F143" i="5"/>
  <c r="G143" i="5"/>
  <c r="G147" i="5"/>
  <c r="G148" i="5"/>
  <c r="G149" i="5"/>
  <c r="G150" i="5"/>
  <c r="G152" i="5"/>
  <c r="G153" i="5"/>
  <c r="H153" i="5"/>
  <c r="G154" i="5"/>
  <c r="H154" i="5"/>
  <c r="G155" i="5"/>
  <c r="G156" i="5"/>
  <c r="G157" i="5"/>
  <c r="F161" i="5"/>
  <c r="H161" i="5"/>
  <c r="G164" i="5"/>
  <c r="G165" i="5"/>
  <c r="H165" i="5"/>
  <c r="F166" i="5"/>
  <c r="F174" i="5" s="1"/>
  <c r="G166" i="5"/>
  <c r="H166" i="5"/>
  <c r="G167" i="5"/>
  <c r="H167" i="5"/>
  <c r="H168" i="5"/>
  <c r="G169" i="5"/>
  <c r="G170" i="5"/>
  <c r="H170" i="5"/>
  <c r="G171" i="5"/>
  <c r="H171" i="5"/>
  <c r="G172" i="5"/>
  <c r="H172" i="5"/>
  <c r="G173" i="5"/>
  <c r="H173" i="5"/>
  <c r="G175" i="5"/>
  <c r="G176" i="5"/>
  <c r="G177" i="5"/>
  <c r="G178" i="5"/>
  <c r="G179" i="5"/>
  <c r="H179" i="5"/>
  <c r="F181" i="5"/>
  <c r="F189" i="5" s="1"/>
  <c r="G181" i="5"/>
  <c r="G182" i="5"/>
  <c r="G185" i="5"/>
  <c r="G187" i="5"/>
  <c r="H189" i="5"/>
  <c r="G190" i="5"/>
  <c r="G191" i="5"/>
  <c r="G192" i="5"/>
  <c r="G193" i="5"/>
  <c r="G194" i="5"/>
  <c r="G195" i="5"/>
  <c r="H195" i="5"/>
  <c r="G196" i="5"/>
  <c r="F200" i="5"/>
  <c r="H200" i="5"/>
  <c r="G201" i="5"/>
  <c r="G202" i="5"/>
  <c r="G203" i="5"/>
  <c r="G205" i="5"/>
  <c r="G208" i="5"/>
  <c r="G212" i="5"/>
  <c r="F218" i="5"/>
  <c r="G218" i="5"/>
  <c r="H218" i="5"/>
  <c r="F219" i="5"/>
  <c r="G219" i="5"/>
  <c r="G220" i="5"/>
  <c r="G221" i="5"/>
  <c r="G222" i="5"/>
  <c r="F223" i="5"/>
  <c r="G223" i="5"/>
  <c r="G224" i="5"/>
  <c r="G227" i="5"/>
  <c r="G228" i="5"/>
  <c r="F233" i="5"/>
  <c r="H233" i="5"/>
  <c r="G234" i="5"/>
  <c r="G235" i="5"/>
  <c r="G236" i="5"/>
  <c r="G238" i="5"/>
  <c r="H238" i="5"/>
  <c r="G239" i="5"/>
  <c r="G243" i="5"/>
  <c r="G245" i="5"/>
  <c r="G246" i="5"/>
  <c r="H246" i="5"/>
  <c r="F247" i="5"/>
  <c r="E248" i="5"/>
  <c r="G248" i="5"/>
  <c r="G249" i="5"/>
  <c r="G250" i="5"/>
  <c r="G251" i="5"/>
  <c r="G252" i="5"/>
  <c r="G253" i="5"/>
  <c r="G254" i="5"/>
  <c r="G255" i="5"/>
  <c r="F256" i="5"/>
  <c r="G256" i="5"/>
  <c r="G257" i="5"/>
  <c r="H257" i="5"/>
  <c r="G258" i="5"/>
  <c r="H258" i="5"/>
  <c r="G259" i="5"/>
  <c r="G261" i="5"/>
  <c r="H261" i="5"/>
  <c r="G262" i="5"/>
  <c r="H262" i="5"/>
  <c r="F263" i="5"/>
  <c r="G264" i="5"/>
  <c r="H264" i="5"/>
  <c r="G265" i="5"/>
  <c r="H265" i="5"/>
  <c r="G267" i="5"/>
  <c r="G268" i="5"/>
  <c r="H268" i="5"/>
  <c r="G269" i="5"/>
  <c r="G270" i="5"/>
  <c r="H270" i="5"/>
  <c r="G271" i="5"/>
  <c r="H271" i="5"/>
  <c r="F272" i="5"/>
  <c r="G273" i="5"/>
  <c r="F276" i="5"/>
  <c r="G276" i="5"/>
  <c r="F277" i="5"/>
  <c r="G277" i="5"/>
  <c r="G278" i="5"/>
  <c r="G281" i="5"/>
  <c r="H281" i="5"/>
  <c r="G285" i="5"/>
  <c r="F286" i="5"/>
  <c r="G286" i="5"/>
  <c r="F288" i="5"/>
  <c r="G288" i="5"/>
  <c r="H288" i="5"/>
  <c r="F289" i="5"/>
  <c r="G289" i="5"/>
  <c r="E290" i="5"/>
  <c r="G290" i="5"/>
  <c r="E291" i="5"/>
  <c r="G291" i="5"/>
  <c r="E292" i="5"/>
  <c r="G292" i="5"/>
  <c r="G293" i="5"/>
  <c r="G294" i="5"/>
  <c r="F297" i="5"/>
  <c r="H297" i="5"/>
  <c r="G298" i="5"/>
  <c r="F299" i="5"/>
  <c r="F315" i="5" s="1"/>
  <c r="G299" i="5"/>
  <c r="G300" i="5"/>
  <c r="G302" i="5"/>
  <c r="H302" i="5"/>
  <c r="H315" i="5" s="1"/>
  <c r="G303" i="5"/>
  <c r="G305" i="5"/>
  <c r="G308" i="5"/>
  <c r="G310" i="5"/>
  <c r="G311" i="5"/>
  <c r="G312" i="5"/>
  <c r="G315" i="5"/>
  <c r="G316" i="5"/>
  <c r="G317" i="5"/>
  <c r="F318" i="5"/>
  <c r="G318" i="5"/>
  <c r="G319" i="5"/>
  <c r="G320" i="5"/>
  <c r="G322" i="5"/>
  <c r="G323" i="5"/>
  <c r="H323" i="5"/>
  <c r="G324" i="5"/>
  <c r="F326" i="5"/>
  <c r="H326" i="5"/>
  <c r="G327" i="5"/>
  <c r="F328" i="5"/>
  <c r="F338" i="5" s="1"/>
  <c r="G328" i="5"/>
  <c r="G329" i="5"/>
  <c r="G330" i="5"/>
  <c r="G332" i="5"/>
  <c r="H332" i="5"/>
  <c r="G333" i="5"/>
  <c r="H338" i="5"/>
  <c r="F339" i="5"/>
  <c r="G339" i="5"/>
  <c r="F340" i="5"/>
  <c r="G340" i="5"/>
  <c r="G341" i="5"/>
  <c r="G342" i="5"/>
  <c r="G343" i="5"/>
  <c r="G344" i="5"/>
  <c r="G346" i="5"/>
  <c r="G348" i="5"/>
  <c r="G349" i="5"/>
  <c r="G350" i="5"/>
  <c r="F353" i="5"/>
  <c r="H353" i="5"/>
  <c r="G354" i="5"/>
  <c r="H354" i="5"/>
  <c r="G355" i="5"/>
  <c r="H355" i="5"/>
  <c r="G356" i="5"/>
  <c r="G357" i="5"/>
  <c r="H357" i="5"/>
  <c r="G358" i="5"/>
  <c r="G359" i="5"/>
  <c r="H359" i="5"/>
  <c r="F361" i="5"/>
  <c r="G361" i="5"/>
  <c r="G362" i="5"/>
  <c r="G368" i="5"/>
  <c r="G369" i="5" s="1"/>
  <c r="H368" i="5"/>
  <c r="H369" i="5" s="1"/>
  <c r="F369" i="5"/>
  <c r="F370" i="5"/>
  <c r="G370" i="5"/>
  <c r="F371" i="5"/>
  <c r="G371" i="5"/>
  <c r="F372" i="5"/>
  <c r="H372" i="5"/>
  <c r="F373" i="5"/>
  <c r="G373" i="5"/>
  <c r="H373" i="5"/>
  <c r="G374" i="5"/>
  <c r="G375" i="5"/>
  <c r="F381" i="5"/>
  <c r="G381" i="5"/>
  <c r="F382" i="5"/>
  <c r="G382" i="5"/>
  <c r="G383" i="5"/>
  <c r="G384" i="5"/>
  <c r="G385" i="5"/>
  <c r="G386" i="5"/>
  <c r="G387" i="5"/>
  <c r="G390" i="5"/>
  <c r="F393" i="5"/>
  <c r="G393" i="5"/>
  <c r="H393" i="5"/>
  <c r="F394" i="5"/>
  <c r="G394" i="5"/>
  <c r="G395" i="5"/>
  <c r="G396" i="5"/>
  <c r="G397" i="5"/>
  <c r="G398" i="5"/>
  <c r="G399" i="5"/>
  <c r="G402" i="5"/>
  <c r="F405" i="5"/>
  <c r="H405" i="5"/>
  <c r="F407" i="5"/>
  <c r="G407" i="5"/>
  <c r="F408" i="5"/>
  <c r="G408" i="5"/>
  <c r="F409" i="5"/>
  <c r="G409" i="5"/>
  <c r="H409" i="5"/>
  <c r="G2" i="6"/>
  <c r="G4" i="6"/>
  <c r="G5" i="6"/>
  <c r="G6" i="6"/>
  <c r="G8" i="6"/>
  <c r="F9" i="6"/>
  <c r="F11" i="6" s="1"/>
  <c r="G9" i="6"/>
  <c r="G10" i="6"/>
  <c r="H11" i="6"/>
  <c r="G338" i="5" l="1"/>
  <c r="G297" i="5"/>
  <c r="G272" i="5"/>
  <c r="H263" i="5"/>
  <c r="G247" i="5"/>
  <c r="G189" i="5"/>
  <c r="G174" i="5"/>
  <c r="G132" i="5"/>
  <c r="G118" i="5"/>
  <c r="H65" i="5"/>
  <c r="G25" i="5"/>
  <c r="G11" i="5"/>
  <c r="G405" i="5"/>
  <c r="H361" i="5"/>
  <c r="G263" i="5"/>
  <c r="G233" i="5"/>
  <c r="H174" i="5"/>
  <c r="G90" i="5"/>
  <c r="G42" i="5"/>
  <c r="G353" i="5"/>
  <c r="G326" i="5"/>
  <c r="H272" i="5"/>
  <c r="H247" i="5"/>
  <c r="G200" i="5"/>
  <c r="G161" i="5"/>
  <c r="H81" i="5"/>
  <c r="G32" i="5"/>
  <c r="G11" i="6"/>
  <c r="G104" i="5"/>
  <c r="G65" i="5"/>
  <c r="F11" i="5"/>
  <c r="G142" i="5"/>
  <c r="G81" i="5"/>
  <c r="G52" i="5"/>
  <c r="F348" i="4"/>
  <c r="G346" i="4"/>
  <c r="H343" i="4"/>
  <c r="G343" i="4"/>
  <c r="H341" i="4"/>
  <c r="G341" i="4"/>
  <c r="H340" i="4"/>
  <c r="H348" i="4" s="1"/>
  <c r="G340" i="4"/>
  <c r="G348" i="4" s="1"/>
  <c r="F339" i="4" l="1"/>
  <c r="G336" i="4"/>
  <c r="H333" i="4"/>
  <c r="H339" i="4" s="1"/>
  <c r="G333" i="4"/>
  <c r="G332" i="4"/>
  <c r="G339" i="4" l="1"/>
  <c r="F331" i="4"/>
  <c r="H329" i="4"/>
  <c r="G329" i="4"/>
  <c r="G328" i="4"/>
  <c r="H327" i="4"/>
  <c r="G327" i="4"/>
  <c r="G326" i="4"/>
  <c r="H324" i="4"/>
  <c r="G324" i="4"/>
  <c r="H323" i="4"/>
  <c r="G323" i="4"/>
  <c r="G331" i="4" s="1"/>
  <c r="H331" i="4" l="1"/>
  <c r="H321" i="4"/>
  <c r="G321" i="4"/>
  <c r="H320" i="4"/>
  <c r="H322" i="4" s="1"/>
  <c r="G320" i="4"/>
  <c r="G317" i="4"/>
  <c r="G316" i="4"/>
  <c r="G315" i="4"/>
  <c r="G314" i="4"/>
  <c r="G313" i="4"/>
  <c r="G312" i="4"/>
  <c r="F316" i="4"/>
  <c r="F322" i="4" s="1"/>
  <c r="G322" i="4" l="1"/>
  <c r="F311" i="4"/>
  <c r="G309" i="4"/>
  <c r="G308" i="4"/>
  <c r="G307" i="4"/>
  <c r="H306" i="4"/>
  <c r="H311" i="4" s="1"/>
  <c r="G306" i="4"/>
  <c r="G303" i="4"/>
  <c r="G302" i="4"/>
  <c r="G301" i="4"/>
  <c r="G311" i="4" s="1"/>
  <c r="F297" i="4" l="1"/>
  <c r="G296" i="4"/>
  <c r="G294" i="4"/>
  <c r="H292" i="4"/>
  <c r="H297" i="4" s="1"/>
  <c r="G291" i="4"/>
  <c r="G290" i="4"/>
  <c r="G289" i="4"/>
  <c r="G297" i="4" l="1"/>
  <c r="G283" i="4"/>
  <c r="F283" i="4"/>
  <c r="H288" i="4" l="1"/>
  <c r="F288" i="4"/>
  <c r="G286" i="4"/>
  <c r="G285" i="4"/>
  <c r="G282" i="4"/>
  <c r="G281" i="4"/>
  <c r="G280" i="4"/>
  <c r="G288" i="4" l="1"/>
  <c r="F279" i="4"/>
  <c r="G276" i="4"/>
  <c r="H275" i="4"/>
  <c r="G275" i="4"/>
  <c r="H273" i="4"/>
  <c r="H279" i="4" s="1"/>
  <c r="G273" i="4"/>
  <c r="G272" i="4"/>
  <c r="G269" i="4"/>
  <c r="G268" i="4"/>
  <c r="G267" i="4"/>
  <c r="G279" i="4" l="1"/>
  <c r="H265" i="4"/>
  <c r="G262" i="4"/>
  <c r="G259" i="4"/>
  <c r="G258" i="4"/>
  <c r="G257" i="4"/>
  <c r="G256" i="4"/>
  <c r="G255" i="4"/>
  <c r="F258" i="4"/>
  <c r="F257" i="4"/>
  <c r="F256" i="4"/>
  <c r="E255" i="4"/>
  <c r="F265" i="4" l="1"/>
  <c r="G265" i="4"/>
  <c r="F254" i="4"/>
  <c r="H253" i="4"/>
  <c r="G252" i="4"/>
  <c r="G253" i="4"/>
  <c r="G251" i="4"/>
  <c r="G249" i="4"/>
  <c r="G248" i="4"/>
  <c r="G247" i="4"/>
  <c r="G246" i="4"/>
  <c r="H245" i="4"/>
  <c r="G245" i="4"/>
  <c r="H244" i="4"/>
  <c r="G244" i="4"/>
  <c r="H243" i="4"/>
  <c r="H254" i="4" s="1"/>
  <c r="G243" i="4"/>
  <c r="G254" i="4" l="1"/>
  <c r="G237" i="4"/>
  <c r="G236" i="4"/>
  <c r="G235" i="4"/>
  <c r="G234" i="4"/>
  <c r="G233" i="4"/>
  <c r="H232" i="4"/>
  <c r="G232" i="4"/>
  <c r="G231" i="4"/>
  <c r="H228" i="4"/>
  <c r="H242" i="4" s="1"/>
  <c r="G228" i="4"/>
  <c r="G227" i="4"/>
  <c r="G242" i="4" s="1"/>
  <c r="F236" i="4"/>
  <c r="F234" i="4"/>
  <c r="F233" i="4"/>
  <c r="F242" i="4" l="1"/>
  <c r="H226" i="4"/>
  <c r="F226" i="4"/>
  <c r="G225" i="4"/>
  <c r="G221" i="4"/>
  <c r="G219" i="4"/>
  <c r="G218" i="4"/>
  <c r="G217" i="4"/>
  <c r="G226" i="4" l="1"/>
  <c r="H216" i="4"/>
  <c r="G212" i="4"/>
  <c r="G211" i="4"/>
  <c r="G210" i="4"/>
  <c r="G209" i="4"/>
  <c r="G208" i="4"/>
  <c r="G207" i="4"/>
  <c r="G206" i="4"/>
  <c r="F208" i="4"/>
  <c r="F209" i="4"/>
  <c r="F207" i="4"/>
  <c r="F203" i="4"/>
  <c r="G199" i="4"/>
  <c r="H198" i="4"/>
  <c r="H203" i="4" s="1"/>
  <c r="G198" i="4"/>
  <c r="G197" i="4"/>
  <c r="G195" i="4"/>
  <c r="G194" i="4"/>
  <c r="G193" i="4"/>
  <c r="G192" i="4"/>
  <c r="G203" i="4" l="1"/>
  <c r="G216" i="4"/>
  <c r="F216" i="4"/>
  <c r="G185" i="4"/>
  <c r="H184" i="4"/>
  <c r="G184" i="4"/>
  <c r="H181" i="4"/>
  <c r="H188" i="4" s="1"/>
  <c r="G181" i="4"/>
  <c r="G180" i="4"/>
  <c r="G179" i="4"/>
  <c r="G178" i="4"/>
  <c r="F185" i="4"/>
  <c r="F188" i="4" s="1"/>
  <c r="F177" i="4"/>
  <c r="G175" i="4"/>
  <c r="G173" i="4"/>
  <c r="H170" i="4"/>
  <c r="H177" i="4" s="1"/>
  <c r="G168" i="4"/>
  <c r="G166" i="4"/>
  <c r="G165" i="4"/>
  <c r="G164" i="4"/>
  <c r="G163" i="4"/>
  <c r="G177" i="4" l="1"/>
  <c r="G188" i="4"/>
  <c r="G161" i="4" l="1"/>
  <c r="F161" i="4"/>
  <c r="G160" i="4"/>
  <c r="F160" i="4"/>
  <c r="F162" i="4" s="1"/>
  <c r="G154" i="4" l="1"/>
  <c r="G153" i="4"/>
  <c r="H152" i="4"/>
  <c r="G152" i="4"/>
  <c r="H151" i="4"/>
  <c r="G151" i="4"/>
  <c r="H149" i="4"/>
  <c r="G149" i="4"/>
  <c r="H148" i="4"/>
  <c r="H162" i="4" s="1"/>
  <c r="G148" i="4"/>
  <c r="G162" i="4" s="1"/>
  <c r="H145" i="4" l="1"/>
  <c r="G145" i="4"/>
  <c r="G144" i="4"/>
  <c r="G143" i="4"/>
  <c r="G139" i="4"/>
  <c r="G138" i="4"/>
  <c r="G137" i="4"/>
  <c r="G135" i="4"/>
  <c r="G134" i="4"/>
  <c r="H133" i="4"/>
  <c r="H147" i="4" s="1"/>
  <c r="G133" i="4"/>
  <c r="F136" i="4"/>
  <c r="F147" i="4" s="1"/>
  <c r="E138" i="4"/>
  <c r="E137" i="4"/>
  <c r="G147" i="4" l="1"/>
  <c r="H132" i="4"/>
  <c r="G128" i="4"/>
  <c r="G126" i="4"/>
  <c r="G125" i="4"/>
  <c r="G124" i="4"/>
  <c r="G123" i="4"/>
  <c r="F125" i="4"/>
  <c r="F124" i="4"/>
  <c r="F123" i="4"/>
  <c r="F132" i="4" l="1"/>
  <c r="G132" i="4"/>
  <c r="H122" i="4"/>
  <c r="F122" i="4"/>
  <c r="G116" i="4"/>
  <c r="G115" i="4"/>
  <c r="G114" i="4"/>
  <c r="G113" i="4"/>
  <c r="G112" i="4"/>
  <c r="G111" i="4"/>
  <c r="G122" i="4" l="1"/>
  <c r="G100" i="4"/>
  <c r="F110" i="4" l="1"/>
  <c r="H109" i="4"/>
  <c r="H110" i="4" s="1"/>
  <c r="G109" i="4"/>
  <c r="G108" i="4"/>
  <c r="G106" i="4"/>
  <c r="G103" i="4"/>
  <c r="G101" i="4"/>
  <c r="G99" i="4"/>
  <c r="G98" i="4"/>
  <c r="G97" i="4"/>
  <c r="G96" i="4"/>
  <c r="G110" i="4" l="1"/>
  <c r="G94" i="4"/>
  <c r="H93" i="4"/>
  <c r="H95" i="4" s="1"/>
  <c r="G92" i="4"/>
  <c r="G91" i="4"/>
  <c r="G90" i="4"/>
  <c r="F94" i="4"/>
  <c r="F95" i="4" s="1"/>
  <c r="G95" i="4" l="1"/>
  <c r="H89" i="4"/>
  <c r="G86" i="4"/>
  <c r="G84" i="4"/>
  <c r="G83" i="4"/>
  <c r="G82" i="4"/>
  <c r="G89" i="4" s="1"/>
  <c r="F84" i="4"/>
  <c r="F83" i="4"/>
  <c r="F82" i="4"/>
  <c r="F89" i="4" l="1"/>
  <c r="F80" i="4"/>
  <c r="G79" i="4"/>
  <c r="G78" i="4"/>
  <c r="G74" i="4"/>
  <c r="H71" i="4"/>
  <c r="G71" i="4"/>
  <c r="G70" i="4"/>
  <c r="H69" i="4"/>
  <c r="G69" i="4"/>
  <c r="G68" i="4"/>
  <c r="H66" i="4"/>
  <c r="G66" i="4"/>
  <c r="H65" i="4"/>
  <c r="G65" i="4"/>
  <c r="H80" i="4" l="1"/>
  <c r="G80" i="4"/>
  <c r="F64" i="4"/>
  <c r="H63" i="4"/>
  <c r="H64" i="4" s="1"/>
  <c r="G63" i="4"/>
  <c r="G59" i="4"/>
  <c r="G58" i="4"/>
  <c r="G64" i="4" l="1"/>
  <c r="G51" i="4"/>
  <c r="G46" i="4"/>
  <c r="H44" i="4"/>
  <c r="H57" i="4" s="1"/>
  <c r="G44" i="4"/>
  <c r="F44" i="4"/>
  <c r="G42" i="4"/>
  <c r="F42" i="4"/>
  <c r="F57" i="4" s="1"/>
  <c r="G57" i="4" l="1"/>
  <c r="H41" i="4"/>
  <c r="F41" i="4"/>
  <c r="G40" i="4"/>
  <c r="G39" i="4"/>
  <c r="G38" i="4"/>
  <c r="G37" i="4"/>
  <c r="G35" i="4"/>
  <c r="G34" i="4"/>
  <c r="G33" i="4"/>
  <c r="G41" i="4" l="1"/>
  <c r="H32" i="4"/>
  <c r="G27" i="4"/>
  <c r="G24" i="4"/>
  <c r="G23" i="4"/>
  <c r="G21" i="4"/>
  <c r="G20" i="4"/>
  <c r="G19" i="4"/>
  <c r="G18" i="4"/>
  <c r="G17" i="4"/>
  <c r="G15" i="4"/>
  <c r="F21" i="4"/>
  <c r="F32" i="4" s="1"/>
  <c r="F14" i="4"/>
  <c r="G9" i="4"/>
  <c r="G8" i="4"/>
  <c r="G7" i="4"/>
  <c r="H3" i="4"/>
  <c r="H14" i="4" s="1"/>
  <c r="G3" i="4"/>
  <c r="G2" i="4"/>
  <c r="G32" i="4" l="1"/>
  <c r="G14" i="4"/>
  <c r="F351" i="3"/>
  <c r="G350" i="3"/>
  <c r="G347" i="3"/>
  <c r="H344" i="3"/>
  <c r="H351" i="3" s="1"/>
  <c r="G344" i="3"/>
  <c r="G341" i="3"/>
  <c r="G351" i="3" l="1"/>
  <c r="G339" i="3"/>
  <c r="G338" i="3"/>
  <c r="G337" i="3"/>
  <c r="G336" i="3"/>
  <c r="H334" i="3"/>
  <c r="H340" i="3" s="1"/>
  <c r="F337" i="3"/>
  <c r="F336" i="3"/>
  <c r="F335" i="3"/>
  <c r="F340" i="3" l="1"/>
  <c r="G340" i="3"/>
  <c r="G326" i="3"/>
  <c r="H326" i="3"/>
  <c r="F333" i="3"/>
  <c r="G328" i="3"/>
  <c r="G325" i="3"/>
  <c r="H324" i="3"/>
  <c r="G324" i="3"/>
  <c r="H323" i="3"/>
  <c r="G323" i="3"/>
  <c r="H322" i="3"/>
  <c r="G322" i="3"/>
  <c r="H321" i="3"/>
  <c r="H333" i="3" s="1"/>
  <c r="G321" i="3"/>
  <c r="G333" i="3" l="1"/>
  <c r="G312" i="3"/>
  <c r="G319" i="3"/>
  <c r="H318" i="3"/>
  <c r="G318" i="3"/>
  <c r="G317" i="3"/>
  <c r="G315" i="3"/>
  <c r="H314" i="3"/>
  <c r="F319" i="3"/>
  <c r="H313" i="3"/>
  <c r="H320" i="3" s="1"/>
  <c r="G313" i="3"/>
  <c r="F318" i="3"/>
  <c r="F317" i="3"/>
  <c r="F320" i="3" l="1"/>
  <c r="G320" i="3"/>
  <c r="H307" i="3"/>
  <c r="G307" i="3"/>
  <c r="H308" i="3"/>
  <c r="H309" i="3" s="1"/>
  <c r="G308" i="3"/>
  <c r="G305" i="3"/>
  <c r="G304" i="3"/>
  <c r="G303" i="3"/>
  <c r="G301" i="3"/>
  <c r="G300" i="3"/>
  <c r="F300" i="3"/>
  <c r="F309" i="3" s="1"/>
  <c r="G309" i="3" l="1"/>
  <c r="F299" i="3"/>
  <c r="G297" i="3"/>
  <c r="G295" i="3"/>
  <c r="G294" i="3"/>
  <c r="G293" i="3"/>
  <c r="H292" i="3"/>
  <c r="H299" i="3" s="1"/>
  <c r="G292" i="3"/>
  <c r="G299" i="3" s="1"/>
  <c r="H287" i="3" l="1"/>
  <c r="G284" i="3"/>
  <c r="G282" i="3"/>
  <c r="G280" i="3"/>
  <c r="G279" i="3"/>
  <c r="G278" i="3"/>
  <c r="G277" i="3"/>
  <c r="F282" i="3"/>
  <c r="F280" i="3"/>
  <c r="F287" i="3" l="1"/>
  <c r="G287" i="3"/>
  <c r="H275" i="3"/>
  <c r="F275" i="3"/>
  <c r="G272" i="3"/>
  <c r="G269" i="3"/>
  <c r="G268" i="3"/>
  <c r="G267" i="3"/>
  <c r="G275" i="3" s="1"/>
  <c r="H266" i="3" l="1"/>
  <c r="F266" i="3"/>
  <c r="G264" i="3"/>
  <c r="G262" i="3"/>
  <c r="G260" i="3"/>
  <c r="G266" i="3" l="1"/>
  <c r="G254" i="3"/>
  <c r="H253" i="3"/>
  <c r="G253" i="3"/>
  <c r="G252" i="3"/>
  <c r="G251" i="3"/>
  <c r="H250" i="3"/>
  <c r="G250" i="3"/>
  <c r="G249" i="3"/>
  <c r="H248" i="3"/>
  <c r="G248" i="3"/>
  <c r="G247" i="3"/>
  <c r="H246" i="3"/>
  <c r="H245" i="3"/>
  <c r="G245" i="3"/>
  <c r="H244" i="3"/>
  <c r="G244" i="3"/>
  <c r="F251" i="3"/>
  <c r="F259" i="3" s="1"/>
  <c r="G259" i="3" l="1"/>
  <c r="H259" i="3"/>
  <c r="F243" i="3"/>
  <c r="G242" i="3"/>
  <c r="H241" i="3"/>
  <c r="G241" i="3"/>
  <c r="H240" i="3"/>
  <c r="H243" i="3" s="1"/>
  <c r="G240" i="3"/>
  <c r="G238" i="3"/>
  <c r="G234" i="3"/>
  <c r="G232" i="3"/>
  <c r="G243" i="3" l="1"/>
  <c r="G227" i="3"/>
  <c r="G226" i="3"/>
  <c r="G224" i="3"/>
  <c r="G222" i="3"/>
  <c r="G221" i="3"/>
  <c r="H220" i="3"/>
  <c r="G220" i="3"/>
  <c r="H218" i="3"/>
  <c r="G218" i="3"/>
  <c r="G217" i="3"/>
  <c r="E222" i="3"/>
  <c r="F223" i="3"/>
  <c r="F231" i="3" s="1"/>
  <c r="G231" i="3" l="1"/>
  <c r="H223" i="3"/>
  <c r="H231" i="3" s="1"/>
  <c r="H216" i="3"/>
  <c r="F216" i="3"/>
  <c r="G213" i="3"/>
  <c r="G211" i="3"/>
  <c r="G210" i="3"/>
  <c r="G216" i="3" s="1"/>
  <c r="H207" i="3" l="1"/>
  <c r="G206" i="3"/>
  <c r="G205" i="3"/>
  <c r="G204" i="3"/>
  <c r="G202" i="3"/>
  <c r="G199" i="3"/>
  <c r="G198" i="3"/>
  <c r="G197" i="3"/>
  <c r="F206" i="3"/>
  <c r="F205" i="3"/>
  <c r="F204" i="3"/>
  <c r="F198" i="3"/>
  <c r="F207" i="3" l="1"/>
  <c r="G207" i="3"/>
  <c r="H196" i="3"/>
  <c r="G194" i="3"/>
  <c r="G192" i="3"/>
  <c r="G191" i="3"/>
  <c r="G190" i="3"/>
  <c r="F194" i="3"/>
  <c r="F192" i="3"/>
  <c r="F190" i="3"/>
  <c r="G196" i="3" l="1"/>
  <c r="F196" i="3"/>
  <c r="H188" i="3"/>
  <c r="G186" i="3"/>
  <c r="G184" i="3"/>
  <c r="G183" i="3"/>
  <c r="G182" i="3"/>
  <c r="G181" i="3"/>
  <c r="F187" i="3"/>
  <c r="F186" i="3"/>
  <c r="F184" i="3"/>
  <c r="G188" i="3" l="1"/>
  <c r="F188" i="3"/>
  <c r="F180" i="3"/>
  <c r="H178" i="3"/>
  <c r="G178" i="3"/>
  <c r="H177" i="3"/>
  <c r="G177" i="3"/>
  <c r="G173" i="3"/>
  <c r="H172" i="3"/>
  <c r="G172" i="3"/>
  <c r="H171" i="3"/>
  <c r="G171" i="3"/>
  <c r="H170" i="3"/>
  <c r="G170" i="3"/>
  <c r="H168" i="3"/>
  <c r="G168" i="3"/>
  <c r="H167" i="3"/>
  <c r="G167" i="3"/>
  <c r="H164" i="3"/>
  <c r="G164" i="3"/>
  <c r="H163" i="3"/>
  <c r="G163" i="3"/>
  <c r="G180" i="3" s="1"/>
  <c r="H180" i="3" l="1"/>
  <c r="F162" i="3"/>
  <c r="G161" i="3"/>
  <c r="G160" i="3"/>
  <c r="G156" i="3"/>
  <c r="H155" i="3"/>
  <c r="H162" i="3" s="1"/>
  <c r="G155" i="3"/>
  <c r="G154" i="3"/>
  <c r="G162" i="3" s="1"/>
  <c r="H153" i="3" l="1"/>
  <c r="G151" i="3"/>
  <c r="G150" i="3"/>
  <c r="G148" i="3"/>
  <c r="G145" i="3"/>
  <c r="G144" i="3"/>
  <c r="G143" i="3"/>
  <c r="F143" i="3"/>
  <c r="F153" i="3" s="1"/>
  <c r="G153" i="3" l="1"/>
  <c r="H142" i="3"/>
  <c r="G139" i="3"/>
  <c r="G137" i="3"/>
  <c r="F137" i="3"/>
  <c r="G135" i="3"/>
  <c r="F135" i="3"/>
  <c r="G133" i="3"/>
  <c r="G132" i="3"/>
  <c r="F133" i="3"/>
  <c r="F132" i="3"/>
  <c r="F142" i="3" l="1"/>
  <c r="G142" i="3"/>
  <c r="H130" i="3"/>
  <c r="G128" i="3"/>
  <c r="G127" i="3"/>
  <c r="G125" i="3"/>
  <c r="G123" i="3"/>
  <c r="G122" i="3"/>
  <c r="G121" i="3"/>
  <c r="G119" i="3"/>
  <c r="G118" i="3"/>
  <c r="G116" i="3"/>
  <c r="G115" i="3"/>
  <c r="F122" i="3"/>
  <c r="F121" i="3"/>
  <c r="F119" i="3"/>
  <c r="G130" i="3" l="1"/>
  <c r="F130" i="3"/>
  <c r="H113" i="3"/>
  <c r="G112" i="3"/>
  <c r="G110" i="3"/>
  <c r="G107" i="3"/>
  <c r="G106" i="3"/>
  <c r="G105" i="3"/>
  <c r="G104" i="3"/>
  <c r="F104" i="3"/>
  <c r="F113" i="3" s="1"/>
  <c r="G113" i="3" l="1"/>
  <c r="H103" i="3"/>
  <c r="G100" i="3"/>
  <c r="G98" i="3"/>
  <c r="G94" i="3"/>
  <c r="G92" i="3"/>
  <c r="G90" i="3"/>
  <c r="F90" i="3"/>
  <c r="F103" i="3" s="1"/>
  <c r="G103" i="3" l="1"/>
  <c r="F89" i="3"/>
  <c r="H88" i="3"/>
  <c r="G88" i="3"/>
  <c r="G87" i="3"/>
  <c r="G85" i="3"/>
  <c r="H84" i="3" l="1"/>
  <c r="G84" i="3"/>
  <c r="G83" i="3"/>
  <c r="H82" i="3"/>
  <c r="G82" i="3"/>
  <c r="H80" i="3"/>
  <c r="G80" i="3"/>
  <c r="G79" i="3"/>
  <c r="G89" i="3" s="1"/>
  <c r="H89" i="3" l="1"/>
  <c r="G76" i="3"/>
  <c r="G75" i="3"/>
  <c r="H74" i="3"/>
  <c r="G74" i="3"/>
  <c r="G73" i="3"/>
  <c r="G71" i="3"/>
  <c r="G67" i="3"/>
  <c r="H64" i="3"/>
  <c r="G64" i="3"/>
  <c r="G63" i="3"/>
  <c r="F77" i="3"/>
  <c r="F76" i="3"/>
  <c r="F78" i="3" l="1"/>
  <c r="G78" i="3"/>
  <c r="H78" i="3"/>
  <c r="F61" i="3"/>
  <c r="G59" i="3"/>
  <c r="H58" i="3"/>
  <c r="H62" i="3" s="1"/>
  <c r="G58" i="3"/>
  <c r="G56" i="3"/>
  <c r="G55" i="3"/>
  <c r="F59" i="3"/>
  <c r="F62" i="3" s="1"/>
  <c r="G62" i="3" l="1"/>
  <c r="G53" i="3"/>
  <c r="F53" i="3"/>
  <c r="G50" i="3"/>
  <c r="G49" i="3"/>
  <c r="G48" i="3"/>
  <c r="G46" i="3"/>
  <c r="H45" i="3"/>
  <c r="H54" i="3" s="1"/>
  <c r="G45" i="3"/>
  <c r="F45" i="3"/>
  <c r="H44" i="3"/>
  <c r="G42" i="3"/>
  <c r="G41" i="3"/>
  <c r="F41" i="3"/>
  <c r="F44" i="3" s="1"/>
  <c r="G38" i="3"/>
  <c r="G35" i="3"/>
  <c r="H34" i="3"/>
  <c r="G31" i="3"/>
  <c r="G30" i="3"/>
  <c r="F30" i="3"/>
  <c r="F34" i="3" s="1"/>
  <c r="G28" i="3"/>
  <c r="F27" i="3"/>
  <c r="G24" i="3"/>
  <c r="H23" i="3"/>
  <c r="H27" i="3" s="1"/>
  <c r="G23" i="3"/>
  <c r="G22" i="3"/>
  <c r="G20" i="3"/>
  <c r="G18" i="3"/>
  <c r="F18" i="3"/>
  <c r="F19" i="3" s="1"/>
  <c r="H16" i="3"/>
  <c r="G16" i="3"/>
  <c r="G15" i="3"/>
  <c r="H14" i="3"/>
  <c r="G14" i="3"/>
  <c r="H13" i="3"/>
  <c r="G13" i="3"/>
  <c r="H11" i="3"/>
  <c r="G11" i="3"/>
  <c r="H10" i="3"/>
  <c r="G10" i="3"/>
  <c r="F9" i="3"/>
  <c r="G8" i="3"/>
  <c r="H7" i="3"/>
  <c r="H9" i="3" s="1"/>
  <c r="G7" i="3"/>
  <c r="G4" i="3"/>
  <c r="G3" i="3"/>
  <c r="H19" i="3" l="1"/>
  <c r="G54" i="3"/>
  <c r="F54" i="3"/>
  <c r="L4" i="3" s="1"/>
  <c r="G27" i="3"/>
  <c r="G34" i="3"/>
  <c r="G44" i="3"/>
  <c r="G9" i="3"/>
  <c r="G19" i="3"/>
  <c r="H308" i="2"/>
  <c r="F308" i="2"/>
  <c r="G304" i="2"/>
  <c r="G302" i="2"/>
  <c r="G308" i="2" l="1"/>
  <c r="H300" i="2"/>
  <c r="F300" i="2"/>
  <c r="G299" i="2"/>
  <c r="G297" i="2"/>
  <c r="G300" i="2" l="1"/>
  <c r="G294" i="2"/>
  <c r="H292" i="2"/>
  <c r="G292" i="2"/>
  <c r="H291" i="2"/>
  <c r="H296" i="2" s="1"/>
  <c r="G291" i="2"/>
  <c r="G290" i="2"/>
  <c r="G288" i="2"/>
  <c r="G296" i="2" s="1"/>
  <c r="F294" i="2"/>
  <c r="F296" i="2" s="1"/>
  <c r="H285" i="2" l="1"/>
  <c r="H287" i="2" s="1"/>
  <c r="F287" i="2"/>
  <c r="G285" i="2"/>
  <c r="G284" i="2"/>
  <c r="G280" i="2"/>
  <c r="G287" i="2" l="1"/>
  <c r="F279" i="2"/>
  <c r="G277" i="2"/>
  <c r="G275" i="2"/>
  <c r="H274" i="2"/>
  <c r="G274" i="2"/>
  <c r="H273" i="2"/>
  <c r="G273" i="2"/>
  <c r="H272" i="2"/>
  <c r="H279" i="2" s="1"/>
  <c r="G272" i="2"/>
  <c r="G267" i="2"/>
  <c r="G279" i="2" l="1"/>
  <c r="F266" i="2"/>
  <c r="H265" i="2"/>
  <c r="G265" i="2"/>
  <c r="H264" i="2"/>
  <c r="G264" i="2"/>
  <c r="G260" i="2"/>
  <c r="H258" i="2"/>
  <c r="H266" i="2" s="1"/>
  <c r="G258" i="2"/>
  <c r="G257" i="2"/>
  <c r="G266" i="2" s="1"/>
  <c r="F256" i="2"/>
  <c r="H254" i="2"/>
  <c r="H256" i="2" s="1"/>
  <c r="G254" i="2"/>
  <c r="G253" i="2"/>
  <c r="G250" i="2"/>
  <c r="G256" i="2" l="1"/>
  <c r="F249" i="2"/>
  <c r="H246" i="2"/>
  <c r="G246" i="2"/>
  <c r="G245" i="2"/>
  <c r="H243" i="2"/>
  <c r="G243" i="2"/>
  <c r="G242" i="2"/>
  <c r="G240" i="2"/>
  <c r="G249" i="2" l="1"/>
  <c r="H249" i="2"/>
  <c r="H239" i="2"/>
  <c r="F239" i="2"/>
  <c r="G236" i="2"/>
  <c r="G233" i="2"/>
  <c r="G232" i="2"/>
  <c r="G239" i="2" l="1"/>
  <c r="F231" i="2"/>
  <c r="G230" i="2"/>
  <c r="G229" i="2"/>
  <c r="G227" i="2"/>
  <c r="G222" i="2"/>
  <c r="H221" i="2"/>
  <c r="H231" i="2" s="1"/>
  <c r="G221" i="2"/>
  <c r="G231" i="2" s="1"/>
  <c r="H219" i="2"/>
  <c r="F219" i="2"/>
  <c r="G216" i="2"/>
  <c r="G214" i="2"/>
  <c r="G219" i="2" s="1"/>
  <c r="F210" i="2" l="1"/>
  <c r="H209" i="2"/>
  <c r="G209" i="2"/>
  <c r="H208" i="2"/>
  <c r="G208" i="2"/>
  <c r="H207" i="2"/>
  <c r="G207" i="2"/>
  <c r="H205" i="2"/>
  <c r="G205" i="2"/>
  <c r="G203" i="2"/>
  <c r="G202" i="2"/>
  <c r="H200" i="2"/>
  <c r="G200" i="2"/>
  <c r="H199" i="2"/>
  <c r="G199" i="2"/>
  <c r="H198" i="2"/>
  <c r="G198" i="2"/>
  <c r="H197" i="2"/>
  <c r="H210" i="2" s="1"/>
  <c r="G197" i="2"/>
  <c r="G210" i="2" l="1"/>
  <c r="F196" i="2"/>
  <c r="H195" i="2"/>
  <c r="G195" i="2"/>
  <c r="H194" i="2"/>
  <c r="G194" i="2"/>
  <c r="H193" i="2"/>
  <c r="H196" i="2" s="1"/>
  <c r="G193" i="2"/>
  <c r="G189" i="2"/>
  <c r="G196" i="2" l="1"/>
  <c r="H185" i="2"/>
  <c r="F185" i="2"/>
  <c r="G181" i="2"/>
  <c r="G179" i="2"/>
  <c r="G177" i="2"/>
  <c r="G185" i="2" s="1"/>
  <c r="H175" i="2" l="1"/>
  <c r="G174" i="2"/>
  <c r="F174" i="2"/>
  <c r="F175" i="2" s="1"/>
  <c r="G172" i="2"/>
  <c r="G170" i="2"/>
  <c r="G167" i="2"/>
  <c r="G175" i="2" l="1"/>
  <c r="H163" i="2"/>
  <c r="F163" i="2"/>
  <c r="G159" i="2"/>
  <c r="G154" i="2"/>
  <c r="G163" i="2" l="1"/>
  <c r="H150" i="2"/>
  <c r="F150" i="2"/>
  <c r="G149" i="2"/>
  <c r="G146" i="2"/>
  <c r="G142" i="2"/>
  <c r="G150" i="2" s="1"/>
  <c r="F141" i="2" l="1"/>
  <c r="G140" i="2"/>
  <c r="H139" i="2"/>
  <c r="G139" i="2"/>
  <c r="H138" i="2"/>
  <c r="H141" i="2" s="1"/>
  <c r="G138" i="2"/>
  <c r="G136" i="2"/>
  <c r="G135" i="2"/>
  <c r="G133" i="2"/>
  <c r="G141" i="2" l="1"/>
  <c r="F132" i="2"/>
  <c r="H131" i="2"/>
  <c r="G131" i="2"/>
  <c r="H130" i="2"/>
  <c r="G130" i="2"/>
  <c r="G129" i="2"/>
  <c r="H128" i="2"/>
  <c r="H132" i="2" s="1"/>
  <c r="G128" i="2"/>
  <c r="G127" i="2"/>
  <c r="G132" i="2" s="1"/>
  <c r="F125" i="2" l="1"/>
  <c r="G124" i="2"/>
  <c r="G122" i="2"/>
  <c r="H121" i="2"/>
  <c r="G121" i="2"/>
  <c r="H120" i="2"/>
  <c r="H125" i="2" s="1"/>
  <c r="G120" i="2"/>
  <c r="G125" i="2" l="1"/>
  <c r="F119" i="2"/>
  <c r="G115" i="2"/>
  <c r="H114" i="2"/>
  <c r="G114" i="2"/>
  <c r="H113" i="2"/>
  <c r="G113" i="2"/>
  <c r="H112" i="2"/>
  <c r="G112" i="2"/>
  <c r="G110" i="2"/>
  <c r="H109" i="2"/>
  <c r="G109" i="2"/>
  <c r="G108" i="2"/>
  <c r="G106" i="2"/>
  <c r="G104" i="2"/>
  <c r="G119" i="2" l="1"/>
  <c r="H119" i="2"/>
  <c r="H102" i="2"/>
  <c r="F102" i="2"/>
  <c r="G99" i="2" l="1"/>
  <c r="G102" i="2" s="1"/>
  <c r="G95" i="2"/>
  <c r="H94" i="2" l="1"/>
  <c r="F94" i="2"/>
  <c r="G90" i="2"/>
  <c r="G88" i="2"/>
  <c r="G87" i="2"/>
  <c r="G94" i="2" l="1"/>
  <c r="G84" i="2"/>
  <c r="H83" i="2"/>
  <c r="H86" i="2" s="1"/>
  <c r="G83" i="2"/>
  <c r="G82" i="2"/>
  <c r="G80" i="2"/>
  <c r="G77" i="2"/>
  <c r="F84" i="2"/>
  <c r="F86" i="2" s="1"/>
  <c r="G86" i="2" l="1"/>
  <c r="H76" i="2"/>
  <c r="F76" i="2"/>
  <c r="G72" i="2"/>
  <c r="G68" i="2"/>
  <c r="G76" i="2" l="1"/>
  <c r="F67" i="2"/>
  <c r="G66" i="2"/>
  <c r="H64" i="2"/>
  <c r="H67" i="2" s="1"/>
  <c r="G64" i="2"/>
  <c r="G62" i="2"/>
  <c r="G58" i="2"/>
  <c r="G67" i="2" l="1"/>
  <c r="F57" i="2"/>
  <c r="G54" i="2"/>
  <c r="H53" i="2"/>
  <c r="G53" i="2"/>
  <c r="H51" i="2"/>
  <c r="G51" i="2"/>
  <c r="H50" i="2"/>
  <c r="G50" i="2"/>
  <c r="G49" i="2"/>
  <c r="H44" i="2"/>
  <c r="G44" i="2"/>
  <c r="G43" i="2"/>
  <c r="G57" i="2" l="1"/>
  <c r="H57" i="2"/>
  <c r="F42" i="2"/>
  <c r="G39" i="2"/>
  <c r="H38" i="2"/>
  <c r="G38" i="2"/>
  <c r="G37" i="2"/>
  <c r="G35" i="2"/>
  <c r="H33" i="2"/>
  <c r="H42" i="2" s="1"/>
  <c r="G33" i="2"/>
  <c r="G42" i="2" s="1"/>
  <c r="F32" i="2" l="1"/>
  <c r="H31" i="2"/>
  <c r="H32" i="2" s="1"/>
  <c r="G28" i="2"/>
  <c r="G27" i="2"/>
  <c r="G23" i="2"/>
  <c r="G32" i="2" l="1"/>
  <c r="F21" i="2"/>
  <c r="G17" i="2"/>
  <c r="H15" i="2"/>
  <c r="H21" i="2" s="1"/>
  <c r="G15" i="2"/>
  <c r="G14" i="2"/>
  <c r="G12" i="2"/>
  <c r="G11" i="2"/>
  <c r="G10" i="2"/>
  <c r="G8" i="2"/>
  <c r="G21" i="2" s="1"/>
  <c r="G7" i="2" l="1"/>
  <c r="H4" i="2"/>
  <c r="H7" i="2" s="1"/>
  <c r="H176" i="1" l="1"/>
  <c r="F176" i="1"/>
  <c r="G173" i="1"/>
  <c r="G171" i="1"/>
  <c r="G170" i="1"/>
  <c r="G169" i="1"/>
  <c r="G176" i="1" s="1"/>
  <c r="H168" i="1" l="1"/>
  <c r="F164" i="1"/>
  <c r="F168" i="1" s="1"/>
  <c r="G163" i="1" l="1"/>
  <c r="G160" i="1"/>
  <c r="G168" i="1" s="1"/>
  <c r="F159" i="1" l="1"/>
  <c r="H158" i="1"/>
  <c r="G158" i="1"/>
  <c r="G157" i="1"/>
  <c r="G156" i="1"/>
  <c r="H155" i="1"/>
  <c r="G155" i="1"/>
  <c r="H154" i="1"/>
  <c r="G154" i="1"/>
  <c r="G153" i="1"/>
  <c r="H151" i="1"/>
  <c r="G151" i="1"/>
  <c r="G150" i="1"/>
  <c r="G149" i="1"/>
  <c r="H146" i="1"/>
  <c r="G146" i="1"/>
  <c r="G159" i="1" s="1"/>
  <c r="H159" i="1" l="1"/>
  <c r="F144" i="1"/>
  <c r="G139" i="1"/>
  <c r="G138" i="1"/>
  <c r="G136" i="1"/>
  <c r="G134" i="1"/>
  <c r="H131" i="1"/>
  <c r="H144" i="1" s="1"/>
  <c r="G131" i="1"/>
  <c r="G130" i="1"/>
  <c r="G125" i="1"/>
  <c r="H124" i="1"/>
  <c r="H129" i="1" s="1"/>
  <c r="G124" i="1"/>
  <c r="G122" i="1"/>
  <c r="F125" i="1"/>
  <c r="F129" i="1" s="1"/>
  <c r="G118" i="1"/>
  <c r="G129" i="1" l="1"/>
  <c r="G144" i="1"/>
  <c r="F117" i="1"/>
  <c r="H117" i="1"/>
  <c r="G113" i="1"/>
  <c r="G110" i="1"/>
  <c r="G117" i="1" s="1"/>
  <c r="H109" i="1" l="1"/>
  <c r="F109" i="1"/>
  <c r="G104" i="1"/>
  <c r="G98" i="1"/>
  <c r="G109" i="1" s="1"/>
  <c r="H97" i="1" l="1"/>
  <c r="F97" i="1"/>
  <c r="G95" i="1"/>
  <c r="G93" i="1"/>
  <c r="G92" i="1"/>
  <c r="G89" i="1"/>
  <c r="G87" i="1"/>
  <c r="G97" i="1" l="1"/>
  <c r="F85" i="1"/>
  <c r="H84" i="1"/>
  <c r="H85" i="1" s="1"/>
  <c r="G84" i="1"/>
  <c r="G83" i="1"/>
  <c r="G81" i="1"/>
  <c r="G80" i="1"/>
  <c r="G78" i="1"/>
  <c r="G73" i="1"/>
  <c r="G85" i="1" l="1"/>
  <c r="H68" i="1"/>
  <c r="F72" i="1"/>
  <c r="H71" i="1"/>
  <c r="H72" i="1" s="1"/>
  <c r="G71" i="1"/>
  <c r="G70" i="1"/>
  <c r="G68" i="1"/>
  <c r="G69" i="1"/>
  <c r="G67" i="1"/>
  <c r="G63" i="1"/>
  <c r="G72" i="1" l="1"/>
  <c r="F62" i="1"/>
  <c r="G61" i="1"/>
  <c r="G60" i="1"/>
  <c r="G59" i="1"/>
  <c r="H57" i="1"/>
  <c r="G57" i="1"/>
  <c r="G56" i="1"/>
  <c r="G55" i="1"/>
  <c r="H53" i="1"/>
  <c r="H62" i="1" s="1"/>
  <c r="G53" i="1"/>
  <c r="G52" i="1"/>
  <c r="G62" i="1" s="1"/>
  <c r="H51" i="1" l="1"/>
  <c r="F51" i="1"/>
  <c r="G44" i="1"/>
  <c r="G43" i="1"/>
  <c r="G42" i="1"/>
  <c r="G41" i="1"/>
  <c r="G40" i="1"/>
  <c r="G51" i="1" l="1"/>
  <c r="F39" i="1"/>
  <c r="G37" i="1"/>
  <c r="H36" i="1"/>
  <c r="G36" i="1"/>
  <c r="G33" i="1"/>
  <c r="H31" i="1"/>
  <c r="G31" i="1"/>
  <c r="G30" i="1"/>
  <c r="G28" i="1"/>
  <c r="G39" i="1" s="1"/>
  <c r="H39" i="1" l="1"/>
  <c r="F27" i="1"/>
  <c r="G12" i="1"/>
  <c r="G24" i="1"/>
  <c r="G22" i="1"/>
  <c r="G21" i="1"/>
  <c r="H20" i="1"/>
  <c r="H27" i="1" s="1"/>
  <c r="G20" i="1"/>
  <c r="G19" i="1"/>
  <c r="G17" i="1"/>
  <c r="G14" i="1"/>
  <c r="G27" i="1" l="1"/>
  <c r="H5" i="1"/>
  <c r="F11" i="1"/>
  <c r="K169" i="1" s="1"/>
  <c r="G9" i="1"/>
  <c r="G7" i="1"/>
  <c r="G5" i="1"/>
  <c r="G4" i="1"/>
  <c r="G2" i="1"/>
  <c r="G11" i="1" s="1"/>
  <c r="K170" i="1" s="1"/>
  <c r="H11" i="1" l="1"/>
  <c r="K171" i="1" s="1"/>
  <c r="K172" i="1" s="1"/>
  <c r="M172" i="1" s="1"/>
  <c r="F115" i="51"/>
  <c r="E199" i="49"/>
  <c r="F199" i="49"/>
  <c r="G199" i="49"/>
  <c r="H199" i="49"/>
</calcChain>
</file>

<file path=xl/sharedStrings.xml><?xml version="1.0" encoding="utf-8"?>
<sst xmlns="http://schemas.openxmlformats.org/spreadsheetml/2006/main" count="26897" uniqueCount="1076">
  <si>
    <t>HARI</t>
  </si>
  <si>
    <t>TANGGAL</t>
  </si>
  <si>
    <t>SELLER</t>
  </si>
  <si>
    <t>PRODUK</t>
  </si>
  <si>
    <t>QTY</t>
  </si>
  <si>
    <t>SETOR</t>
  </si>
  <si>
    <t>MODAL</t>
  </si>
  <si>
    <t>LABA</t>
  </si>
  <si>
    <t>RABU</t>
  </si>
  <si>
    <t>17/11/2021</t>
  </si>
  <si>
    <t>AGUS</t>
  </si>
  <si>
    <t>KIKO</t>
  </si>
  <si>
    <t>CUP</t>
  </si>
  <si>
    <t>BK</t>
  </si>
  <si>
    <t>BB</t>
  </si>
  <si>
    <t>DEVI</t>
  </si>
  <si>
    <t>MUNIR</t>
  </si>
  <si>
    <t>TOTAL</t>
  </si>
  <si>
    <t>KAMIS</t>
  </si>
  <si>
    <t>18/11/2021</t>
  </si>
  <si>
    <t>AYAH</t>
  </si>
  <si>
    <t>TAWAR</t>
  </si>
  <si>
    <t>JUMAT</t>
  </si>
  <si>
    <t>19/11/2021</t>
  </si>
  <si>
    <t>USER</t>
  </si>
  <si>
    <t>MENTAH</t>
  </si>
  <si>
    <t>SABTU</t>
  </si>
  <si>
    <t>20/11/2021</t>
  </si>
  <si>
    <t>MINGGU</t>
  </si>
  <si>
    <t>21/11/2021</t>
  </si>
  <si>
    <t>SENIN</t>
  </si>
  <si>
    <t>22/11/2021</t>
  </si>
  <si>
    <t>SELASA</t>
  </si>
  <si>
    <t>23/111/2021</t>
  </si>
  <si>
    <t>24/11/2021</t>
  </si>
  <si>
    <t>25/11/2021</t>
  </si>
  <si>
    <t>26/11/2021</t>
  </si>
  <si>
    <t>27/11/2021</t>
  </si>
  <si>
    <t>28/11/2021</t>
  </si>
  <si>
    <t>SORE</t>
  </si>
  <si>
    <t>29/11/2021</t>
  </si>
  <si>
    <t>INUL</t>
  </si>
  <si>
    <t>30/11/2021</t>
  </si>
  <si>
    <t>MAESAROH</t>
  </si>
  <si>
    <t>MB OPI</t>
  </si>
  <si>
    <t>KOTOR</t>
  </si>
  <si>
    <t>SELISIH</t>
  </si>
  <si>
    <t>AKIYONG</t>
  </si>
  <si>
    <t>MSI</t>
  </si>
  <si>
    <t>MB TUTIK</t>
  </si>
  <si>
    <t>MAISAROH</t>
  </si>
  <si>
    <t>PAGI</t>
  </si>
  <si>
    <t>13/12/2021</t>
  </si>
  <si>
    <t>14/12/2021</t>
  </si>
  <si>
    <t>15/12/2021</t>
  </si>
  <si>
    <t>16/12/2021</t>
  </si>
  <si>
    <t>RASA2</t>
  </si>
  <si>
    <t>17/12/2021</t>
  </si>
  <si>
    <t>18/12/2021</t>
  </si>
  <si>
    <t>19/12/2021</t>
  </si>
  <si>
    <t>MALAM</t>
  </si>
  <si>
    <t>20/12/2021</t>
  </si>
  <si>
    <t>21/12/2021</t>
  </si>
  <si>
    <t>CUST</t>
  </si>
  <si>
    <t>22/12/2021</t>
  </si>
  <si>
    <t>23/12/2021</t>
  </si>
  <si>
    <t>24/12/2021</t>
  </si>
  <si>
    <t>GOJEK</t>
  </si>
  <si>
    <t>25/12/2021</t>
  </si>
  <si>
    <t>26/12/2021</t>
  </si>
  <si>
    <t>27/12/2021</t>
  </si>
  <si>
    <t>28/12/2021</t>
  </si>
  <si>
    <t>MAYSAROH</t>
  </si>
  <si>
    <t>29/12/2021</t>
  </si>
  <si>
    <t>30/12/2021</t>
  </si>
  <si>
    <t>LIBUR</t>
  </si>
  <si>
    <t>31/12/2021</t>
  </si>
  <si>
    <t>AL KHAIRIYAH</t>
  </si>
  <si>
    <t>JUMAIDI</t>
  </si>
  <si>
    <t>KEPATIHAN</t>
  </si>
  <si>
    <t xml:space="preserve">BRAWIJAYA </t>
  </si>
  <si>
    <t>LATENG</t>
  </si>
  <si>
    <t>13/1/2022</t>
  </si>
  <si>
    <t>14/1/2022</t>
  </si>
  <si>
    <t>15/1/2022</t>
  </si>
  <si>
    <t>16/1/2022</t>
  </si>
  <si>
    <t>MZ ADI</t>
  </si>
  <si>
    <t>17/1/2022</t>
  </si>
  <si>
    <t>18/1/2022</t>
  </si>
  <si>
    <t>19/1/2022</t>
  </si>
  <si>
    <t>20/1/2022</t>
  </si>
  <si>
    <t>21/1/2022</t>
  </si>
  <si>
    <t>22/1/2022</t>
  </si>
  <si>
    <t>23/1/2022</t>
  </si>
  <si>
    <t>24/1/2022</t>
  </si>
  <si>
    <t>25/1/2022</t>
  </si>
  <si>
    <t>26/1/2022</t>
  </si>
  <si>
    <t>27/1/2022</t>
  </si>
  <si>
    <t>DINAS</t>
  </si>
  <si>
    <t>28/1/2022</t>
  </si>
  <si>
    <t>UST. KAMAH</t>
  </si>
  <si>
    <t>29/1/2022</t>
  </si>
  <si>
    <t>30/1/2022</t>
  </si>
  <si>
    <t>31/1/2022</t>
  </si>
  <si>
    <t>SD SINGOTRUNAN</t>
  </si>
  <si>
    <t>SINGOTRUNAN</t>
  </si>
  <si>
    <t>BRAWIJAYA</t>
  </si>
  <si>
    <t>SMANTA</t>
  </si>
  <si>
    <t>KEBALENAN</t>
  </si>
  <si>
    <t>KARANGREJO</t>
  </si>
  <si>
    <t>13/2/2022</t>
  </si>
  <si>
    <t>LITER</t>
  </si>
  <si>
    <t>14/2/2022</t>
  </si>
  <si>
    <t>15/2/2022</t>
  </si>
  <si>
    <t>TRINITY</t>
  </si>
  <si>
    <t>16/2/2022</t>
  </si>
  <si>
    <t>17/2/2022</t>
  </si>
  <si>
    <t>18/2/2022</t>
  </si>
  <si>
    <t>19/2/2022</t>
  </si>
  <si>
    <t>20/2/2022</t>
  </si>
  <si>
    <t>21/2/2022</t>
  </si>
  <si>
    <t>22/2/2022</t>
  </si>
  <si>
    <t>23/2/2022</t>
  </si>
  <si>
    <t>24/2/2022</t>
  </si>
  <si>
    <t>25/2/2022</t>
  </si>
  <si>
    <t>26/2/2022</t>
  </si>
  <si>
    <t>27/2/2022</t>
  </si>
  <si>
    <t>AQIYONG</t>
  </si>
  <si>
    <t>28/2/2022</t>
  </si>
  <si>
    <t>01/03/222</t>
  </si>
  <si>
    <t>KRANG 22500</t>
  </si>
  <si>
    <t>BU FAIQ</t>
  </si>
  <si>
    <t>MZ OPEK</t>
  </si>
  <si>
    <t>KRNGREJO 2</t>
  </si>
  <si>
    <t>RABO</t>
  </si>
  <si>
    <t>TK AL KHAIRIYAH</t>
  </si>
  <si>
    <t>11 MARET 22</t>
  </si>
  <si>
    <t>13/3/2022</t>
  </si>
  <si>
    <t>14/3/2022</t>
  </si>
  <si>
    <t>15/3/2022</t>
  </si>
  <si>
    <t>16/3/2022</t>
  </si>
  <si>
    <t>BU MERI LATENG</t>
  </si>
  <si>
    <t>17/3/2022</t>
  </si>
  <si>
    <t>18/3/2022</t>
  </si>
  <si>
    <t>19/3/2022</t>
  </si>
  <si>
    <t>20/3/2022</t>
  </si>
  <si>
    <t>21/3/2022</t>
  </si>
  <si>
    <t>SASMITO</t>
  </si>
  <si>
    <t>22/3/2022</t>
  </si>
  <si>
    <t>23/3/2022</t>
  </si>
  <si>
    <t>24/3/2022</t>
  </si>
  <si>
    <t>25/3/2022</t>
  </si>
  <si>
    <t>DNAS</t>
  </si>
  <si>
    <t>26/3/2022</t>
  </si>
  <si>
    <t>27/3/2022</t>
  </si>
  <si>
    <t>28/3/2022</t>
  </si>
  <si>
    <t>MB ROSITA</t>
  </si>
  <si>
    <t>29/3/2022</t>
  </si>
  <si>
    <t>30/3/2022</t>
  </si>
  <si>
    <t>31/3/2022</t>
  </si>
  <si>
    <t>USTZ KAMAH</t>
  </si>
  <si>
    <t>AKMAL</t>
  </si>
  <si>
    <t>MB MAYIK</t>
  </si>
  <si>
    <t>MB ATIK</t>
  </si>
  <si>
    <t>MB FITRI</t>
  </si>
  <si>
    <t>KHOLIQ</t>
  </si>
  <si>
    <t>MB NENENG</t>
  </si>
  <si>
    <t>TOTOK</t>
  </si>
  <si>
    <t>HOLIK</t>
  </si>
  <si>
    <t>ITAK</t>
  </si>
  <si>
    <t>KEMARIN</t>
  </si>
  <si>
    <t>agus qty bk bb</t>
  </si>
  <si>
    <t>13/4/2022</t>
  </si>
  <si>
    <t>14/4/2022</t>
  </si>
  <si>
    <t>15/4/2022</t>
  </si>
  <si>
    <t xml:space="preserve"> AYAH</t>
  </si>
  <si>
    <t>16/4/2022</t>
  </si>
  <si>
    <t>P TOTOK</t>
  </si>
  <si>
    <t>17/4/2022</t>
  </si>
  <si>
    <t>18/4/2022</t>
  </si>
  <si>
    <t>19/4/2022</t>
  </si>
  <si>
    <t>20/4/2022</t>
  </si>
  <si>
    <t>USTD.KAMAH</t>
  </si>
  <si>
    <t>21/4/2022</t>
  </si>
  <si>
    <t>MB PUTRI</t>
  </si>
  <si>
    <t>22/4/2022</t>
  </si>
  <si>
    <t>23/4/2022</t>
  </si>
  <si>
    <t>24/4/2022</t>
  </si>
  <si>
    <t>25/4/2022</t>
  </si>
  <si>
    <t>26/4/2022</t>
  </si>
  <si>
    <t>27/4/2022</t>
  </si>
  <si>
    <t>28/4/2022</t>
  </si>
  <si>
    <t>29/4/2022</t>
  </si>
  <si>
    <t>30/4/2022</t>
  </si>
  <si>
    <t>TF BCA</t>
  </si>
  <si>
    <t>NOVI</t>
  </si>
  <si>
    <t>TYA</t>
  </si>
  <si>
    <t>BU MAYSAROH</t>
  </si>
  <si>
    <t>BULUSAN</t>
  </si>
  <si>
    <t>NITA</t>
  </si>
  <si>
    <t>RASA</t>
  </si>
  <si>
    <t>SHERLY</t>
  </si>
  <si>
    <t>BU UCIK</t>
  </si>
  <si>
    <t>BUNGA RESIDEN</t>
  </si>
  <si>
    <t>MB NOVI</t>
  </si>
  <si>
    <t>SOBO</t>
  </si>
  <si>
    <t>ADIMAS</t>
  </si>
  <si>
    <t>UST</t>
  </si>
  <si>
    <t>DAVIN</t>
  </si>
  <si>
    <t>SD KEBALENAN</t>
  </si>
  <si>
    <t>13/5/2022</t>
  </si>
  <si>
    <t>14/5/2022</t>
  </si>
  <si>
    <t>15/5/2022</t>
  </si>
  <si>
    <t>16/5/2022</t>
  </si>
  <si>
    <t>MAS TAUFIK</t>
  </si>
  <si>
    <t>17/5/2022</t>
  </si>
  <si>
    <t>18/5/2022</t>
  </si>
  <si>
    <t>PAK TOTOK</t>
  </si>
  <si>
    <t>19/5/2022</t>
  </si>
  <si>
    <t>MUHAMADIYAH</t>
  </si>
  <si>
    <t>20/5/2022</t>
  </si>
  <si>
    <t>21/5/2022</t>
  </si>
  <si>
    <t>22/5/2022</t>
  </si>
  <si>
    <t>23/5/2022</t>
  </si>
  <si>
    <t>24/5/2022</t>
  </si>
  <si>
    <t>25/5/2022</t>
  </si>
  <si>
    <t>26/5/2022</t>
  </si>
  <si>
    <t>27/5/2022</t>
  </si>
  <si>
    <t>MUSHOLLA</t>
  </si>
  <si>
    <t>T</t>
  </si>
  <si>
    <t>28/5/2022</t>
  </si>
  <si>
    <t>LEK DUL</t>
  </si>
  <si>
    <t>29/5/2022</t>
  </si>
  <si>
    <t>30/5/2022</t>
  </si>
  <si>
    <t>31/5/2022</t>
  </si>
  <si>
    <t>BU WANDA</t>
  </si>
  <si>
    <t>ALKHAIRIYAH</t>
  </si>
  <si>
    <t>LATENG SENIN BELUM</t>
  </si>
  <si>
    <t>RIA</t>
  </si>
  <si>
    <t>CFD</t>
  </si>
  <si>
    <t>Total sampai tangga 12 Juni 2022</t>
  </si>
  <si>
    <t>TOTAL VALUE SAMPAI TGL 12 JUNI</t>
  </si>
  <si>
    <t>OMSET</t>
  </si>
  <si>
    <t>MURNI</t>
  </si>
  <si>
    <t>Total Bulan Mei 2022</t>
  </si>
  <si>
    <t>MINUM</t>
  </si>
  <si>
    <t>TOTAL VALUE MEI 2022</t>
  </si>
  <si>
    <t>250ML</t>
  </si>
  <si>
    <t>350ML</t>
  </si>
  <si>
    <t>JUMLAH</t>
  </si>
  <si>
    <t>MARET 2022RANGKUMAN SELLOUT</t>
  </si>
  <si>
    <t xml:space="preserve">TOTAL </t>
  </si>
  <si>
    <t>SELLOUT QTY</t>
  </si>
  <si>
    <t>VALUE JUAL</t>
  </si>
  <si>
    <t>VALUE HPP</t>
  </si>
  <si>
    <t>VALUE LABA</t>
  </si>
  <si>
    <t>FEBRUARI 2022 RANGKUMAN SELLOUT</t>
  </si>
  <si>
    <t>JANUARI 2022 RANGKUMAN SELLOUT</t>
  </si>
  <si>
    <t>13/6/2022</t>
  </si>
  <si>
    <t>14/6/2022</t>
  </si>
  <si>
    <t>MINGGU MALAM</t>
  </si>
  <si>
    <t>15/6/2022</t>
  </si>
  <si>
    <t>16/6/2022</t>
  </si>
  <si>
    <t>17/6/2022</t>
  </si>
  <si>
    <t>18/6/2022</t>
  </si>
  <si>
    <t>20/6/2022</t>
  </si>
  <si>
    <t>21/6/2022</t>
  </si>
  <si>
    <t>22/6/2022</t>
  </si>
  <si>
    <t>23/6/2022</t>
  </si>
  <si>
    <t>24/6/2022</t>
  </si>
  <si>
    <t>25/6/2022</t>
  </si>
  <si>
    <t>26/6/2022</t>
  </si>
  <si>
    <t>27/6/2022</t>
  </si>
  <si>
    <t>BOOM</t>
  </si>
  <si>
    <t>28/6/2022</t>
  </si>
  <si>
    <t>29/6/2022</t>
  </si>
  <si>
    <t>30/6/2022</t>
  </si>
  <si>
    <t>SABTU PAGI</t>
  </si>
  <si>
    <t>s</t>
  </si>
  <si>
    <t xml:space="preserve"> BU WANDA</t>
  </si>
  <si>
    <t>13/7/2022</t>
  </si>
  <si>
    <t>14/7/2002</t>
  </si>
  <si>
    <t>15/7/2022</t>
  </si>
  <si>
    <t>16/7/2022</t>
  </si>
  <si>
    <t>17/7/2022</t>
  </si>
  <si>
    <t>18/7/2022</t>
  </si>
  <si>
    <t>19/7/2022</t>
  </si>
  <si>
    <t>20/7/2022</t>
  </si>
  <si>
    <t>MUHAMMADIYAH</t>
  </si>
  <si>
    <t>21/7/2022</t>
  </si>
  <si>
    <t>22/7/2022</t>
  </si>
  <si>
    <t>23/7/2022</t>
  </si>
  <si>
    <t>MOJOPANGGUNG</t>
  </si>
  <si>
    <t>24/7/2022</t>
  </si>
  <si>
    <t>25/7/2022</t>
  </si>
  <si>
    <t>26/7/2022</t>
  </si>
  <si>
    <t>27/7/2022</t>
  </si>
  <si>
    <t>28/7/2022</t>
  </si>
  <si>
    <t>29/7/2022</t>
  </si>
  <si>
    <t>30/7/2022</t>
  </si>
  <si>
    <t>31/7/2022</t>
  </si>
  <si>
    <t>13/8/2022</t>
  </si>
  <si>
    <t>14/08/2022</t>
  </si>
  <si>
    <t>HOTIM</t>
  </si>
  <si>
    <t>15/8/2022</t>
  </si>
  <si>
    <t>16/08/2022</t>
  </si>
  <si>
    <t>SD MUHAMMADIYAH</t>
  </si>
  <si>
    <t>SD MOJOPANGGUNG</t>
  </si>
  <si>
    <t>SD BRAWIJAYA</t>
  </si>
  <si>
    <t>UPACARA</t>
  </si>
  <si>
    <t>SDN 2 SINGOTRUNAN</t>
  </si>
  <si>
    <t>18/8/2022</t>
  </si>
  <si>
    <t>19/8/2022</t>
  </si>
  <si>
    <t>20/8/2022</t>
  </si>
  <si>
    <t>21/8/2022</t>
  </si>
  <si>
    <t>MB HOTIM</t>
  </si>
  <si>
    <t>22/8/2022</t>
  </si>
  <si>
    <t>23/8/2022</t>
  </si>
  <si>
    <t xml:space="preserve">CUP </t>
  </si>
  <si>
    <t>24/8/2022</t>
  </si>
  <si>
    <t>25/8/2022</t>
  </si>
  <si>
    <t>26/8/2022</t>
  </si>
  <si>
    <t>27/8/2022</t>
  </si>
  <si>
    <t>28/8/2022</t>
  </si>
  <si>
    <t>29/8/2022</t>
  </si>
  <si>
    <t>30/8/2022</t>
  </si>
  <si>
    <t>USTADZAH KAMAH</t>
  </si>
  <si>
    <t>31/8/2022</t>
  </si>
  <si>
    <t>NEW CUSTMER</t>
  </si>
  <si>
    <t>13/9/2022</t>
  </si>
  <si>
    <t>14/9/2022</t>
  </si>
  <si>
    <t>BU IJAH</t>
  </si>
  <si>
    <t>USTDZ. KAMAH</t>
  </si>
  <si>
    <t>15/9/2022</t>
  </si>
  <si>
    <t>16/9/2022</t>
  </si>
  <si>
    <t>17/9/2022</t>
  </si>
  <si>
    <t>18/09/2022</t>
  </si>
  <si>
    <t>19/09/2022</t>
  </si>
  <si>
    <t>SD LATENG</t>
  </si>
  <si>
    <t>20/09/2022</t>
  </si>
  <si>
    <t>21/09/2022</t>
  </si>
  <si>
    <t>22/09/2022</t>
  </si>
  <si>
    <t>23/9/2022</t>
  </si>
  <si>
    <t>24/9/2022</t>
  </si>
  <si>
    <t>25/09/2022</t>
  </si>
  <si>
    <t>26/9/2022</t>
  </si>
  <si>
    <t>27/09/2022</t>
  </si>
  <si>
    <t>28/9/2022</t>
  </si>
  <si>
    <t>29/09/2022</t>
  </si>
  <si>
    <t>30/09/2022</t>
  </si>
  <si>
    <t>MINGU</t>
  </si>
  <si>
    <t>USTD. KAMAH</t>
  </si>
  <si>
    <t>SENIIN</t>
  </si>
  <si>
    <t>AGUS MINGGU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</si>
  <si>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</si>
  <si>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</si>
  <si>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</si>
  <si>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</si>
  <si>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</si>
  <si>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</si>
  <si>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</si>
  <si>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</si>
  <si>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</si>
  <si>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</si>
  <si>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</si>
  <si>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</si>
  <si>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</si>
  <si>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</si>
  <si>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</si>
  <si>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</si>
  <si>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</si>
  <si>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</si>
  <si>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</si>
  <si>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WANDA</t>
  </si>
  <si>
    <t>PAK TOTO</t>
  </si>
  <si>
    <t xml:space="preserve">BU WANDA </t>
  </si>
  <si>
    <t>AL KHARIYAH</t>
  </si>
  <si>
    <t xml:space="preserve">PAK TOTOK </t>
  </si>
  <si>
    <t>BU ENI</t>
  </si>
  <si>
    <t>PAK BUDI</t>
  </si>
  <si>
    <t>13/11/2022</t>
  </si>
  <si>
    <t xml:space="preserve">SENIN 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</si>
  <si>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</si>
  <si>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</si>
  <si>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</si>
  <si>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</si>
  <si>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</si>
  <si>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</si>
  <si>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</si>
  <si>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</si>
  <si>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</si>
  <si>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</si>
  <si>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</si>
  <si>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</si>
  <si>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</si>
  <si>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</si>
  <si>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USTADZA</t>
  </si>
  <si>
    <t>28/11/2022</t>
  </si>
  <si>
    <t>29/11/2022</t>
  </si>
  <si>
    <t>POLIWANGI</t>
  </si>
  <si>
    <t>30/11/2022</t>
  </si>
  <si>
    <t>BU WINDA</t>
  </si>
  <si>
    <t>AYAH&amp;AGUS</t>
  </si>
  <si>
    <t>13/12/2022</t>
  </si>
  <si>
    <t>ES TEA</t>
  </si>
  <si>
    <t>14/12/2022</t>
  </si>
  <si>
    <t>15/12/2022</t>
  </si>
  <si>
    <t>16/12/2022</t>
  </si>
  <si>
    <t>17/12/2022</t>
  </si>
  <si>
    <t>18/12/2022</t>
  </si>
  <si>
    <t xml:space="preserve">AYAH </t>
  </si>
  <si>
    <t>MBK OPIE</t>
  </si>
  <si>
    <t>19/12/2022</t>
  </si>
  <si>
    <t>20/12/2022</t>
  </si>
  <si>
    <t>21/12/2022</t>
  </si>
  <si>
    <t>ES TEA SUSU</t>
  </si>
  <si>
    <t>22/12/2022</t>
  </si>
  <si>
    <t>23/12/2022</t>
  </si>
  <si>
    <t>24/12/2022</t>
  </si>
  <si>
    <t>25/12/2022</t>
  </si>
  <si>
    <t>ES SUSU</t>
  </si>
  <si>
    <t>26/12/2022</t>
  </si>
  <si>
    <t>27/12/2022</t>
  </si>
  <si>
    <t>28/12/2022</t>
  </si>
  <si>
    <t>ES COKLAT</t>
  </si>
  <si>
    <t>ES TEA ORI</t>
  </si>
  <si>
    <t>29/12/2022</t>
  </si>
  <si>
    <t>30/12/2022</t>
  </si>
  <si>
    <t>ES TEA  ORI</t>
  </si>
  <si>
    <t>31/12/2022</t>
  </si>
  <si>
    <t>ES STRAWBRRY</t>
  </si>
  <si>
    <t>ANDI</t>
  </si>
  <si>
    <t>ES SUSU COKLAT</t>
  </si>
  <si>
    <t>ES SUSU STRAWBERRY</t>
  </si>
  <si>
    <t>SUSU MURNI</t>
  </si>
  <si>
    <t>BU OKTA</t>
  </si>
  <si>
    <t>SUSU ORI</t>
  </si>
  <si>
    <t>ES SUSU RASA2</t>
  </si>
  <si>
    <t>SUSU COKLAT</t>
  </si>
  <si>
    <t>ES SUSU MURNI</t>
  </si>
  <si>
    <t>TEA MURNI</t>
  </si>
  <si>
    <t>ES SUSU ORI</t>
  </si>
  <si>
    <t>MBAK HOTIM</t>
  </si>
  <si>
    <t xml:space="preserve"> TOTAL </t>
  </si>
  <si>
    <t>USTADZAH</t>
  </si>
  <si>
    <t>13/1/2023</t>
  </si>
  <si>
    <t>14/1/2023</t>
  </si>
  <si>
    <t>15/1/2023</t>
  </si>
  <si>
    <t>ES STRWABERRY</t>
  </si>
  <si>
    <t>ES SUSU ORII</t>
  </si>
  <si>
    <t>16/1/2023</t>
  </si>
  <si>
    <t>NIRA</t>
  </si>
  <si>
    <t>18/1/2023</t>
  </si>
  <si>
    <t>17/1/2023</t>
  </si>
  <si>
    <t>BU ULIKA</t>
  </si>
  <si>
    <t>19/1/2023</t>
  </si>
  <si>
    <t>20/1/2023</t>
  </si>
  <si>
    <t>21/1/2023</t>
  </si>
  <si>
    <t>22/1/2023</t>
  </si>
  <si>
    <t>ES SUSUCOKLAT</t>
  </si>
  <si>
    <t>PAK TOTOK 2</t>
  </si>
  <si>
    <t>AYAH 2</t>
  </si>
  <si>
    <t>23/1/2023</t>
  </si>
  <si>
    <t>24/1/2023</t>
  </si>
  <si>
    <t>25/1/2023</t>
  </si>
  <si>
    <t>26/1/2023</t>
  </si>
  <si>
    <t>ABBA MART</t>
  </si>
  <si>
    <t>27/1/2023</t>
  </si>
  <si>
    <t>28/1/2023</t>
  </si>
  <si>
    <t>29/1/2023</t>
  </si>
  <si>
    <t>30/1/2023</t>
  </si>
  <si>
    <t>31/1/2023</t>
  </si>
  <si>
    <t>USER2</t>
  </si>
  <si>
    <t>PAK TOTOK 1</t>
  </si>
  <si>
    <t>FIVI BU OKTA</t>
  </si>
  <si>
    <t xml:space="preserve">ES ORI </t>
  </si>
  <si>
    <t>ABA MART</t>
  </si>
  <si>
    <t>BU ULIKAA</t>
  </si>
  <si>
    <t>AL USWAH</t>
  </si>
  <si>
    <t xml:space="preserve">PAK TOTOK 2 </t>
  </si>
  <si>
    <t>ES SUSU STRWBERRY</t>
  </si>
  <si>
    <t>MBK HOTIMAH</t>
  </si>
  <si>
    <t>13/2/2023</t>
  </si>
  <si>
    <t>14/2/2023</t>
  </si>
  <si>
    <t>ESTEA ORI</t>
  </si>
  <si>
    <t>15/2/2023</t>
  </si>
  <si>
    <t>16/2/2023</t>
  </si>
  <si>
    <t>17/2/2023</t>
  </si>
  <si>
    <t>18/2/2023</t>
  </si>
  <si>
    <t>THE ORI</t>
  </si>
  <si>
    <t>19/2/2023</t>
  </si>
  <si>
    <t>ES THE ORI</t>
  </si>
  <si>
    <t>ESTEA SUSU</t>
  </si>
  <si>
    <t>20/2/2023</t>
  </si>
  <si>
    <t>21/2/2023</t>
  </si>
  <si>
    <t>BU ERNI</t>
  </si>
  <si>
    <t>22/2/2023</t>
  </si>
  <si>
    <t>AL QOMAR</t>
  </si>
  <si>
    <t xml:space="preserve"> MUNIR</t>
  </si>
  <si>
    <t>23/2/2023</t>
  </si>
  <si>
    <t>24/2/2023</t>
  </si>
  <si>
    <t>25/2/2023</t>
  </si>
  <si>
    <t>MIN SOBO 1</t>
  </si>
  <si>
    <t>HIPMI</t>
  </si>
  <si>
    <t>26/2/2023</t>
  </si>
  <si>
    <t>ES SUSU ANGGUR</t>
  </si>
  <si>
    <t>27/2/2023</t>
  </si>
  <si>
    <t>MIN SOBO 2</t>
  </si>
  <si>
    <t>28/2/2023</t>
  </si>
  <si>
    <t>MIN 1</t>
  </si>
  <si>
    <t>MIN 2</t>
  </si>
  <si>
    <t>ES TE SUSU</t>
  </si>
  <si>
    <t>MIN1</t>
  </si>
  <si>
    <t>MIN2</t>
  </si>
  <si>
    <t>POLIWAGI</t>
  </si>
  <si>
    <t>SELVI</t>
  </si>
  <si>
    <t>13/3/2023</t>
  </si>
  <si>
    <t>14/3/2023</t>
  </si>
  <si>
    <t>15/3/2023</t>
  </si>
  <si>
    <t>16/3/2023</t>
  </si>
  <si>
    <t xml:space="preserve">ES TEA </t>
  </si>
  <si>
    <t>18/3/2023</t>
  </si>
  <si>
    <t>19/3/2023</t>
  </si>
  <si>
    <t>AYAH PATUNG</t>
  </si>
  <si>
    <t>17/3/2023</t>
  </si>
  <si>
    <t>TINA</t>
  </si>
  <si>
    <t>MBK WIWIK</t>
  </si>
  <si>
    <t>20/3/2023</t>
  </si>
  <si>
    <t>21/3/2023</t>
  </si>
  <si>
    <t>22/3/2023</t>
  </si>
  <si>
    <t>23/3/2023</t>
  </si>
  <si>
    <t>BU MAYIK</t>
  </si>
  <si>
    <t>24/3/2023</t>
  </si>
  <si>
    <t>MAYIK</t>
  </si>
  <si>
    <t>25/3/2023</t>
  </si>
  <si>
    <t>26/3/2023</t>
  </si>
  <si>
    <t>RAMADHAN</t>
  </si>
  <si>
    <t>27/3/2023</t>
  </si>
  <si>
    <t>28/3/2023</t>
  </si>
  <si>
    <t>29/3/2023</t>
  </si>
  <si>
    <t>MBK DIAN</t>
  </si>
  <si>
    <t>30/3/2023</t>
  </si>
  <si>
    <t>ES SUSU MELON</t>
  </si>
  <si>
    <t>31/3/2023</t>
  </si>
  <si>
    <t>MBAK DIAN</t>
  </si>
  <si>
    <t>ES STRAWBERRY</t>
  </si>
  <si>
    <t>13/4/2023</t>
  </si>
  <si>
    <t>14/4/2023</t>
  </si>
  <si>
    <t>15/4/2023</t>
  </si>
  <si>
    <t>16/4/2023</t>
  </si>
  <si>
    <t>17/4/2023</t>
  </si>
  <si>
    <t>18/4/2023</t>
  </si>
  <si>
    <t>19/4/2023</t>
  </si>
  <si>
    <t>ES SUSU MELN</t>
  </si>
  <si>
    <t>GOFOOD</t>
  </si>
  <si>
    <t>20/4/2023</t>
  </si>
  <si>
    <t>ES SUSU STR</t>
  </si>
  <si>
    <t>21/4/2023</t>
  </si>
  <si>
    <t>ES SUSU STRW</t>
  </si>
  <si>
    <t>22/4/2023</t>
  </si>
  <si>
    <t>23/4/2023</t>
  </si>
  <si>
    <t>24/4/2023</t>
  </si>
  <si>
    <t>25/4/2023</t>
  </si>
  <si>
    <t>26/4/2023</t>
  </si>
  <si>
    <t>27/4/2023</t>
  </si>
  <si>
    <t>28/4/2023</t>
  </si>
  <si>
    <t>29/4/2023</t>
  </si>
  <si>
    <t>30/4/2023</t>
  </si>
  <si>
    <t>MBAK TITIK</t>
  </si>
  <si>
    <t>ES STRWBERRY</t>
  </si>
  <si>
    <t>ESMELON</t>
  </si>
  <si>
    <t>SD AL USWAH</t>
  </si>
  <si>
    <t>SD AL QOMAR</t>
  </si>
  <si>
    <t>SD USWAH</t>
  </si>
  <si>
    <t>SUPRI</t>
  </si>
  <si>
    <t>13/5/2023</t>
  </si>
  <si>
    <t>14/5/2023</t>
  </si>
  <si>
    <t>ES SUSUS STRAWBERRY</t>
  </si>
  <si>
    <t>ES SUSUS ORI</t>
  </si>
  <si>
    <t xml:space="preserve">ES TEA SUSU </t>
  </si>
  <si>
    <t>15/5/2023</t>
  </si>
  <si>
    <t>SD AL KHARIYAH</t>
  </si>
  <si>
    <t>16/5/2023</t>
  </si>
  <si>
    <t>17/5/2023</t>
  </si>
  <si>
    <t>18/05/2023</t>
  </si>
  <si>
    <t>19/05/2023</t>
  </si>
  <si>
    <t>20/05/2023</t>
  </si>
  <si>
    <t>SUSU MELON</t>
  </si>
  <si>
    <t>21/5/2023</t>
  </si>
  <si>
    <t>ARIP</t>
  </si>
  <si>
    <t>22/5/2023</t>
  </si>
  <si>
    <t>23/5/2023</t>
  </si>
  <si>
    <t>LITER RASA2</t>
  </si>
  <si>
    <t>24/5/2023</t>
  </si>
  <si>
    <t>25/5/2023</t>
  </si>
  <si>
    <t>26/5/2023</t>
  </si>
  <si>
    <t>MASE</t>
  </si>
  <si>
    <t>27/5/2023</t>
  </si>
  <si>
    <t>28/5/2023</t>
  </si>
  <si>
    <t>29/5/2023</t>
  </si>
  <si>
    <t>30/5/2023</t>
  </si>
  <si>
    <t>31/5/2023</t>
  </si>
  <si>
    <t>ESCOKLAT</t>
  </si>
  <si>
    <t>ES MELON</t>
  </si>
  <si>
    <t>BU US</t>
  </si>
  <si>
    <t xml:space="preserve">ES SUSU  </t>
  </si>
  <si>
    <t>SD ALKHARIYAH</t>
  </si>
  <si>
    <t>ESTETA</t>
  </si>
  <si>
    <t>13/6/2023</t>
  </si>
  <si>
    <t>14/6/2023</t>
  </si>
  <si>
    <t>15/6/2023</t>
  </si>
  <si>
    <t>16/6/2023</t>
  </si>
  <si>
    <t xml:space="preserve"> </t>
  </si>
  <si>
    <t>17/6/2023</t>
  </si>
  <si>
    <t>18/6/2023</t>
  </si>
  <si>
    <t>19/6/2023</t>
  </si>
  <si>
    <t>20/6/2023</t>
  </si>
  <si>
    <t>21/6/2023</t>
  </si>
  <si>
    <t>22/6/2023</t>
  </si>
  <si>
    <t>23/6/2023</t>
  </si>
  <si>
    <t>ES USU RASA2</t>
  </si>
  <si>
    <t>24/6/2023</t>
  </si>
  <si>
    <t>25/6/2023</t>
  </si>
  <si>
    <t xml:space="preserve"> CUP</t>
  </si>
  <si>
    <t>26/6/2023</t>
  </si>
  <si>
    <t>27/6/2023</t>
  </si>
  <si>
    <t>ES SUSUORI</t>
  </si>
  <si>
    <t>28/6/2023</t>
  </si>
  <si>
    <t>29/6/2023</t>
  </si>
  <si>
    <t>30/6/2023</t>
  </si>
  <si>
    <t xml:space="preserve">ES TEA  </t>
  </si>
  <si>
    <t xml:space="preserve">ES SUSU murni </t>
  </si>
  <si>
    <t>13/7/2023</t>
  </si>
  <si>
    <t>14/7/2023</t>
  </si>
  <si>
    <t>15/7/2023</t>
  </si>
  <si>
    <t>16/7/2023</t>
  </si>
  <si>
    <t>17/7/2023</t>
  </si>
  <si>
    <t>18/7/2023</t>
  </si>
  <si>
    <t>19/7/2023</t>
  </si>
  <si>
    <t>ILMI</t>
  </si>
  <si>
    <t>20/7/2023</t>
  </si>
  <si>
    <t>21/7/2023</t>
  </si>
  <si>
    <t>22/7/2023</t>
  </si>
  <si>
    <t>23/7/2023</t>
  </si>
  <si>
    <t xml:space="preserve"> 24/7/2023</t>
  </si>
  <si>
    <t>25/7/2023</t>
  </si>
  <si>
    <t>SD MANDAR</t>
  </si>
  <si>
    <t>SD ALQOMAR</t>
  </si>
  <si>
    <t>26/7/2023</t>
  </si>
  <si>
    <t>SD SINGOTRUNAN 4</t>
  </si>
  <si>
    <t>27/7/2023</t>
  </si>
  <si>
    <t>SDAL QOMAR</t>
  </si>
  <si>
    <t>SUSU RASA2 LITER</t>
  </si>
  <si>
    <t>28/7/2023</t>
  </si>
  <si>
    <t>29/7/2023</t>
  </si>
  <si>
    <t>30/7/2023</t>
  </si>
  <si>
    <t>31/7/2023</t>
  </si>
  <si>
    <t>RASA2 LITER</t>
  </si>
  <si>
    <t>ANIS</t>
  </si>
  <si>
    <t>13/8/2023</t>
  </si>
  <si>
    <t>14/8/2023</t>
  </si>
  <si>
    <t>15/8/2023</t>
  </si>
  <si>
    <t>16/8/2023</t>
  </si>
  <si>
    <t>17/8/2023</t>
  </si>
  <si>
    <t>18/9/2023</t>
  </si>
  <si>
    <t>19/8/2023</t>
  </si>
  <si>
    <t>20/8/2023</t>
  </si>
  <si>
    <t>21/8/2023</t>
  </si>
  <si>
    <t xml:space="preserve"> SD MUHAMMADIYAH</t>
  </si>
  <si>
    <t>22/8/2023</t>
  </si>
  <si>
    <t>23/8/2023</t>
  </si>
  <si>
    <t>24/8/2023</t>
  </si>
  <si>
    <t>25/8/2023</t>
  </si>
  <si>
    <t>26/8/2023</t>
  </si>
  <si>
    <t>27/8/2023</t>
  </si>
  <si>
    <t>28/8/2023</t>
  </si>
  <si>
    <t>SDALKHARIYAH</t>
  </si>
  <si>
    <t>29/8/2023</t>
  </si>
  <si>
    <t>PEGADAIAN</t>
  </si>
  <si>
    <t>30/8/2023</t>
  </si>
  <si>
    <t>31/8/2023</t>
  </si>
  <si>
    <t>SD lATENG</t>
  </si>
  <si>
    <t>POLIWANGI2</t>
  </si>
  <si>
    <t>POLIWANGI ARTWEEK</t>
  </si>
  <si>
    <t>POLIWANGI PG</t>
  </si>
  <si>
    <t>POLIWANGI 2</t>
  </si>
  <si>
    <t>ES THE SUSU</t>
  </si>
  <si>
    <t>SD  LATENG</t>
  </si>
  <si>
    <t>SUSURASA2</t>
  </si>
  <si>
    <t xml:space="preserve">ES SUSU </t>
  </si>
  <si>
    <t xml:space="preserve"> SD SINGOTRUNAN</t>
  </si>
  <si>
    <t>ESSUSU ORI</t>
  </si>
  <si>
    <t>POLWANGI2</t>
  </si>
  <si>
    <t>TIM ANDINI</t>
  </si>
  <si>
    <t>SD  MUHAMMADIYAH</t>
  </si>
  <si>
    <t>ES THE</t>
  </si>
  <si>
    <t>TOKO SINDORO</t>
  </si>
  <si>
    <t>USER 1</t>
  </si>
  <si>
    <t>USER 2</t>
  </si>
  <si>
    <t>USER 3</t>
  </si>
  <si>
    <t>TIM ANDINI 1</t>
  </si>
  <si>
    <t>TIM ANDINI 2</t>
  </si>
  <si>
    <t>31/11/2023</t>
  </si>
  <si>
    <t>SD AL  USWAH</t>
  </si>
  <si>
    <t>ANDINI TIM</t>
  </si>
  <si>
    <t>ANDINI TIM 2</t>
  </si>
  <si>
    <t xml:space="preserve"> SD AL USWAH</t>
  </si>
  <si>
    <t>ORLIN</t>
  </si>
  <si>
    <t>YASMIN</t>
  </si>
  <si>
    <t>SD MUHAMADIYAH</t>
  </si>
  <si>
    <t>ABBAMART</t>
  </si>
  <si>
    <t>13/2/2024</t>
  </si>
  <si>
    <t>OFF</t>
  </si>
  <si>
    <t>PEMILU</t>
  </si>
  <si>
    <t>15/2/2024</t>
  </si>
  <si>
    <t>16/2/2024</t>
  </si>
  <si>
    <t>17/2/2024</t>
  </si>
  <si>
    <t>18/2/2024</t>
  </si>
  <si>
    <t>19/2/2024</t>
  </si>
  <si>
    <t>USET</t>
  </si>
  <si>
    <t>20/2/2024</t>
  </si>
  <si>
    <t>21/2/2024</t>
  </si>
  <si>
    <t>22/02/2024</t>
  </si>
  <si>
    <t>23/02/2024</t>
  </si>
  <si>
    <t>THE SUSU</t>
  </si>
  <si>
    <t>24/02/2024</t>
  </si>
  <si>
    <t xml:space="preserve"> SD LATENG</t>
  </si>
  <si>
    <t>25/2/2024</t>
  </si>
  <si>
    <t>26/2/2024</t>
  </si>
  <si>
    <t>27/2/2024</t>
  </si>
  <si>
    <t>PATUNG</t>
  </si>
  <si>
    <t>KOPI</t>
  </si>
  <si>
    <t>28/2/2024</t>
  </si>
  <si>
    <t>29/2/2024</t>
  </si>
  <si>
    <t>TIM  ANDINI</t>
  </si>
  <si>
    <t>total</t>
  </si>
  <si>
    <t>KURMA</t>
  </si>
  <si>
    <t>13/3/2024</t>
  </si>
  <si>
    <t xml:space="preserve">  KAMIS</t>
  </si>
  <si>
    <t xml:space="preserve">  14/3/2024</t>
  </si>
  <si>
    <t>15/3/2024</t>
  </si>
  <si>
    <t>16/3/2024</t>
  </si>
  <si>
    <t>17/3/2024</t>
  </si>
  <si>
    <t>18/3/2024</t>
  </si>
  <si>
    <t>19/3/2024</t>
  </si>
  <si>
    <t>20/3/2024</t>
  </si>
  <si>
    <t>21/3/2024</t>
  </si>
  <si>
    <t>22/3/2024</t>
  </si>
  <si>
    <t>23/3/2024</t>
  </si>
  <si>
    <t>24/3/2024</t>
  </si>
  <si>
    <t>25/3/2024</t>
  </si>
  <si>
    <t>26/3/2024</t>
  </si>
  <si>
    <t>27/3/2024</t>
  </si>
  <si>
    <t>28/3/2024</t>
  </si>
  <si>
    <t>29/3/2024</t>
  </si>
  <si>
    <t>30/3/2024</t>
  </si>
  <si>
    <t xml:space="preserve"> PAK TOTOK</t>
  </si>
  <si>
    <t>31/3/2024</t>
  </si>
  <si>
    <t>13/4/2024</t>
  </si>
  <si>
    <t>14/4/2024</t>
  </si>
  <si>
    <t>15/4/2024</t>
  </si>
  <si>
    <t>16/4/2024</t>
  </si>
  <si>
    <t>17/4/2024</t>
  </si>
  <si>
    <t>18/4/2024</t>
  </si>
  <si>
    <t>19/4/2024</t>
  </si>
  <si>
    <t>20/4/2024</t>
  </si>
  <si>
    <t>21/4/2024</t>
  </si>
  <si>
    <t>22/4/2024</t>
  </si>
  <si>
    <t>23/4/2024</t>
  </si>
  <si>
    <t>24/4/2024</t>
  </si>
  <si>
    <t>25/4/2024</t>
  </si>
  <si>
    <t>26/4/2024</t>
  </si>
  <si>
    <t>27/4/2024</t>
  </si>
  <si>
    <t>28/4/2024</t>
  </si>
  <si>
    <t>29/4/2024</t>
  </si>
  <si>
    <t>30/4/2024</t>
  </si>
  <si>
    <t>SD MUH</t>
  </si>
  <si>
    <t>QRIS</t>
  </si>
  <si>
    <t>ES  TEA SUSU</t>
  </si>
  <si>
    <t>13/5/2024</t>
  </si>
  <si>
    <t>14/5/2024</t>
  </si>
  <si>
    <t>15/5/2024</t>
  </si>
  <si>
    <t>16/5/2024</t>
  </si>
  <si>
    <t>17/5/2024</t>
  </si>
  <si>
    <t>18/5/2024</t>
  </si>
  <si>
    <t>19/5/2024</t>
  </si>
  <si>
    <t>ES TEASUSU</t>
  </si>
  <si>
    <t>20/5/2024</t>
  </si>
  <si>
    <t>21/5/2024</t>
  </si>
  <si>
    <t>22/5/2024</t>
  </si>
  <si>
    <t>23/5/2024</t>
  </si>
  <si>
    <t>24/5/2024</t>
  </si>
  <si>
    <t>25/5/2024</t>
  </si>
  <si>
    <t>26/5/2024</t>
  </si>
  <si>
    <t>27/5/2024</t>
  </si>
  <si>
    <t>28/5/2024</t>
  </si>
  <si>
    <t>29/5/2024</t>
  </si>
  <si>
    <t>EKO</t>
  </si>
  <si>
    <t>30/5/2024</t>
  </si>
  <si>
    <t xml:space="preserve"> EKO</t>
  </si>
  <si>
    <t>31/5/2024</t>
  </si>
  <si>
    <t xml:space="preserve"> 1/6/2024</t>
  </si>
  <si>
    <t>OLGA</t>
  </si>
  <si>
    <t xml:space="preserve"> SD KEBALENAN</t>
  </si>
  <si>
    <t>13/6/2024</t>
  </si>
  <si>
    <t>14/6/2024</t>
  </si>
  <si>
    <t>SD AL KHARIYA</t>
  </si>
  <si>
    <t>15/6/2024</t>
  </si>
  <si>
    <t>16/6/2024</t>
  </si>
  <si>
    <t>17/6/2024</t>
  </si>
  <si>
    <t>18/6/2024</t>
  </si>
  <si>
    <t>19/6/2024</t>
  </si>
  <si>
    <t xml:space="preserve"> 20/6/2024</t>
  </si>
  <si>
    <t>21/6/2024</t>
  </si>
  <si>
    <t>22/6/2024</t>
  </si>
  <si>
    <t>23/6/2024</t>
  </si>
  <si>
    <t>24/6/2024</t>
  </si>
  <si>
    <t>25/6/2024</t>
  </si>
  <si>
    <t>26/6/2024</t>
  </si>
  <si>
    <t>DINAS PERTANIAN</t>
  </si>
  <si>
    <t>27/6/2024</t>
  </si>
  <si>
    <t>28/6/2024</t>
  </si>
  <si>
    <t xml:space="preserve"> BK</t>
  </si>
  <si>
    <t>29/6/2024</t>
  </si>
  <si>
    <t>30/6/2024</t>
  </si>
  <si>
    <t>OMSET AGRO WISATA TAMAN SURUH 2024</t>
  </si>
  <si>
    <t>PESANAN DINAS</t>
  </si>
  <si>
    <t>OMSET SELAMA 10 HARI</t>
  </si>
  <si>
    <t>LABA ANAK2</t>
  </si>
  <si>
    <t>13/7/2024</t>
  </si>
  <si>
    <t>14/7/2024</t>
  </si>
  <si>
    <t>15/7/2024</t>
  </si>
  <si>
    <t>16/7/2024</t>
  </si>
  <si>
    <t>17/7/2024</t>
  </si>
  <si>
    <t>18/7/2024</t>
  </si>
  <si>
    <t>19/7/2024</t>
  </si>
  <si>
    <t>20/7/2024</t>
  </si>
  <si>
    <t>21/7/2024</t>
  </si>
  <si>
    <t>22/7/2024</t>
  </si>
  <si>
    <t>23/7/2024</t>
  </si>
  <si>
    <t>24/7/2024</t>
  </si>
  <si>
    <t>25/7/2024</t>
  </si>
  <si>
    <t>26/7/2024</t>
  </si>
  <si>
    <t>27/7/2024</t>
  </si>
  <si>
    <t>28/7/2024</t>
  </si>
  <si>
    <t>29/7/2024</t>
  </si>
  <si>
    <t>FARHAN</t>
  </si>
  <si>
    <t>30/7/2024</t>
  </si>
  <si>
    <t>31/7/2024</t>
  </si>
  <si>
    <t>INTAN</t>
  </si>
  <si>
    <t>GRAB</t>
  </si>
  <si>
    <t>13/8/2024</t>
  </si>
  <si>
    <t>14/8/2024</t>
  </si>
  <si>
    <t>RERE</t>
  </si>
  <si>
    <t>15/8/2024</t>
  </si>
  <si>
    <t>SD   AL USWAH</t>
  </si>
  <si>
    <t>16/8/2024</t>
  </si>
  <si>
    <t>17/8/2024</t>
  </si>
  <si>
    <t>18/8/2024</t>
  </si>
  <si>
    <t>19/8/2024</t>
  </si>
  <si>
    <t>20/8/2024</t>
  </si>
  <si>
    <t>21/8/2024</t>
  </si>
  <si>
    <t>22/8/2024</t>
  </si>
  <si>
    <t>23/8/2024</t>
  </si>
  <si>
    <t>24/8/2024</t>
  </si>
  <si>
    <t>25/8/2024</t>
  </si>
  <si>
    <t>LITER RASA</t>
  </si>
  <si>
    <t>26/8/2024</t>
  </si>
  <si>
    <t>27/8/2024</t>
  </si>
  <si>
    <t>28/8/2024</t>
  </si>
  <si>
    <t>29/8/2024</t>
  </si>
  <si>
    <t>ESTEH SUSU</t>
  </si>
  <si>
    <t>30/8/2024</t>
  </si>
  <si>
    <t>31/8/2024</t>
  </si>
  <si>
    <t>SD  AL USWAH</t>
  </si>
  <si>
    <t>K</t>
  </si>
  <si>
    <t>ES TEA SUSU COKLAT</t>
  </si>
  <si>
    <t xml:space="preserve">ES TEA SUSU  </t>
  </si>
  <si>
    <t>SUSU RASA</t>
  </si>
  <si>
    <t>YOGHURT</t>
  </si>
  <si>
    <t>13/9/2024</t>
  </si>
  <si>
    <t>14/9/2024</t>
  </si>
  <si>
    <t>15/9/2024</t>
  </si>
  <si>
    <t>16/9/2024</t>
  </si>
  <si>
    <t>17/9/2024</t>
  </si>
  <si>
    <t>18/9/2024</t>
  </si>
  <si>
    <t>19/9/2024</t>
  </si>
  <si>
    <t>20/9/2024</t>
  </si>
  <si>
    <t>21/9/2024</t>
  </si>
  <si>
    <t>22/9/2024</t>
  </si>
  <si>
    <t>23/9/2024</t>
  </si>
  <si>
    <t>24/9/2024</t>
  </si>
  <si>
    <t>25/9/2024</t>
  </si>
  <si>
    <t>26/9/2024</t>
  </si>
  <si>
    <t>LEK JIJAH</t>
  </si>
  <si>
    <t xml:space="preserve">SABTU </t>
  </si>
  <si>
    <t>ROUF</t>
  </si>
  <si>
    <t xml:space="preserve"> TOTAL</t>
  </si>
  <si>
    <t>MILKSHAKE</t>
  </si>
  <si>
    <t>SD  MUHAMADIYAH</t>
  </si>
  <si>
    <t>SD  SINGOTRUNAN</t>
  </si>
  <si>
    <t>LEK JIJAAH</t>
  </si>
  <si>
    <t>STICKY MILK</t>
  </si>
  <si>
    <t>BAPPEDA</t>
  </si>
  <si>
    <t>RAIDISHE</t>
  </si>
  <si>
    <t xml:space="preserve">ES TEH </t>
  </si>
  <si>
    <t>ES TEHSUSU</t>
  </si>
  <si>
    <t>BU NOVI</t>
  </si>
  <si>
    <t>FERDY</t>
  </si>
  <si>
    <t>AYAH KELILING</t>
  </si>
  <si>
    <t xml:space="preserve">  AYAH</t>
  </si>
  <si>
    <t>NO SALE</t>
  </si>
  <si>
    <t xml:space="preserve"> BB</t>
  </si>
  <si>
    <t>MZ RUDI</t>
  </si>
  <si>
    <t>ES KRIM</t>
  </si>
  <si>
    <t>BOS RUDI</t>
  </si>
  <si>
    <t>ES SUSU BUAH</t>
  </si>
  <si>
    <t>KIKO/ESBUAH</t>
  </si>
  <si>
    <t>STMJ</t>
  </si>
  <si>
    <t>SMJ</t>
  </si>
  <si>
    <t>KIKO/ES BUAH</t>
  </si>
  <si>
    <t>ES KRIM/ES BUAH</t>
  </si>
  <si>
    <t>SJ</t>
  </si>
  <si>
    <t>KO RUDY</t>
  </si>
  <si>
    <t>KIKO+ESBUAH+ES KRIM</t>
  </si>
  <si>
    <t>ES BUAH</t>
  </si>
  <si>
    <t xml:space="preserve"> SD AL KHARIYAH</t>
  </si>
  <si>
    <t>SJM</t>
  </si>
  <si>
    <t>SD AL IRSYAD</t>
  </si>
  <si>
    <t>BU IZA</t>
  </si>
  <si>
    <t>SMJ250</t>
  </si>
  <si>
    <t>SUSUMURNIHANGAT</t>
  </si>
  <si>
    <t>ES KIKO</t>
  </si>
  <si>
    <t>JAHE ORI</t>
  </si>
  <si>
    <t>TOTQL</t>
  </si>
  <si>
    <t>PAK SUPARDI BALI</t>
  </si>
  <si>
    <t>SUSU MURNI ANGET</t>
  </si>
  <si>
    <t>MATARAM</t>
  </si>
  <si>
    <t>SUSU KAMBING</t>
  </si>
  <si>
    <t>BPR JATIM</t>
  </si>
  <si>
    <t>SUSU MURNI HANGAT</t>
  </si>
  <si>
    <t>JAHEMERAH ORI</t>
  </si>
  <si>
    <t>19/3/23025</t>
  </si>
  <si>
    <t>ES  SUSU RASA</t>
  </si>
  <si>
    <t>STICKY</t>
  </si>
  <si>
    <t>AYAH MALAM</t>
  </si>
  <si>
    <t>TAWAR RASA2</t>
  </si>
  <si>
    <t>TOTAL;</t>
  </si>
  <si>
    <t>SUSU ORI PANAS</t>
  </si>
  <si>
    <t>SUSU JAHE MERAH</t>
  </si>
  <si>
    <t>SUSU MURNI PANAS</t>
  </si>
  <si>
    <t>MINGUU</t>
  </si>
  <si>
    <t xml:space="preserve">USER </t>
  </si>
  <si>
    <t>JAHE MERAH ORI</t>
  </si>
  <si>
    <t>NAFIS</t>
  </si>
  <si>
    <t>GOFOOG</t>
  </si>
  <si>
    <t>STICKY +BOBA</t>
  </si>
  <si>
    <t xml:space="preserve">BALI </t>
  </si>
  <si>
    <t>SUSU ORI HANGAT</t>
  </si>
  <si>
    <t>ES SUSU RASA</t>
  </si>
  <si>
    <t>BALI</t>
  </si>
  <si>
    <t>SUSU COKLAT HANGAT</t>
  </si>
  <si>
    <t xml:space="preserve">   </t>
  </si>
  <si>
    <t>SUSU MENDUT</t>
  </si>
  <si>
    <t xml:space="preserve">SUSU ORI  </t>
  </si>
  <si>
    <t>SD SIINGOTRUNAN</t>
  </si>
  <si>
    <t>SUSU HANGAT</t>
  </si>
  <si>
    <t xml:space="preserve">TIM ANDINI </t>
  </si>
  <si>
    <t>SUSU JAHE</t>
  </si>
  <si>
    <t xml:space="preserve"> 04/08/2025</t>
  </si>
  <si>
    <t>SUSU  RASA LITER</t>
  </si>
  <si>
    <t>ES KEIM</t>
  </si>
  <si>
    <t xml:space="preserve">  07/08/2025</t>
  </si>
  <si>
    <t>w*</t>
  </si>
  <si>
    <t xml:space="preserve">  SD LATENG</t>
  </si>
  <si>
    <t>COOKIS COKLAT</t>
  </si>
  <si>
    <t>COOKIS REDVELVET</t>
  </si>
  <si>
    <t>COOKIS MATCHA</t>
  </si>
  <si>
    <t>COOKIS CHIPS</t>
  </si>
  <si>
    <t>COOKIE COKLAT</t>
  </si>
  <si>
    <t>COOKIES CHOCOLATE</t>
  </si>
  <si>
    <t>COOKIES CHIP</t>
  </si>
  <si>
    <t>COOKIES RASA</t>
  </si>
  <si>
    <t>COOKIES ORI</t>
  </si>
  <si>
    <t xml:space="preserve">SUNAN </t>
  </si>
  <si>
    <t>COOKIS ORI</t>
  </si>
  <si>
    <t>COOCKIS ORI</t>
  </si>
  <si>
    <t>COOCKIS RASA</t>
  </si>
  <si>
    <t>COOCKIES RASA</t>
  </si>
  <si>
    <t>SD SAL QOMAR</t>
  </si>
  <si>
    <t>COOCKIES ORI</t>
  </si>
  <si>
    <t>JAHE MERAH</t>
  </si>
  <si>
    <t>COOKIS RASA</t>
  </si>
  <si>
    <t>SUNAN</t>
  </si>
  <si>
    <t>CHESS</t>
  </si>
  <si>
    <t>PIE SUSU</t>
  </si>
  <si>
    <t>BURN CAKE</t>
  </si>
  <si>
    <t>COOKIS</t>
  </si>
  <si>
    <t>SUSU ORI HANGAT KECIL</t>
  </si>
  <si>
    <t>16/9/9/2025</t>
  </si>
  <si>
    <t>=</t>
  </si>
  <si>
    <t>GOFAR</t>
  </si>
  <si>
    <t>RADAR</t>
  </si>
  <si>
    <t>PAK GOFAR</t>
  </si>
  <si>
    <t>SUSU MURN</t>
  </si>
  <si>
    <t>QRIS 1</t>
  </si>
  <si>
    <t>SUSU RASA2</t>
  </si>
  <si>
    <t>MATARAM 1</t>
  </si>
  <si>
    <t>MATARAM 2</t>
  </si>
  <si>
    <t xml:space="preserve">RABU </t>
  </si>
  <si>
    <t>TOTA;L</t>
  </si>
  <si>
    <t>ADNAN</t>
  </si>
  <si>
    <t>30/11/202</t>
  </si>
  <si>
    <t>TAWAR RASA</t>
  </si>
  <si>
    <t>(QRIS)</t>
  </si>
  <si>
    <t>RIFDA</t>
  </si>
  <si>
    <t>PIE NANAS</t>
  </si>
  <si>
    <t>PIE SUSU ECER</t>
  </si>
  <si>
    <t>PIE SUSU KOTAK</t>
  </si>
  <si>
    <t>PIE NANAS KOTAK</t>
  </si>
  <si>
    <t>PIE SUSU BIJIAN</t>
  </si>
  <si>
    <t xml:space="preserve"> D</t>
  </si>
  <si>
    <t>MURNI SAPI</t>
  </si>
  <si>
    <t>MURNI KAMBING</t>
  </si>
  <si>
    <t>PAK GHOFAR</t>
  </si>
  <si>
    <t>STICKYMILK</t>
  </si>
  <si>
    <t>TRANSFER</t>
  </si>
  <si>
    <t>BOLEN</t>
  </si>
  <si>
    <t>BROWNIS</t>
  </si>
  <si>
    <t>PIE ORI</t>
  </si>
  <si>
    <t>PIE COKLAT</t>
  </si>
  <si>
    <t>M URNI</t>
  </si>
  <si>
    <t>PIE BOX</t>
  </si>
  <si>
    <t>RASA2LITER</t>
  </si>
  <si>
    <t>]</t>
  </si>
  <si>
    <t>PIE KOTAK</t>
  </si>
  <si>
    <t>NEBULA</t>
  </si>
  <si>
    <t>SURYANA</t>
  </si>
  <si>
    <t>BROWNIES</t>
  </si>
  <si>
    <t>SD AL KHAYRIYAH</t>
  </si>
  <si>
    <t>M,URNI</t>
  </si>
  <si>
    <t>SSABTU</t>
  </si>
  <si>
    <t>HPP BK</t>
  </si>
  <si>
    <t>HPPBB</t>
  </si>
  <si>
    <t>HPP MURNI</t>
  </si>
  <si>
    <t>HPP KIKO</t>
  </si>
  <si>
    <t>AIRIN</t>
  </si>
  <si>
    <t>KAMBING</t>
  </si>
  <si>
    <t>5000PCS</t>
  </si>
  <si>
    <t>RIDHO</t>
  </si>
  <si>
    <t>TIWI</t>
  </si>
  <si>
    <t>PUDING</t>
  </si>
  <si>
    <t>SUSU MBG</t>
  </si>
  <si>
    <t>OANGI</t>
  </si>
  <si>
    <t>29//2026</t>
  </si>
  <si>
    <t>BROWNIS COKLAT</t>
  </si>
  <si>
    <t>BROWNIS MATCHA</t>
  </si>
  <si>
    <t>BROWNIS ALMOND</t>
  </si>
  <si>
    <t xml:space="preserve">ROXY </t>
  </si>
  <si>
    <t>BROWNIS CRISPY</t>
  </si>
  <si>
    <t>SENN</t>
  </si>
  <si>
    <t>SUSU</t>
  </si>
  <si>
    <t>ROLL</t>
  </si>
  <si>
    <t>MBG</t>
  </si>
  <si>
    <t>SPPG MOJOPNGGUNG</t>
  </si>
  <si>
    <t>PIE KACANG</t>
  </si>
  <si>
    <t xml:space="preserve">PIE NANAS </t>
  </si>
  <si>
    <t>airin</t>
  </si>
  <si>
    <t>`KIKO</t>
  </si>
  <si>
    <t>RASA2 MURNI</t>
  </si>
  <si>
    <t>STICKU MILK</t>
  </si>
  <si>
    <t>RA BU</t>
  </si>
  <si>
    <t>STICKY MILK ORI</t>
  </si>
  <si>
    <t>SD AL; KHARIYAH</t>
  </si>
  <si>
    <t>LITA</t>
  </si>
  <si>
    <t>02222222222222222222222222222222222222222222222222222222222222222222222222222222222222222222222222222222222,////////////////////////////////////////////////////////////////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</si>
</sst>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mm/dd/yy;@"/>
    <numFmt numFmtId="167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02122"/>
      <name val="Arial"/>
      <family val="2"/>
    </font>
    <font>
      <b/>
      <sz val="11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41" fontId="2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16" fontId="0" fillId="0" borderId="0" xfId="0" applyNumberFormat="1"/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9" fontId="0" fillId="0" borderId="0" xfId="2" applyFont="1"/>
    <xf numFmtId="165" fontId="1" fillId="0" borderId="0" xfId="1" applyNumberFormat="1" applyFont="1"/>
    <xf numFmtId="165" fontId="2" fillId="0" borderId="0" xfId="1" applyNumberFormat="1" applyFont="1"/>
    <xf numFmtId="0" fontId="0" fillId="0" borderId="0" xfId="0" applyAlignment="1">
      <alignment horizontal="left"/>
    </xf>
    <xf numFmtId="0" fontId="1" fillId="0" borderId="1" xfId="0" applyFont="1" applyBorder="1"/>
    <xf numFmtId="165" fontId="1" fillId="0" borderId="1" xfId="1" applyNumberFormat="1" applyFont="1" applyBorder="1"/>
    <xf numFmtId="0" fontId="1" fillId="0" borderId="3" xfId="0" applyFont="1" applyBorder="1"/>
    <xf numFmtId="0" fontId="1" fillId="0" borderId="4" xfId="0" applyFont="1" applyBorder="1"/>
    <xf numFmtId="0" fontId="4" fillId="2" borderId="3" xfId="0" applyFont="1" applyFill="1" applyBorder="1"/>
    <xf numFmtId="0" fontId="4" fillId="2" borderId="4" xfId="0" applyFont="1" applyFill="1" applyBorder="1"/>
    <xf numFmtId="3" fontId="0" fillId="7" borderId="1" xfId="0" applyNumberFormat="1" applyFill="1" applyBorder="1"/>
    <xf numFmtId="3" fontId="1" fillId="7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165" fontId="1" fillId="2" borderId="1" xfId="1" applyNumberFormat="1" applyFont="1" applyFill="1" applyBorder="1"/>
    <xf numFmtId="165" fontId="1" fillId="2" borderId="9" xfId="1" applyNumberFormat="1" applyFont="1" applyFill="1" applyBorder="1"/>
    <xf numFmtId="0" fontId="0" fillId="7" borderId="1" xfId="0" applyFill="1" applyBorder="1"/>
    <xf numFmtId="0" fontId="1" fillId="7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3" fontId="1" fillId="2" borderId="1" xfId="0" applyNumberFormat="1" applyFont="1" applyFill="1" applyBorder="1"/>
    <xf numFmtId="0" fontId="2" fillId="0" borderId="0" xfId="3" applyFon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165" fontId="0" fillId="0" borderId="1" xfId="1" applyNumberFormat="1" applyFont="1" applyBorder="1"/>
    <xf numFmtId="167" fontId="1" fillId="0" borderId="1" xfId="1" applyNumberFormat="1" applyFont="1" applyBorder="1"/>
    <xf numFmtId="165" fontId="2" fillId="0" borderId="1" xfId="1" applyNumberFormat="1" applyFont="1" applyBorder="1"/>
    <xf numFmtId="165" fontId="1" fillId="0" borderId="1" xfId="0" applyNumberFormat="1" applyFont="1" applyBorder="1"/>
    <xf numFmtId="165" fontId="0" fillId="0" borderId="1" xfId="1" applyNumberFormat="1" applyFont="1" applyBorder="1" applyAlignment="1">
      <alignment horizontal="right" vertical="center"/>
    </xf>
    <xf numFmtId="165" fontId="1" fillId="0" borderId="1" xfId="1" applyNumberFormat="1" applyFont="1" applyBorder="1" applyAlignment="1">
      <alignment horizontal="right" vertical="center"/>
    </xf>
    <xf numFmtId="165" fontId="0" fillId="0" borderId="1" xfId="0" applyNumberFormat="1" applyBorder="1"/>
    <xf numFmtId="165" fontId="1" fillId="0" borderId="1" xfId="1" applyNumberFormat="1" applyFont="1" applyBorder="1" applyAlignment="1"/>
    <xf numFmtId="165" fontId="1" fillId="0" borderId="1" xfId="1" applyNumberFormat="1" applyFont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14" fontId="0" fillId="0" borderId="1" xfId="1" applyNumberFormat="1" applyFont="1" applyBorder="1"/>
    <xf numFmtId="0" fontId="0" fillId="0" borderId="1" xfId="1" applyNumberFormat="1" applyFont="1" applyBorder="1"/>
    <xf numFmtId="165" fontId="0" fillId="0" borderId="2" xfId="1" applyNumberFormat="1" applyFont="1" applyBorder="1"/>
    <xf numFmtId="0" fontId="0" fillId="0" borderId="3" xfId="1" applyNumberFormat="1" applyFont="1" applyBorder="1"/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0" borderId="1" xfId="1" applyNumberFormat="1" applyFont="1" applyBorder="1" applyAlignment="1"/>
    <xf numFmtId="165" fontId="2" fillId="0" borderId="1" xfId="1" applyNumberFormat="1" applyFont="1" applyBorder="1" applyAlignment="1"/>
    <xf numFmtId="165" fontId="0" fillId="0" borderId="4" xfId="1" applyNumberFormat="1" applyFont="1" applyBorder="1" applyAlignment="1"/>
    <xf numFmtId="165" fontId="1" fillId="0" borderId="2" xfId="1" applyNumberFormat="1" applyFont="1" applyBorder="1" applyAlignment="1"/>
    <xf numFmtId="165" fontId="0" fillId="0" borderId="3" xfId="1" applyNumberFormat="1" applyFont="1" applyBorder="1" applyAlignment="1"/>
    <xf numFmtId="14" fontId="1" fillId="0" borderId="1" xfId="0" applyNumberFormat="1" applyFont="1" applyBorder="1" applyAlignment="1">
      <alignment horizontal="center"/>
    </xf>
    <xf numFmtId="14" fontId="1" fillId="0" borderId="1" xfId="1" applyNumberFormat="1" applyFont="1" applyBorder="1" applyAlignment="1"/>
    <xf numFmtId="14" fontId="2" fillId="0" borderId="1" xfId="1" applyNumberFormat="1" applyFont="1" applyBorder="1" applyAlignment="1"/>
    <xf numFmtId="14" fontId="2" fillId="0" borderId="3" xfId="1" applyNumberFormat="1" applyFont="1" applyBorder="1" applyAlignment="1"/>
    <xf numFmtId="0" fontId="6" fillId="0" borderId="10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1" applyNumberFormat="1" applyFont="1" applyBorder="1"/>
    <xf numFmtId="165" fontId="1" fillId="0" borderId="12" xfId="1" applyNumberFormat="1" applyFont="1" applyBorder="1"/>
    <xf numFmtId="0" fontId="0" fillId="0" borderId="12" xfId="0" applyBorder="1"/>
    <xf numFmtId="165" fontId="0" fillId="0" borderId="12" xfId="1" applyNumberFormat="1" applyFont="1" applyBorder="1"/>
    <xf numFmtId="165" fontId="0" fillId="0" borderId="0" xfId="1" applyNumberFormat="1" applyFont="1" applyAlignment="1">
      <alignment horizontal="right" vertical="center"/>
    </xf>
    <xf numFmtId="165" fontId="1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1" fillId="0" borderId="0" xfId="0" applyNumberFormat="1" applyFont="1"/>
    <xf numFmtId="41" fontId="1" fillId="0" borderId="0" xfId="4" applyFont="1"/>
    <xf numFmtId="41" fontId="0" fillId="0" borderId="0" xfId="4" applyFont="1"/>
    <xf numFmtId="41" fontId="1" fillId="0" borderId="0" xfId="4" applyFont="1" applyAlignment="1">
      <alignment horizontal="center"/>
    </xf>
    <xf numFmtId="41" fontId="0" fillId="0" borderId="0" xfId="4" applyFont="1" applyFill="1" applyBorder="1"/>
    <xf numFmtId="164" fontId="1" fillId="0" borderId="0" xfId="1" applyFont="1"/>
    <xf numFmtId="165" fontId="7" fillId="0" borderId="0" xfId="1" applyNumberFormat="1" applyFont="1"/>
    <xf numFmtId="3" fontId="0" fillId="0" borderId="0" xfId="0" applyNumberFormat="1"/>
    <xf numFmtId="165" fontId="1" fillId="0" borderId="0" xfId="1" applyNumberFormat="1" applyFont="1" applyAlignment="1"/>
    <xf numFmtId="165" fontId="0" fillId="2" borderId="1" xfId="1" applyNumberFormat="1" applyFont="1" applyFill="1" applyBorder="1"/>
    <xf numFmtId="165" fontId="1" fillId="0" borderId="0" xfId="1" applyNumberFormat="1" applyFont="1" applyAlignment="1">
      <alignment horizontal="left" indent="2"/>
    </xf>
    <xf numFmtId="0" fontId="0" fillId="0" borderId="0" xfId="2" applyNumberFormat="1" applyFont="1"/>
    <xf numFmtId="164" fontId="0" fillId="0" borderId="0" xfId="1" applyFont="1"/>
    <xf numFmtId="14" fontId="0" fillId="0" borderId="0" xfId="1" applyNumberFormat="1" applyFont="1"/>
    <xf numFmtId="14" fontId="0" fillId="0" borderId="0" xfId="4" applyNumberFormat="1" applyFont="1"/>
    <xf numFmtId="41" fontId="0" fillId="0" borderId="0" xfId="0" applyNumberFormat="1"/>
    <xf numFmtId="41" fontId="1" fillId="0" borderId="0" xfId="0" applyNumberFormat="1" applyFont="1"/>
    <xf numFmtId="41" fontId="2" fillId="0" borderId="0" xfId="4" applyFont="1" applyAlignment="1">
      <alignment horizontal="center"/>
    </xf>
    <xf numFmtId="14" fontId="2" fillId="0" borderId="0" xfId="4" applyNumberFormat="1" applyFont="1" applyAlignment="1">
      <alignment horizontal="center"/>
    </xf>
    <xf numFmtId="41" fontId="2" fillId="0" borderId="0" xfId="4" applyFont="1"/>
    <xf numFmtId="41" fontId="0" fillId="0" borderId="1" xfId="4" applyFont="1" applyBorder="1"/>
    <xf numFmtId="41" fontId="1" fillId="0" borderId="1" xfId="0" applyNumberFormat="1" applyFont="1" applyBorder="1"/>
    <xf numFmtId="0" fontId="0" fillId="0" borderId="0" xfId="0" applyAlignment="1">
      <alignment horizontal="right"/>
    </xf>
    <xf numFmtId="14" fontId="1" fillId="0" borderId="0" xfId="0" applyNumberFormat="1" applyFont="1"/>
    <xf numFmtId="41" fontId="1" fillId="0" borderId="0" xfId="4" applyFont="1" applyFill="1" applyBorder="1"/>
    <xf numFmtId="0" fontId="9" fillId="0" borderId="0" xfId="0" applyFont="1"/>
    <xf numFmtId="0" fontId="8" fillId="0" borderId="0" xfId="0" applyFont="1"/>
    <xf numFmtId="0" fontId="0" fillId="2" borderId="0" xfId="0" applyFill="1"/>
    <xf numFmtId="14" fontId="0" fillId="2" borderId="0" xfId="0" applyNumberFormat="1" applyFill="1"/>
    <xf numFmtId="0" fontId="1" fillId="2" borderId="0" xfId="0" applyFont="1" applyFill="1"/>
    <xf numFmtId="14" fontId="1" fillId="2" borderId="0" xfId="0" applyNumberFormat="1" applyFont="1" applyFill="1"/>
    <xf numFmtId="0" fontId="1" fillId="5" borderId="0" xfId="0" applyFont="1" applyFill="1"/>
    <xf numFmtId="14" fontId="1" fillId="5" borderId="0" xfId="0" applyNumberFormat="1" applyFont="1" applyFill="1"/>
    <xf numFmtId="0" fontId="0" fillId="0" borderId="0" xfId="0" quotePrefix="1"/>
    <xf numFmtId="0" fontId="1" fillId="0" borderId="0" xfId="0" applyFont="1" applyAlignment="1">
      <alignment horizontal="center"/>
    </xf>
    <xf numFmtId="41" fontId="1" fillId="0" borderId="0" xfId="4" applyFont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1" fillId="0" borderId="2" xfId="1" applyNumberFormat="1" applyFont="1" applyBorder="1" applyAlignment="1">
      <alignment horizontal="center"/>
    </xf>
    <xf numFmtId="165" fontId="1" fillId="0" borderId="3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1" fillId="0" borderId="7" xfId="1" applyNumberFormat="1" applyFont="1" applyBorder="1" applyAlignment="1">
      <alignment horizontal="center"/>
    </xf>
    <xf numFmtId="165" fontId="1" fillId="0" borderId="8" xfId="1" applyNumberFormat="1" applyFont="1" applyBorder="1" applyAlignment="1">
      <alignment horizontal="center"/>
    </xf>
    <xf numFmtId="165" fontId="1" fillId="0" borderId="11" xfId="1" applyNumberFormat="1" applyFont="1" applyBorder="1" applyAlignment="1">
      <alignment horizontal="center"/>
    </xf>
    <xf numFmtId="165" fontId="1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1" applyFont="1" applyAlignment="1">
      <alignment horizontal="center"/>
    </xf>
    <xf numFmtId="167" fontId="1" fillId="0" borderId="0" xfId="1" applyNumberFormat="1" applyFont="1" applyAlignment="1">
      <alignment horizontal="center"/>
    </xf>
    <xf numFmtId="41" fontId="1" fillId="0" borderId="0" xfId="4" applyFont="1" applyAlignment="1">
      <alignment horizontal="center" wrapText="1"/>
    </xf>
    <xf numFmtId="41" fontId="1" fillId="0" borderId="0" xfId="4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5">
    <cellStyle name="Comma" xfId="1" builtinId="3"/>
    <cellStyle name="Comma [0]" xfId="4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6"/>
  <sheetViews>
    <sheetView topLeftCell="A152" workbookViewId="0">
      <selection activeCell="M165" sqref="M165"/>
    </sheetView>
  </sheetViews>
  <sheetFormatPr defaultRowHeight="15" x14ac:dyDescent="0.25"/>
  <cols>
    <col min="2" max="2" width="16.28515625" customWidth="1"/>
    <col min="10" max="10" width="14.140625" customWidth="1"/>
    <col min="11" max="11" width="14.7109375" customWidth="1"/>
    <col min="13" max="13" width="10.5703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25</v>
      </c>
      <c r="F2">
        <v>37500</v>
      </c>
      <c r="G2">
        <f>25*500</f>
        <v>12500</v>
      </c>
      <c r="H2">
        <v>25000</v>
      </c>
    </row>
    <row r="3" spans="1:8" x14ac:dyDescent="0.25">
      <c r="D3" t="s">
        <v>12</v>
      </c>
      <c r="E3">
        <v>6</v>
      </c>
      <c r="F3">
        <v>18000</v>
      </c>
      <c r="G3">
        <v>12000</v>
      </c>
      <c r="H3">
        <v>6000</v>
      </c>
    </row>
    <row r="4" spans="1:8" x14ac:dyDescent="0.25">
      <c r="D4" t="s">
        <v>13</v>
      </c>
      <c r="E4">
        <v>6</v>
      </c>
      <c r="F4">
        <v>39000</v>
      </c>
      <c r="G4">
        <f>6*4500</f>
        <v>27000</v>
      </c>
      <c r="H4">
        <v>12000</v>
      </c>
    </row>
    <row r="5" spans="1:8" x14ac:dyDescent="0.25">
      <c r="D5" t="s">
        <v>14</v>
      </c>
      <c r="E5">
        <v>3</v>
      </c>
      <c r="F5">
        <v>24000</v>
      </c>
      <c r="G5">
        <f>3*5500</f>
        <v>16500</v>
      </c>
      <c r="H5">
        <f>3*2500</f>
        <v>7500</v>
      </c>
    </row>
    <row r="6" spans="1:8" x14ac:dyDescent="0.25">
      <c r="C6" t="s">
        <v>15</v>
      </c>
      <c r="D6" t="s">
        <v>12</v>
      </c>
      <c r="E6">
        <v>1</v>
      </c>
      <c r="F6">
        <v>3000</v>
      </c>
      <c r="G6">
        <v>2000</v>
      </c>
      <c r="H6">
        <v>1000</v>
      </c>
    </row>
    <row r="7" spans="1:8" x14ac:dyDescent="0.25">
      <c r="D7" t="s">
        <v>13</v>
      </c>
      <c r="E7">
        <v>4</v>
      </c>
      <c r="F7">
        <v>26000</v>
      </c>
      <c r="G7">
        <f>4*4500</f>
        <v>18000</v>
      </c>
      <c r="H7">
        <v>8000</v>
      </c>
    </row>
    <row r="8" spans="1:8" x14ac:dyDescent="0.25">
      <c r="D8" t="s">
        <v>14</v>
      </c>
      <c r="E8">
        <v>2</v>
      </c>
      <c r="F8">
        <v>20000</v>
      </c>
      <c r="G8">
        <v>11000</v>
      </c>
      <c r="H8">
        <v>9000</v>
      </c>
    </row>
    <row r="9" spans="1:8" x14ac:dyDescent="0.25">
      <c r="C9" t="s">
        <v>16</v>
      </c>
      <c r="D9" t="s">
        <v>11</v>
      </c>
      <c r="E9">
        <v>51</v>
      </c>
      <c r="F9">
        <v>76500</v>
      </c>
      <c r="G9">
        <f>51*500</f>
        <v>25500</v>
      </c>
      <c r="H9">
        <v>51000</v>
      </c>
    </row>
    <row r="10" spans="1:8" x14ac:dyDescent="0.25">
      <c r="D10" t="s">
        <v>12</v>
      </c>
      <c r="E10">
        <v>1</v>
      </c>
      <c r="F10">
        <v>3000</v>
      </c>
      <c r="G10">
        <v>2000</v>
      </c>
      <c r="H10">
        <v>1000</v>
      </c>
    </row>
    <row r="11" spans="1:8" x14ac:dyDescent="0.25">
      <c r="A11" s="111" t="s">
        <v>17</v>
      </c>
      <c r="B11" s="111"/>
      <c r="C11" s="111"/>
      <c r="D11" s="111"/>
      <c r="E11" s="111"/>
      <c r="F11" s="1">
        <f>SUM(F2:F10)</f>
        <v>247000</v>
      </c>
      <c r="G11" s="1">
        <f>SUM(G2:G10)</f>
        <v>126500</v>
      </c>
      <c r="H11" s="1">
        <f>SUM(H2:H10)</f>
        <v>120500</v>
      </c>
    </row>
    <row r="12" spans="1:8" x14ac:dyDescent="0.25">
      <c r="A12" t="s">
        <v>18</v>
      </c>
      <c r="B12" t="s">
        <v>19</v>
      </c>
      <c r="C12" t="s">
        <v>15</v>
      </c>
      <c r="D12" t="s">
        <v>11</v>
      </c>
      <c r="E12">
        <v>8</v>
      </c>
      <c r="F12">
        <v>12000</v>
      </c>
      <c r="G12">
        <f>8*500</f>
        <v>4000</v>
      </c>
      <c r="H12">
        <v>8000</v>
      </c>
    </row>
    <row r="13" spans="1:8" x14ac:dyDescent="0.25">
      <c r="D13" t="s">
        <v>12</v>
      </c>
      <c r="E13">
        <v>3</v>
      </c>
      <c r="F13">
        <v>9000</v>
      </c>
      <c r="G13">
        <v>6000</v>
      </c>
      <c r="H13">
        <v>3000</v>
      </c>
    </row>
    <row r="14" spans="1:8" x14ac:dyDescent="0.25">
      <c r="D14" t="s">
        <v>13</v>
      </c>
      <c r="E14">
        <v>9</v>
      </c>
      <c r="F14">
        <v>58500</v>
      </c>
      <c r="G14">
        <f>9*4500</f>
        <v>40500</v>
      </c>
      <c r="H14">
        <v>18000</v>
      </c>
    </row>
    <row r="15" spans="1:8" x14ac:dyDescent="0.25">
      <c r="D15" t="s">
        <v>14</v>
      </c>
      <c r="E15">
        <v>2</v>
      </c>
      <c r="F15">
        <v>20000</v>
      </c>
      <c r="G15">
        <v>11000</v>
      </c>
      <c r="H15">
        <v>9000</v>
      </c>
    </row>
    <row r="16" spans="1:8" x14ac:dyDescent="0.25">
      <c r="D16" t="s">
        <v>14</v>
      </c>
      <c r="E16">
        <v>4</v>
      </c>
      <c r="F16">
        <v>32000</v>
      </c>
      <c r="G16">
        <v>22000</v>
      </c>
      <c r="H16">
        <v>10000</v>
      </c>
    </row>
    <row r="17" spans="1:8" x14ac:dyDescent="0.25">
      <c r="C17" t="s">
        <v>10</v>
      </c>
      <c r="D17" t="s">
        <v>11</v>
      </c>
      <c r="E17">
        <v>30</v>
      </c>
      <c r="F17">
        <v>45000</v>
      </c>
      <c r="G17">
        <f>30*500</f>
        <v>15000</v>
      </c>
      <c r="H17">
        <v>30000</v>
      </c>
    </row>
    <row r="18" spans="1:8" x14ac:dyDescent="0.25">
      <c r="D18" t="s">
        <v>12</v>
      </c>
      <c r="E18">
        <v>10</v>
      </c>
      <c r="F18">
        <v>30000</v>
      </c>
      <c r="G18">
        <v>20000</v>
      </c>
      <c r="H18">
        <v>10000</v>
      </c>
    </row>
    <row r="19" spans="1:8" x14ac:dyDescent="0.25">
      <c r="D19" t="s">
        <v>13</v>
      </c>
      <c r="E19">
        <v>6</v>
      </c>
      <c r="F19">
        <v>39000</v>
      </c>
      <c r="G19">
        <f>6*4500</f>
        <v>27000</v>
      </c>
      <c r="H19">
        <v>12000</v>
      </c>
    </row>
    <row r="20" spans="1:8" x14ac:dyDescent="0.25">
      <c r="D20" t="s">
        <v>14</v>
      </c>
      <c r="E20">
        <v>5</v>
      </c>
      <c r="F20">
        <v>40000</v>
      </c>
      <c r="G20">
        <f>5*5500</f>
        <v>27500</v>
      </c>
      <c r="H20">
        <f>5*2500</f>
        <v>12500</v>
      </c>
    </row>
    <row r="21" spans="1:8" x14ac:dyDescent="0.25">
      <c r="C21" t="s">
        <v>20</v>
      </c>
      <c r="D21" t="s">
        <v>13</v>
      </c>
      <c r="E21">
        <v>4</v>
      </c>
      <c r="F21">
        <v>26000</v>
      </c>
      <c r="G21">
        <f>4*4500</f>
        <v>18000</v>
      </c>
      <c r="H21">
        <v>8000</v>
      </c>
    </row>
    <row r="22" spans="1:8" x14ac:dyDescent="0.25">
      <c r="D22" t="s">
        <v>14</v>
      </c>
      <c r="E22">
        <v>4</v>
      </c>
      <c r="F22">
        <v>40000</v>
      </c>
      <c r="G22">
        <f>4*5500</f>
        <v>22000</v>
      </c>
      <c r="H22">
        <v>18000</v>
      </c>
    </row>
    <row r="23" spans="1:8" x14ac:dyDescent="0.25">
      <c r="D23" t="s">
        <v>21</v>
      </c>
      <c r="E23">
        <v>2</v>
      </c>
      <c r="F23">
        <v>30000</v>
      </c>
      <c r="G23">
        <v>22000</v>
      </c>
      <c r="H23">
        <v>8000</v>
      </c>
    </row>
    <row r="24" spans="1:8" x14ac:dyDescent="0.25">
      <c r="C24" t="s">
        <v>16</v>
      </c>
      <c r="D24" t="s">
        <v>11</v>
      </c>
      <c r="E24">
        <v>65</v>
      </c>
      <c r="F24">
        <v>97500</v>
      </c>
      <c r="G24">
        <f>65*500</f>
        <v>32500</v>
      </c>
      <c r="H24">
        <v>65000</v>
      </c>
    </row>
    <row r="25" spans="1:8" x14ac:dyDescent="0.25">
      <c r="D25" t="s">
        <v>12</v>
      </c>
      <c r="E25">
        <v>2</v>
      </c>
      <c r="F25">
        <v>6000</v>
      </c>
      <c r="G25">
        <v>4000</v>
      </c>
      <c r="H25">
        <v>2000</v>
      </c>
    </row>
    <row r="26" spans="1:8" x14ac:dyDescent="0.25">
      <c r="D26" t="s">
        <v>21</v>
      </c>
      <c r="E26">
        <v>1</v>
      </c>
      <c r="F26">
        <v>15000</v>
      </c>
      <c r="G26">
        <v>11000</v>
      </c>
      <c r="H26">
        <v>4000</v>
      </c>
    </row>
    <row r="27" spans="1:8" x14ac:dyDescent="0.25">
      <c r="A27" s="111" t="s">
        <v>17</v>
      </c>
      <c r="B27" s="111"/>
      <c r="C27" s="111"/>
      <c r="D27" s="111"/>
      <c r="E27" s="111"/>
      <c r="F27" s="1">
        <f>SUM(F12:F26)</f>
        <v>500000</v>
      </c>
      <c r="G27" s="1">
        <f>SUM(G12:G26)</f>
        <v>282500</v>
      </c>
      <c r="H27" s="1">
        <f>SUM(H12:H26)</f>
        <v>217500</v>
      </c>
    </row>
    <row r="28" spans="1:8" x14ac:dyDescent="0.25">
      <c r="A28" t="s">
        <v>22</v>
      </c>
      <c r="B28" t="s">
        <v>23</v>
      </c>
      <c r="C28" t="s">
        <v>10</v>
      </c>
      <c r="D28" t="s">
        <v>11</v>
      </c>
      <c r="E28">
        <v>25</v>
      </c>
      <c r="F28">
        <v>37500</v>
      </c>
      <c r="G28">
        <f>25*500</f>
        <v>12500</v>
      </c>
      <c r="H28">
        <v>25000</v>
      </c>
    </row>
    <row r="29" spans="1:8" x14ac:dyDescent="0.25">
      <c r="D29" t="s">
        <v>12</v>
      </c>
      <c r="E29">
        <v>10</v>
      </c>
      <c r="F29">
        <v>30000</v>
      </c>
      <c r="G29">
        <v>20000</v>
      </c>
      <c r="H29">
        <v>10000</v>
      </c>
    </row>
    <row r="30" spans="1:8" x14ac:dyDescent="0.25">
      <c r="D30" t="s">
        <v>13</v>
      </c>
      <c r="E30">
        <v>5</v>
      </c>
      <c r="F30">
        <v>32500</v>
      </c>
      <c r="G30">
        <f>5*4500</f>
        <v>22500</v>
      </c>
      <c r="H30">
        <v>10000</v>
      </c>
    </row>
    <row r="31" spans="1:8" x14ac:dyDescent="0.25">
      <c r="D31" t="s">
        <v>14</v>
      </c>
      <c r="E31">
        <v>3</v>
      </c>
      <c r="F31">
        <v>24000</v>
      </c>
      <c r="G31">
        <f>3*5500</f>
        <v>16500</v>
      </c>
      <c r="H31">
        <f>3*2500</f>
        <v>7500</v>
      </c>
    </row>
    <row r="32" spans="1:8" x14ac:dyDescent="0.25">
      <c r="C32" t="s">
        <v>15</v>
      </c>
      <c r="D32" t="s">
        <v>12</v>
      </c>
      <c r="E32">
        <v>2</v>
      </c>
      <c r="F32">
        <v>6000</v>
      </c>
      <c r="G32">
        <v>4000</v>
      </c>
      <c r="H32">
        <v>2000</v>
      </c>
    </row>
    <row r="33" spans="1:8" x14ac:dyDescent="0.25">
      <c r="D33" t="s">
        <v>13</v>
      </c>
      <c r="E33">
        <v>4</v>
      </c>
      <c r="F33">
        <v>26000</v>
      </c>
      <c r="G33">
        <f>4*4500</f>
        <v>18000</v>
      </c>
      <c r="H33">
        <v>8000</v>
      </c>
    </row>
    <row r="34" spans="1:8" x14ac:dyDescent="0.25">
      <c r="D34" t="s">
        <v>14</v>
      </c>
      <c r="E34">
        <v>1</v>
      </c>
      <c r="F34">
        <v>10000</v>
      </c>
      <c r="G34">
        <v>5500</v>
      </c>
      <c r="H34">
        <v>4500</v>
      </c>
    </row>
    <row r="35" spans="1:8" x14ac:dyDescent="0.25">
      <c r="D35" t="s">
        <v>14</v>
      </c>
      <c r="E35">
        <v>1</v>
      </c>
      <c r="F35">
        <v>8000</v>
      </c>
      <c r="G35">
        <v>5500</v>
      </c>
      <c r="H35">
        <v>2500</v>
      </c>
    </row>
    <row r="36" spans="1:8" x14ac:dyDescent="0.25">
      <c r="C36" t="s">
        <v>24</v>
      </c>
      <c r="D36" t="s">
        <v>25</v>
      </c>
      <c r="E36">
        <v>13</v>
      </c>
      <c r="F36">
        <v>169000</v>
      </c>
      <c r="G36">
        <f>130000</f>
        <v>130000</v>
      </c>
      <c r="H36">
        <f>169000-130000</f>
        <v>39000</v>
      </c>
    </row>
    <row r="37" spans="1:8" x14ac:dyDescent="0.25">
      <c r="C37" t="s">
        <v>16</v>
      </c>
      <c r="D37" t="s">
        <v>11</v>
      </c>
      <c r="E37">
        <v>50</v>
      </c>
      <c r="F37">
        <v>75000</v>
      </c>
      <c r="G37">
        <f>50*500</f>
        <v>25000</v>
      </c>
      <c r="H37">
        <v>50000</v>
      </c>
    </row>
    <row r="38" spans="1:8" x14ac:dyDescent="0.25">
      <c r="D38" t="s">
        <v>12</v>
      </c>
      <c r="E38">
        <v>1</v>
      </c>
      <c r="F38">
        <v>3000</v>
      </c>
      <c r="G38">
        <v>2000</v>
      </c>
      <c r="H38">
        <v>1000</v>
      </c>
    </row>
    <row r="39" spans="1:8" x14ac:dyDescent="0.25">
      <c r="A39" s="111" t="s">
        <v>17</v>
      </c>
      <c r="B39" s="111"/>
      <c r="C39" s="111"/>
      <c r="D39" s="111"/>
      <c r="E39" s="111"/>
      <c r="F39">
        <f>SUM(F28:F38)</f>
        <v>421000</v>
      </c>
      <c r="G39">
        <f>SUM(G28:G38)</f>
        <v>261500</v>
      </c>
      <c r="H39">
        <f>SUM(H28:H38)</f>
        <v>159500</v>
      </c>
    </row>
    <row r="40" spans="1:8" x14ac:dyDescent="0.25">
      <c r="A40" t="s">
        <v>26</v>
      </c>
      <c r="B40" t="s">
        <v>27</v>
      </c>
      <c r="C40" t="s">
        <v>15</v>
      </c>
      <c r="D40" t="s">
        <v>11</v>
      </c>
      <c r="E40">
        <v>15</v>
      </c>
      <c r="F40">
        <v>22500</v>
      </c>
      <c r="G40">
        <f>15*500</f>
        <v>7500</v>
      </c>
      <c r="H40">
        <v>15000</v>
      </c>
    </row>
    <row r="41" spans="1:8" x14ac:dyDescent="0.25">
      <c r="D41" t="s">
        <v>12</v>
      </c>
      <c r="E41">
        <v>4</v>
      </c>
      <c r="F41">
        <v>12000</v>
      </c>
      <c r="G41">
        <f>4*2000</f>
        <v>8000</v>
      </c>
      <c r="H41">
        <v>4000</v>
      </c>
    </row>
    <row r="42" spans="1:8" x14ac:dyDescent="0.25">
      <c r="D42" t="s">
        <v>13</v>
      </c>
      <c r="E42">
        <v>4</v>
      </c>
      <c r="F42">
        <v>26000</v>
      </c>
      <c r="G42">
        <f>4*4500</f>
        <v>18000</v>
      </c>
      <c r="H42">
        <v>8000</v>
      </c>
    </row>
    <row r="43" spans="1:8" x14ac:dyDescent="0.25">
      <c r="D43" t="s">
        <v>14</v>
      </c>
      <c r="E43">
        <v>4</v>
      </c>
      <c r="F43">
        <v>32000</v>
      </c>
      <c r="G43">
        <f>4*5500</f>
        <v>22000</v>
      </c>
      <c r="H43">
        <v>10000</v>
      </c>
    </row>
    <row r="44" spans="1:8" x14ac:dyDescent="0.25">
      <c r="C44" t="s">
        <v>10</v>
      </c>
      <c r="D44" t="s">
        <v>11</v>
      </c>
      <c r="E44">
        <v>8</v>
      </c>
      <c r="F44">
        <v>12000</v>
      </c>
      <c r="G44">
        <f>8*500</f>
        <v>4000</v>
      </c>
      <c r="H44">
        <v>8000</v>
      </c>
    </row>
    <row r="45" spans="1:8" x14ac:dyDescent="0.25">
      <c r="D45" t="s">
        <v>13</v>
      </c>
      <c r="E45">
        <v>2</v>
      </c>
      <c r="F45">
        <v>13000</v>
      </c>
      <c r="G45">
        <v>9000</v>
      </c>
      <c r="H45">
        <v>4000</v>
      </c>
    </row>
    <row r="46" spans="1:8" x14ac:dyDescent="0.25">
      <c r="D46" t="s">
        <v>14</v>
      </c>
      <c r="E46">
        <v>2</v>
      </c>
      <c r="F46">
        <v>16000</v>
      </c>
      <c r="G46">
        <v>11000</v>
      </c>
      <c r="H46">
        <v>5000</v>
      </c>
    </row>
    <row r="47" spans="1:8" x14ac:dyDescent="0.25">
      <c r="D47" t="s">
        <v>21</v>
      </c>
      <c r="E47">
        <v>1</v>
      </c>
      <c r="F47">
        <v>15000</v>
      </c>
      <c r="G47">
        <v>11000</v>
      </c>
      <c r="H47">
        <v>4000</v>
      </c>
    </row>
    <row r="48" spans="1:8" x14ac:dyDescent="0.25">
      <c r="C48" t="s">
        <v>20</v>
      </c>
      <c r="D48" t="s">
        <v>21</v>
      </c>
      <c r="E48">
        <v>2</v>
      </c>
      <c r="F48">
        <v>30000</v>
      </c>
      <c r="G48">
        <v>22000</v>
      </c>
      <c r="H48">
        <v>8000</v>
      </c>
    </row>
    <row r="49" spans="1:8" x14ac:dyDescent="0.25">
      <c r="D49" t="s">
        <v>14</v>
      </c>
      <c r="E49">
        <v>1</v>
      </c>
      <c r="F49">
        <v>10000</v>
      </c>
      <c r="G49">
        <v>5500</v>
      </c>
      <c r="H49">
        <v>4500</v>
      </c>
    </row>
    <row r="50" spans="1:8" x14ac:dyDescent="0.25">
      <c r="D50" t="s">
        <v>11</v>
      </c>
      <c r="E50">
        <v>10</v>
      </c>
      <c r="F50">
        <v>15000</v>
      </c>
      <c r="G50">
        <v>5000</v>
      </c>
      <c r="H50">
        <v>10000</v>
      </c>
    </row>
    <row r="51" spans="1:8" x14ac:dyDescent="0.25">
      <c r="A51" s="111" t="s">
        <v>17</v>
      </c>
      <c r="B51" s="111"/>
      <c r="C51" s="111"/>
      <c r="D51" s="111"/>
      <c r="E51" s="111"/>
      <c r="F51" s="1">
        <f>SUM(F40:F50)</f>
        <v>203500</v>
      </c>
      <c r="G51" s="1">
        <f>SUM(G40:G50)</f>
        <v>123000</v>
      </c>
      <c r="H51" s="1">
        <f>SUM(H40:H50)</f>
        <v>80500</v>
      </c>
    </row>
    <row r="52" spans="1:8" x14ac:dyDescent="0.25">
      <c r="A52" t="s">
        <v>28</v>
      </c>
      <c r="B52" t="s">
        <v>29</v>
      </c>
      <c r="C52" t="s">
        <v>20</v>
      </c>
      <c r="D52" t="s">
        <v>13</v>
      </c>
      <c r="E52">
        <v>25</v>
      </c>
      <c r="F52">
        <v>162500</v>
      </c>
      <c r="G52">
        <f>25*4500</f>
        <v>112500</v>
      </c>
      <c r="H52">
        <v>50000</v>
      </c>
    </row>
    <row r="53" spans="1:8" x14ac:dyDescent="0.25">
      <c r="D53" t="s">
        <v>14</v>
      </c>
      <c r="E53">
        <v>36</v>
      </c>
      <c r="F53">
        <v>360000</v>
      </c>
      <c r="G53">
        <f>36*5500</f>
        <v>198000</v>
      </c>
      <c r="H53">
        <f>36*4500</f>
        <v>162000</v>
      </c>
    </row>
    <row r="54" spans="1:8" x14ac:dyDescent="0.25">
      <c r="D54" t="s">
        <v>21</v>
      </c>
      <c r="E54">
        <v>1</v>
      </c>
      <c r="F54">
        <v>15000</v>
      </c>
      <c r="G54">
        <v>11000</v>
      </c>
      <c r="H54">
        <v>4000</v>
      </c>
    </row>
    <row r="55" spans="1:8" x14ac:dyDescent="0.25">
      <c r="C55" t="s">
        <v>10</v>
      </c>
      <c r="D55" t="s">
        <v>12</v>
      </c>
      <c r="E55">
        <v>4</v>
      </c>
      <c r="F55">
        <v>12000</v>
      </c>
      <c r="G55">
        <f>4*2000</f>
        <v>8000</v>
      </c>
      <c r="H55">
        <v>4000</v>
      </c>
    </row>
    <row r="56" spans="1:8" x14ac:dyDescent="0.25">
      <c r="D56" t="s">
        <v>13</v>
      </c>
      <c r="E56">
        <v>15</v>
      </c>
      <c r="F56">
        <v>97500</v>
      </c>
      <c r="G56">
        <f>15*4500</f>
        <v>67500</v>
      </c>
      <c r="H56">
        <v>30000</v>
      </c>
    </row>
    <row r="57" spans="1:8" x14ac:dyDescent="0.25">
      <c r="D57" t="s">
        <v>14</v>
      </c>
      <c r="E57">
        <v>6</v>
      </c>
      <c r="F57">
        <v>48000</v>
      </c>
      <c r="G57">
        <f>6*5500</f>
        <v>33000</v>
      </c>
      <c r="H57">
        <f>6*2500</f>
        <v>15000</v>
      </c>
    </row>
    <row r="58" spans="1:8" x14ac:dyDescent="0.25">
      <c r="C58" t="s">
        <v>15</v>
      </c>
      <c r="D58" t="s">
        <v>12</v>
      </c>
      <c r="E58">
        <v>1</v>
      </c>
      <c r="F58">
        <v>3000</v>
      </c>
      <c r="G58">
        <v>2000</v>
      </c>
      <c r="H58">
        <v>1000</v>
      </c>
    </row>
    <row r="59" spans="1:8" x14ac:dyDescent="0.25">
      <c r="D59" t="s">
        <v>13</v>
      </c>
      <c r="E59">
        <v>11</v>
      </c>
      <c r="F59">
        <v>71500</v>
      </c>
      <c r="G59">
        <f>11*4500</f>
        <v>49500</v>
      </c>
      <c r="H59">
        <v>22000</v>
      </c>
    </row>
    <row r="60" spans="1:8" x14ac:dyDescent="0.25">
      <c r="D60" t="s">
        <v>14</v>
      </c>
      <c r="E60">
        <v>4</v>
      </c>
      <c r="F60">
        <v>32000</v>
      </c>
      <c r="G60">
        <f>4*5500</f>
        <v>22000</v>
      </c>
      <c r="H60">
        <v>10000</v>
      </c>
    </row>
    <row r="61" spans="1:8" x14ac:dyDescent="0.25">
      <c r="D61" t="s">
        <v>14</v>
      </c>
      <c r="E61">
        <v>10</v>
      </c>
      <c r="F61">
        <v>100000</v>
      </c>
      <c r="G61">
        <f>10*5500</f>
        <v>55000</v>
      </c>
      <c r="H61">
        <v>45000</v>
      </c>
    </row>
    <row r="62" spans="1:8" x14ac:dyDescent="0.25">
      <c r="A62" s="111" t="s">
        <v>17</v>
      </c>
      <c r="B62" s="111"/>
      <c r="C62" s="111"/>
      <c r="D62" s="111"/>
      <c r="E62" s="111"/>
      <c r="F62" s="1">
        <f>SUM(F52:F61)</f>
        <v>901500</v>
      </c>
      <c r="G62" s="1">
        <f>SUM(G52:G61)</f>
        <v>558500</v>
      </c>
      <c r="H62" s="1">
        <f>SUM(H52:H61)</f>
        <v>343000</v>
      </c>
    </row>
    <row r="63" spans="1:8" x14ac:dyDescent="0.25">
      <c r="C63" t="s">
        <v>16</v>
      </c>
      <c r="D63" t="s">
        <v>11</v>
      </c>
      <c r="E63">
        <v>65</v>
      </c>
      <c r="F63">
        <v>97500</v>
      </c>
      <c r="G63">
        <f>65*500</f>
        <v>32500</v>
      </c>
      <c r="H63">
        <v>65000</v>
      </c>
    </row>
    <row r="64" spans="1:8" x14ac:dyDescent="0.25">
      <c r="D64" t="s">
        <v>12</v>
      </c>
      <c r="E64">
        <v>3</v>
      </c>
      <c r="F64">
        <v>9000</v>
      </c>
      <c r="G64">
        <v>6000</v>
      </c>
      <c r="H64">
        <v>3000</v>
      </c>
    </row>
    <row r="65" spans="1:8" x14ac:dyDescent="0.25">
      <c r="D65" t="s">
        <v>14</v>
      </c>
      <c r="E65">
        <v>2</v>
      </c>
      <c r="F65">
        <v>20000</v>
      </c>
      <c r="G65">
        <v>11000</v>
      </c>
      <c r="H65">
        <v>9000</v>
      </c>
    </row>
    <row r="66" spans="1:8" x14ac:dyDescent="0.25">
      <c r="D66" t="s">
        <v>21</v>
      </c>
      <c r="E66">
        <v>1</v>
      </c>
      <c r="F66">
        <v>15000</v>
      </c>
      <c r="G66">
        <v>11000</v>
      </c>
      <c r="H66">
        <v>4000</v>
      </c>
    </row>
    <row r="67" spans="1:8" x14ac:dyDescent="0.25">
      <c r="C67" t="s">
        <v>10</v>
      </c>
      <c r="D67" t="s">
        <v>13</v>
      </c>
      <c r="E67">
        <v>7</v>
      </c>
      <c r="F67">
        <v>45500</v>
      </c>
      <c r="G67">
        <f>7*4500</f>
        <v>31500</v>
      </c>
      <c r="H67">
        <v>14000</v>
      </c>
    </row>
    <row r="68" spans="1:8" x14ac:dyDescent="0.25">
      <c r="D68" t="s">
        <v>14</v>
      </c>
      <c r="E68">
        <v>3</v>
      </c>
      <c r="F68">
        <v>24000</v>
      </c>
      <c r="G68">
        <f>3*5500</f>
        <v>16500</v>
      </c>
      <c r="H68">
        <f>3*2500</f>
        <v>7500</v>
      </c>
    </row>
    <row r="69" spans="1:8" x14ac:dyDescent="0.25">
      <c r="C69" t="s">
        <v>15</v>
      </c>
      <c r="D69" t="s">
        <v>13</v>
      </c>
      <c r="E69">
        <v>8</v>
      </c>
      <c r="F69">
        <v>52000</v>
      </c>
      <c r="G69">
        <f>8*4500</f>
        <v>36000</v>
      </c>
      <c r="H69">
        <v>16000</v>
      </c>
    </row>
    <row r="70" spans="1:8" x14ac:dyDescent="0.25">
      <c r="D70" t="s">
        <v>14</v>
      </c>
      <c r="E70">
        <v>3</v>
      </c>
      <c r="F70">
        <v>24000</v>
      </c>
      <c r="G70">
        <f>3*5500</f>
        <v>16500</v>
      </c>
      <c r="H70">
        <v>7500</v>
      </c>
    </row>
    <row r="71" spans="1:8" x14ac:dyDescent="0.25">
      <c r="D71" t="s">
        <v>14</v>
      </c>
      <c r="E71">
        <v>5</v>
      </c>
      <c r="F71">
        <v>50000</v>
      </c>
      <c r="G71">
        <f>5*5500</f>
        <v>27500</v>
      </c>
      <c r="H71">
        <f>5*4500</f>
        <v>22500</v>
      </c>
    </row>
    <row r="72" spans="1:8" x14ac:dyDescent="0.25">
      <c r="A72" s="111" t="s">
        <v>17</v>
      </c>
      <c r="B72" s="111"/>
      <c r="C72" s="111"/>
      <c r="D72" s="111"/>
      <c r="E72" s="111"/>
      <c r="F72" s="1">
        <f>SUM(F63:F71)</f>
        <v>337000</v>
      </c>
      <c r="G72" s="1">
        <f>SUM(G63:G71)</f>
        <v>188500</v>
      </c>
      <c r="H72" s="1">
        <f>SUM(H63:H71)</f>
        <v>148500</v>
      </c>
    </row>
    <row r="73" spans="1:8" x14ac:dyDescent="0.25">
      <c r="A73" t="s">
        <v>30</v>
      </c>
      <c r="B73" t="s">
        <v>31</v>
      </c>
      <c r="C73" t="s">
        <v>16</v>
      </c>
      <c r="D73" t="s">
        <v>11</v>
      </c>
      <c r="E73">
        <v>57</v>
      </c>
      <c r="F73">
        <v>85500</v>
      </c>
      <c r="G73">
        <f>57*500</f>
        <v>28500</v>
      </c>
      <c r="H73">
        <v>57000</v>
      </c>
    </row>
    <row r="74" spans="1:8" x14ac:dyDescent="0.25">
      <c r="D74" t="s">
        <v>12</v>
      </c>
      <c r="E74">
        <v>1</v>
      </c>
      <c r="F74">
        <v>3000</v>
      </c>
      <c r="G74">
        <v>2000</v>
      </c>
      <c r="H74">
        <v>1000</v>
      </c>
    </row>
    <row r="75" spans="1:8" x14ac:dyDescent="0.25">
      <c r="D75" t="s">
        <v>13</v>
      </c>
      <c r="E75">
        <v>1</v>
      </c>
      <c r="F75">
        <v>6500</v>
      </c>
      <c r="G75">
        <v>4500</v>
      </c>
      <c r="H75">
        <v>2000</v>
      </c>
    </row>
    <row r="76" spans="1:8" x14ac:dyDescent="0.25">
      <c r="D76" t="s">
        <v>14</v>
      </c>
      <c r="E76">
        <v>1</v>
      </c>
      <c r="F76">
        <v>10000</v>
      </c>
      <c r="G76">
        <v>5500</v>
      </c>
      <c r="H76">
        <v>4500</v>
      </c>
    </row>
    <row r="77" spans="1:8" x14ac:dyDescent="0.25">
      <c r="D77" t="s">
        <v>21</v>
      </c>
      <c r="E77">
        <v>2</v>
      </c>
      <c r="F77">
        <v>30000</v>
      </c>
      <c r="G77">
        <v>22000</v>
      </c>
      <c r="H77">
        <v>8000</v>
      </c>
    </row>
    <row r="78" spans="1:8" x14ac:dyDescent="0.25">
      <c r="C78" t="s">
        <v>15</v>
      </c>
      <c r="D78" t="s">
        <v>11</v>
      </c>
      <c r="E78">
        <v>15</v>
      </c>
      <c r="F78">
        <v>22500</v>
      </c>
      <c r="G78">
        <f>15*500</f>
        <v>7500</v>
      </c>
      <c r="H78">
        <v>15000</v>
      </c>
    </row>
    <row r="79" spans="1:8" x14ac:dyDescent="0.25">
      <c r="D79" t="s">
        <v>12</v>
      </c>
      <c r="E79">
        <v>4</v>
      </c>
      <c r="F79">
        <v>12000</v>
      </c>
      <c r="G79">
        <v>8000</v>
      </c>
      <c r="H79">
        <v>4000</v>
      </c>
    </row>
    <row r="80" spans="1:8" x14ac:dyDescent="0.25">
      <c r="D80" t="s">
        <v>13</v>
      </c>
      <c r="E80">
        <v>7</v>
      </c>
      <c r="F80">
        <v>45500</v>
      </c>
      <c r="G80">
        <f>7*4500</f>
        <v>31500</v>
      </c>
      <c r="H80">
        <v>14000</v>
      </c>
    </row>
    <row r="81" spans="1:8" x14ac:dyDescent="0.25">
      <c r="C81" t="s">
        <v>10</v>
      </c>
      <c r="D81" t="s">
        <v>11</v>
      </c>
      <c r="E81">
        <v>16</v>
      </c>
      <c r="F81">
        <v>24000</v>
      </c>
      <c r="G81">
        <f>16*500</f>
        <v>8000</v>
      </c>
      <c r="H81">
        <v>16000</v>
      </c>
    </row>
    <row r="82" spans="1:8" x14ac:dyDescent="0.25">
      <c r="D82" t="s">
        <v>12</v>
      </c>
      <c r="E82">
        <v>7</v>
      </c>
      <c r="F82">
        <v>21000</v>
      </c>
      <c r="G82">
        <v>14000</v>
      </c>
      <c r="H82">
        <v>7000</v>
      </c>
    </row>
    <row r="83" spans="1:8" x14ac:dyDescent="0.25">
      <c r="D83" t="s">
        <v>13</v>
      </c>
      <c r="E83">
        <v>6</v>
      </c>
      <c r="F83">
        <v>39000</v>
      </c>
      <c r="G83">
        <f>6*4500</f>
        <v>27000</v>
      </c>
      <c r="H83">
        <v>12000</v>
      </c>
    </row>
    <row r="84" spans="1:8" x14ac:dyDescent="0.25">
      <c r="D84" t="s">
        <v>14</v>
      </c>
      <c r="E84">
        <v>7</v>
      </c>
      <c r="F84">
        <v>56000</v>
      </c>
      <c r="G84">
        <f>7*5500</f>
        <v>38500</v>
      </c>
      <c r="H84">
        <f>7*2500</f>
        <v>17500</v>
      </c>
    </row>
    <row r="85" spans="1:8" x14ac:dyDescent="0.25">
      <c r="A85" s="111" t="s">
        <v>17</v>
      </c>
      <c r="B85" s="111"/>
      <c r="C85" s="111"/>
      <c r="D85" s="111"/>
      <c r="E85" s="111"/>
      <c r="F85" s="1">
        <f>SUM(F73:F84)</f>
        <v>355000</v>
      </c>
      <c r="G85" s="1">
        <f>SUM(G73:G84)</f>
        <v>197000</v>
      </c>
      <c r="H85" s="1">
        <f>SUM(H73:H84)</f>
        <v>158000</v>
      </c>
    </row>
    <row r="86" spans="1:8" x14ac:dyDescent="0.25">
      <c r="A86" t="s">
        <v>32</v>
      </c>
      <c r="B86" t="s">
        <v>33</v>
      </c>
      <c r="C86" t="s">
        <v>24</v>
      </c>
      <c r="D86" t="s">
        <v>25</v>
      </c>
      <c r="E86">
        <v>10</v>
      </c>
      <c r="F86">
        <v>130000</v>
      </c>
      <c r="G86">
        <v>100000</v>
      </c>
      <c r="H86">
        <v>30000</v>
      </c>
    </row>
    <row r="87" spans="1:8" x14ac:dyDescent="0.25">
      <c r="C87" t="s">
        <v>16</v>
      </c>
      <c r="D87" t="s">
        <v>11</v>
      </c>
      <c r="E87">
        <v>63</v>
      </c>
      <c r="F87">
        <v>94500</v>
      </c>
      <c r="G87">
        <f>63*500</f>
        <v>31500</v>
      </c>
      <c r="H87">
        <v>63000</v>
      </c>
    </row>
    <row r="88" spans="1:8" x14ac:dyDescent="0.25">
      <c r="D88" t="s">
        <v>12</v>
      </c>
      <c r="E88">
        <v>1</v>
      </c>
      <c r="F88">
        <v>3000</v>
      </c>
      <c r="G88">
        <v>2000</v>
      </c>
      <c r="H88">
        <v>1000</v>
      </c>
    </row>
    <row r="89" spans="1:8" x14ac:dyDescent="0.25">
      <c r="C89" t="s">
        <v>10</v>
      </c>
      <c r="D89" t="s">
        <v>11</v>
      </c>
      <c r="E89">
        <v>30</v>
      </c>
      <c r="F89">
        <v>45000</v>
      </c>
      <c r="G89">
        <f>30*500</f>
        <v>15000</v>
      </c>
      <c r="H89">
        <v>30000</v>
      </c>
    </row>
    <row r="90" spans="1:8" x14ac:dyDescent="0.25">
      <c r="D90" t="s">
        <v>12</v>
      </c>
      <c r="E90">
        <v>7</v>
      </c>
      <c r="F90">
        <v>21000</v>
      </c>
      <c r="G90">
        <v>14000</v>
      </c>
      <c r="H90">
        <v>7000</v>
      </c>
    </row>
    <row r="91" spans="1:8" x14ac:dyDescent="0.25">
      <c r="D91" t="s">
        <v>13</v>
      </c>
      <c r="E91">
        <v>2</v>
      </c>
      <c r="F91">
        <v>13000</v>
      </c>
      <c r="G91">
        <v>9000</v>
      </c>
      <c r="H91">
        <v>4000</v>
      </c>
    </row>
    <row r="92" spans="1:8" x14ac:dyDescent="0.25">
      <c r="D92" t="s">
        <v>14</v>
      </c>
      <c r="E92">
        <v>4</v>
      </c>
      <c r="F92">
        <v>32000</v>
      </c>
      <c r="G92">
        <f>4*5500</f>
        <v>22000</v>
      </c>
      <c r="H92">
        <v>10000</v>
      </c>
    </row>
    <row r="93" spans="1:8" x14ac:dyDescent="0.25">
      <c r="C93" t="s">
        <v>15</v>
      </c>
      <c r="D93" t="s">
        <v>11</v>
      </c>
      <c r="E93">
        <v>12</v>
      </c>
      <c r="F93">
        <v>18000</v>
      </c>
      <c r="G93">
        <f>12*500</f>
        <v>6000</v>
      </c>
      <c r="H93">
        <v>12000</v>
      </c>
    </row>
    <row r="94" spans="1:8" x14ac:dyDescent="0.25">
      <c r="D94" t="s">
        <v>12</v>
      </c>
      <c r="E94">
        <v>3</v>
      </c>
      <c r="F94">
        <v>9000</v>
      </c>
      <c r="G94">
        <v>6000</v>
      </c>
      <c r="H94">
        <v>3000</v>
      </c>
    </row>
    <row r="95" spans="1:8" x14ac:dyDescent="0.25">
      <c r="D95" t="s">
        <v>13</v>
      </c>
      <c r="E95">
        <v>8</v>
      </c>
      <c r="F95">
        <v>52000</v>
      </c>
      <c r="G95">
        <f>8*4500</f>
        <v>36000</v>
      </c>
      <c r="H95">
        <v>16000</v>
      </c>
    </row>
    <row r="96" spans="1:8" x14ac:dyDescent="0.25">
      <c r="D96" t="s">
        <v>14</v>
      </c>
      <c r="E96">
        <v>1</v>
      </c>
      <c r="F96">
        <v>8000</v>
      </c>
      <c r="G96">
        <v>5500</v>
      </c>
      <c r="H96">
        <v>2500</v>
      </c>
    </row>
    <row r="97" spans="1:8" x14ac:dyDescent="0.25">
      <c r="A97" s="111" t="s">
        <v>17</v>
      </c>
      <c r="B97" s="111"/>
      <c r="C97" s="111"/>
      <c r="D97" s="111"/>
      <c r="E97" s="111"/>
      <c r="F97" s="1">
        <f>SUM(F86:F96)</f>
        <v>425500</v>
      </c>
      <c r="G97" s="1">
        <f>SUM(G86:G96)</f>
        <v>247000</v>
      </c>
      <c r="H97" s="1">
        <f>SUM(H86:H96)</f>
        <v>178500</v>
      </c>
    </row>
    <row r="98" spans="1:8" x14ac:dyDescent="0.25">
      <c r="A98" t="s">
        <v>8</v>
      </c>
      <c r="B98" t="s">
        <v>34</v>
      </c>
      <c r="C98" t="s">
        <v>16</v>
      </c>
      <c r="D98" t="s">
        <v>11</v>
      </c>
      <c r="E98">
        <v>42</v>
      </c>
      <c r="F98">
        <v>63000</v>
      </c>
      <c r="G98">
        <f>42*500</f>
        <v>21000</v>
      </c>
      <c r="H98">
        <v>42000</v>
      </c>
    </row>
    <row r="99" spans="1:8" x14ac:dyDescent="0.25">
      <c r="D99" t="s">
        <v>12</v>
      </c>
      <c r="E99">
        <v>9</v>
      </c>
      <c r="F99">
        <v>27000</v>
      </c>
      <c r="G99">
        <v>18000</v>
      </c>
      <c r="H99">
        <v>9000</v>
      </c>
    </row>
    <row r="100" spans="1:8" x14ac:dyDescent="0.25">
      <c r="D100" t="s">
        <v>14</v>
      </c>
      <c r="E100">
        <v>1</v>
      </c>
      <c r="F100">
        <v>10000</v>
      </c>
      <c r="G100">
        <v>5500</v>
      </c>
      <c r="H100">
        <v>4500</v>
      </c>
    </row>
    <row r="101" spans="1:8" x14ac:dyDescent="0.25">
      <c r="C101" t="s">
        <v>20</v>
      </c>
      <c r="D101" t="s">
        <v>21</v>
      </c>
      <c r="E101">
        <v>2</v>
      </c>
      <c r="F101">
        <v>30000</v>
      </c>
      <c r="G101">
        <v>22000</v>
      </c>
      <c r="H101">
        <v>8000</v>
      </c>
    </row>
    <row r="102" spans="1:8" x14ac:dyDescent="0.25">
      <c r="D102" t="s">
        <v>14</v>
      </c>
      <c r="E102">
        <v>2</v>
      </c>
      <c r="F102">
        <v>20000</v>
      </c>
      <c r="G102">
        <v>11000</v>
      </c>
      <c r="H102">
        <v>9000</v>
      </c>
    </row>
    <row r="103" spans="1:8" x14ac:dyDescent="0.25">
      <c r="D103" t="s">
        <v>13</v>
      </c>
      <c r="E103">
        <v>2</v>
      </c>
      <c r="F103">
        <v>13000</v>
      </c>
      <c r="G103">
        <v>9000</v>
      </c>
      <c r="H103">
        <v>4000</v>
      </c>
    </row>
    <row r="104" spans="1:8" x14ac:dyDescent="0.25">
      <c r="C104" t="s">
        <v>10</v>
      </c>
      <c r="D104" t="s">
        <v>11</v>
      </c>
      <c r="E104">
        <v>23</v>
      </c>
      <c r="F104">
        <v>34500</v>
      </c>
      <c r="G104">
        <f>23*500</f>
        <v>11500</v>
      </c>
      <c r="H104">
        <v>23000</v>
      </c>
    </row>
    <row r="105" spans="1:8" x14ac:dyDescent="0.25">
      <c r="D105" t="s">
        <v>12</v>
      </c>
      <c r="E105">
        <v>4</v>
      </c>
      <c r="F105">
        <v>12000</v>
      </c>
      <c r="G105">
        <v>8000</v>
      </c>
      <c r="H105">
        <v>4000</v>
      </c>
    </row>
    <row r="106" spans="1:8" x14ac:dyDescent="0.25">
      <c r="D106" t="s">
        <v>13</v>
      </c>
      <c r="E106">
        <v>2</v>
      </c>
      <c r="F106">
        <v>13000</v>
      </c>
      <c r="G106">
        <v>9000</v>
      </c>
      <c r="H106">
        <v>4000</v>
      </c>
    </row>
    <row r="107" spans="1:8" x14ac:dyDescent="0.25">
      <c r="D107" t="s">
        <v>14</v>
      </c>
      <c r="E107">
        <v>1</v>
      </c>
      <c r="F107">
        <v>8000</v>
      </c>
      <c r="G107">
        <v>5500</v>
      </c>
      <c r="H107">
        <v>2500</v>
      </c>
    </row>
    <row r="108" spans="1:8" x14ac:dyDescent="0.25">
      <c r="C108" t="s">
        <v>24</v>
      </c>
      <c r="D108" t="s">
        <v>25</v>
      </c>
      <c r="E108">
        <v>1</v>
      </c>
      <c r="F108">
        <v>15000</v>
      </c>
      <c r="G108">
        <v>10000</v>
      </c>
      <c r="H108">
        <v>5000</v>
      </c>
    </row>
    <row r="109" spans="1:8" x14ac:dyDescent="0.25">
      <c r="A109" s="111" t="s">
        <v>17</v>
      </c>
      <c r="B109" s="111"/>
      <c r="C109" s="111"/>
      <c r="D109" s="111"/>
      <c r="E109" s="111"/>
      <c r="F109" s="1">
        <f>SUM(F98:F108)</f>
        <v>245500</v>
      </c>
      <c r="G109" s="1">
        <f>SUM(G98:G108)</f>
        <v>130500</v>
      </c>
      <c r="H109" s="1">
        <f>SUM(H98:H108)</f>
        <v>115000</v>
      </c>
    </row>
    <row r="110" spans="1:8" x14ac:dyDescent="0.25">
      <c r="A110" t="s">
        <v>18</v>
      </c>
      <c r="B110" t="s">
        <v>35</v>
      </c>
      <c r="C110" t="s">
        <v>16</v>
      </c>
      <c r="D110" t="s">
        <v>11</v>
      </c>
      <c r="E110">
        <v>54</v>
      </c>
      <c r="F110">
        <v>81000</v>
      </c>
      <c r="G110">
        <f>54*500</f>
        <v>27000</v>
      </c>
      <c r="H110">
        <v>54000</v>
      </c>
    </row>
    <row r="111" spans="1:8" x14ac:dyDescent="0.25">
      <c r="D111" t="s">
        <v>12</v>
      </c>
      <c r="E111">
        <v>7</v>
      </c>
      <c r="F111">
        <v>21000</v>
      </c>
      <c r="G111">
        <v>14000</v>
      </c>
      <c r="H111">
        <v>7000</v>
      </c>
    </row>
    <row r="112" spans="1:8" x14ac:dyDescent="0.25">
      <c r="D112" t="s">
        <v>13</v>
      </c>
      <c r="E112">
        <v>1</v>
      </c>
      <c r="F112">
        <v>6500</v>
      </c>
      <c r="G112">
        <v>4500</v>
      </c>
      <c r="H112">
        <v>2000</v>
      </c>
    </row>
    <row r="113" spans="1:8" x14ac:dyDescent="0.25">
      <c r="C113" t="s">
        <v>10</v>
      </c>
      <c r="D113" t="s">
        <v>11</v>
      </c>
      <c r="E113">
        <v>25</v>
      </c>
      <c r="F113">
        <v>37500</v>
      </c>
      <c r="G113">
        <f>25*500</f>
        <v>12500</v>
      </c>
      <c r="H113">
        <v>25000</v>
      </c>
    </row>
    <row r="114" spans="1:8" x14ac:dyDescent="0.25">
      <c r="D114" t="s">
        <v>13</v>
      </c>
      <c r="E114">
        <v>2</v>
      </c>
      <c r="F114">
        <v>13000</v>
      </c>
      <c r="G114">
        <v>9000</v>
      </c>
      <c r="H114">
        <v>4000</v>
      </c>
    </row>
    <row r="115" spans="1:8" x14ac:dyDescent="0.25">
      <c r="D115" t="s">
        <v>14</v>
      </c>
      <c r="E115">
        <v>2</v>
      </c>
      <c r="F115">
        <v>16000</v>
      </c>
      <c r="G115">
        <v>11000</v>
      </c>
      <c r="H115">
        <v>5000</v>
      </c>
    </row>
    <row r="116" spans="1:8" x14ac:dyDescent="0.25">
      <c r="C116" t="s">
        <v>24</v>
      </c>
      <c r="D116" t="s">
        <v>25</v>
      </c>
      <c r="E116">
        <v>1</v>
      </c>
      <c r="F116">
        <v>15000</v>
      </c>
      <c r="G116">
        <v>10000</v>
      </c>
      <c r="H116">
        <v>5000</v>
      </c>
    </row>
    <row r="117" spans="1:8" x14ac:dyDescent="0.25">
      <c r="A117" s="111" t="s">
        <v>17</v>
      </c>
      <c r="B117" s="111"/>
      <c r="C117" s="111"/>
      <c r="D117" s="111"/>
      <c r="E117" s="111"/>
      <c r="F117" s="1">
        <f>SUM(F110:F116)</f>
        <v>190000</v>
      </c>
      <c r="G117" s="1">
        <f>SUM(G110:G116)</f>
        <v>88000</v>
      </c>
      <c r="H117" s="1">
        <f>SUM(H110:H116)</f>
        <v>102000</v>
      </c>
    </row>
    <row r="118" spans="1:8" x14ac:dyDescent="0.25">
      <c r="A118" t="s">
        <v>22</v>
      </c>
      <c r="B118" t="s">
        <v>36</v>
      </c>
      <c r="C118" t="s">
        <v>16</v>
      </c>
      <c r="D118" t="s">
        <v>11</v>
      </c>
      <c r="E118">
        <v>57</v>
      </c>
      <c r="F118">
        <v>85500</v>
      </c>
      <c r="G118">
        <f>57*500</f>
        <v>28500</v>
      </c>
      <c r="H118">
        <v>57000</v>
      </c>
    </row>
    <row r="119" spans="1:8" x14ac:dyDescent="0.25">
      <c r="D119" t="s">
        <v>12</v>
      </c>
      <c r="E119">
        <v>3</v>
      </c>
      <c r="F119">
        <v>9000</v>
      </c>
      <c r="G119">
        <v>6000</v>
      </c>
      <c r="H119">
        <v>3000</v>
      </c>
    </row>
    <row r="120" spans="1:8" x14ac:dyDescent="0.25">
      <c r="D120" t="s">
        <v>13</v>
      </c>
      <c r="E120">
        <v>1</v>
      </c>
      <c r="F120">
        <v>6500</v>
      </c>
      <c r="G120">
        <v>4500</v>
      </c>
      <c r="H120">
        <v>2000</v>
      </c>
    </row>
    <row r="121" spans="1:8" x14ac:dyDescent="0.25">
      <c r="C121" t="s">
        <v>15</v>
      </c>
      <c r="D121" t="s">
        <v>12</v>
      </c>
      <c r="E121">
        <v>6</v>
      </c>
      <c r="F121">
        <v>18000</v>
      </c>
      <c r="G121">
        <v>12000</v>
      </c>
      <c r="H121">
        <v>6000</v>
      </c>
    </row>
    <row r="122" spans="1:8" x14ac:dyDescent="0.25">
      <c r="D122" t="s">
        <v>13</v>
      </c>
      <c r="E122">
        <v>8</v>
      </c>
      <c r="F122">
        <v>52000</v>
      </c>
      <c r="G122">
        <f>8*4500</f>
        <v>36000</v>
      </c>
      <c r="H122">
        <v>16000</v>
      </c>
    </row>
    <row r="123" spans="1:8" x14ac:dyDescent="0.25">
      <c r="D123" t="s">
        <v>14</v>
      </c>
      <c r="E123">
        <v>2</v>
      </c>
      <c r="F123">
        <v>16000</v>
      </c>
      <c r="G123">
        <v>11000</v>
      </c>
      <c r="H123">
        <v>5000</v>
      </c>
    </row>
    <row r="124" spans="1:8" x14ac:dyDescent="0.25">
      <c r="D124" t="s">
        <v>14</v>
      </c>
      <c r="E124">
        <v>6</v>
      </c>
      <c r="F124">
        <v>60000</v>
      </c>
      <c r="G124">
        <f>6*5500</f>
        <v>33000</v>
      </c>
      <c r="H124">
        <f>6*4500</f>
        <v>27000</v>
      </c>
    </row>
    <row r="125" spans="1:8" x14ac:dyDescent="0.25">
      <c r="C125" t="s">
        <v>10</v>
      </c>
      <c r="D125" t="s">
        <v>11</v>
      </c>
      <c r="E125">
        <v>25</v>
      </c>
      <c r="F125">
        <f>25*1500</f>
        <v>37500</v>
      </c>
      <c r="G125">
        <f>25*500</f>
        <v>12500</v>
      </c>
      <c r="H125">
        <v>25000</v>
      </c>
    </row>
    <row r="126" spans="1:8" x14ac:dyDescent="0.25">
      <c r="D126" t="s">
        <v>12</v>
      </c>
      <c r="E126">
        <v>2</v>
      </c>
      <c r="F126">
        <v>6000</v>
      </c>
      <c r="G126">
        <v>4000</v>
      </c>
      <c r="H126">
        <v>2000</v>
      </c>
    </row>
    <row r="127" spans="1:8" x14ac:dyDescent="0.25">
      <c r="C127" t="s">
        <v>20</v>
      </c>
      <c r="D127" t="s">
        <v>13</v>
      </c>
      <c r="E127">
        <v>2</v>
      </c>
      <c r="F127">
        <v>13000</v>
      </c>
      <c r="G127">
        <v>9000</v>
      </c>
      <c r="H127">
        <v>4000</v>
      </c>
    </row>
    <row r="128" spans="1:8" x14ac:dyDescent="0.25">
      <c r="D128" t="s">
        <v>14</v>
      </c>
      <c r="E128">
        <v>2</v>
      </c>
      <c r="F128">
        <v>20000</v>
      </c>
      <c r="G128">
        <v>11000</v>
      </c>
      <c r="H128">
        <v>9000</v>
      </c>
    </row>
    <row r="129" spans="1:8" x14ac:dyDescent="0.25">
      <c r="A129" s="111" t="s">
        <v>17</v>
      </c>
      <c r="B129" s="111"/>
      <c r="C129" s="111"/>
      <c r="D129" s="111"/>
      <c r="E129" s="111"/>
      <c r="F129" s="1">
        <f>SUM(F118:F128)</f>
        <v>323500</v>
      </c>
      <c r="G129" s="1">
        <f>SUM(G118:G128)</f>
        <v>167500</v>
      </c>
      <c r="H129" s="1">
        <f>SUM(H118:H128)</f>
        <v>156000</v>
      </c>
    </row>
    <row r="130" spans="1:8" x14ac:dyDescent="0.25">
      <c r="A130" t="s">
        <v>26</v>
      </c>
      <c r="B130" t="s">
        <v>37</v>
      </c>
      <c r="C130" t="s">
        <v>10</v>
      </c>
      <c r="D130" t="s">
        <v>11</v>
      </c>
      <c r="E130">
        <v>35</v>
      </c>
      <c r="F130">
        <v>52500</v>
      </c>
      <c r="G130">
        <f>35*500</f>
        <v>17500</v>
      </c>
      <c r="H130">
        <v>35000</v>
      </c>
    </row>
    <row r="131" spans="1:8" x14ac:dyDescent="0.25">
      <c r="D131" t="s">
        <v>13</v>
      </c>
      <c r="E131">
        <v>29</v>
      </c>
      <c r="F131">
        <v>188500</v>
      </c>
      <c r="G131">
        <f>29*4500</f>
        <v>130500</v>
      </c>
      <c r="H131">
        <f>29*2000</f>
        <v>58000</v>
      </c>
    </row>
    <row r="132" spans="1:8" x14ac:dyDescent="0.25">
      <c r="D132" t="s">
        <v>14</v>
      </c>
      <c r="E132">
        <v>10</v>
      </c>
      <c r="F132">
        <v>100000</v>
      </c>
      <c r="G132">
        <v>55000</v>
      </c>
      <c r="H132">
        <v>45000</v>
      </c>
    </row>
    <row r="133" spans="1:8" x14ac:dyDescent="0.25">
      <c r="D133" t="s">
        <v>14</v>
      </c>
      <c r="E133">
        <v>1</v>
      </c>
      <c r="F133">
        <v>8000</v>
      </c>
      <c r="G133">
        <v>5500</v>
      </c>
      <c r="H133">
        <v>2500</v>
      </c>
    </row>
    <row r="134" spans="1:8" x14ac:dyDescent="0.25">
      <c r="C134" t="s">
        <v>15</v>
      </c>
      <c r="D134" t="s">
        <v>11</v>
      </c>
      <c r="E134">
        <v>9</v>
      </c>
      <c r="F134">
        <v>13500</v>
      </c>
      <c r="G134">
        <f>9*500</f>
        <v>4500</v>
      </c>
      <c r="H134">
        <v>9000</v>
      </c>
    </row>
    <row r="135" spans="1:8" x14ac:dyDescent="0.25">
      <c r="D135" t="s">
        <v>12</v>
      </c>
      <c r="E135">
        <v>7</v>
      </c>
      <c r="F135">
        <v>21000</v>
      </c>
      <c r="G135">
        <v>14000</v>
      </c>
      <c r="H135">
        <v>7000</v>
      </c>
    </row>
    <row r="136" spans="1:8" x14ac:dyDescent="0.25">
      <c r="D136" t="s">
        <v>13</v>
      </c>
      <c r="E136">
        <v>8</v>
      </c>
      <c r="F136">
        <v>52000</v>
      </c>
      <c r="G136">
        <f>8*4500</f>
        <v>36000</v>
      </c>
      <c r="H136">
        <v>16000</v>
      </c>
    </row>
    <row r="137" spans="1:8" x14ac:dyDescent="0.25">
      <c r="D137" t="s">
        <v>14</v>
      </c>
      <c r="E137">
        <v>1</v>
      </c>
      <c r="F137">
        <v>10000</v>
      </c>
      <c r="G137">
        <v>5500</v>
      </c>
      <c r="H137">
        <v>4500</v>
      </c>
    </row>
    <row r="138" spans="1:8" x14ac:dyDescent="0.25">
      <c r="D138" t="s">
        <v>14</v>
      </c>
      <c r="E138">
        <v>4</v>
      </c>
      <c r="F138">
        <v>32000</v>
      </c>
      <c r="G138">
        <f>4*5500</f>
        <v>22000</v>
      </c>
      <c r="H138">
        <v>10000</v>
      </c>
    </row>
    <row r="139" spans="1:8" x14ac:dyDescent="0.25">
      <c r="C139" t="s">
        <v>16</v>
      </c>
      <c r="D139" t="s">
        <v>11</v>
      </c>
      <c r="E139">
        <v>15</v>
      </c>
      <c r="F139">
        <v>22500</v>
      </c>
      <c r="G139">
        <f>15*500</f>
        <v>7500</v>
      </c>
      <c r="H139">
        <v>15000</v>
      </c>
    </row>
    <row r="140" spans="1:8" x14ac:dyDescent="0.25">
      <c r="D140" t="s">
        <v>12</v>
      </c>
      <c r="E140">
        <v>5</v>
      </c>
      <c r="F140">
        <v>15000</v>
      </c>
      <c r="G140">
        <v>10000</v>
      </c>
      <c r="H140">
        <v>5000</v>
      </c>
    </row>
    <row r="141" spans="1:8" x14ac:dyDescent="0.25">
      <c r="D141" t="s">
        <v>13</v>
      </c>
      <c r="E141">
        <v>2</v>
      </c>
      <c r="F141">
        <v>13000</v>
      </c>
      <c r="G141">
        <v>9000</v>
      </c>
      <c r="H141">
        <v>4000</v>
      </c>
    </row>
    <row r="142" spans="1:8" x14ac:dyDescent="0.25">
      <c r="D142" t="s">
        <v>14</v>
      </c>
      <c r="E142">
        <v>2</v>
      </c>
      <c r="F142">
        <v>20000</v>
      </c>
      <c r="G142">
        <v>11000</v>
      </c>
      <c r="H142">
        <v>9000</v>
      </c>
    </row>
    <row r="143" spans="1:8" x14ac:dyDescent="0.25">
      <c r="D143" t="s">
        <v>21</v>
      </c>
      <c r="E143">
        <v>1</v>
      </c>
      <c r="F143">
        <v>15000</v>
      </c>
      <c r="G143">
        <v>11000</v>
      </c>
      <c r="H143">
        <v>4000</v>
      </c>
    </row>
    <row r="144" spans="1:8" x14ac:dyDescent="0.25">
      <c r="A144" s="111" t="s">
        <v>17</v>
      </c>
      <c r="B144" s="111"/>
      <c r="C144" s="111"/>
      <c r="D144" s="111"/>
      <c r="E144" s="111"/>
      <c r="F144" s="1">
        <f>SUM(F130:F143)</f>
        <v>563000</v>
      </c>
      <c r="G144" s="1">
        <f>SUM(G130:G143)</f>
        <v>339000</v>
      </c>
      <c r="H144" s="1">
        <f>SUM(H130:H143)</f>
        <v>224000</v>
      </c>
    </row>
    <row r="145" spans="1:8" x14ac:dyDescent="0.25">
      <c r="A145" t="s">
        <v>28</v>
      </c>
      <c r="B145" t="s">
        <v>38</v>
      </c>
      <c r="C145" t="s">
        <v>20</v>
      </c>
      <c r="D145" t="s">
        <v>13</v>
      </c>
      <c r="E145">
        <v>10</v>
      </c>
      <c r="F145">
        <v>65000</v>
      </c>
      <c r="G145">
        <v>45000</v>
      </c>
      <c r="H145">
        <v>20000</v>
      </c>
    </row>
    <row r="146" spans="1:8" x14ac:dyDescent="0.25">
      <c r="D146" t="s">
        <v>14</v>
      </c>
      <c r="E146">
        <v>25</v>
      </c>
      <c r="F146">
        <v>250000</v>
      </c>
      <c r="G146">
        <f>25*5500</f>
        <v>137500</v>
      </c>
      <c r="H146">
        <f>25*4500</f>
        <v>112500</v>
      </c>
    </row>
    <row r="147" spans="1:8" x14ac:dyDescent="0.25">
      <c r="D147" t="s">
        <v>21</v>
      </c>
      <c r="E147">
        <v>1</v>
      </c>
      <c r="F147">
        <v>15000</v>
      </c>
      <c r="G147">
        <v>11000</v>
      </c>
      <c r="H147">
        <v>4000</v>
      </c>
    </row>
    <row r="148" spans="1:8" x14ac:dyDescent="0.25">
      <c r="C148" t="s">
        <v>10</v>
      </c>
      <c r="D148" t="s">
        <v>12</v>
      </c>
      <c r="E148">
        <v>2</v>
      </c>
      <c r="F148">
        <v>6000</v>
      </c>
      <c r="G148">
        <v>4000</v>
      </c>
      <c r="H148">
        <v>2000</v>
      </c>
    </row>
    <row r="149" spans="1:8" x14ac:dyDescent="0.25">
      <c r="D149" t="s">
        <v>13</v>
      </c>
      <c r="E149">
        <v>12</v>
      </c>
      <c r="F149">
        <v>78000</v>
      </c>
      <c r="G149">
        <f>12*4500</f>
        <v>54000</v>
      </c>
      <c r="H149">
        <v>24000</v>
      </c>
    </row>
    <row r="150" spans="1:8" x14ac:dyDescent="0.25">
      <c r="D150" t="s">
        <v>14</v>
      </c>
      <c r="E150">
        <v>10</v>
      </c>
      <c r="F150">
        <v>80000</v>
      </c>
      <c r="G150">
        <f>10*5500</f>
        <v>55000</v>
      </c>
      <c r="H150">
        <v>25000</v>
      </c>
    </row>
    <row r="151" spans="1:8" x14ac:dyDescent="0.25">
      <c r="D151" t="s">
        <v>14</v>
      </c>
      <c r="E151">
        <v>3</v>
      </c>
      <c r="F151">
        <v>30000</v>
      </c>
      <c r="G151">
        <f>3*5500</f>
        <v>16500</v>
      </c>
      <c r="H151">
        <f>3*4500</f>
        <v>13500</v>
      </c>
    </row>
    <row r="152" spans="1:8" x14ac:dyDescent="0.25">
      <c r="C152" t="s">
        <v>15</v>
      </c>
      <c r="D152" t="s">
        <v>12</v>
      </c>
      <c r="E152">
        <v>3</v>
      </c>
      <c r="F152">
        <v>9000</v>
      </c>
      <c r="G152">
        <v>6000</v>
      </c>
      <c r="H152">
        <v>3000</v>
      </c>
    </row>
    <row r="153" spans="1:8" x14ac:dyDescent="0.25">
      <c r="D153" t="s">
        <v>13</v>
      </c>
      <c r="E153">
        <v>12</v>
      </c>
      <c r="F153">
        <v>78000</v>
      </c>
      <c r="G153">
        <f>12*4500</f>
        <v>54000</v>
      </c>
      <c r="H153">
        <v>24000</v>
      </c>
    </row>
    <row r="154" spans="1:8" x14ac:dyDescent="0.25">
      <c r="D154" t="s">
        <v>14</v>
      </c>
      <c r="E154">
        <v>6</v>
      </c>
      <c r="F154">
        <v>48000</v>
      </c>
      <c r="G154">
        <f>6*5500</f>
        <v>33000</v>
      </c>
      <c r="H154">
        <f>6*2500</f>
        <v>15000</v>
      </c>
    </row>
    <row r="155" spans="1:8" x14ac:dyDescent="0.25">
      <c r="D155" t="s">
        <v>14</v>
      </c>
      <c r="E155">
        <v>3</v>
      </c>
      <c r="F155">
        <v>30000</v>
      </c>
      <c r="G155">
        <f>3*5500</f>
        <v>16500</v>
      </c>
      <c r="H155">
        <f>3*4500</f>
        <v>13500</v>
      </c>
    </row>
    <row r="156" spans="1:8" x14ac:dyDescent="0.25">
      <c r="C156" t="s">
        <v>15</v>
      </c>
      <c r="D156" t="s">
        <v>11</v>
      </c>
      <c r="E156">
        <v>30</v>
      </c>
      <c r="F156">
        <v>45000</v>
      </c>
      <c r="G156">
        <f>30*500</f>
        <v>15000</v>
      </c>
      <c r="H156">
        <v>30000</v>
      </c>
    </row>
    <row r="157" spans="1:8" x14ac:dyDescent="0.25">
      <c r="C157" t="s">
        <v>39</v>
      </c>
      <c r="D157" t="s">
        <v>13</v>
      </c>
      <c r="E157">
        <v>5</v>
      </c>
      <c r="F157">
        <v>32500</v>
      </c>
      <c r="G157">
        <f>5*4500</f>
        <v>22500</v>
      </c>
      <c r="H157">
        <v>10000</v>
      </c>
    </row>
    <row r="158" spans="1:8" x14ac:dyDescent="0.25">
      <c r="D158" t="s">
        <v>14</v>
      </c>
      <c r="E158">
        <v>3</v>
      </c>
      <c r="F158">
        <v>30000</v>
      </c>
      <c r="G158">
        <f>3*5500</f>
        <v>16500</v>
      </c>
      <c r="H158">
        <f>3*4500</f>
        <v>13500</v>
      </c>
    </row>
    <row r="159" spans="1:8" x14ac:dyDescent="0.25">
      <c r="A159" s="111" t="s">
        <v>17</v>
      </c>
      <c r="B159" s="111"/>
      <c r="C159" s="111"/>
      <c r="D159" s="111"/>
      <c r="E159" s="111"/>
      <c r="F159" s="1">
        <f>SUM(F145:F158)</f>
        <v>796500</v>
      </c>
      <c r="G159" s="1">
        <f>SUM(G145:G158)</f>
        <v>486500</v>
      </c>
      <c r="H159" s="1">
        <f>SUM(H145:H158)</f>
        <v>310000</v>
      </c>
    </row>
    <row r="160" spans="1:8" x14ac:dyDescent="0.25">
      <c r="A160" t="s">
        <v>30</v>
      </c>
      <c r="B160" t="s">
        <v>40</v>
      </c>
      <c r="C160" t="s">
        <v>16</v>
      </c>
      <c r="D160" t="s">
        <v>11</v>
      </c>
      <c r="E160">
        <v>39</v>
      </c>
      <c r="F160">
        <v>58500</v>
      </c>
      <c r="G160">
        <f>39*500</f>
        <v>19500</v>
      </c>
      <c r="H160">
        <v>39000</v>
      </c>
    </row>
    <row r="161" spans="1:14" x14ac:dyDescent="0.25">
      <c r="D161" t="s">
        <v>12</v>
      </c>
      <c r="E161">
        <v>1</v>
      </c>
      <c r="F161">
        <v>3000</v>
      </c>
      <c r="G161">
        <v>2000</v>
      </c>
      <c r="H161">
        <v>1000</v>
      </c>
    </row>
    <row r="162" spans="1:14" x14ac:dyDescent="0.25">
      <c r="D162" t="s">
        <v>21</v>
      </c>
      <c r="E162">
        <v>1</v>
      </c>
      <c r="F162">
        <v>15000</v>
      </c>
      <c r="G162">
        <v>11000</v>
      </c>
      <c r="H162">
        <v>4000</v>
      </c>
    </row>
    <row r="163" spans="1:14" x14ac:dyDescent="0.25">
      <c r="C163" t="s">
        <v>10</v>
      </c>
      <c r="D163" t="s">
        <v>11</v>
      </c>
      <c r="E163">
        <v>30</v>
      </c>
      <c r="F163">
        <v>45000</v>
      </c>
      <c r="G163">
        <f>30*500</f>
        <v>15000</v>
      </c>
      <c r="H163">
        <v>30000</v>
      </c>
    </row>
    <row r="164" spans="1:14" x14ac:dyDescent="0.25">
      <c r="D164" t="s">
        <v>12</v>
      </c>
      <c r="E164">
        <v>8</v>
      </c>
      <c r="F164">
        <f>8*3000</f>
        <v>24000</v>
      </c>
      <c r="G164">
        <v>16000</v>
      </c>
      <c r="H164">
        <v>8000</v>
      </c>
    </row>
    <row r="165" spans="1:14" x14ac:dyDescent="0.25">
      <c r="D165" t="s">
        <v>13</v>
      </c>
      <c r="E165">
        <v>2</v>
      </c>
      <c r="F165">
        <v>13000</v>
      </c>
      <c r="G165">
        <v>9000</v>
      </c>
      <c r="H165">
        <v>4000</v>
      </c>
    </row>
    <row r="166" spans="1:14" x14ac:dyDescent="0.25">
      <c r="C166" t="s">
        <v>24</v>
      </c>
      <c r="D166" t="s">
        <v>21</v>
      </c>
      <c r="E166">
        <v>2</v>
      </c>
      <c r="F166">
        <v>34000</v>
      </c>
      <c r="G166">
        <v>22000</v>
      </c>
      <c r="H166">
        <v>12000</v>
      </c>
    </row>
    <row r="167" spans="1:14" x14ac:dyDescent="0.25">
      <c r="C167" t="s">
        <v>41</v>
      </c>
      <c r="D167" t="s">
        <v>21</v>
      </c>
      <c r="E167">
        <v>1</v>
      </c>
      <c r="F167">
        <v>17000</v>
      </c>
      <c r="G167">
        <v>11000</v>
      </c>
      <c r="H167">
        <v>6000</v>
      </c>
    </row>
    <row r="168" spans="1:14" x14ac:dyDescent="0.25">
      <c r="A168" s="111" t="s">
        <v>17</v>
      </c>
      <c r="B168" s="111"/>
      <c r="C168" s="111"/>
      <c r="D168" s="111"/>
      <c r="E168" s="111"/>
      <c r="F168" s="1">
        <f>SUM(F160:F167)</f>
        <v>209500</v>
      </c>
      <c r="G168" s="1">
        <f>SUM(G160:G167)</f>
        <v>105500</v>
      </c>
      <c r="H168" s="1">
        <f>SUM(H160:H167)</f>
        <v>104000</v>
      </c>
    </row>
    <row r="169" spans="1:14" x14ac:dyDescent="0.25">
      <c r="A169" t="s">
        <v>32</v>
      </c>
      <c r="B169" t="s">
        <v>42</v>
      </c>
      <c r="C169" t="s">
        <v>16</v>
      </c>
      <c r="D169" t="s">
        <v>11</v>
      </c>
      <c r="E169">
        <v>32</v>
      </c>
      <c r="F169">
        <v>48000</v>
      </c>
      <c r="G169">
        <f>32*500</f>
        <v>16000</v>
      </c>
      <c r="H169">
        <v>32000</v>
      </c>
      <c r="J169" t="s">
        <v>45</v>
      </c>
      <c r="K169" s="4">
        <f>F11+F27+F39+F62+F72+F85+F97+F109+F117+F129+F144+F159+F168+F176</f>
        <v>5682500</v>
      </c>
    </row>
    <row r="170" spans="1:14" x14ac:dyDescent="0.25">
      <c r="D170" t="s">
        <v>12</v>
      </c>
      <c r="E170">
        <v>5</v>
      </c>
      <c r="F170">
        <v>15000</v>
      </c>
      <c r="G170">
        <f>5*2000</f>
        <v>10000</v>
      </c>
      <c r="H170">
        <v>5000</v>
      </c>
      <c r="J170" t="s">
        <v>6</v>
      </c>
      <c r="K170" s="4">
        <f>G176+G168+G159+G144+G129+G117+G109+G97+G85+G72+G62+G51+G39+G27+G11</f>
        <v>3386000</v>
      </c>
    </row>
    <row r="171" spans="1:14" x14ac:dyDescent="0.25">
      <c r="C171" t="s">
        <v>10</v>
      </c>
      <c r="D171" t="s">
        <v>11</v>
      </c>
      <c r="E171">
        <v>24</v>
      </c>
      <c r="F171">
        <v>36000</v>
      </c>
      <c r="G171">
        <f>24*500</f>
        <v>12000</v>
      </c>
      <c r="H171">
        <v>24000</v>
      </c>
      <c r="J171" t="s">
        <v>7</v>
      </c>
      <c r="K171" s="4">
        <f>H176+H168+H159+H129+H117+H109+H97+H85+H72+H62+H51+H39+H27+H11</f>
        <v>2276000</v>
      </c>
    </row>
    <row r="172" spans="1:14" x14ac:dyDescent="0.25">
      <c r="D172" t="s">
        <v>12</v>
      </c>
      <c r="E172">
        <v>1</v>
      </c>
      <c r="F172">
        <v>3000</v>
      </c>
      <c r="G172">
        <v>2000</v>
      </c>
      <c r="H172">
        <v>1000</v>
      </c>
      <c r="K172" s="4">
        <f>SUM(K170:K171)</f>
        <v>5662000</v>
      </c>
      <c r="M172" s="4">
        <f>K169-K172</f>
        <v>20500</v>
      </c>
      <c r="N172" t="s">
        <v>46</v>
      </c>
    </row>
    <row r="173" spans="1:14" x14ac:dyDescent="0.25">
      <c r="D173" t="s">
        <v>13</v>
      </c>
      <c r="E173">
        <v>5</v>
      </c>
      <c r="F173">
        <v>32500</v>
      </c>
      <c r="G173">
        <f>5*4500</f>
        <v>22500</v>
      </c>
      <c r="H173">
        <v>10000</v>
      </c>
    </row>
    <row r="174" spans="1:14" x14ac:dyDescent="0.25">
      <c r="D174" t="s">
        <v>14</v>
      </c>
      <c r="E174">
        <v>2</v>
      </c>
      <c r="F174">
        <v>20000</v>
      </c>
      <c r="G174">
        <v>11000</v>
      </c>
      <c r="H174">
        <v>9000</v>
      </c>
    </row>
    <row r="175" spans="1:14" x14ac:dyDescent="0.25">
      <c r="D175" t="s">
        <v>21</v>
      </c>
      <c r="E175">
        <v>1</v>
      </c>
      <c r="F175">
        <v>13000</v>
      </c>
      <c r="G175">
        <v>11000</v>
      </c>
      <c r="H175">
        <v>2000</v>
      </c>
    </row>
    <row r="176" spans="1:14" x14ac:dyDescent="0.25">
      <c r="A176" s="111" t="s">
        <v>17</v>
      </c>
      <c r="B176" s="111"/>
      <c r="C176" s="111"/>
      <c r="D176" s="111"/>
      <c r="E176" s="111"/>
      <c r="F176" s="1">
        <f>SUM(F169:F175)</f>
        <v>167500</v>
      </c>
      <c r="G176" s="1">
        <f>SUM(G169:G175)</f>
        <v>84500</v>
      </c>
      <c r="H176" s="1">
        <f>SUM(H169:H175)</f>
        <v>83000</v>
      </c>
    </row>
  </sheetData>
  <mergeCells count="15">
    <mergeCell ref="A176:E176"/>
    <mergeCell ref="A159:E159"/>
    <mergeCell ref="A168:E168"/>
    <mergeCell ref="A129:E129"/>
    <mergeCell ref="A144:E144"/>
    <mergeCell ref="A11:E11"/>
    <mergeCell ref="A27:E27"/>
    <mergeCell ref="A39:E39"/>
    <mergeCell ref="A51:E51"/>
    <mergeCell ref="A62:E62"/>
    <mergeCell ref="A97:E97"/>
    <mergeCell ref="A109:E109"/>
    <mergeCell ref="A85:E85"/>
    <mergeCell ref="A72:E72"/>
    <mergeCell ref="A117:E117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0"/>
  <sheetViews>
    <sheetView zoomScale="95" zoomScaleNormal="95" workbookViewId="0">
      <selection activeCell="I18" sqref="I18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13.28515625" bestFit="1" customWidth="1"/>
    <col min="5" max="5" width="6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 x14ac:dyDescent="0.25">
      <c r="A2" t="s">
        <v>8</v>
      </c>
      <c r="B2" s="3">
        <v>44208</v>
      </c>
      <c r="C2" t="s">
        <v>16</v>
      </c>
      <c r="D2" t="s">
        <v>11</v>
      </c>
      <c r="E2">
        <v>20</v>
      </c>
      <c r="F2">
        <v>30000</v>
      </c>
      <c r="G2">
        <v>10000</v>
      </c>
      <c r="H2">
        <v>20000</v>
      </c>
    </row>
    <row r="3" spans="1:11" x14ac:dyDescent="0.25">
      <c r="D3" t="s">
        <v>12</v>
      </c>
      <c r="E3">
        <v>3</v>
      </c>
      <c r="F3">
        <v>9000</v>
      </c>
      <c r="G3">
        <v>6000</v>
      </c>
      <c r="H3">
        <v>3000</v>
      </c>
    </row>
    <row r="4" spans="1:11" x14ac:dyDescent="0.25">
      <c r="C4" t="s">
        <v>43</v>
      </c>
      <c r="D4" t="s">
        <v>21</v>
      </c>
      <c r="E4">
        <v>3</v>
      </c>
      <c r="F4">
        <v>45000</v>
      </c>
      <c r="G4">
        <v>33000</v>
      </c>
      <c r="H4">
        <f>45000-33000</f>
        <v>12000</v>
      </c>
      <c r="K4">
        <v>16</v>
      </c>
    </row>
    <row r="5" spans="1:11" x14ac:dyDescent="0.25">
      <c r="C5" t="s">
        <v>44</v>
      </c>
      <c r="D5" t="s">
        <v>21</v>
      </c>
      <c r="E5">
        <v>4</v>
      </c>
      <c r="F5">
        <v>50000</v>
      </c>
      <c r="G5">
        <v>44000</v>
      </c>
      <c r="H5">
        <v>6000</v>
      </c>
    </row>
    <row r="6" spans="1:11" x14ac:dyDescent="0.25">
      <c r="C6" t="s">
        <v>24</v>
      </c>
      <c r="D6" t="s">
        <v>25</v>
      </c>
      <c r="E6">
        <v>5</v>
      </c>
      <c r="F6">
        <v>65000</v>
      </c>
      <c r="G6">
        <v>50000</v>
      </c>
      <c r="H6">
        <v>15000</v>
      </c>
    </row>
    <row r="7" spans="1:11" x14ac:dyDescent="0.25">
      <c r="A7" s="111" t="s">
        <v>17</v>
      </c>
      <c r="B7" s="111"/>
      <c r="C7" s="111"/>
      <c r="D7" s="111"/>
      <c r="E7" s="111"/>
      <c r="F7" s="1">
        <v>199000</v>
      </c>
      <c r="G7" s="1">
        <f>SUM(G2:G6)</f>
        <v>143000</v>
      </c>
      <c r="H7" s="1">
        <f>SUM(H2:H6)</f>
        <v>56000</v>
      </c>
    </row>
    <row r="8" spans="1:11" x14ac:dyDescent="0.25">
      <c r="A8" t="s">
        <v>18</v>
      </c>
      <c r="B8" s="3">
        <v>44239</v>
      </c>
      <c r="C8" t="s">
        <v>10</v>
      </c>
      <c r="D8" t="s">
        <v>11</v>
      </c>
      <c r="E8">
        <v>33</v>
      </c>
      <c r="F8">
        <v>49500</v>
      </c>
      <c r="G8">
        <f>33*500</f>
        <v>16500</v>
      </c>
      <c r="H8">
        <v>33000</v>
      </c>
    </row>
    <row r="9" spans="1:11" x14ac:dyDescent="0.25">
      <c r="D9" t="s">
        <v>12</v>
      </c>
      <c r="E9">
        <v>3</v>
      </c>
      <c r="F9">
        <v>9000</v>
      </c>
      <c r="G9">
        <v>6000</v>
      </c>
      <c r="H9">
        <v>3000</v>
      </c>
    </row>
    <row r="10" spans="1:11" x14ac:dyDescent="0.25">
      <c r="D10" t="s">
        <v>13</v>
      </c>
      <c r="E10">
        <v>6</v>
      </c>
      <c r="F10">
        <v>39000</v>
      </c>
      <c r="G10">
        <f>6*4500</f>
        <v>27000</v>
      </c>
      <c r="H10">
        <v>12000</v>
      </c>
    </row>
    <row r="11" spans="1:11" x14ac:dyDescent="0.25">
      <c r="D11" t="s">
        <v>14</v>
      </c>
      <c r="E11">
        <v>4</v>
      </c>
      <c r="F11">
        <v>32000</v>
      </c>
      <c r="G11">
        <f>4*5500</f>
        <v>22000</v>
      </c>
      <c r="H11">
        <v>10000</v>
      </c>
    </row>
    <row r="12" spans="1:11" x14ac:dyDescent="0.25">
      <c r="C12" t="s">
        <v>10</v>
      </c>
      <c r="D12" t="s">
        <v>11</v>
      </c>
      <c r="E12">
        <v>30</v>
      </c>
      <c r="F12">
        <v>45000</v>
      </c>
      <c r="G12">
        <f>30*500</f>
        <v>15000</v>
      </c>
      <c r="H12">
        <v>30000</v>
      </c>
    </row>
    <row r="13" spans="1:11" x14ac:dyDescent="0.25">
      <c r="C13" t="s">
        <v>8</v>
      </c>
      <c r="D13" t="s">
        <v>12</v>
      </c>
      <c r="E13">
        <v>3</v>
      </c>
      <c r="F13">
        <v>9000</v>
      </c>
      <c r="G13">
        <v>6000</v>
      </c>
      <c r="H13">
        <v>3000</v>
      </c>
    </row>
    <row r="14" spans="1:11" x14ac:dyDescent="0.25">
      <c r="D14" t="s">
        <v>13</v>
      </c>
      <c r="E14">
        <v>3</v>
      </c>
      <c r="F14">
        <v>19500</v>
      </c>
      <c r="G14">
        <f>3*4500</f>
        <v>13500</v>
      </c>
      <c r="H14">
        <v>6000</v>
      </c>
    </row>
    <row r="15" spans="1:11" x14ac:dyDescent="0.25">
      <c r="D15" t="s">
        <v>14</v>
      </c>
      <c r="E15">
        <v>3</v>
      </c>
      <c r="F15">
        <v>30000</v>
      </c>
      <c r="G15">
        <f>3*5500</f>
        <v>16500</v>
      </c>
      <c r="H15">
        <f>3*4500</f>
        <v>13500</v>
      </c>
    </row>
    <row r="16" spans="1:11" x14ac:dyDescent="0.25">
      <c r="C16" t="s">
        <v>10</v>
      </c>
      <c r="D16" t="s">
        <v>21</v>
      </c>
      <c r="E16">
        <v>2</v>
      </c>
      <c r="F16">
        <v>30000</v>
      </c>
      <c r="G16">
        <v>22000</v>
      </c>
      <c r="H16">
        <v>8000</v>
      </c>
    </row>
    <row r="17" spans="1:8" x14ac:dyDescent="0.25">
      <c r="C17" t="s">
        <v>16</v>
      </c>
      <c r="D17" t="s">
        <v>11</v>
      </c>
      <c r="E17">
        <v>34</v>
      </c>
      <c r="F17">
        <v>51000</v>
      </c>
      <c r="G17">
        <f>34*500</f>
        <v>17000</v>
      </c>
      <c r="H17">
        <v>34000</v>
      </c>
    </row>
    <row r="18" spans="1:8" x14ac:dyDescent="0.25">
      <c r="D18" t="s">
        <v>12</v>
      </c>
      <c r="E18">
        <v>2</v>
      </c>
      <c r="F18">
        <v>6000</v>
      </c>
      <c r="G18">
        <v>4000</v>
      </c>
      <c r="H18">
        <v>2000</v>
      </c>
    </row>
    <row r="19" spans="1:8" x14ac:dyDescent="0.25">
      <c r="D19" t="s">
        <v>13</v>
      </c>
      <c r="E19">
        <v>1</v>
      </c>
      <c r="F19">
        <v>6500</v>
      </c>
      <c r="G19">
        <v>4500</v>
      </c>
      <c r="H19">
        <v>2000</v>
      </c>
    </row>
    <row r="20" spans="1:8" x14ac:dyDescent="0.25">
      <c r="D20" t="s">
        <v>21</v>
      </c>
      <c r="E20">
        <v>2</v>
      </c>
      <c r="F20">
        <v>30000</v>
      </c>
      <c r="G20">
        <v>22000</v>
      </c>
      <c r="H20">
        <v>8000</v>
      </c>
    </row>
    <row r="21" spans="1:8" x14ac:dyDescent="0.25">
      <c r="A21" s="111" t="s">
        <v>17</v>
      </c>
      <c r="B21" s="111"/>
      <c r="C21" s="111"/>
      <c r="D21" s="111"/>
      <c r="E21" s="111"/>
      <c r="F21" s="1">
        <f>SUM(F8:F20)</f>
        <v>356500</v>
      </c>
      <c r="G21" s="1">
        <f>SUM(G8:G20)</f>
        <v>192000</v>
      </c>
      <c r="H21" s="1">
        <f>SUM(H8:H20)</f>
        <v>164500</v>
      </c>
    </row>
    <row r="22" spans="1:8" x14ac:dyDescent="0.25">
      <c r="A22" t="s">
        <v>22</v>
      </c>
      <c r="B22" s="3">
        <v>44267</v>
      </c>
      <c r="C22" t="s">
        <v>47</v>
      </c>
      <c r="D22" t="s">
        <v>25</v>
      </c>
      <c r="E22">
        <v>10</v>
      </c>
      <c r="F22">
        <v>130000</v>
      </c>
      <c r="G22">
        <v>100000</v>
      </c>
      <c r="H22">
        <v>30000</v>
      </c>
    </row>
    <row r="23" spans="1:8" x14ac:dyDescent="0.25">
      <c r="C23" t="s">
        <v>16</v>
      </c>
      <c r="D23" t="s">
        <v>11</v>
      </c>
      <c r="E23">
        <v>42</v>
      </c>
      <c r="F23">
        <v>63000</v>
      </c>
      <c r="G23">
        <f>42*500</f>
        <v>21000</v>
      </c>
      <c r="H23">
        <v>42000</v>
      </c>
    </row>
    <row r="24" spans="1:8" x14ac:dyDescent="0.25">
      <c r="D24" t="s">
        <v>12</v>
      </c>
      <c r="E24">
        <v>5</v>
      </c>
      <c r="F24">
        <v>15000</v>
      </c>
      <c r="G24">
        <v>10000</v>
      </c>
      <c r="H24">
        <v>5000</v>
      </c>
    </row>
    <row r="25" spans="1:8" x14ac:dyDescent="0.25">
      <c r="D25" t="s">
        <v>13</v>
      </c>
      <c r="E25">
        <v>1</v>
      </c>
      <c r="F25">
        <v>6500</v>
      </c>
      <c r="G25">
        <v>4500</v>
      </c>
      <c r="H25">
        <v>2000</v>
      </c>
    </row>
    <row r="26" spans="1:8" x14ac:dyDescent="0.25">
      <c r="D26" t="s">
        <v>14</v>
      </c>
      <c r="E26">
        <v>1</v>
      </c>
      <c r="F26">
        <v>10000</v>
      </c>
      <c r="G26">
        <v>5500</v>
      </c>
      <c r="H26">
        <v>4500</v>
      </c>
    </row>
    <row r="27" spans="1:8" x14ac:dyDescent="0.25">
      <c r="C27" t="s">
        <v>10</v>
      </c>
      <c r="D27" t="s">
        <v>11</v>
      </c>
      <c r="E27">
        <v>26</v>
      </c>
      <c r="F27">
        <v>39000</v>
      </c>
      <c r="G27">
        <f>26*500</f>
        <v>13000</v>
      </c>
      <c r="H27">
        <v>26000</v>
      </c>
    </row>
    <row r="28" spans="1:8" x14ac:dyDescent="0.25">
      <c r="D28" t="s">
        <v>13</v>
      </c>
      <c r="E28">
        <v>6</v>
      </c>
      <c r="F28">
        <v>39000</v>
      </c>
      <c r="G28">
        <f>6*4500</f>
        <v>27000</v>
      </c>
      <c r="H28">
        <v>12000</v>
      </c>
    </row>
    <row r="29" spans="1:8" x14ac:dyDescent="0.25">
      <c r="D29" t="s">
        <v>14</v>
      </c>
      <c r="E29">
        <v>10</v>
      </c>
      <c r="F29">
        <v>8000</v>
      </c>
      <c r="G29">
        <v>55000</v>
      </c>
      <c r="H29">
        <v>25000</v>
      </c>
    </row>
    <row r="30" spans="1:8" x14ac:dyDescent="0.25">
      <c r="D30" t="s">
        <v>12</v>
      </c>
      <c r="E30">
        <v>3</v>
      </c>
      <c r="F30">
        <v>9000</v>
      </c>
      <c r="G30">
        <v>6000</v>
      </c>
      <c r="H30">
        <v>3000</v>
      </c>
    </row>
    <row r="31" spans="1:8" x14ac:dyDescent="0.25">
      <c r="C31" t="s">
        <v>24</v>
      </c>
      <c r="D31" t="s">
        <v>21</v>
      </c>
      <c r="E31">
        <v>2</v>
      </c>
      <c r="F31">
        <v>34000</v>
      </c>
      <c r="G31">
        <v>22000</v>
      </c>
      <c r="H31">
        <f>F31-G31</f>
        <v>12000</v>
      </c>
    </row>
    <row r="32" spans="1:8" x14ac:dyDescent="0.25">
      <c r="A32" s="111" t="s">
        <v>17</v>
      </c>
      <c r="B32" s="111"/>
      <c r="C32" s="111"/>
      <c r="D32" s="111"/>
      <c r="E32" s="111"/>
      <c r="F32" s="1">
        <f>SUM(F22:F31)</f>
        <v>353500</v>
      </c>
      <c r="G32" s="1">
        <f>SUM(G22:G31)</f>
        <v>264000</v>
      </c>
      <c r="H32" s="1">
        <f>SUM(H22:H31)</f>
        <v>161500</v>
      </c>
    </row>
    <row r="33" spans="1:8" x14ac:dyDescent="0.25">
      <c r="A33" t="s">
        <v>26</v>
      </c>
      <c r="B33" s="3">
        <v>44298</v>
      </c>
      <c r="C33" t="s">
        <v>20</v>
      </c>
      <c r="D33" t="s">
        <v>14</v>
      </c>
      <c r="E33">
        <v>5</v>
      </c>
      <c r="F33">
        <v>50000</v>
      </c>
      <c r="G33">
        <f>5*5500</f>
        <v>27500</v>
      </c>
      <c r="H33">
        <f>5*4500</f>
        <v>22500</v>
      </c>
    </row>
    <row r="34" spans="1:8" x14ac:dyDescent="0.25">
      <c r="D34" t="s">
        <v>21</v>
      </c>
      <c r="E34">
        <v>2</v>
      </c>
      <c r="F34">
        <v>30000</v>
      </c>
      <c r="G34">
        <v>22000</v>
      </c>
      <c r="H34">
        <v>8000</v>
      </c>
    </row>
    <row r="35" spans="1:8" x14ac:dyDescent="0.25">
      <c r="C35" t="s">
        <v>10</v>
      </c>
      <c r="D35" t="s">
        <v>11</v>
      </c>
      <c r="E35">
        <v>26</v>
      </c>
      <c r="F35">
        <v>39000</v>
      </c>
      <c r="G35">
        <f>26*500</f>
        <v>13000</v>
      </c>
      <c r="H35">
        <v>26000</v>
      </c>
    </row>
    <row r="36" spans="1:8" x14ac:dyDescent="0.25">
      <c r="D36" t="s">
        <v>12</v>
      </c>
      <c r="E36">
        <v>5</v>
      </c>
      <c r="F36">
        <v>15000</v>
      </c>
      <c r="G36">
        <v>10000</v>
      </c>
      <c r="H36">
        <v>5000</v>
      </c>
    </row>
    <row r="37" spans="1:8" x14ac:dyDescent="0.25">
      <c r="D37" t="s">
        <v>13</v>
      </c>
      <c r="E37">
        <v>7</v>
      </c>
      <c r="F37">
        <v>45500</v>
      </c>
      <c r="G37">
        <f>7*4500</f>
        <v>31500</v>
      </c>
      <c r="H37">
        <v>14000</v>
      </c>
    </row>
    <row r="38" spans="1:8" x14ac:dyDescent="0.25">
      <c r="D38" t="s">
        <v>14</v>
      </c>
      <c r="E38">
        <v>5</v>
      </c>
      <c r="F38">
        <v>40000</v>
      </c>
      <c r="G38">
        <f>5*5500</f>
        <v>27500</v>
      </c>
      <c r="H38">
        <f>5*2500</f>
        <v>12500</v>
      </c>
    </row>
    <row r="39" spans="1:8" x14ac:dyDescent="0.25">
      <c r="C39" t="s">
        <v>16</v>
      </c>
      <c r="D39" t="s">
        <v>11</v>
      </c>
      <c r="E39">
        <v>70</v>
      </c>
      <c r="F39">
        <v>105000</v>
      </c>
      <c r="G39">
        <f>70*500</f>
        <v>35000</v>
      </c>
      <c r="H39">
        <v>70000</v>
      </c>
    </row>
    <row r="40" spans="1:8" x14ac:dyDescent="0.25">
      <c r="D40" t="s">
        <v>12</v>
      </c>
      <c r="E40">
        <v>2</v>
      </c>
      <c r="F40">
        <v>6000</v>
      </c>
      <c r="G40">
        <v>4000</v>
      </c>
      <c r="H40">
        <v>2000</v>
      </c>
    </row>
    <row r="41" spans="1:8" x14ac:dyDescent="0.25">
      <c r="D41" t="s">
        <v>13</v>
      </c>
      <c r="E41">
        <v>1</v>
      </c>
      <c r="F41">
        <v>6500</v>
      </c>
      <c r="G41">
        <v>4500</v>
      </c>
      <c r="H41">
        <v>2000</v>
      </c>
    </row>
    <row r="42" spans="1:8" x14ac:dyDescent="0.25">
      <c r="A42" s="111" t="s">
        <v>17</v>
      </c>
      <c r="B42" s="111"/>
      <c r="C42" s="111"/>
      <c r="D42" s="111"/>
      <c r="E42" s="111"/>
      <c r="F42" s="1">
        <f>SUM(F33:F41)</f>
        <v>337000</v>
      </c>
      <c r="G42" s="1">
        <f>SUM(G33:G41)</f>
        <v>175000</v>
      </c>
      <c r="H42" s="1">
        <f>SUM(H33:H41)</f>
        <v>162000</v>
      </c>
    </row>
    <row r="43" spans="1:8" x14ac:dyDescent="0.25">
      <c r="A43" t="s">
        <v>28</v>
      </c>
      <c r="B43" s="3">
        <v>44328</v>
      </c>
      <c r="C43" t="s">
        <v>20</v>
      </c>
      <c r="D43" t="s">
        <v>13</v>
      </c>
      <c r="E43">
        <v>6</v>
      </c>
      <c r="F43">
        <v>39000</v>
      </c>
      <c r="G43">
        <f>6*4500</f>
        <v>27000</v>
      </c>
      <c r="H43">
        <v>12000</v>
      </c>
    </row>
    <row r="44" spans="1:8" x14ac:dyDescent="0.25">
      <c r="D44" t="s">
        <v>14</v>
      </c>
      <c r="E44">
        <v>30</v>
      </c>
      <c r="F44">
        <v>300000</v>
      </c>
      <c r="G44">
        <f>30*5500</f>
        <v>165000</v>
      </c>
      <c r="H44">
        <f>30*4500</f>
        <v>135000</v>
      </c>
    </row>
    <row r="45" spans="1:8" x14ac:dyDescent="0.25">
      <c r="C45" t="s">
        <v>10</v>
      </c>
      <c r="D45" t="s">
        <v>12</v>
      </c>
      <c r="E45">
        <v>1</v>
      </c>
      <c r="F45">
        <v>3000</v>
      </c>
      <c r="G45">
        <v>2000</v>
      </c>
      <c r="H45">
        <v>1000</v>
      </c>
    </row>
    <row r="46" spans="1:8" x14ac:dyDescent="0.25">
      <c r="D46" t="s">
        <v>13</v>
      </c>
      <c r="E46">
        <v>2</v>
      </c>
      <c r="F46">
        <v>13000</v>
      </c>
      <c r="G46">
        <v>9000</v>
      </c>
      <c r="H46">
        <v>4000</v>
      </c>
    </row>
    <row r="47" spans="1:8" x14ac:dyDescent="0.25">
      <c r="D47" t="s">
        <v>14</v>
      </c>
      <c r="E47">
        <v>10</v>
      </c>
      <c r="F47">
        <v>80000</v>
      </c>
      <c r="G47">
        <v>55000</v>
      </c>
      <c r="H47">
        <v>25000</v>
      </c>
    </row>
    <row r="48" spans="1:8" x14ac:dyDescent="0.25">
      <c r="C48" t="s">
        <v>15</v>
      </c>
      <c r="D48" t="s">
        <v>12</v>
      </c>
      <c r="E48">
        <v>3</v>
      </c>
      <c r="F48">
        <v>9000</v>
      </c>
      <c r="G48">
        <v>6000</v>
      </c>
      <c r="H48">
        <v>3000</v>
      </c>
    </row>
    <row r="49" spans="1:8" x14ac:dyDescent="0.25">
      <c r="D49" t="s">
        <v>13</v>
      </c>
      <c r="E49">
        <v>9</v>
      </c>
      <c r="F49">
        <v>58500</v>
      </c>
      <c r="G49">
        <f>9*4500</f>
        <v>40500</v>
      </c>
      <c r="H49">
        <v>18000</v>
      </c>
    </row>
    <row r="50" spans="1:8" x14ac:dyDescent="0.25">
      <c r="D50" t="s">
        <v>14</v>
      </c>
      <c r="E50">
        <v>9</v>
      </c>
      <c r="F50">
        <v>72000</v>
      </c>
      <c r="G50">
        <f>9*5500</f>
        <v>49500</v>
      </c>
      <c r="H50">
        <f>9*2500</f>
        <v>22500</v>
      </c>
    </row>
    <row r="51" spans="1:8" x14ac:dyDescent="0.25">
      <c r="D51" t="s">
        <v>14</v>
      </c>
      <c r="E51">
        <v>5</v>
      </c>
      <c r="F51">
        <v>50000</v>
      </c>
      <c r="G51">
        <f>5*5500</f>
        <v>27500</v>
      </c>
      <c r="H51">
        <f>5*4500</f>
        <v>22500</v>
      </c>
    </row>
    <row r="52" spans="1:8" x14ac:dyDescent="0.25">
      <c r="C52" t="s">
        <v>10</v>
      </c>
      <c r="D52" t="s">
        <v>13</v>
      </c>
      <c r="E52">
        <v>1</v>
      </c>
      <c r="F52">
        <v>6500</v>
      </c>
      <c r="G52">
        <v>4500</v>
      </c>
      <c r="H52">
        <v>2000</v>
      </c>
    </row>
    <row r="53" spans="1:8" x14ac:dyDescent="0.25">
      <c r="D53" t="s">
        <v>14</v>
      </c>
      <c r="E53">
        <v>3</v>
      </c>
      <c r="F53">
        <v>30000</v>
      </c>
      <c r="G53">
        <f>3*5500</f>
        <v>16500</v>
      </c>
      <c r="H53">
        <f>3*4500</f>
        <v>13500</v>
      </c>
    </row>
    <row r="54" spans="1:8" x14ac:dyDescent="0.25">
      <c r="C54" t="s">
        <v>16</v>
      </c>
      <c r="D54" t="s">
        <v>11</v>
      </c>
      <c r="E54">
        <v>37</v>
      </c>
      <c r="F54">
        <v>55500</v>
      </c>
      <c r="G54">
        <f>37*500</f>
        <v>18500</v>
      </c>
      <c r="H54">
        <v>37000</v>
      </c>
    </row>
    <row r="55" spans="1:8" x14ac:dyDescent="0.25">
      <c r="D55" t="s">
        <v>12</v>
      </c>
      <c r="E55">
        <v>5</v>
      </c>
      <c r="F55">
        <v>15000</v>
      </c>
      <c r="G55">
        <v>10000</v>
      </c>
      <c r="H55">
        <v>5000</v>
      </c>
    </row>
    <row r="56" spans="1:8" x14ac:dyDescent="0.25">
      <c r="D56" t="s">
        <v>21</v>
      </c>
      <c r="E56">
        <v>2</v>
      </c>
      <c r="F56">
        <v>30000</v>
      </c>
      <c r="G56">
        <v>22000</v>
      </c>
      <c r="H56">
        <v>8000</v>
      </c>
    </row>
    <row r="57" spans="1:8" x14ac:dyDescent="0.25">
      <c r="A57" s="111" t="s">
        <v>17</v>
      </c>
      <c r="B57" s="111"/>
      <c r="C57" s="111"/>
      <c r="D57" s="111"/>
      <c r="E57" s="111"/>
      <c r="F57" s="1">
        <f>SUM(F43:F56)</f>
        <v>761500</v>
      </c>
      <c r="G57" s="1">
        <f>SUM(G43:G56)</f>
        <v>453000</v>
      </c>
      <c r="H57" s="1">
        <f>SUM(H43:H56)</f>
        <v>308500</v>
      </c>
    </row>
    <row r="58" spans="1:8" x14ac:dyDescent="0.25">
      <c r="A58" t="s">
        <v>30</v>
      </c>
      <c r="B58" s="3">
        <v>44359</v>
      </c>
      <c r="C58" t="s">
        <v>16</v>
      </c>
      <c r="D58" t="s">
        <v>11</v>
      </c>
      <c r="E58">
        <v>35</v>
      </c>
      <c r="F58">
        <v>52500</v>
      </c>
      <c r="G58">
        <f>35*500</f>
        <v>17500</v>
      </c>
      <c r="H58">
        <v>35000</v>
      </c>
    </row>
    <row r="59" spans="1:8" x14ac:dyDescent="0.25">
      <c r="D59" t="s">
        <v>12</v>
      </c>
      <c r="E59">
        <v>5</v>
      </c>
      <c r="F59">
        <v>15000</v>
      </c>
      <c r="G59">
        <v>10000</v>
      </c>
      <c r="H59">
        <v>5000</v>
      </c>
    </row>
    <row r="60" spans="1:8" x14ac:dyDescent="0.25">
      <c r="D60" t="s">
        <v>13</v>
      </c>
      <c r="E60">
        <v>1</v>
      </c>
      <c r="F60">
        <v>6500</v>
      </c>
      <c r="G60">
        <v>4500</v>
      </c>
      <c r="H60">
        <v>2000</v>
      </c>
    </row>
    <row r="61" spans="1:8" x14ac:dyDescent="0.25">
      <c r="D61" t="s">
        <v>21</v>
      </c>
      <c r="E61">
        <v>2</v>
      </c>
      <c r="F61">
        <v>30000</v>
      </c>
      <c r="G61">
        <v>22000</v>
      </c>
      <c r="H61">
        <v>8000</v>
      </c>
    </row>
    <row r="62" spans="1:8" x14ac:dyDescent="0.25">
      <c r="C62" t="s">
        <v>10</v>
      </c>
      <c r="D62" t="s">
        <v>11</v>
      </c>
      <c r="E62">
        <v>31</v>
      </c>
      <c r="F62">
        <v>46500</v>
      </c>
      <c r="G62">
        <f>31*500</f>
        <v>15500</v>
      </c>
      <c r="H62">
        <v>31000</v>
      </c>
    </row>
    <row r="63" spans="1:8" x14ac:dyDescent="0.25">
      <c r="D63" t="s">
        <v>12</v>
      </c>
      <c r="E63">
        <v>4</v>
      </c>
      <c r="F63">
        <v>12000</v>
      </c>
      <c r="G63">
        <v>8000</v>
      </c>
      <c r="H63">
        <v>4000</v>
      </c>
    </row>
    <row r="64" spans="1:8" x14ac:dyDescent="0.25">
      <c r="D64" t="s">
        <v>13</v>
      </c>
      <c r="E64">
        <v>12</v>
      </c>
      <c r="F64">
        <v>78000</v>
      </c>
      <c r="G64">
        <f>12*4500</f>
        <v>54000</v>
      </c>
      <c r="H64">
        <f>12*2000</f>
        <v>24000</v>
      </c>
    </row>
    <row r="65" spans="1:8" x14ac:dyDescent="0.25">
      <c r="D65" t="s">
        <v>14</v>
      </c>
      <c r="E65">
        <v>2</v>
      </c>
      <c r="F65">
        <v>20000</v>
      </c>
      <c r="G65">
        <v>11000</v>
      </c>
      <c r="H65">
        <v>9000</v>
      </c>
    </row>
    <row r="66" spans="1:8" x14ac:dyDescent="0.25">
      <c r="D66" t="s">
        <v>14</v>
      </c>
      <c r="E66">
        <v>4</v>
      </c>
      <c r="F66">
        <v>32000</v>
      </c>
      <c r="G66">
        <f>4*5500</f>
        <v>22000</v>
      </c>
      <c r="H66">
        <v>10000</v>
      </c>
    </row>
    <row r="67" spans="1:8" x14ac:dyDescent="0.25">
      <c r="F67" s="1">
        <f>SUM(F58:F66)</f>
        <v>292500</v>
      </c>
      <c r="G67" s="1">
        <f>SUM(G58:G66)</f>
        <v>164500</v>
      </c>
      <c r="H67" s="1">
        <f>SUM(H58:H66)</f>
        <v>128000</v>
      </c>
    </row>
    <row r="68" spans="1:8" x14ac:dyDescent="0.25">
      <c r="A68" t="s">
        <v>32</v>
      </c>
      <c r="B68" s="3">
        <v>44389</v>
      </c>
      <c r="C68" t="s">
        <v>16</v>
      </c>
      <c r="D68" t="s">
        <v>11</v>
      </c>
      <c r="E68">
        <v>65</v>
      </c>
      <c r="F68">
        <v>97500</v>
      </c>
      <c r="G68">
        <f>65*500</f>
        <v>32500</v>
      </c>
      <c r="H68">
        <v>65000</v>
      </c>
    </row>
    <row r="69" spans="1:8" x14ac:dyDescent="0.25">
      <c r="D69" t="s">
        <v>12</v>
      </c>
      <c r="E69">
        <v>6</v>
      </c>
      <c r="F69">
        <v>18000</v>
      </c>
      <c r="G69">
        <v>12000</v>
      </c>
      <c r="H69">
        <v>6000</v>
      </c>
    </row>
    <row r="70" spans="1:8" x14ac:dyDescent="0.25">
      <c r="D70" t="s">
        <v>13</v>
      </c>
      <c r="E70">
        <v>1</v>
      </c>
      <c r="F70">
        <v>6500</v>
      </c>
      <c r="G70">
        <v>4500</v>
      </c>
      <c r="H70">
        <v>2000</v>
      </c>
    </row>
    <row r="71" spans="1:8" x14ac:dyDescent="0.25">
      <c r="C71" t="s">
        <v>24</v>
      </c>
      <c r="D71" t="s">
        <v>21</v>
      </c>
      <c r="E71">
        <v>1</v>
      </c>
      <c r="F71">
        <v>17000</v>
      </c>
      <c r="G71">
        <v>11000</v>
      </c>
      <c r="H71">
        <v>6000</v>
      </c>
    </row>
    <row r="72" spans="1:8" x14ac:dyDescent="0.25">
      <c r="C72" t="s">
        <v>10</v>
      </c>
      <c r="D72" t="s">
        <v>11</v>
      </c>
      <c r="E72">
        <v>40</v>
      </c>
      <c r="F72">
        <v>60000</v>
      </c>
      <c r="G72">
        <f>40*500</f>
        <v>20000</v>
      </c>
      <c r="H72">
        <v>40000</v>
      </c>
    </row>
    <row r="73" spans="1:8" x14ac:dyDescent="0.25">
      <c r="D73" t="s">
        <v>12</v>
      </c>
      <c r="E73">
        <v>2</v>
      </c>
      <c r="F73">
        <v>6000</v>
      </c>
      <c r="G73">
        <v>4000</v>
      </c>
      <c r="H73">
        <v>2000</v>
      </c>
    </row>
    <row r="74" spans="1:8" x14ac:dyDescent="0.25">
      <c r="D74" t="s">
        <v>13</v>
      </c>
      <c r="E74">
        <v>1</v>
      </c>
      <c r="F74">
        <v>6500</v>
      </c>
      <c r="G74">
        <v>4500</v>
      </c>
      <c r="H74">
        <v>2000</v>
      </c>
    </row>
    <row r="75" spans="1:8" x14ac:dyDescent="0.25">
      <c r="D75" t="s">
        <v>14</v>
      </c>
      <c r="E75">
        <v>2</v>
      </c>
      <c r="F75">
        <v>16000</v>
      </c>
      <c r="G75">
        <v>11000</v>
      </c>
      <c r="H75">
        <v>5000</v>
      </c>
    </row>
    <row r="76" spans="1:8" x14ac:dyDescent="0.25">
      <c r="A76" s="111" t="s">
        <v>17</v>
      </c>
      <c r="B76" s="111"/>
      <c r="C76" s="111"/>
      <c r="D76" s="111"/>
      <c r="E76" s="111"/>
      <c r="F76" s="1">
        <f>SUM(F68:F75)</f>
        <v>227500</v>
      </c>
      <c r="G76" s="1">
        <f>SUM(G68:G75)</f>
        <v>99500</v>
      </c>
      <c r="H76" s="1">
        <f>SUM(H68:H75)</f>
        <v>128000</v>
      </c>
    </row>
    <row r="77" spans="1:8" x14ac:dyDescent="0.25">
      <c r="A77" t="s">
        <v>8</v>
      </c>
      <c r="B77" s="3">
        <v>44420</v>
      </c>
      <c r="C77" t="s">
        <v>16</v>
      </c>
      <c r="D77" t="s">
        <v>11</v>
      </c>
      <c r="E77">
        <v>25</v>
      </c>
      <c r="F77">
        <v>37500</v>
      </c>
      <c r="G77">
        <f>25*500</f>
        <v>12500</v>
      </c>
      <c r="H77">
        <v>25000</v>
      </c>
    </row>
    <row r="78" spans="1:8" x14ac:dyDescent="0.25">
      <c r="D78" t="s">
        <v>12</v>
      </c>
      <c r="E78">
        <v>3</v>
      </c>
      <c r="F78">
        <v>9000</v>
      </c>
      <c r="G78">
        <v>6000</v>
      </c>
      <c r="H78">
        <v>3000</v>
      </c>
    </row>
    <row r="79" spans="1:8" x14ac:dyDescent="0.25">
      <c r="D79" t="s">
        <v>13</v>
      </c>
      <c r="E79">
        <v>2</v>
      </c>
      <c r="F79">
        <v>13000</v>
      </c>
      <c r="G79">
        <v>9000</v>
      </c>
      <c r="H79">
        <v>4000</v>
      </c>
    </row>
    <row r="80" spans="1:8" x14ac:dyDescent="0.25">
      <c r="C80" t="s">
        <v>10</v>
      </c>
      <c r="D80" t="s">
        <v>11</v>
      </c>
      <c r="E80">
        <v>40</v>
      </c>
      <c r="F80">
        <v>60000</v>
      </c>
      <c r="G80">
        <f>40*500</f>
        <v>20000</v>
      </c>
      <c r="H80">
        <v>40000</v>
      </c>
    </row>
    <row r="81" spans="1:8" x14ac:dyDescent="0.25">
      <c r="D81" t="s">
        <v>12</v>
      </c>
      <c r="E81">
        <v>6</v>
      </c>
      <c r="F81">
        <v>18000</v>
      </c>
      <c r="G81">
        <v>12000</v>
      </c>
      <c r="H81">
        <v>6000</v>
      </c>
    </row>
    <row r="82" spans="1:8" x14ac:dyDescent="0.25">
      <c r="D82" t="s">
        <v>13</v>
      </c>
      <c r="E82">
        <v>8</v>
      </c>
      <c r="F82">
        <v>52000</v>
      </c>
      <c r="G82">
        <f>8*4500</f>
        <v>36000</v>
      </c>
      <c r="H82">
        <v>16000</v>
      </c>
    </row>
    <row r="83" spans="1:8" x14ac:dyDescent="0.25">
      <c r="D83" t="s">
        <v>14</v>
      </c>
      <c r="E83">
        <v>3</v>
      </c>
      <c r="F83">
        <v>24000</v>
      </c>
      <c r="G83">
        <f>3*5500</f>
        <v>16500</v>
      </c>
      <c r="H83">
        <f>3*2500</f>
        <v>7500</v>
      </c>
    </row>
    <row r="84" spans="1:8" x14ac:dyDescent="0.25">
      <c r="C84" t="s">
        <v>48</v>
      </c>
      <c r="D84" t="s">
        <v>13</v>
      </c>
      <c r="E84">
        <v>6</v>
      </c>
      <c r="F84">
        <f>6*6500</f>
        <v>39000</v>
      </c>
      <c r="G84">
        <f>6*4500</f>
        <v>27000</v>
      </c>
      <c r="H84">
        <v>12000</v>
      </c>
    </row>
    <row r="85" spans="1:8" x14ac:dyDescent="0.25">
      <c r="C85" t="s">
        <v>24</v>
      </c>
      <c r="D85" t="s">
        <v>25</v>
      </c>
      <c r="E85">
        <v>3</v>
      </c>
      <c r="F85">
        <v>45000</v>
      </c>
      <c r="G85">
        <v>30000</v>
      </c>
      <c r="H85">
        <v>15000</v>
      </c>
    </row>
    <row r="86" spans="1:8" x14ac:dyDescent="0.25">
      <c r="A86" s="111" t="s">
        <v>17</v>
      </c>
      <c r="B86" s="111"/>
      <c r="C86" s="111"/>
      <c r="D86" s="111"/>
      <c r="E86" s="111"/>
      <c r="F86" s="1">
        <f>SUM(F77:F85)</f>
        <v>297500</v>
      </c>
      <c r="G86" s="1">
        <f>SUM(G77:G85)</f>
        <v>169000</v>
      </c>
      <c r="H86" s="1">
        <f>SUM(H77:H85)</f>
        <v>128500</v>
      </c>
    </row>
    <row r="87" spans="1:8" x14ac:dyDescent="0.25">
      <c r="A87" t="s">
        <v>18</v>
      </c>
      <c r="B87" s="3">
        <v>44451</v>
      </c>
      <c r="C87" t="s">
        <v>10</v>
      </c>
      <c r="D87" t="s">
        <v>11</v>
      </c>
      <c r="E87">
        <v>27</v>
      </c>
      <c r="F87">
        <v>40500</v>
      </c>
      <c r="G87">
        <f>27*500</f>
        <v>13500</v>
      </c>
      <c r="H87">
        <v>27000</v>
      </c>
    </row>
    <row r="88" spans="1:8" x14ac:dyDescent="0.25">
      <c r="D88" t="s">
        <v>13</v>
      </c>
      <c r="E88">
        <v>4</v>
      </c>
      <c r="F88">
        <v>26000</v>
      </c>
      <c r="G88">
        <f>4*4500</f>
        <v>18000</v>
      </c>
      <c r="H88">
        <v>8000</v>
      </c>
    </row>
    <row r="89" spans="1:8" x14ac:dyDescent="0.25">
      <c r="D89" t="s">
        <v>14</v>
      </c>
      <c r="E89">
        <v>1</v>
      </c>
      <c r="F89">
        <v>10000</v>
      </c>
      <c r="G89">
        <v>5500</v>
      </c>
      <c r="H89">
        <v>4500</v>
      </c>
    </row>
    <row r="90" spans="1:8" x14ac:dyDescent="0.25">
      <c r="C90" t="s">
        <v>16</v>
      </c>
      <c r="D90" t="s">
        <v>11</v>
      </c>
      <c r="E90">
        <v>30</v>
      </c>
      <c r="F90">
        <v>45000</v>
      </c>
      <c r="G90">
        <f>30*500</f>
        <v>15000</v>
      </c>
      <c r="H90">
        <v>30000</v>
      </c>
    </row>
    <row r="91" spans="1:8" x14ac:dyDescent="0.25">
      <c r="D91" t="s">
        <v>12</v>
      </c>
      <c r="E91">
        <v>5</v>
      </c>
      <c r="F91">
        <v>15000</v>
      </c>
      <c r="G91">
        <v>10000</v>
      </c>
      <c r="H91">
        <v>5000</v>
      </c>
    </row>
    <row r="92" spans="1:8" x14ac:dyDescent="0.25">
      <c r="D92" t="s">
        <v>14</v>
      </c>
      <c r="E92">
        <v>1</v>
      </c>
      <c r="F92">
        <v>10000</v>
      </c>
      <c r="G92">
        <v>5500</v>
      </c>
      <c r="H92">
        <v>4500</v>
      </c>
    </row>
    <row r="93" spans="1:8" x14ac:dyDescent="0.25">
      <c r="D93" t="s">
        <v>21</v>
      </c>
      <c r="E93">
        <v>1</v>
      </c>
      <c r="F93">
        <v>15000</v>
      </c>
      <c r="G93">
        <v>11000</v>
      </c>
      <c r="H93">
        <v>4000</v>
      </c>
    </row>
    <row r="94" spans="1:8" x14ac:dyDescent="0.25">
      <c r="A94" s="111" t="s">
        <v>17</v>
      </c>
      <c r="B94" s="111"/>
      <c r="C94" s="111"/>
      <c r="D94" s="111"/>
      <c r="E94" s="111"/>
      <c r="F94">
        <f>SUM(F87:F93)</f>
        <v>161500</v>
      </c>
      <c r="G94">
        <f>SUM(G87:G93)</f>
        <v>78500</v>
      </c>
      <c r="H94">
        <f>SUM(H87:H93)</f>
        <v>83000</v>
      </c>
    </row>
    <row r="95" spans="1:8" x14ac:dyDescent="0.25">
      <c r="A95" t="s">
        <v>22</v>
      </c>
      <c r="B95" s="3">
        <v>44481</v>
      </c>
      <c r="C95" t="s">
        <v>49</v>
      </c>
      <c r="D95" t="s">
        <v>13</v>
      </c>
      <c r="E95">
        <v>7</v>
      </c>
      <c r="F95">
        <v>105000</v>
      </c>
      <c r="G95">
        <f>7*4500</f>
        <v>31500</v>
      </c>
      <c r="H95">
        <v>14000</v>
      </c>
    </row>
    <row r="96" spans="1:8" x14ac:dyDescent="0.25">
      <c r="D96" t="s">
        <v>12</v>
      </c>
      <c r="E96">
        <v>3</v>
      </c>
      <c r="F96">
        <v>9000</v>
      </c>
      <c r="G96">
        <v>6000</v>
      </c>
      <c r="H96">
        <v>3000</v>
      </c>
    </row>
    <row r="97" spans="1:10" x14ac:dyDescent="0.25">
      <c r="C97" t="s">
        <v>50</v>
      </c>
      <c r="D97" t="s">
        <v>21</v>
      </c>
      <c r="E97">
        <v>3</v>
      </c>
      <c r="F97">
        <v>45000</v>
      </c>
      <c r="G97">
        <v>33000</v>
      </c>
      <c r="H97">
        <v>12000</v>
      </c>
    </row>
    <row r="98" spans="1:10" x14ac:dyDescent="0.25">
      <c r="C98" t="s">
        <v>24</v>
      </c>
      <c r="D98" t="s">
        <v>25</v>
      </c>
      <c r="E98">
        <v>2</v>
      </c>
      <c r="F98">
        <v>30000</v>
      </c>
      <c r="G98">
        <v>20000</v>
      </c>
      <c r="H98">
        <v>10000</v>
      </c>
    </row>
    <row r="99" spans="1:10" x14ac:dyDescent="0.25">
      <c r="C99" t="s">
        <v>16</v>
      </c>
      <c r="D99" t="s">
        <v>11</v>
      </c>
      <c r="E99">
        <v>58</v>
      </c>
      <c r="F99">
        <v>87000</v>
      </c>
      <c r="G99">
        <f>58*500</f>
        <v>29000</v>
      </c>
      <c r="H99">
        <v>58000</v>
      </c>
    </row>
    <row r="100" spans="1:10" x14ac:dyDescent="0.25">
      <c r="D100" t="s">
        <v>12</v>
      </c>
      <c r="E100">
        <v>1</v>
      </c>
      <c r="F100">
        <v>3000</v>
      </c>
      <c r="G100">
        <v>2000</v>
      </c>
      <c r="H100">
        <v>1000</v>
      </c>
    </row>
    <row r="101" spans="1:10" x14ac:dyDescent="0.25">
      <c r="D101" t="s">
        <v>21</v>
      </c>
      <c r="E101">
        <v>1</v>
      </c>
      <c r="F101">
        <v>15000</v>
      </c>
      <c r="G101">
        <v>11000</v>
      </c>
      <c r="H101">
        <v>4000</v>
      </c>
    </row>
    <row r="102" spans="1:10" x14ac:dyDescent="0.25">
      <c r="F102" s="1">
        <f>SUM(F96:F101)</f>
        <v>189000</v>
      </c>
      <c r="G102" s="1">
        <f>SUM(G96:G101)</f>
        <v>101000</v>
      </c>
      <c r="H102" s="1">
        <f>SUM(H96:H101)</f>
        <v>88000</v>
      </c>
      <c r="J102" t="s">
        <v>46</v>
      </c>
    </row>
    <row r="104" spans="1:10" x14ac:dyDescent="0.25">
      <c r="A104" t="s">
        <v>26</v>
      </c>
      <c r="B104" s="3">
        <v>44512</v>
      </c>
      <c r="C104" t="s">
        <v>10</v>
      </c>
      <c r="D104" t="s">
        <v>11</v>
      </c>
      <c r="E104">
        <v>17</v>
      </c>
      <c r="F104">
        <v>25500</v>
      </c>
      <c r="G104">
        <f>17*500</f>
        <v>8500</v>
      </c>
      <c r="H104">
        <v>17000</v>
      </c>
    </row>
    <row r="105" spans="1:10" x14ac:dyDescent="0.25">
      <c r="C105" t="s">
        <v>22</v>
      </c>
      <c r="D105" t="s">
        <v>12</v>
      </c>
      <c r="E105">
        <v>2</v>
      </c>
      <c r="F105">
        <v>6000</v>
      </c>
      <c r="G105">
        <v>4000</v>
      </c>
      <c r="H105">
        <v>2000</v>
      </c>
    </row>
    <row r="106" spans="1:10" x14ac:dyDescent="0.25">
      <c r="D106" t="s">
        <v>13</v>
      </c>
      <c r="E106">
        <v>5</v>
      </c>
      <c r="F106">
        <v>32500</v>
      </c>
      <c r="G106">
        <f>5*4500</f>
        <v>22500</v>
      </c>
      <c r="H106">
        <v>10000</v>
      </c>
    </row>
    <row r="107" spans="1:10" x14ac:dyDescent="0.25">
      <c r="D107" t="s">
        <v>14</v>
      </c>
      <c r="E107">
        <v>2</v>
      </c>
      <c r="F107">
        <v>16000</v>
      </c>
      <c r="G107">
        <v>11000</v>
      </c>
      <c r="H107">
        <v>5000</v>
      </c>
    </row>
    <row r="108" spans="1:10" x14ac:dyDescent="0.25">
      <c r="C108" t="s">
        <v>20</v>
      </c>
      <c r="D108" t="s">
        <v>13</v>
      </c>
      <c r="E108">
        <v>6</v>
      </c>
      <c r="F108">
        <v>39000</v>
      </c>
      <c r="G108">
        <f>6*4500</f>
        <v>27000</v>
      </c>
      <c r="H108">
        <v>12000</v>
      </c>
    </row>
    <row r="109" spans="1:10" x14ac:dyDescent="0.25">
      <c r="D109" t="s">
        <v>14</v>
      </c>
      <c r="E109">
        <v>6</v>
      </c>
      <c r="F109">
        <v>60000</v>
      </c>
      <c r="G109">
        <f>6*5500</f>
        <v>33000</v>
      </c>
      <c r="H109">
        <f>6*4500</f>
        <v>27000</v>
      </c>
    </row>
    <row r="110" spans="1:10" x14ac:dyDescent="0.25">
      <c r="C110" t="s">
        <v>10</v>
      </c>
      <c r="D110" t="s">
        <v>11</v>
      </c>
      <c r="E110">
        <v>17</v>
      </c>
      <c r="F110">
        <v>25500</v>
      </c>
      <c r="G110">
        <f>17*500</f>
        <v>8500</v>
      </c>
      <c r="H110">
        <v>17000</v>
      </c>
    </row>
    <row r="111" spans="1:10" x14ac:dyDescent="0.25">
      <c r="D111" t="s">
        <v>12</v>
      </c>
      <c r="E111">
        <v>8</v>
      </c>
      <c r="F111">
        <v>24000</v>
      </c>
      <c r="G111">
        <v>16000</v>
      </c>
      <c r="H111">
        <v>8000</v>
      </c>
    </row>
    <row r="112" spans="1:10" x14ac:dyDescent="0.25">
      <c r="D112" t="s">
        <v>13</v>
      </c>
      <c r="E112">
        <v>26</v>
      </c>
      <c r="F112">
        <v>169000</v>
      </c>
      <c r="G112">
        <f>26*4500</f>
        <v>117000</v>
      </c>
      <c r="H112">
        <f>26*2000</f>
        <v>52000</v>
      </c>
    </row>
    <row r="113" spans="1:8" x14ac:dyDescent="0.25">
      <c r="D113" t="s">
        <v>14</v>
      </c>
      <c r="E113">
        <v>10</v>
      </c>
      <c r="F113">
        <v>100000</v>
      </c>
      <c r="G113">
        <f>10*5500</f>
        <v>55000</v>
      </c>
      <c r="H113">
        <f>10*4500</f>
        <v>45000</v>
      </c>
    </row>
    <row r="114" spans="1:8" x14ac:dyDescent="0.25">
      <c r="D114" t="s">
        <v>14</v>
      </c>
      <c r="E114">
        <v>13</v>
      </c>
      <c r="F114">
        <v>104000</v>
      </c>
      <c r="G114">
        <f>13*5500</f>
        <v>71500</v>
      </c>
      <c r="H114">
        <f>13*2500</f>
        <v>32500</v>
      </c>
    </row>
    <row r="115" spans="1:8" x14ac:dyDescent="0.25">
      <c r="C115" t="s">
        <v>16</v>
      </c>
      <c r="D115" t="s">
        <v>11</v>
      </c>
      <c r="E115">
        <v>45</v>
      </c>
      <c r="F115">
        <v>67500</v>
      </c>
      <c r="G115">
        <f>45*500</f>
        <v>22500</v>
      </c>
      <c r="H115">
        <v>45000</v>
      </c>
    </row>
    <row r="116" spans="1:8" x14ac:dyDescent="0.25">
      <c r="D116" t="s">
        <v>12</v>
      </c>
      <c r="E116">
        <v>5</v>
      </c>
      <c r="F116">
        <v>15000</v>
      </c>
      <c r="G116">
        <v>10000</v>
      </c>
      <c r="H116">
        <v>5000</v>
      </c>
    </row>
    <row r="117" spans="1:8" x14ac:dyDescent="0.25">
      <c r="D117" t="s">
        <v>13</v>
      </c>
      <c r="E117">
        <v>1</v>
      </c>
      <c r="F117">
        <v>6500</v>
      </c>
      <c r="G117">
        <v>4500</v>
      </c>
      <c r="H117">
        <v>2000</v>
      </c>
    </row>
    <row r="118" spans="1:8" x14ac:dyDescent="0.25">
      <c r="D118" t="s">
        <v>21</v>
      </c>
      <c r="E118">
        <v>1</v>
      </c>
      <c r="F118">
        <v>15000</v>
      </c>
      <c r="G118">
        <v>11000</v>
      </c>
      <c r="H118">
        <v>4000</v>
      </c>
    </row>
    <row r="119" spans="1:8" x14ac:dyDescent="0.25">
      <c r="A119" s="111" t="s">
        <v>17</v>
      </c>
      <c r="B119" s="111"/>
      <c r="C119" s="111"/>
      <c r="D119" s="111"/>
      <c r="E119" s="111"/>
      <c r="F119" s="1">
        <f>SUM(F104:F118)</f>
        <v>705500</v>
      </c>
      <c r="G119" s="1">
        <f>SUM(G104:G118)</f>
        <v>422000</v>
      </c>
      <c r="H119" s="1">
        <f>SUM(H104:H118)</f>
        <v>283500</v>
      </c>
    </row>
    <row r="120" spans="1:8" x14ac:dyDescent="0.25">
      <c r="A120" t="s">
        <v>28</v>
      </c>
      <c r="B120" s="3">
        <v>44542</v>
      </c>
      <c r="C120" t="s">
        <v>20</v>
      </c>
      <c r="D120" t="s">
        <v>13</v>
      </c>
      <c r="E120">
        <v>31</v>
      </c>
      <c r="F120">
        <v>201500</v>
      </c>
      <c r="G120">
        <f>31*4500</f>
        <v>139500</v>
      </c>
      <c r="H120">
        <f>31*2000</f>
        <v>62000</v>
      </c>
    </row>
    <row r="121" spans="1:8" x14ac:dyDescent="0.25">
      <c r="D121" t="s">
        <v>14</v>
      </c>
      <c r="E121">
        <v>31</v>
      </c>
      <c r="F121">
        <v>310000</v>
      </c>
      <c r="G121">
        <f>31*5500</f>
        <v>170500</v>
      </c>
      <c r="H121">
        <f>31*4500</f>
        <v>139500</v>
      </c>
    </row>
    <row r="122" spans="1:8" x14ac:dyDescent="0.25">
      <c r="C122" t="s">
        <v>16</v>
      </c>
      <c r="D122" t="s">
        <v>11</v>
      </c>
      <c r="E122">
        <v>76</v>
      </c>
      <c r="F122">
        <v>114000</v>
      </c>
      <c r="G122">
        <f>76*500</f>
        <v>38000</v>
      </c>
      <c r="H122">
        <v>76000</v>
      </c>
    </row>
    <row r="123" spans="1:8" x14ac:dyDescent="0.25">
      <c r="D123" t="s">
        <v>12</v>
      </c>
      <c r="E123">
        <v>10</v>
      </c>
      <c r="F123">
        <v>30000</v>
      </c>
      <c r="G123">
        <v>20000</v>
      </c>
      <c r="H123">
        <v>10000</v>
      </c>
    </row>
    <row r="124" spans="1:8" x14ac:dyDescent="0.25">
      <c r="D124" t="s">
        <v>13</v>
      </c>
      <c r="E124">
        <v>3</v>
      </c>
      <c r="F124">
        <v>19500</v>
      </c>
      <c r="G124">
        <f>3*4500</f>
        <v>13500</v>
      </c>
      <c r="H124">
        <v>6000</v>
      </c>
    </row>
    <row r="125" spans="1:8" x14ac:dyDescent="0.25">
      <c r="A125" s="111" t="s">
        <v>17</v>
      </c>
      <c r="B125" s="111"/>
      <c r="C125" s="111"/>
      <c r="D125" s="111"/>
      <c r="E125" s="111"/>
      <c r="F125" s="1">
        <f>SUM(F120:F124)</f>
        <v>675000</v>
      </c>
      <c r="G125" s="1">
        <f>SUM(G120:G124)</f>
        <v>381500</v>
      </c>
      <c r="H125" s="1">
        <f>SUM(H120:H124)</f>
        <v>293500</v>
      </c>
    </row>
    <row r="126" spans="1:8" x14ac:dyDescent="0.25">
      <c r="C126" t="s">
        <v>10</v>
      </c>
      <c r="D126" t="s">
        <v>12</v>
      </c>
      <c r="E126">
        <v>3</v>
      </c>
      <c r="F126">
        <v>9000</v>
      </c>
      <c r="G126">
        <v>6000</v>
      </c>
      <c r="H126">
        <v>3000</v>
      </c>
    </row>
    <row r="127" spans="1:8" x14ac:dyDescent="0.25">
      <c r="C127" t="s">
        <v>51</v>
      </c>
      <c r="D127" t="s">
        <v>13</v>
      </c>
      <c r="E127">
        <v>12</v>
      </c>
      <c r="F127">
        <v>78000</v>
      </c>
      <c r="G127">
        <f>12*4500</f>
        <v>54000</v>
      </c>
      <c r="H127">
        <v>24000</v>
      </c>
    </row>
    <row r="128" spans="1:8" x14ac:dyDescent="0.25">
      <c r="D128" t="s">
        <v>14</v>
      </c>
      <c r="E128">
        <v>9</v>
      </c>
      <c r="F128">
        <v>72000</v>
      </c>
      <c r="G128">
        <f>9*5500</f>
        <v>49500</v>
      </c>
      <c r="H128">
        <f>9*2500</f>
        <v>22500</v>
      </c>
    </row>
    <row r="129" spans="1:8" x14ac:dyDescent="0.25">
      <c r="C129" t="s">
        <v>10</v>
      </c>
      <c r="D129" t="s">
        <v>13</v>
      </c>
      <c r="E129">
        <v>15</v>
      </c>
      <c r="F129">
        <v>97500</v>
      </c>
      <c r="G129">
        <f>15*4500</f>
        <v>67500</v>
      </c>
      <c r="H129">
        <v>30000</v>
      </c>
    </row>
    <row r="130" spans="1:8" x14ac:dyDescent="0.25">
      <c r="C130" t="s">
        <v>39</v>
      </c>
      <c r="D130" t="s">
        <v>14</v>
      </c>
      <c r="E130">
        <v>3</v>
      </c>
      <c r="F130">
        <v>30000</v>
      </c>
      <c r="G130">
        <f>3*5500</f>
        <v>16500</v>
      </c>
      <c r="H130">
        <f>3*4500</f>
        <v>13500</v>
      </c>
    </row>
    <row r="131" spans="1:8" x14ac:dyDescent="0.25">
      <c r="D131" t="s">
        <v>14</v>
      </c>
      <c r="E131">
        <v>11</v>
      </c>
      <c r="F131">
        <v>88000</v>
      </c>
      <c r="G131">
        <f>11*5500</f>
        <v>60500</v>
      </c>
      <c r="H131">
        <f>11*2500</f>
        <v>27500</v>
      </c>
    </row>
    <row r="132" spans="1:8" x14ac:dyDescent="0.25">
      <c r="A132" s="111" t="s">
        <v>17</v>
      </c>
      <c r="B132" s="111"/>
      <c r="C132" s="111"/>
      <c r="D132" s="111"/>
      <c r="E132" s="111"/>
      <c r="F132" s="1">
        <f>SUM(F126:F131)</f>
        <v>374500</v>
      </c>
      <c r="G132" s="1">
        <f>SUM(G126:G131)</f>
        <v>254000</v>
      </c>
      <c r="H132" s="1">
        <f>SUM(H126:H131)</f>
        <v>120500</v>
      </c>
    </row>
    <row r="133" spans="1:8" x14ac:dyDescent="0.25">
      <c r="A133" t="s">
        <v>30</v>
      </c>
      <c r="B133" t="s">
        <v>52</v>
      </c>
      <c r="C133" t="s">
        <v>16</v>
      </c>
      <c r="D133" t="s">
        <v>11</v>
      </c>
      <c r="E133">
        <v>53</v>
      </c>
      <c r="F133">
        <v>79500</v>
      </c>
      <c r="G133">
        <f>53*500</f>
        <v>26500</v>
      </c>
      <c r="H133">
        <v>53000</v>
      </c>
    </row>
    <row r="134" spans="1:8" x14ac:dyDescent="0.25">
      <c r="D134" t="s">
        <v>12</v>
      </c>
      <c r="E134">
        <v>1</v>
      </c>
      <c r="F134">
        <v>3000</v>
      </c>
      <c r="G134">
        <v>2000</v>
      </c>
      <c r="H134">
        <v>1000</v>
      </c>
    </row>
    <row r="135" spans="1:8" x14ac:dyDescent="0.25">
      <c r="D135" t="s">
        <v>13</v>
      </c>
      <c r="E135">
        <v>4</v>
      </c>
      <c r="F135">
        <v>26000</v>
      </c>
      <c r="G135">
        <f>4*4500</f>
        <v>18000</v>
      </c>
      <c r="H135">
        <v>8000</v>
      </c>
    </row>
    <row r="136" spans="1:8" x14ac:dyDescent="0.25">
      <c r="C136" t="s">
        <v>10</v>
      </c>
      <c r="D136" t="s">
        <v>11</v>
      </c>
      <c r="E136">
        <v>30</v>
      </c>
      <c r="F136">
        <v>45000</v>
      </c>
      <c r="G136">
        <f>30*500</f>
        <v>15000</v>
      </c>
      <c r="H136">
        <v>30000</v>
      </c>
    </row>
    <row r="137" spans="1:8" x14ac:dyDescent="0.25">
      <c r="D137" t="s">
        <v>12</v>
      </c>
      <c r="E137">
        <v>6</v>
      </c>
      <c r="F137">
        <v>18000</v>
      </c>
      <c r="G137">
        <v>12000</v>
      </c>
      <c r="H137">
        <v>6000</v>
      </c>
    </row>
    <row r="138" spans="1:8" x14ac:dyDescent="0.25">
      <c r="D138" t="s">
        <v>13</v>
      </c>
      <c r="E138">
        <v>24</v>
      </c>
      <c r="F138">
        <v>156000</v>
      </c>
      <c r="G138">
        <f>24*4500</f>
        <v>108000</v>
      </c>
      <c r="H138">
        <f>24*2000</f>
        <v>48000</v>
      </c>
    </row>
    <row r="139" spans="1:8" x14ac:dyDescent="0.25">
      <c r="D139" t="s">
        <v>14</v>
      </c>
      <c r="E139">
        <v>6</v>
      </c>
      <c r="F139">
        <v>60000</v>
      </c>
      <c r="G139">
        <f>6*5500</f>
        <v>33000</v>
      </c>
      <c r="H139">
        <f>6*4500</f>
        <v>27000</v>
      </c>
    </row>
    <row r="140" spans="1:8" x14ac:dyDescent="0.25">
      <c r="D140" t="s">
        <v>14</v>
      </c>
      <c r="E140">
        <v>4</v>
      </c>
      <c r="F140">
        <v>32000</v>
      </c>
      <c r="G140">
        <f>4*5500</f>
        <v>22000</v>
      </c>
      <c r="H140">
        <v>10000</v>
      </c>
    </row>
    <row r="141" spans="1:8" x14ac:dyDescent="0.25">
      <c r="A141" s="111" t="s">
        <v>17</v>
      </c>
      <c r="B141" s="111"/>
      <c r="C141" s="111"/>
      <c r="D141" s="111"/>
      <c r="E141" s="111"/>
      <c r="F141" s="1">
        <f>SUM(F133:F140)</f>
        <v>419500</v>
      </c>
      <c r="G141" s="1">
        <f>SUM(G133:G140)</f>
        <v>236500</v>
      </c>
      <c r="H141" s="1">
        <f>SUM(H133:H140)</f>
        <v>183000</v>
      </c>
    </row>
    <row r="142" spans="1:8" x14ac:dyDescent="0.25">
      <c r="A142" t="s">
        <v>32</v>
      </c>
      <c r="B142" t="s">
        <v>53</v>
      </c>
      <c r="C142" t="s">
        <v>16</v>
      </c>
      <c r="D142" t="s">
        <v>11</v>
      </c>
      <c r="E142">
        <v>19</v>
      </c>
      <c r="F142">
        <v>28500</v>
      </c>
      <c r="G142">
        <f>19*500</f>
        <v>9500</v>
      </c>
      <c r="H142">
        <v>19000</v>
      </c>
    </row>
    <row r="143" spans="1:8" x14ac:dyDescent="0.25">
      <c r="D143" t="s">
        <v>12</v>
      </c>
      <c r="E143">
        <v>5</v>
      </c>
      <c r="F143">
        <v>15000</v>
      </c>
      <c r="G143">
        <v>10000</v>
      </c>
      <c r="H143">
        <v>5000</v>
      </c>
    </row>
    <row r="144" spans="1:8" x14ac:dyDescent="0.25">
      <c r="C144" t="s">
        <v>20</v>
      </c>
      <c r="D144" t="s">
        <v>13</v>
      </c>
      <c r="E144">
        <v>2</v>
      </c>
      <c r="F144">
        <v>13000</v>
      </c>
      <c r="G144">
        <v>9000</v>
      </c>
      <c r="H144">
        <v>4000</v>
      </c>
    </row>
    <row r="145" spans="1:8" x14ac:dyDescent="0.25">
      <c r="D145" t="s">
        <v>14</v>
      </c>
      <c r="E145">
        <v>4</v>
      </c>
      <c r="F145">
        <v>40000</v>
      </c>
      <c r="G145">
        <v>22000</v>
      </c>
      <c r="H145">
        <v>18000</v>
      </c>
    </row>
    <row r="146" spans="1:8" x14ac:dyDescent="0.25">
      <c r="C146" t="s">
        <v>10</v>
      </c>
      <c r="D146" t="s">
        <v>11</v>
      </c>
      <c r="E146">
        <v>30</v>
      </c>
      <c r="F146">
        <v>45000</v>
      </c>
      <c r="G146">
        <f>30*500</f>
        <v>15000</v>
      </c>
      <c r="H146">
        <v>30000</v>
      </c>
    </row>
    <row r="147" spans="1:8" x14ac:dyDescent="0.25">
      <c r="D147" t="s">
        <v>12</v>
      </c>
      <c r="E147">
        <v>2</v>
      </c>
      <c r="F147">
        <v>6000</v>
      </c>
      <c r="G147">
        <v>4000</v>
      </c>
      <c r="H147">
        <v>2000</v>
      </c>
    </row>
    <row r="148" spans="1:8" x14ac:dyDescent="0.25">
      <c r="D148" t="s">
        <v>13</v>
      </c>
      <c r="E148">
        <v>1</v>
      </c>
      <c r="F148">
        <v>6500</v>
      </c>
      <c r="G148">
        <v>4500</v>
      </c>
      <c r="H148">
        <v>2000</v>
      </c>
    </row>
    <row r="149" spans="1:8" x14ac:dyDescent="0.25">
      <c r="D149" t="s">
        <v>14</v>
      </c>
      <c r="E149">
        <v>4</v>
      </c>
      <c r="F149">
        <v>32000</v>
      </c>
      <c r="G149">
        <f>4*5500</f>
        <v>22000</v>
      </c>
      <c r="H149">
        <v>10000</v>
      </c>
    </row>
    <row r="150" spans="1:8" x14ac:dyDescent="0.25">
      <c r="A150" s="111" t="s">
        <v>17</v>
      </c>
      <c r="B150" s="111"/>
      <c r="C150" s="111"/>
      <c r="D150" s="111"/>
      <c r="E150" s="111"/>
      <c r="F150" s="1">
        <f>SUM(F142:F149)</f>
        <v>186000</v>
      </c>
      <c r="G150" s="1">
        <f>SUM(G142:G149)</f>
        <v>96000</v>
      </c>
      <c r="H150" s="1">
        <f>SUM(H142:H149)</f>
        <v>90000</v>
      </c>
    </row>
    <row r="151" spans="1:8" x14ac:dyDescent="0.25">
      <c r="A151" t="s">
        <v>8</v>
      </c>
      <c r="B151" t="s">
        <v>54</v>
      </c>
      <c r="C151" t="s">
        <v>24</v>
      </c>
      <c r="D151" t="s">
        <v>21</v>
      </c>
      <c r="E151">
        <v>2</v>
      </c>
      <c r="F151">
        <v>30000</v>
      </c>
      <c r="G151">
        <v>22000</v>
      </c>
      <c r="H151">
        <v>8000</v>
      </c>
    </row>
    <row r="152" spans="1:8" x14ac:dyDescent="0.25">
      <c r="D152" t="s">
        <v>25</v>
      </c>
      <c r="E152">
        <v>1</v>
      </c>
      <c r="F152">
        <v>15000</v>
      </c>
      <c r="G152">
        <v>10000</v>
      </c>
      <c r="H152">
        <v>5000</v>
      </c>
    </row>
    <row r="153" spans="1:8" x14ac:dyDescent="0.25">
      <c r="D153" t="s">
        <v>21</v>
      </c>
      <c r="E153">
        <v>1</v>
      </c>
      <c r="F153">
        <v>17000</v>
      </c>
      <c r="G153">
        <v>11000</v>
      </c>
      <c r="H153">
        <v>6000</v>
      </c>
    </row>
    <row r="154" spans="1:8" x14ac:dyDescent="0.25">
      <c r="C154" t="s">
        <v>16</v>
      </c>
      <c r="D154" t="s">
        <v>11</v>
      </c>
      <c r="E154">
        <v>40</v>
      </c>
      <c r="F154">
        <v>60000</v>
      </c>
      <c r="G154">
        <f>40*500</f>
        <v>20000</v>
      </c>
      <c r="H154">
        <v>40000</v>
      </c>
    </row>
    <row r="155" spans="1:8" x14ac:dyDescent="0.25">
      <c r="D155" t="s">
        <v>12</v>
      </c>
      <c r="E155">
        <v>2</v>
      </c>
      <c r="F155">
        <v>6000</v>
      </c>
      <c r="G155">
        <v>4000</v>
      </c>
      <c r="H155">
        <v>2000</v>
      </c>
    </row>
    <row r="156" spans="1:8" x14ac:dyDescent="0.25">
      <c r="D156" t="s">
        <v>13</v>
      </c>
      <c r="E156">
        <v>1</v>
      </c>
      <c r="F156">
        <v>6500</v>
      </c>
      <c r="G156">
        <v>4500</v>
      </c>
      <c r="H156">
        <v>2000</v>
      </c>
    </row>
    <row r="157" spans="1:8" x14ac:dyDescent="0.25">
      <c r="D157" t="s">
        <v>14</v>
      </c>
      <c r="E157">
        <v>1</v>
      </c>
      <c r="F157">
        <v>10000</v>
      </c>
      <c r="G157">
        <v>5500</v>
      </c>
      <c r="H157">
        <v>4500</v>
      </c>
    </row>
    <row r="158" spans="1:8" x14ac:dyDescent="0.25">
      <c r="D158" t="s">
        <v>21</v>
      </c>
      <c r="E158">
        <v>1</v>
      </c>
      <c r="F158">
        <v>15000</v>
      </c>
      <c r="G158">
        <v>11000</v>
      </c>
      <c r="H158">
        <v>4000</v>
      </c>
    </row>
    <row r="159" spans="1:8" x14ac:dyDescent="0.25">
      <c r="C159" t="s">
        <v>10</v>
      </c>
      <c r="D159" t="s">
        <v>11</v>
      </c>
      <c r="E159">
        <v>28</v>
      </c>
      <c r="F159">
        <v>42000</v>
      </c>
      <c r="G159">
        <f>28*500</f>
        <v>14000</v>
      </c>
      <c r="H159">
        <v>28000</v>
      </c>
    </row>
    <row r="160" spans="1:8" x14ac:dyDescent="0.25">
      <c r="D160" t="s">
        <v>12</v>
      </c>
      <c r="E160">
        <v>5</v>
      </c>
      <c r="F160">
        <v>15000</v>
      </c>
      <c r="G160">
        <v>10000</v>
      </c>
      <c r="H160">
        <v>5000</v>
      </c>
    </row>
    <row r="161" spans="1:8" x14ac:dyDescent="0.25">
      <c r="D161" t="s">
        <v>13</v>
      </c>
      <c r="E161">
        <v>1</v>
      </c>
      <c r="F161">
        <v>6500</v>
      </c>
      <c r="G161">
        <v>4500</v>
      </c>
      <c r="H161">
        <v>2000</v>
      </c>
    </row>
    <row r="162" spans="1:8" x14ac:dyDescent="0.25">
      <c r="D162" t="s">
        <v>14</v>
      </c>
      <c r="E162">
        <v>1</v>
      </c>
      <c r="F162">
        <v>8000</v>
      </c>
      <c r="G162">
        <v>5500</v>
      </c>
      <c r="H162">
        <v>2500</v>
      </c>
    </row>
    <row r="163" spans="1:8" x14ac:dyDescent="0.25">
      <c r="A163" s="111" t="s">
        <v>17</v>
      </c>
      <c r="B163" s="111"/>
      <c r="C163" s="111"/>
      <c r="D163" s="111"/>
      <c r="E163" s="111"/>
      <c r="F163" s="1">
        <f>SUM(F151:F162)</f>
        <v>231000</v>
      </c>
      <c r="G163" s="1">
        <f>SUM(G151:G162)</f>
        <v>122000</v>
      </c>
      <c r="H163" s="1">
        <f>SUM(H151:H162)</f>
        <v>109000</v>
      </c>
    </row>
    <row r="164" spans="1:8" x14ac:dyDescent="0.25">
      <c r="A164" t="s">
        <v>18</v>
      </c>
      <c r="B164" t="s">
        <v>55</v>
      </c>
      <c r="C164" t="s">
        <v>24</v>
      </c>
      <c r="D164" t="s">
        <v>21</v>
      </c>
      <c r="E164">
        <v>1</v>
      </c>
      <c r="F164">
        <v>17000</v>
      </c>
      <c r="G164">
        <v>11000</v>
      </c>
      <c r="H164">
        <v>6000</v>
      </c>
    </row>
    <row r="165" spans="1:8" x14ac:dyDescent="0.25">
      <c r="D165" t="s">
        <v>56</v>
      </c>
      <c r="E165">
        <v>1</v>
      </c>
      <c r="F165">
        <v>17000</v>
      </c>
      <c r="G165">
        <v>11000</v>
      </c>
      <c r="H165">
        <v>6000</v>
      </c>
    </row>
    <row r="166" spans="1:8" x14ac:dyDescent="0.25">
      <c r="C166" t="s">
        <v>24</v>
      </c>
      <c r="D166" t="s">
        <v>25</v>
      </c>
      <c r="E166">
        <v>3</v>
      </c>
      <c r="F166">
        <v>45000</v>
      </c>
      <c r="G166">
        <v>30000</v>
      </c>
      <c r="H166">
        <v>15000</v>
      </c>
    </row>
    <row r="167" spans="1:8" x14ac:dyDescent="0.25">
      <c r="C167" t="s">
        <v>16</v>
      </c>
      <c r="D167" t="s">
        <v>11</v>
      </c>
      <c r="E167">
        <v>42</v>
      </c>
      <c r="F167">
        <v>63000</v>
      </c>
      <c r="G167">
        <f>42*500</f>
        <v>21000</v>
      </c>
      <c r="H167">
        <v>42000</v>
      </c>
    </row>
    <row r="168" spans="1:8" x14ac:dyDescent="0.25">
      <c r="D168" t="s">
        <v>12</v>
      </c>
      <c r="E168">
        <v>9</v>
      </c>
      <c r="F168">
        <v>27000</v>
      </c>
      <c r="G168">
        <v>18000</v>
      </c>
      <c r="H168">
        <v>9000</v>
      </c>
    </row>
    <row r="169" spans="1:8" x14ac:dyDescent="0.25">
      <c r="D169" t="s">
        <v>14</v>
      </c>
      <c r="E169">
        <v>2</v>
      </c>
      <c r="F169">
        <v>20000</v>
      </c>
      <c r="G169">
        <v>11000</v>
      </c>
      <c r="H169">
        <v>9000</v>
      </c>
    </row>
    <row r="170" spans="1:8" x14ac:dyDescent="0.25">
      <c r="C170" t="s">
        <v>10</v>
      </c>
      <c r="D170" t="s">
        <v>11</v>
      </c>
      <c r="E170">
        <v>25</v>
      </c>
      <c r="F170">
        <v>37500</v>
      </c>
      <c r="G170">
        <f>25*500</f>
        <v>12500</v>
      </c>
      <c r="H170">
        <v>25000</v>
      </c>
    </row>
    <row r="171" spans="1:8" x14ac:dyDescent="0.25">
      <c r="D171" t="s">
        <v>12</v>
      </c>
      <c r="E171">
        <v>8</v>
      </c>
      <c r="F171">
        <v>24000</v>
      </c>
      <c r="G171">
        <v>16000</v>
      </c>
      <c r="H171">
        <v>8000</v>
      </c>
    </row>
    <row r="172" spans="1:8" x14ac:dyDescent="0.25">
      <c r="D172" t="s">
        <v>13</v>
      </c>
      <c r="E172">
        <v>6</v>
      </c>
      <c r="F172">
        <v>39000</v>
      </c>
      <c r="G172">
        <f>6*4500</f>
        <v>27000</v>
      </c>
      <c r="H172">
        <v>12000</v>
      </c>
    </row>
    <row r="173" spans="1:8" x14ac:dyDescent="0.25">
      <c r="D173" t="s">
        <v>14</v>
      </c>
      <c r="E173">
        <v>1</v>
      </c>
      <c r="F173">
        <v>8000</v>
      </c>
      <c r="G173">
        <v>5500</v>
      </c>
      <c r="H173">
        <v>2500</v>
      </c>
    </row>
    <row r="174" spans="1:8" x14ac:dyDescent="0.25">
      <c r="C174" t="s">
        <v>48</v>
      </c>
      <c r="D174" t="s">
        <v>13</v>
      </c>
      <c r="E174">
        <v>8</v>
      </c>
      <c r="F174">
        <f>8*6500</f>
        <v>52000</v>
      </c>
      <c r="G174">
        <f>8*4500</f>
        <v>36000</v>
      </c>
      <c r="H174">
        <v>16000</v>
      </c>
    </row>
    <row r="175" spans="1:8" x14ac:dyDescent="0.25">
      <c r="A175" s="111" t="s">
        <v>17</v>
      </c>
      <c r="B175" s="111"/>
      <c r="C175" s="111"/>
      <c r="D175" s="111"/>
      <c r="E175" s="111"/>
      <c r="F175" s="1">
        <f>SUM(F164:F174)</f>
        <v>349500</v>
      </c>
      <c r="G175" s="1">
        <f>SUM(G164:G174)</f>
        <v>199000</v>
      </c>
      <c r="H175" s="1">
        <f>SUM(H164:H174)</f>
        <v>150500</v>
      </c>
    </row>
    <row r="176" spans="1:8" x14ac:dyDescent="0.25">
      <c r="A176" t="s">
        <v>22</v>
      </c>
      <c r="B176" t="s">
        <v>57</v>
      </c>
      <c r="C176" t="s">
        <v>24</v>
      </c>
      <c r="D176" t="s">
        <v>25</v>
      </c>
      <c r="E176">
        <v>1</v>
      </c>
      <c r="F176">
        <v>15000</v>
      </c>
      <c r="G176">
        <v>11000</v>
      </c>
      <c r="H176">
        <v>4000</v>
      </c>
    </row>
    <row r="177" spans="1:8" x14ac:dyDescent="0.25">
      <c r="C177" t="s">
        <v>10</v>
      </c>
      <c r="D177" t="s">
        <v>11</v>
      </c>
      <c r="E177">
        <v>36</v>
      </c>
      <c r="F177">
        <v>54000</v>
      </c>
      <c r="G177">
        <f>36*500</f>
        <v>18000</v>
      </c>
      <c r="H177">
        <v>36000</v>
      </c>
    </row>
    <row r="178" spans="1:8" x14ac:dyDescent="0.25">
      <c r="D178" t="s">
        <v>12</v>
      </c>
      <c r="E178">
        <v>5</v>
      </c>
      <c r="F178">
        <v>15000</v>
      </c>
      <c r="G178">
        <v>10000</v>
      </c>
      <c r="H178">
        <v>5000</v>
      </c>
    </row>
    <row r="179" spans="1:8" x14ac:dyDescent="0.25">
      <c r="D179" t="s">
        <v>13</v>
      </c>
      <c r="E179">
        <v>6</v>
      </c>
      <c r="F179">
        <v>39000</v>
      </c>
      <c r="G179">
        <f>6*4500</f>
        <v>27000</v>
      </c>
      <c r="H179">
        <v>12000</v>
      </c>
    </row>
    <row r="180" spans="1:8" x14ac:dyDescent="0.25">
      <c r="D180" t="s">
        <v>14</v>
      </c>
      <c r="E180">
        <v>2</v>
      </c>
      <c r="F180">
        <v>16000</v>
      </c>
      <c r="G180">
        <v>11000</v>
      </c>
      <c r="H180">
        <v>5000</v>
      </c>
    </row>
    <row r="181" spans="1:8" x14ac:dyDescent="0.25">
      <c r="C181" t="s">
        <v>16</v>
      </c>
      <c r="D181" t="s">
        <v>11</v>
      </c>
      <c r="E181">
        <v>38</v>
      </c>
      <c r="F181">
        <v>57000</v>
      </c>
      <c r="G181">
        <f>38*500</f>
        <v>19000</v>
      </c>
      <c r="H181">
        <v>38000</v>
      </c>
    </row>
    <row r="182" spans="1:8" x14ac:dyDescent="0.25">
      <c r="D182" t="s">
        <v>12</v>
      </c>
      <c r="E182">
        <v>6</v>
      </c>
      <c r="F182">
        <v>18000</v>
      </c>
      <c r="G182">
        <v>12000</v>
      </c>
      <c r="H182">
        <v>6000</v>
      </c>
    </row>
    <row r="183" spans="1:8" x14ac:dyDescent="0.25">
      <c r="D183" t="s">
        <v>13</v>
      </c>
      <c r="E183">
        <v>2</v>
      </c>
      <c r="F183">
        <v>13000</v>
      </c>
      <c r="G183">
        <v>9000</v>
      </c>
      <c r="H183">
        <v>4000</v>
      </c>
    </row>
    <row r="184" spans="1:8" x14ac:dyDescent="0.25">
      <c r="D184" t="s">
        <v>14</v>
      </c>
      <c r="E184">
        <v>1</v>
      </c>
      <c r="F184">
        <v>10000</v>
      </c>
      <c r="G184">
        <v>5500</v>
      </c>
      <c r="H184">
        <v>4500</v>
      </c>
    </row>
    <row r="185" spans="1:8" x14ac:dyDescent="0.25">
      <c r="A185" s="111" t="s">
        <v>17</v>
      </c>
      <c r="B185" s="111"/>
      <c r="C185" s="111"/>
      <c r="D185" s="111"/>
      <c r="E185" s="111"/>
      <c r="F185" s="1">
        <f>SUM(F176:F184)</f>
        <v>237000</v>
      </c>
      <c r="G185" s="1">
        <f>SUM(G176:G184)</f>
        <v>122500</v>
      </c>
      <c r="H185" s="1">
        <f>SUM(H176:H184)</f>
        <v>114500</v>
      </c>
    </row>
    <row r="186" spans="1:8" x14ac:dyDescent="0.25">
      <c r="A186" t="s">
        <v>26</v>
      </c>
      <c r="B186" t="s">
        <v>58</v>
      </c>
      <c r="C186" t="s">
        <v>24</v>
      </c>
      <c r="D186" t="s">
        <v>25</v>
      </c>
      <c r="E186">
        <v>3</v>
      </c>
      <c r="F186">
        <v>45000</v>
      </c>
      <c r="G186">
        <v>30000</v>
      </c>
      <c r="H186">
        <v>15000</v>
      </c>
    </row>
    <row r="187" spans="1:8" x14ac:dyDescent="0.25">
      <c r="D187" t="s">
        <v>21</v>
      </c>
      <c r="E187">
        <v>2</v>
      </c>
      <c r="F187">
        <v>34000</v>
      </c>
      <c r="G187">
        <v>22000</v>
      </c>
      <c r="H187">
        <v>12000</v>
      </c>
    </row>
    <row r="188" spans="1:8" x14ac:dyDescent="0.25">
      <c r="D188" t="s">
        <v>14</v>
      </c>
      <c r="E188">
        <v>1</v>
      </c>
      <c r="F188">
        <v>10000</v>
      </c>
      <c r="G188">
        <v>5500</v>
      </c>
      <c r="H188">
        <v>4500</v>
      </c>
    </row>
    <row r="189" spans="1:8" x14ac:dyDescent="0.25">
      <c r="C189" t="s">
        <v>16</v>
      </c>
      <c r="D189" t="s">
        <v>11</v>
      </c>
      <c r="E189">
        <v>19</v>
      </c>
      <c r="F189">
        <v>28500</v>
      </c>
      <c r="G189">
        <f>19*500</f>
        <v>9500</v>
      </c>
      <c r="H189">
        <v>19000</v>
      </c>
    </row>
    <row r="190" spans="1:8" x14ac:dyDescent="0.25">
      <c r="D190" t="s">
        <v>13</v>
      </c>
      <c r="E190">
        <v>1</v>
      </c>
      <c r="F190">
        <v>6500</v>
      </c>
      <c r="G190">
        <v>4500</v>
      </c>
      <c r="H190">
        <v>2000</v>
      </c>
    </row>
    <row r="191" spans="1:8" x14ac:dyDescent="0.25">
      <c r="C191" t="s">
        <v>10</v>
      </c>
      <c r="D191" t="s">
        <v>11</v>
      </c>
      <c r="E191">
        <v>3</v>
      </c>
      <c r="F191">
        <v>4500</v>
      </c>
      <c r="G191">
        <v>1500</v>
      </c>
      <c r="H191">
        <v>3000</v>
      </c>
    </row>
    <row r="192" spans="1:8" x14ac:dyDescent="0.25">
      <c r="D192" t="s">
        <v>12</v>
      </c>
      <c r="E192">
        <v>8</v>
      </c>
      <c r="F192">
        <v>24000</v>
      </c>
      <c r="G192">
        <v>16000</v>
      </c>
      <c r="H192">
        <v>8000</v>
      </c>
    </row>
    <row r="193" spans="1:8" x14ac:dyDescent="0.25">
      <c r="D193" t="s">
        <v>13</v>
      </c>
      <c r="E193">
        <v>20</v>
      </c>
      <c r="F193">
        <v>130000</v>
      </c>
      <c r="G193">
        <f>20*4500</f>
        <v>90000</v>
      </c>
      <c r="H193">
        <f>20*2000</f>
        <v>40000</v>
      </c>
    </row>
    <row r="194" spans="1:8" x14ac:dyDescent="0.25">
      <c r="D194" t="s">
        <v>14</v>
      </c>
      <c r="E194">
        <v>6</v>
      </c>
      <c r="F194">
        <v>48000</v>
      </c>
      <c r="G194">
        <f>6*5500</f>
        <v>33000</v>
      </c>
      <c r="H194">
        <f>6*2500</f>
        <v>15000</v>
      </c>
    </row>
    <row r="195" spans="1:8" x14ac:dyDescent="0.25">
      <c r="D195" t="s">
        <v>14</v>
      </c>
      <c r="E195">
        <v>11</v>
      </c>
      <c r="F195">
        <v>110000</v>
      </c>
      <c r="G195">
        <f>11*5500</f>
        <v>60500</v>
      </c>
      <c r="H195">
        <f>11*4500</f>
        <v>49500</v>
      </c>
    </row>
    <row r="196" spans="1:8" x14ac:dyDescent="0.25">
      <c r="A196" s="111" t="s">
        <v>17</v>
      </c>
      <c r="B196" s="111"/>
      <c r="C196" s="111"/>
      <c r="D196" s="111"/>
      <c r="E196" s="111"/>
      <c r="F196" s="1">
        <f>SUM(F186:F195)</f>
        <v>440500</v>
      </c>
      <c r="G196" s="1">
        <f>SUM(G186:G195)</f>
        <v>272500</v>
      </c>
      <c r="H196" s="1">
        <f>SUM(H186:H195)</f>
        <v>168000</v>
      </c>
    </row>
    <row r="197" spans="1:8" x14ac:dyDescent="0.25">
      <c r="A197" t="s">
        <v>28</v>
      </c>
      <c r="B197" t="s">
        <v>59</v>
      </c>
      <c r="C197" t="s">
        <v>20</v>
      </c>
      <c r="D197" t="s">
        <v>13</v>
      </c>
      <c r="E197">
        <v>19</v>
      </c>
      <c r="F197">
        <v>123500</v>
      </c>
      <c r="G197">
        <f>19*4500</f>
        <v>85500</v>
      </c>
      <c r="H197">
        <f>19*2000</f>
        <v>38000</v>
      </c>
    </row>
    <row r="198" spans="1:8" x14ac:dyDescent="0.25">
      <c r="D198" t="s">
        <v>14</v>
      </c>
      <c r="E198">
        <v>35</v>
      </c>
      <c r="F198">
        <v>350000</v>
      </c>
      <c r="G198">
        <f>35*5500</f>
        <v>192500</v>
      </c>
      <c r="H198">
        <f>35*4500</f>
        <v>157500</v>
      </c>
    </row>
    <row r="199" spans="1:8" x14ac:dyDescent="0.25">
      <c r="C199" t="s">
        <v>10</v>
      </c>
      <c r="D199" t="s">
        <v>13</v>
      </c>
      <c r="E199">
        <v>14</v>
      </c>
      <c r="F199">
        <v>91000</v>
      </c>
      <c r="G199">
        <f>14*4500</f>
        <v>63000</v>
      </c>
      <c r="H199">
        <f>14*2000</f>
        <v>28000</v>
      </c>
    </row>
    <row r="200" spans="1:8" x14ac:dyDescent="0.25">
      <c r="C200" t="s">
        <v>51</v>
      </c>
      <c r="D200" t="s">
        <v>14</v>
      </c>
      <c r="E200">
        <v>4</v>
      </c>
      <c r="F200">
        <v>40000</v>
      </c>
      <c r="G200">
        <f>4*5500</f>
        <v>22000</v>
      </c>
      <c r="H200">
        <f>4*4500</f>
        <v>18000</v>
      </c>
    </row>
    <row r="201" spans="1:8" x14ac:dyDescent="0.25">
      <c r="D201" t="s">
        <v>14</v>
      </c>
      <c r="E201">
        <v>10</v>
      </c>
      <c r="F201">
        <v>80000</v>
      </c>
      <c r="G201">
        <v>55000</v>
      </c>
      <c r="H201">
        <v>25000</v>
      </c>
    </row>
    <row r="202" spans="1:8" x14ac:dyDescent="0.25">
      <c r="C202" t="s">
        <v>16</v>
      </c>
      <c r="D202" t="s">
        <v>11</v>
      </c>
      <c r="E202">
        <v>75</v>
      </c>
      <c r="F202">
        <v>112500</v>
      </c>
      <c r="G202">
        <f>75*500</f>
        <v>37500</v>
      </c>
      <c r="H202">
        <v>75000</v>
      </c>
    </row>
    <row r="203" spans="1:8" x14ac:dyDescent="0.25">
      <c r="D203" t="s">
        <v>12</v>
      </c>
      <c r="E203">
        <v>14</v>
      </c>
      <c r="F203">
        <v>42000</v>
      </c>
      <c r="G203">
        <f>14*2000</f>
        <v>28000</v>
      </c>
      <c r="H203">
        <v>14000</v>
      </c>
    </row>
    <row r="204" spans="1:8" x14ac:dyDescent="0.25">
      <c r="D204" t="s">
        <v>13</v>
      </c>
      <c r="E204">
        <v>2</v>
      </c>
      <c r="F204">
        <v>13000</v>
      </c>
      <c r="G204">
        <v>9000</v>
      </c>
      <c r="H204">
        <v>4000</v>
      </c>
    </row>
    <row r="205" spans="1:8" x14ac:dyDescent="0.25">
      <c r="D205" t="s">
        <v>14</v>
      </c>
      <c r="E205">
        <v>3</v>
      </c>
      <c r="F205">
        <v>30000</v>
      </c>
      <c r="G205">
        <f>3*5500</f>
        <v>16500</v>
      </c>
      <c r="H205">
        <f>3*4500</f>
        <v>13500</v>
      </c>
    </row>
    <row r="206" spans="1:8" x14ac:dyDescent="0.25">
      <c r="D206" t="s">
        <v>21</v>
      </c>
      <c r="E206">
        <v>1</v>
      </c>
      <c r="F206">
        <v>15000</v>
      </c>
      <c r="G206">
        <v>11000</v>
      </c>
      <c r="H206">
        <v>4000</v>
      </c>
    </row>
    <row r="207" spans="1:8" x14ac:dyDescent="0.25">
      <c r="C207" t="s">
        <v>10</v>
      </c>
      <c r="D207" t="s">
        <v>13</v>
      </c>
      <c r="E207">
        <v>19</v>
      </c>
      <c r="F207">
        <v>123500</v>
      </c>
      <c r="G207">
        <f>19*4500</f>
        <v>85500</v>
      </c>
      <c r="H207">
        <f>19*2000</f>
        <v>38000</v>
      </c>
    </row>
    <row r="208" spans="1:8" x14ac:dyDescent="0.25">
      <c r="C208" t="s">
        <v>60</v>
      </c>
      <c r="D208" t="s">
        <v>14</v>
      </c>
      <c r="E208">
        <v>7</v>
      </c>
      <c r="F208">
        <v>70000</v>
      </c>
      <c r="G208">
        <f>7*5500</f>
        <v>38500</v>
      </c>
      <c r="H208">
        <f>7*4500</f>
        <v>31500</v>
      </c>
    </row>
    <row r="209" spans="1:8" x14ac:dyDescent="0.25">
      <c r="D209" t="s">
        <v>14</v>
      </c>
      <c r="E209">
        <v>8</v>
      </c>
      <c r="F209">
        <v>64000</v>
      </c>
      <c r="G209">
        <f>8*5500</f>
        <v>44000</v>
      </c>
      <c r="H209">
        <f>8*2500</f>
        <v>20000</v>
      </c>
    </row>
    <row r="210" spans="1:8" x14ac:dyDescent="0.25">
      <c r="A210" s="111" t="s">
        <v>17</v>
      </c>
      <c r="B210" s="111"/>
      <c r="C210" s="111"/>
      <c r="D210" s="111"/>
      <c r="E210" s="111"/>
      <c r="F210" s="1">
        <f>SUM(F197:F209)</f>
        <v>1154500</v>
      </c>
      <c r="G210" s="1">
        <f>SUM(G197:G209)</f>
        <v>688000</v>
      </c>
      <c r="H210" s="1">
        <f>SUM(H197:H209)</f>
        <v>466500</v>
      </c>
    </row>
    <row r="211" spans="1:8" x14ac:dyDescent="0.25">
      <c r="A211" t="s">
        <v>30</v>
      </c>
      <c r="B211" t="s">
        <v>61</v>
      </c>
      <c r="C211" t="s">
        <v>16</v>
      </c>
      <c r="D211" t="s">
        <v>11</v>
      </c>
      <c r="E211">
        <v>10</v>
      </c>
      <c r="F211">
        <v>15000</v>
      </c>
      <c r="G211">
        <v>5000</v>
      </c>
      <c r="H211">
        <v>10000</v>
      </c>
    </row>
    <row r="212" spans="1:8" x14ac:dyDescent="0.25">
      <c r="D212" t="s">
        <v>12</v>
      </c>
      <c r="E212">
        <v>3</v>
      </c>
      <c r="F212">
        <v>9000</v>
      </c>
      <c r="G212">
        <v>6000</v>
      </c>
      <c r="H212">
        <v>3000</v>
      </c>
    </row>
    <row r="213" spans="1:8" x14ac:dyDescent="0.25">
      <c r="D213" t="s">
        <v>13</v>
      </c>
      <c r="E213">
        <v>1</v>
      </c>
      <c r="F213">
        <v>6500</v>
      </c>
      <c r="G213">
        <v>4500</v>
      </c>
      <c r="H213">
        <v>2000</v>
      </c>
    </row>
    <row r="214" spans="1:8" x14ac:dyDescent="0.25">
      <c r="C214" t="s">
        <v>10</v>
      </c>
      <c r="D214" t="s">
        <v>11</v>
      </c>
      <c r="E214">
        <v>18</v>
      </c>
      <c r="F214">
        <v>27000</v>
      </c>
      <c r="G214">
        <f>18*500</f>
        <v>9000</v>
      </c>
      <c r="H214">
        <v>18000</v>
      </c>
    </row>
    <row r="215" spans="1:8" x14ac:dyDescent="0.25">
      <c r="D215" t="s">
        <v>12</v>
      </c>
      <c r="E215">
        <v>3</v>
      </c>
      <c r="F215">
        <v>9000</v>
      </c>
      <c r="G215">
        <v>6000</v>
      </c>
      <c r="H215">
        <v>3000</v>
      </c>
    </row>
    <row r="216" spans="1:8" x14ac:dyDescent="0.25">
      <c r="D216" t="s">
        <v>13</v>
      </c>
      <c r="E216">
        <v>4</v>
      </c>
      <c r="F216">
        <v>26000</v>
      </c>
      <c r="G216">
        <f>4*4500</f>
        <v>18000</v>
      </c>
      <c r="H216">
        <v>8000</v>
      </c>
    </row>
    <row r="217" spans="1:8" x14ac:dyDescent="0.25">
      <c r="D217" t="s">
        <v>14</v>
      </c>
      <c r="E217">
        <v>2</v>
      </c>
      <c r="F217">
        <v>20000</v>
      </c>
      <c r="G217">
        <v>11000</v>
      </c>
      <c r="H217">
        <v>9000</v>
      </c>
    </row>
    <row r="218" spans="1:8" x14ac:dyDescent="0.25">
      <c r="C218" t="s">
        <v>24</v>
      </c>
      <c r="D218" t="s">
        <v>25</v>
      </c>
      <c r="E218">
        <v>6</v>
      </c>
      <c r="F218">
        <v>60000</v>
      </c>
      <c r="G218">
        <v>60000</v>
      </c>
      <c r="H218">
        <v>0</v>
      </c>
    </row>
    <row r="219" spans="1:8" x14ac:dyDescent="0.25">
      <c r="A219" s="111" t="s">
        <v>17</v>
      </c>
      <c r="B219" s="111"/>
      <c r="C219" s="111"/>
      <c r="D219" s="111"/>
      <c r="E219" s="111"/>
      <c r="F219" s="1">
        <f>SUM(F211:F218)</f>
        <v>172500</v>
      </c>
      <c r="G219" s="1">
        <f>SUM(G211:G218)</f>
        <v>119500</v>
      </c>
      <c r="H219" s="1">
        <f>SUM(H211:H218)</f>
        <v>53000</v>
      </c>
    </row>
    <row r="220" spans="1:8" x14ac:dyDescent="0.25">
      <c r="A220" t="s">
        <v>32</v>
      </c>
      <c r="B220" t="s">
        <v>62</v>
      </c>
      <c r="C220" t="s">
        <v>63</v>
      </c>
      <c r="D220" t="s">
        <v>25</v>
      </c>
      <c r="E220">
        <v>1</v>
      </c>
      <c r="F220">
        <v>15000</v>
      </c>
      <c r="G220">
        <v>11000</v>
      </c>
      <c r="H220">
        <v>4000</v>
      </c>
    </row>
    <row r="221" spans="1:8" x14ac:dyDescent="0.25">
      <c r="C221" t="s">
        <v>63</v>
      </c>
      <c r="D221" t="s">
        <v>11</v>
      </c>
      <c r="E221">
        <v>25</v>
      </c>
      <c r="F221">
        <v>50000</v>
      </c>
      <c r="G221">
        <f>25*500</f>
        <v>12500</v>
      </c>
      <c r="H221">
        <f>25*1500</f>
        <v>37500</v>
      </c>
    </row>
    <row r="222" spans="1:8" x14ac:dyDescent="0.25">
      <c r="C222" t="s">
        <v>16</v>
      </c>
      <c r="D222" t="s">
        <v>11</v>
      </c>
      <c r="E222">
        <v>64</v>
      </c>
      <c r="F222">
        <v>96000</v>
      </c>
      <c r="G222">
        <f>64*500</f>
        <v>32000</v>
      </c>
      <c r="H222">
        <v>64000</v>
      </c>
    </row>
    <row r="223" spans="1:8" x14ac:dyDescent="0.25">
      <c r="D223" t="s">
        <v>12</v>
      </c>
      <c r="E223">
        <v>6</v>
      </c>
      <c r="F223">
        <v>18000</v>
      </c>
      <c r="G223">
        <v>12000</v>
      </c>
      <c r="H223">
        <v>6000</v>
      </c>
    </row>
    <row r="224" spans="1:8" x14ac:dyDescent="0.25">
      <c r="D224" t="s">
        <v>13</v>
      </c>
      <c r="E224">
        <v>1</v>
      </c>
      <c r="F224">
        <v>6500</v>
      </c>
      <c r="G224">
        <v>4500</v>
      </c>
      <c r="H224">
        <v>2000</v>
      </c>
    </row>
    <row r="225" spans="1:8" x14ac:dyDescent="0.25">
      <c r="D225" t="s">
        <v>14</v>
      </c>
      <c r="E225">
        <v>2</v>
      </c>
      <c r="F225">
        <v>20000</v>
      </c>
      <c r="G225">
        <v>11000</v>
      </c>
      <c r="H225">
        <v>9000</v>
      </c>
    </row>
    <row r="226" spans="1:8" x14ac:dyDescent="0.25">
      <c r="D226" t="s">
        <v>21</v>
      </c>
      <c r="E226">
        <v>1</v>
      </c>
      <c r="F226">
        <v>15000</v>
      </c>
      <c r="G226">
        <v>11000</v>
      </c>
      <c r="H226">
        <v>4000</v>
      </c>
    </row>
    <row r="227" spans="1:8" x14ac:dyDescent="0.25">
      <c r="C227" t="s">
        <v>10</v>
      </c>
      <c r="D227" t="s">
        <v>11</v>
      </c>
      <c r="E227">
        <v>22</v>
      </c>
      <c r="F227">
        <v>33000</v>
      </c>
      <c r="G227">
        <f>22*500</f>
        <v>11000</v>
      </c>
      <c r="H227">
        <v>22000</v>
      </c>
    </row>
    <row r="228" spans="1:8" x14ac:dyDescent="0.25">
      <c r="D228" t="s">
        <v>12</v>
      </c>
      <c r="E228">
        <v>1</v>
      </c>
      <c r="F228">
        <v>3000</v>
      </c>
      <c r="G228">
        <v>2000</v>
      </c>
      <c r="H228">
        <v>1000</v>
      </c>
    </row>
    <row r="229" spans="1:8" x14ac:dyDescent="0.25">
      <c r="D229" t="s">
        <v>13</v>
      </c>
      <c r="E229">
        <v>4</v>
      </c>
      <c r="F229">
        <v>26000</v>
      </c>
      <c r="G229">
        <f>4*4500</f>
        <v>18000</v>
      </c>
      <c r="H229">
        <v>8000</v>
      </c>
    </row>
    <row r="230" spans="1:8" x14ac:dyDescent="0.25">
      <c r="D230" t="s">
        <v>14</v>
      </c>
      <c r="E230">
        <v>3</v>
      </c>
      <c r="F230">
        <v>24000</v>
      </c>
      <c r="G230">
        <f>3*5500</f>
        <v>16500</v>
      </c>
      <c r="H230">
        <v>7500</v>
      </c>
    </row>
    <row r="231" spans="1:8" x14ac:dyDescent="0.25">
      <c r="A231" s="111" t="s">
        <v>17</v>
      </c>
      <c r="B231" s="111"/>
      <c r="C231" s="111"/>
      <c r="D231" s="111"/>
      <c r="E231" s="111"/>
      <c r="F231" s="1">
        <f>SUM(F220:F230)</f>
        <v>306500</v>
      </c>
      <c r="G231" s="1">
        <f>SUM(G220:G230)</f>
        <v>141500</v>
      </c>
      <c r="H231" s="1">
        <f>SUM(H220:H230)</f>
        <v>165000</v>
      </c>
    </row>
    <row r="232" spans="1:8" x14ac:dyDescent="0.25">
      <c r="A232" t="s">
        <v>8</v>
      </c>
      <c r="B232" t="s">
        <v>64</v>
      </c>
      <c r="C232" t="s">
        <v>48</v>
      </c>
      <c r="D232" t="s">
        <v>13</v>
      </c>
      <c r="E232">
        <v>6</v>
      </c>
      <c r="F232">
        <v>39000</v>
      </c>
      <c r="G232">
        <f>6*4500</f>
        <v>27000</v>
      </c>
      <c r="H232">
        <v>12000</v>
      </c>
    </row>
    <row r="233" spans="1:8" x14ac:dyDescent="0.25">
      <c r="C233" t="s">
        <v>10</v>
      </c>
      <c r="D233" t="s">
        <v>11</v>
      </c>
      <c r="E233">
        <v>18</v>
      </c>
      <c r="F233">
        <v>27000</v>
      </c>
      <c r="G233">
        <f>18*500</f>
        <v>9000</v>
      </c>
      <c r="H233">
        <v>18000</v>
      </c>
    </row>
    <row r="234" spans="1:8" x14ac:dyDescent="0.25">
      <c r="D234" t="s">
        <v>13</v>
      </c>
      <c r="E234">
        <v>1</v>
      </c>
      <c r="F234">
        <v>6500</v>
      </c>
      <c r="G234">
        <v>4500</v>
      </c>
      <c r="H234">
        <v>2000</v>
      </c>
    </row>
    <row r="235" spans="1:8" x14ac:dyDescent="0.25">
      <c r="D235" t="s">
        <v>14</v>
      </c>
      <c r="E235">
        <v>2</v>
      </c>
      <c r="F235">
        <v>20000</v>
      </c>
      <c r="G235">
        <v>11000</v>
      </c>
      <c r="H235">
        <v>9000</v>
      </c>
    </row>
    <row r="236" spans="1:8" x14ac:dyDescent="0.25">
      <c r="C236" t="s">
        <v>16</v>
      </c>
      <c r="D236" t="s">
        <v>11</v>
      </c>
      <c r="E236">
        <v>43</v>
      </c>
      <c r="F236">
        <v>64500</v>
      </c>
      <c r="G236">
        <f>43*500</f>
        <v>21500</v>
      </c>
      <c r="H236">
        <v>43000</v>
      </c>
    </row>
    <row r="237" spans="1:8" x14ac:dyDescent="0.25">
      <c r="D237" t="s">
        <v>12</v>
      </c>
      <c r="E237">
        <v>2</v>
      </c>
      <c r="F237">
        <v>6000</v>
      </c>
      <c r="G237">
        <v>4000</v>
      </c>
      <c r="H237">
        <v>2000</v>
      </c>
    </row>
    <row r="238" spans="1:8" x14ac:dyDescent="0.25">
      <c r="D238" t="s">
        <v>21</v>
      </c>
      <c r="E238">
        <v>2</v>
      </c>
      <c r="F238">
        <v>30000</v>
      </c>
      <c r="G238">
        <v>22000</v>
      </c>
      <c r="H238">
        <v>8000</v>
      </c>
    </row>
    <row r="239" spans="1:8" x14ac:dyDescent="0.25">
      <c r="A239" s="111" t="s">
        <v>17</v>
      </c>
      <c r="B239" s="111"/>
      <c r="C239" s="111"/>
      <c r="D239" s="111"/>
      <c r="E239" s="111"/>
      <c r="F239" s="1">
        <f>SUM(F232:F238)</f>
        <v>193000</v>
      </c>
      <c r="G239" s="1">
        <f>SUM(G232:G238)</f>
        <v>99000</v>
      </c>
      <c r="H239" s="1">
        <f>SUM(H232:H238)</f>
        <v>94000</v>
      </c>
    </row>
    <row r="240" spans="1:8" x14ac:dyDescent="0.25">
      <c r="A240" t="s">
        <v>18</v>
      </c>
      <c r="B240" t="s">
        <v>65</v>
      </c>
      <c r="C240" t="s">
        <v>16</v>
      </c>
      <c r="D240" t="s">
        <v>11</v>
      </c>
      <c r="E240">
        <v>45</v>
      </c>
      <c r="F240">
        <v>67500</v>
      </c>
      <c r="G240">
        <f>45*500</f>
        <v>22500</v>
      </c>
      <c r="H240">
        <v>45000</v>
      </c>
    </row>
    <row r="241" spans="1:8" x14ac:dyDescent="0.25">
      <c r="D241" t="s">
        <v>12</v>
      </c>
      <c r="E241">
        <v>15</v>
      </c>
      <c r="F241">
        <v>45000</v>
      </c>
      <c r="G241">
        <v>30000</v>
      </c>
      <c r="H241">
        <v>15000</v>
      </c>
    </row>
    <row r="242" spans="1:8" x14ac:dyDescent="0.25">
      <c r="D242" t="s">
        <v>13</v>
      </c>
      <c r="E242">
        <v>3</v>
      </c>
      <c r="F242">
        <v>19500</v>
      </c>
      <c r="G242">
        <f>3*4500</f>
        <v>13500</v>
      </c>
      <c r="H242">
        <v>6000</v>
      </c>
    </row>
    <row r="243" spans="1:8" x14ac:dyDescent="0.25">
      <c r="D243" t="s">
        <v>14</v>
      </c>
      <c r="E243">
        <v>3</v>
      </c>
      <c r="F243">
        <v>30000</v>
      </c>
      <c r="G243">
        <f>3*5500</f>
        <v>16500</v>
      </c>
      <c r="H243">
        <f>3*4500</f>
        <v>13500</v>
      </c>
    </row>
    <row r="244" spans="1:8" x14ac:dyDescent="0.25">
      <c r="C244" t="s">
        <v>10</v>
      </c>
      <c r="D244" t="s">
        <v>11</v>
      </c>
      <c r="E244">
        <v>4</v>
      </c>
      <c r="F244">
        <v>6000</v>
      </c>
      <c r="G244">
        <v>2000</v>
      </c>
      <c r="H244">
        <v>4000</v>
      </c>
    </row>
    <row r="245" spans="1:8" x14ac:dyDescent="0.25">
      <c r="D245" t="s">
        <v>13</v>
      </c>
      <c r="E245">
        <v>5</v>
      </c>
      <c r="F245">
        <v>32500</v>
      </c>
      <c r="G245">
        <f>5*4500</f>
        <v>22500</v>
      </c>
      <c r="H245">
        <v>10000</v>
      </c>
    </row>
    <row r="246" spans="1:8" x14ac:dyDescent="0.25">
      <c r="D246" t="s">
        <v>14</v>
      </c>
      <c r="E246">
        <v>4</v>
      </c>
      <c r="F246">
        <v>40000</v>
      </c>
      <c r="G246">
        <f>4*5500</f>
        <v>22000</v>
      </c>
      <c r="H246">
        <f>4*4500</f>
        <v>18000</v>
      </c>
    </row>
    <row r="247" spans="1:8" x14ac:dyDescent="0.25">
      <c r="C247" t="s">
        <v>24</v>
      </c>
      <c r="D247" t="s">
        <v>21</v>
      </c>
      <c r="E247">
        <v>1</v>
      </c>
      <c r="F247">
        <v>17000</v>
      </c>
      <c r="G247">
        <v>11000</v>
      </c>
      <c r="H247">
        <v>6000</v>
      </c>
    </row>
    <row r="248" spans="1:8" x14ac:dyDescent="0.25">
      <c r="D248" t="s">
        <v>25</v>
      </c>
      <c r="E248">
        <v>4</v>
      </c>
      <c r="F248">
        <v>60000</v>
      </c>
      <c r="G248">
        <v>40000</v>
      </c>
      <c r="H248">
        <v>20000</v>
      </c>
    </row>
    <row r="249" spans="1:8" x14ac:dyDescent="0.25">
      <c r="A249" s="111" t="s">
        <v>17</v>
      </c>
      <c r="B249" s="111"/>
      <c r="C249" s="111"/>
      <c r="D249" s="111"/>
      <c r="E249" s="111"/>
      <c r="F249" s="1">
        <f>SUM(F240:F248)</f>
        <v>317500</v>
      </c>
      <c r="G249" s="1">
        <f>SUM(G240:G248)</f>
        <v>180000</v>
      </c>
      <c r="H249" s="1">
        <f>SUM(H240:H248)</f>
        <v>137500</v>
      </c>
    </row>
    <row r="250" spans="1:8" x14ac:dyDescent="0.25">
      <c r="A250" t="s">
        <v>22</v>
      </c>
      <c r="B250" t="s">
        <v>66</v>
      </c>
      <c r="C250" t="s">
        <v>16</v>
      </c>
      <c r="D250" t="s">
        <v>11</v>
      </c>
      <c r="E250">
        <v>18</v>
      </c>
      <c r="F250">
        <v>27000</v>
      </c>
      <c r="G250">
        <f>18*500</f>
        <v>9000</v>
      </c>
      <c r="H250">
        <v>18000</v>
      </c>
    </row>
    <row r="251" spans="1:8" x14ac:dyDescent="0.25">
      <c r="D251" t="s">
        <v>12</v>
      </c>
      <c r="E251">
        <v>5</v>
      </c>
      <c r="F251">
        <v>15000</v>
      </c>
      <c r="G251">
        <v>10000</v>
      </c>
      <c r="H251">
        <v>5000</v>
      </c>
    </row>
    <row r="252" spans="1:8" x14ac:dyDescent="0.25">
      <c r="C252" t="s">
        <v>10</v>
      </c>
      <c r="D252" t="s">
        <v>11</v>
      </c>
      <c r="E252">
        <v>5</v>
      </c>
      <c r="F252">
        <v>7500</v>
      </c>
      <c r="G252">
        <v>2500</v>
      </c>
      <c r="H252">
        <v>5000</v>
      </c>
    </row>
    <row r="253" spans="1:8" x14ac:dyDescent="0.25">
      <c r="D253" t="s">
        <v>13</v>
      </c>
      <c r="E253">
        <v>6</v>
      </c>
      <c r="F253">
        <v>39000</v>
      </c>
      <c r="G253">
        <f>6*4500</f>
        <v>27000</v>
      </c>
      <c r="H253">
        <v>12000</v>
      </c>
    </row>
    <row r="254" spans="1:8" x14ac:dyDescent="0.25">
      <c r="D254" t="s">
        <v>14</v>
      </c>
      <c r="E254">
        <v>3</v>
      </c>
      <c r="F254">
        <v>30000</v>
      </c>
      <c r="G254">
        <f>3*5500</f>
        <v>16500</v>
      </c>
      <c r="H254">
        <f>3*4500</f>
        <v>13500</v>
      </c>
    </row>
    <row r="255" spans="1:8" x14ac:dyDescent="0.25">
      <c r="C255" t="s">
        <v>67</v>
      </c>
      <c r="D255" t="s">
        <v>25</v>
      </c>
      <c r="E255">
        <v>4</v>
      </c>
      <c r="F255">
        <v>50000</v>
      </c>
      <c r="G255">
        <v>40000</v>
      </c>
      <c r="H255">
        <v>10000</v>
      </c>
    </row>
    <row r="256" spans="1:8" x14ac:dyDescent="0.25">
      <c r="A256" s="111" t="s">
        <v>17</v>
      </c>
      <c r="B256" s="111"/>
      <c r="C256" s="111"/>
      <c r="D256" s="111"/>
      <c r="E256" s="111"/>
      <c r="F256" s="1">
        <f>SUM(F250:F255)</f>
        <v>168500</v>
      </c>
      <c r="G256" s="1">
        <f>SUM(G250:G255)</f>
        <v>105000</v>
      </c>
      <c r="H256" s="1">
        <f>SUM(H250:H255)</f>
        <v>63500</v>
      </c>
    </row>
    <row r="257" spans="1:13" x14ac:dyDescent="0.25">
      <c r="A257" t="s">
        <v>26</v>
      </c>
      <c r="B257" t="s">
        <v>68</v>
      </c>
      <c r="C257" t="s">
        <v>20</v>
      </c>
      <c r="D257" t="s">
        <v>14</v>
      </c>
      <c r="E257">
        <v>10</v>
      </c>
      <c r="F257">
        <v>100000</v>
      </c>
      <c r="G257">
        <f>10*5500</f>
        <v>55000</v>
      </c>
      <c r="H257">
        <v>45000</v>
      </c>
    </row>
    <row r="258" spans="1:13" x14ac:dyDescent="0.25">
      <c r="C258" t="s">
        <v>24</v>
      </c>
      <c r="D258" t="s">
        <v>11</v>
      </c>
      <c r="E258">
        <v>25</v>
      </c>
      <c r="F258">
        <v>50000</v>
      </c>
      <c r="G258">
        <f>25*500</f>
        <v>12500</v>
      </c>
      <c r="H258">
        <f>25*1500</f>
        <v>37500</v>
      </c>
    </row>
    <row r="259" spans="1:13" x14ac:dyDescent="0.25">
      <c r="D259" t="s">
        <v>25</v>
      </c>
      <c r="E259">
        <v>1</v>
      </c>
      <c r="F259">
        <v>15000</v>
      </c>
      <c r="G259">
        <v>10000</v>
      </c>
      <c r="H259">
        <v>5000</v>
      </c>
    </row>
    <row r="260" spans="1:13" x14ac:dyDescent="0.25">
      <c r="C260" t="s">
        <v>16</v>
      </c>
      <c r="D260" t="s">
        <v>11</v>
      </c>
      <c r="E260">
        <v>41</v>
      </c>
      <c r="F260">
        <v>61500</v>
      </c>
      <c r="G260">
        <f>41*500</f>
        <v>20500</v>
      </c>
      <c r="H260">
        <v>41000</v>
      </c>
    </row>
    <row r="261" spans="1:13" x14ac:dyDescent="0.25">
      <c r="D261" t="s">
        <v>12</v>
      </c>
      <c r="E261">
        <v>9</v>
      </c>
      <c r="F261">
        <v>27000</v>
      </c>
      <c r="G261">
        <v>18000</v>
      </c>
      <c r="H261">
        <v>9000</v>
      </c>
    </row>
    <row r="262" spans="1:13" x14ac:dyDescent="0.25">
      <c r="D262" t="s">
        <v>13</v>
      </c>
      <c r="E262">
        <v>2</v>
      </c>
      <c r="F262">
        <v>13000</v>
      </c>
      <c r="G262">
        <v>9000</v>
      </c>
      <c r="H262">
        <v>4000</v>
      </c>
    </row>
    <row r="263" spans="1:13" x14ac:dyDescent="0.25">
      <c r="D263" t="s">
        <v>14</v>
      </c>
      <c r="E263">
        <v>2</v>
      </c>
      <c r="F263">
        <v>20000</v>
      </c>
      <c r="G263">
        <v>11000</v>
      </c>
      <c r="H263">
        <v>9000</v>
      </c>
    </row>
    <row r="264" spans="1:13" x14ac:dyDescent="0.25">
      <c r="C264" t="s">
        <v>10</v>
      </c>
      <c r="D264" t="s">
        <v>13</v>
      </c>
      <c r="E264">
        <v>25</v>
      </c>
      <c r="F264">
        <v>162500</v>
      </c>
      <c r="G264">
        <f>25*4500</f>
        <v>112500</v>
      </c>
      <c r="H264">
        <f>25*2000</f>
        <v>50000</v>
      </c>
    </row>
    <row r="265" spans="1:13" x14ac:dyDescent="0.25">
      <c r="D265" t="s">
        <v>14</v>
      </c>
      <c r="E265">
        <v>23</v>
      </c>
      <c r="F265">
        <v>184000</v>
      </c>
      <c r="G265">
        <f>23*5500</f>
        <v>126500</v>
      </c>
      <c r="H265">
        <f>23*2500</f>
        <v>57500</v>
      </c>
      <c r="I265" s="111"/>
      <c r="J265" s="111"/>
      <c r="K265" s="111"/>
      <c r="L265" s="111"/>
      <c r="M265" s="111"/>
    </row>
    <row r="266" spans="1:13" x14ac:dyDescent="0.25">
      <c r="A266" s="111" t="s">
        <v>17</v>
      </c>
      <c r="B266" s="111"/>
      <c r="C266" s="111"/>
      <c r="D266" s="111"/>
      <c r="E266" s="111"/>
      <c r="F266" s="1">
        <f>SUM(F257:F265)</f>
        <v>633000</v>
      </c>
      <c r="G266" s="1">
        <f>SUM(G257:G265)</f>
        <v>375000</v>
      </c>
      <c r="H266" s="1">
        <f>SUM(H257:H265)</f>
        <v>258000</v>
      </c>
    </row>
    <row r="267" spans="1:13" x14ac:dyDescent="0.25">
      <c r="A267" t="s">
        <v>28</v>
      </c>
      <c r="B267" t="s">
        <v>69</v>
      </c>
      <c r="C267" t="s">
        <v>16</v>
      </c>
      <c r="D267" t="s">
        <v>11</v>
      </c>
      <c r="E267">
        <v>39</v>
      </c>
      <c r="F267">
        <v>58500</v>
      </c>
      <c r="G267">
        <f>39*500</f>
        <v>19500</v>
      </c>
      <c r="H267">
        <v>39000</v>
      </c>
    </row>
    <row r="268" spans="1:13" x14ac:dyDescent="0.25">
      <c r="D268" t="s">
        <v>12</v>
      </c>
      <c r="E268">
        <v>3</v>
      </c>
      <c r="F268">
        <v>9000</v>
      </c>
      <c r="G268">
        <v>6000</v>
      </c>
      <c r="H268">
        <v>3000</v>
      </c>
    </row>
    <row r="269" spans="1:13" x14ac:dyDescent="0.25">
      <c r="D269" t="s">
        <v>13</v>
      </c>
      <c r="E269">
        <v>1</v>
      </c>
      <c r="F269">
        <v>6500</v>
      </c>
      <c r="G269">
        <v>4500</v>
      </c>
      <c r="H269">
        <v>2000</v>
      </c>
    </row>
    <row r="270" spans="1:13" x14ac:dyDescent="0.25">
      <c r="D270" t="s">
        <v>14</v>
      </c>
      <c r="E270">
        <v>1</v>
      </c>
      <c r="F270">
        <v>10000</v>
      </c>
      <c r="G270">
        <v>5500</v>
      </c>
      <c r="H270">
        <v>4500</v>
      </c>
    </row>
    <row r="271" spans="1:13" x14ac:dyDescent="0.25">
      <c r="C271" t="s">
        <v>20</v>
      </c>
      <c r="D271" t="s">
        <v>13</v>
      </c>
      <c r="E271">
        <v>2</v>
      </c>
      <c r="F271">
        <v>13000</v>
      </c>
      <c r="G271">
        <v>9000</v>
      </c>
      <c r="H271">
        <v>4000</v>
      </c>
    </row>
    <row r="272" spans="1:13" x14ac:dyDescent="0.25">
      <c r="D272" t="s">
        <v>14</v>
      </c>
      <c r="E272">
        <v>28</v>
      </c>
      <c r="F272">
        <v>280000</v>
      </c>
      <c r="G272">
        <f>28*5500</f>
        <v>154000</v>
      </c>
      <c r="H272">
        <f>28*4500</f>
        <v>126000</v>
      </c>
    </row>
    <row r="273" spans="1:8" x14ac:dyDescent="0.25">
      <c r="C273" t="s">
        <v>10</v>
      </c>
      <c r="D273" t="s">
        <v>13</v>
      </c>
      <c r="E273">
        <v>18</v>
      </c>
      <c r="F273">
        <v>117000</v>
      </c>
      <c r="G273">
        <f>18*4500</f>
        <v>81000</v>
      </c>
      <c r="H273">
        <f>18*2000</f>
        <v>36000</v>
      </c>
    </row>
    <row r="274" spans="1:8" x14ac:dyDescent="0.25">
      <c r="D274" t="s">
        <v>14</v>
      </c>
      <c r="E274">
        <v>14</v>
      </c>
      <c r="F274">
        <v>112000</v>
      </c>
      <c r="G274">
        <f>14*5500</f>
        <v>77000</v>
      </c>
      <c r="H274">
        <f>14*2500</f>
        <v>35000</v>
      </c>
    </row>
    <row r="275" spans="1:8" x14ac:dyDescent="0.25">
      <c r="C275" t="s">
        <v>15</v>
      </c>
      <c r="D275" t="s">
        <v>13</v>
      </c>
      <c r="E275">
        <v>9</v>
      </c>
      <c r="F275">
        <v>58500</v>
      </c>
      <c r="G275">
        <f>9*4500</f>
        <v>40500</v>
      </c>
      <c r="H275">
        <v>18000</v>
      </c>
    </row>
    <row r="276" spans="1:8" x14ac:dyDescent="0.25">
      <c r="D276" t="s">
        <v>14</v>
      </c>
      <c r="E276">
        <v>2</v>
      </c>
      <c r="F276">
        <v>20000</v>
      </c>
      <c r="G276">
        <v>11000</v>
      </c>
      <c r="H276">
        <v>9000</v>
      </c>
    </row>
    <row r="277" spans="1:8" x14ac:dyDescent="0.25">
      <c r="D277" t="s">
        <v>14</v>
      </c>
      <c r="E277">
        <v>5</v>
      </c>
      <c r="F277">
        <v>40000</v>
      </c>
      <c r="G277">
        <f>5*5500</f>
        <v>27500</v>
      </c>
      <c r="H277">
        <v>12500</v>
      </c>
    </row>
    <row r="278" spans="1:8" x14ac:dyDescent="0.25">
      <c r="C278" t="s">
        <v>24</v>
      </c>
      <c r="D278" t="s">
        <v>25</v>
      </c>
      <c r="E278">
        <v>1</v>
      </c>
      <c r="F278">
        <v>15000</v>
      </c>
      <c r="G278">
        <v>10000</v>
      </c>
      <c r="H278">
        <v>5000</v>
      </c>
    </row>
    <row r="279" spans="1:8" x14ac:dyDescent="0.25">
      <c r="A279" s="111" t="s">
        <v>17</v>
      </c>
      <c r="B279" s="111"/>
      <c r="C279" s="111"/>
      <c r="D279" s="111"/>
      <c r="E279" s="111"/>
      <c r="F279" s="1">
        <f>SUM(F267:F278)</f>
        <v>739500</v>
      </c>
      <c r="G279" s="1">
        <f>SUM(G267:G278)</f>
        <v>445500</v>
      </c>
      <c r="H279" s="1">
        <f>SUM(H267:H278)</f>
        <v>294000</v>
      </c>
    </row>
    <row r="280" spans="1:8" x14ac:dyDescent="0.25">
      <c r="A280" t="s">
        <v>30</v>
      </c>
      <c r="B280" t="s">
        <v>70</v>
      </c>
      <c r="C280" t="s">
        <v>16</v>
      </c>
      <c r="D280" t="s">
        <v>11</v>
      </c>
      <c r="E280">
        <v>24</v>
      </c>
      <c r="F280">
        <v>36000</v>
      </c>
      <c r="G280">
        <f>24*500</f>
        <v>12000</v>
      </c>
      <c r="H280">
        <v>24000</v>
      </c>
    </row>
    <row r="281" spans="1:8" x14ac:dyDescent="0.25">
      <c r="D281" t="s">
        <v>12</v>
      </c>
      <c r="E281">
        <v>3</v>
      </c>
      <c r="F281">
        <v>9000</v>
      </c>
      <c r="G281">
        <v>6000</v>
      </c>
      <c r="H281">
        <v>3000</v>
      </c>
    </row>
    <row r="282" spans="1:8" x14ac:dyDescent="0.25">
      <c r="D282" t="s">
        <v>13</v>
      </c>
      <c r="E282">
        <v>1</v>
      </c>
      <c r="F282">
        <v>6500</v>
      </c>
      <c r="G282">
        <v>4500</v>
      </c>
      <c r="H282">
        <v>2000</v>
      </c>
    </row>
    <row r="283" spans="1:8" x14ac:dyDescent="0.25">
      <c r="D283" t="s">
        <v>14</v>
      </c>
      <c r="E283">
        <v>1</v>
      </c>
      <c r="F283">
        <v>10000</v>
      </c>
      <c r="G283">
        <v>5500</v>
      </c>
      <c r="H283">
        <v>4500</v>
      </c>
    </row>
    <row r="284" spans="1:8" x14ac:dyDescent="0.25">
      <c r="C284" t="s">
        <v>10</v>
      </c>
      <c r="D284" t="s">
        <v>13</v>
      </c>
      <c r="E284">
        <v>12</v>
      </c>
      <c r="F284">
        <v>78000</v>
      </c>
      <c r="G284">
        <f>12*4500</f>
        <v>54000</v>
      </c>
      <c r="H284">
        <v>24000</v>
      </c>
    </row>
    <row r="285" spans="1:8" x14ac:dyDescent="0.25">
      <c r="D285" t="s">
        <v>14</v>
      </c>
      <c r="E285">
        <v>11</v>
      </c>
      <c r="F285">
        <v>88000</v>
      </c>
      <c r="G285">
        <f>11*5500</f>
        <v>60500</v>
      </c>
      <c r="H285">
        <f>11*2500</f>
        <v>27500</v>
      </c>
    </row>
    <row r="286" spans="1:8" x14ac:dyDescent="0.25">
      <c r="C286" t="s">
        <v>24</v>
      </c>
      <c r="D286" t="s">
        <v>25</v>
      </c>
      <c r="E286">
        <v>2</v>
      </c>
      <c r="F286">
        <v>26000</v>
      </c>
      <c r="G286">
        <v>20000</v>
      </c>
      <c r="H286">
        <v>6000</v>
      </c>
    </row>
    <row r="287" spans="1:8" x14ac:dyDescent="0.25">
      <c r="A287" s="111" t="s">
        <v>17</v>
      </c>
      <c r="B287" s="111"/>
      <c r="C287" s="111"/>
      <c r="D287" s="111"/>
      <c r="E287" s="111"/>
      <c r="F287" s="1">
        <f>SUM(F280:F286)</f>
        <v>253500</v>
      </c>
      <c r="G287" s="1">
        <f>SUM(G280:G286)</f>
        <v>162500</v>
      </c>
      <c r="H287" s="1">
        <f>SUM(H280:H286)</f>
        <v>91000</v>
      </c>
    </row>
    <row r="288" spans="1:8" x14ac:dyDescent="0.25">
      <c r="A288" t="s">
        <v>32</v>
      </c>
      <c r="B288" t="s">
        <v>71</v>
      </c>
      <c r="C288" t="s">
        <v>16</v>
      </c>
      <c r="D288" t="s">
        <v>11</v>
      </c>
      <c r="E288">
        <v>25</v>
      </c>
      <c r="F288">
        <v>37500</v>
      </c>
      <c r="G288">
        <f>25*500</f>
        <v>12500</v>
      </c>
      <c r="H288">
        <v>25000</v>
      </c>
    </row>
    <row r="289" spans="1:8" x14ac:dyDescent="0.25">
      <c r="D289" t="s">
        <v>12</v>
      </c>
      <c r="E289">
        <v>1</v>
      </c>
      <c r="F289">
        <v>3000</v>
      </c>
      <c r="G289">
        <v>2000</v>
      </c>
      <c r="H289">
        <v>1000</v>
      </c>
    </row>
    <row r="290" spans="1:8" x14ac:dyDescent="0.25">
      <c r="C290" t="s">
        <v>10</v>
      </c>
      <c r="D290" t="s">
        <v>11</v>
      </c>
      <c r="E290">
        <v>12</v>
      </c>
      <c r="F290">
        <v>18000</v>
      </c>
      <c r="G290">
        <f>12*500</f>
        <v>6000</v>
      </c>
      <c r="H290">
        <v>12000</v>
      </c>
    </row>
    <row r="291" spans="1:8" x14ac:dyDescent="0.25">
      <c r="D291" t="s">
        <v>13</v>
      </c>
      <c r="E291">
        <v>15</v>
      </c>
      <c r="F291">
        <v>97500</v>
      </c>
      <c r="G291">
        <f>15*4500</f>
        <v>67500</v>
      </c>
      <c r="H291">
        <f>15*2000</f>
        <v>30000</v>
      </c>
    </row>
    <row r="292" spans="1:8" x14ac:dyDescent="0.25">
      <c r="D292" t="s">
        <v>14</v>
      </c>
      <c r="E292">
        <v>5</v>
      </c>
      <c r="F292">
        <v>50000</v>
      </c>
      <c r="G292">
        <f>5*5500</f>
        <v>27500</v>
      </c>
      <c r="H292">
        <f>5*4500</f>
        <v>22500</v>
      </c>
    </row>
    <row r="293" spans="1:8" x14ac:dyDescent="0.25">
      <c r="C293" t="s">
        <v>72</v>
      </c>
      <c r="D293" t="s">
        <v>21</v>
      </c>
      <c r="E293">
        <v>3</v>
      </c>
      <c r="F293">
        <v>45000</v>
      </c>
      <c r="G293">
        <v>33000</v>
      </c>
      <c r="H293">
        <v>12000</v>
      </c>
    </row>
    <row r="294" spans="1:8" x14ac:dyDescent="0.25">
      <c r="C294" t="s">
        <v>48</v>
      </c>
      <c r="D294" t="s">
        <v>13</v>
      </c>
      <c r="E294">
        <v>5</v>
      </c>
      <c r="F294">
        <f>5*6500</f>
        <v>32500</v>
      </c>
      <c r="G294">
        <f>5*4500</f>
        <v>22500</v>
      </c>
      <c r="H294">
        <v>10000</v>
      </c>
    </row>
    <row r="295" spans="1:8" x14ac:dyDescent="0.25">
      <c r="C295" t="s">
        <v>63</v>
      </c>
      <c r="D295" t="s">
        <v>21</v>
      </c>
      <c r="E295">
        <v>1</v>
      </c>
      <c r="F295">
        <v>17000</v>
      </c>
      <c r="G295">
        <v>11000</v>
      </c>
      <c r="H295">
        <v>6000</v>
      </c>
    </row>
    <row r="296" spans="1:8" x14ac:dyDescent="0.25">
      <c r="A296" s="111" t="s">
        <v>17</v>
      </c>
      <c r="B296" s="111"/>
      <c r="C296" s="111"/>
      <c r="D296" s="111"/>
      <c r="E296" s="111"/>
      <c r="F296" s="1">
        <f>SUM(F288:F295)</f>
        <v>300500</v>
      </c>
      <c r="G296" s="1">
        <f>SUM(G288:G295)</f>
        <v>182000</v>
      </c>
      <c r="H296" s="1">
        <f>SUM(H288:H295)</f>
        <v>118500</v>
      </c>
    </row>
    <row r="297" spans="1:8" x14ac:dyDescent="0.25">
      <c r="A297" t="s">
        <v>8</v>
      </c>
      <c r="B297" s="3" t="s">
        <v>73</v>
      </c>
      <c r="C297" t="s">
        <v>10</v>
      </c>
      <c r="D297" t="s">
        <v>13</v>
      </c>
      <c r="E297">
        <v>6</v>
      </c>
      <c r="F297">
        <v>39000</v>
      </c>
      <c r="G297">
        <f>6*4500</f>
        <v>27000</v>
      </c>
      <c r="H297">
        <v>12000</v>
      </c>
    </row>
    <row r="298" spans="1:8" x14ac:dyDescent="0.25">
      <c r="D298" t="s">
        <v>14</v>
      </c>
      <c r="E298">
        <v>2</v>
      </c>
      <c r="F298">
        <v>20000</v>
      </c>
      <c r="G298">
        <v>11000</v>
      </c>
      <c r="H298">
        <v>9000</v>
      </c>
    </row>
    <row r="299" spans="1:8" x14ac:dyDescent="0.25">
      <c r="C299" t="s">
        <v>16</v>
      </c>
      <c r="D299" t="s">
        <v>11</v>
      </c>
      <c r="E299">
        <v>21</v>
      </c>
      <c r="F299">
        <v>31500</v>
      </c>
      <c r="G299">
        <f>21*500</f>
        <v>10500</v>
      </c>
      <c r="H299">
        <v>21000</v>
      </c>
    </row>
    <row r="300" spans="1:8" x14ac:dyDescent="0.25">
      <c r="A300" s="111" t="s">
        <v>17</v>
      </c>
      <c r="B300" s="111"/>
      <c r="C300" s="111"/>
      <c r="D300" s="111"/>
      <c r="E300" s="111"/>
      <c r="F300" s="1">
        <f>SUM(F297:F299)</f>
        <v>90500</v>
      </c>
      <c r="G300" s="1">
        <f>SUM(G297:G299)</f>
        <v>48500</v>
      </c>
      <c r="H300" s="1">
        <f>SUM(H297:H299)</f>
        <v>42000</v>
      </c>
    </row>
    <row r="301" spans="1:8" x14ac:dyDescent="0.25">
      <c r="A301" t="s">
        <v>18</v>
      </c>
      <c r="B301" t="s">
        <v>74</v>
      </c>
      <c r="C301" t="s">
        <v>75</v>
      </c>
    </row>
    <row r="302" spans="1:8" x14ac:dyDescent="0.25">
      <c r="A302" t="s">
        <v>22</v>
      </c>
      <c r="B302" t="s">
        <v>76</v>
      </c>
      <c r="C302" t="s">
        <v>10</v>
      </c>
      <c r="D302" t="s">
        <v>13</v>
      </c>
      <c r="E302">
        <v>6</v>
      </c>
      <c r="F302">
        <v>39000</v>
      </c>
      <c r="G302">
        <f>6*4500</f>
        <v>27000</v>
      </c>
      <c r="H302">
        <v>12000</v>
      </c>
    </row>
    <row r="303" spans="1:8" x14ac:dyDescent="0.25">
      <c r="D303" t="s">
        <v>14</v>
      </c>
      <c r="E303">
        <v>2</v>
      </c>
      <c r="F303">
        <v>20000</v>
      </c>
      <c r="G303">
        <v>11000</v>
      </c>
      <c r="H303">
        <v>9000</v>
      </c>
    </row>
    <row r="304" spans="1:8" x14ac:dyDescent="0.25">
      <c r="C304" t="s">
        <v>16</v>
      </c>
      <c r="D304" t="s">
        <v>11</v>
      </c>
      <c r="E304">
        <v>54</v>
      </c>
      <c r="F304">
        <v>81000</v>
      </c>
      <c r="G304">
        <f>54*500</f>
        <v>27000</v>
      </c>
      <c r="H304">
        <v>54000</v>
      </c>
    </row>
    <row r="305" spans="1:8" x14ac:dyDescent="0.25">
      <c r="D305" t="s">
        <v>12</v>
      </c>
      <c r="E305">
        <v>10</v>
      </c>
      <c r="F305">
        <v>30000</v>
      </c>
      <c r="G305">
        <v>20000</v>
      </c>
      <c r="H305">
        <v>10000</v>
      </c>
    </row>
    <row r="306" spans="1:8" x14ac:dyDescent="0.25">
      <c r="D306" t="s">
        <v>13</v>
      </c>
      <c r="E306">
        <v>2</v>
      </c>
      <c r="F306">
        <v>13000</v>
      </c>
      <c r="G306">
        <v>9000</v>
      </c>
      <c r="H306">
        <v>4000</v>
      </c>
    </row>
    <row r="307" spans="1:8" x14ac:dyDescent="0.25">
      <c r="D307" t="s">
        <v>14</v>
      </c>
      <c r="E307">
        <v>1</v>
      </c>
      <c r="F307">
        <v>10000</v>
      </c>
      <c r="G307">
        <v>5500</v>
      </c>
      <c r="H307">
        <v>4500</v>
      </c>
    </row>
    <row r="308" spans="1:8" x14ac:dyDescent="0.25">
      <c r="A308" s="111" t="s">
        <v>17</v>
      </c>
      <c r="B308" s="111"/>
      <c r="C308" s="111"/>
      <c r="D308" s="111"/>
      <c r="E308" s="111"/>
      <c r="F308" s="1">
        <f>SUM(F302:F307)</f>
        <v>193000</v>
      </c>
      <c r="G308" s="1">
        <f>SUM(G302:G307)</f>
        <v>99500</v>
      </c>
      <c r="H308" s="1">
        <f>SUM(H302:H307)</f>
        <v>93500</v>
      </c>
    </row>
    <row r="360" spans="10:14" x14ac:dyDescent="0.25">
      <c r="J360" s="111" t="s">
        <v>17</v>
      </c>
      <c r="K360" s="111"/>
      <c r="L360" s="111"/>
      <c r="M360" s="111"/>
      <c r="N360" s="111"/>
    </row>
  </sheetData>
  <mergeCells count="31">
    <mergeCell ref="A210:E210"/>
    <mergeCell ref="A196:E196"/>
    <mergeCell ref="A185:E185"/>
    <mergeCell ref="A249:E249"/>
    <mergeCell ref="A239:E239"/>
    <mergeCell ref="A219:E219"/>
    <mergeCell ref="A231:E231"/>
    <mergeCell ref="A125:E125"/>
    <mergeCell ref="A119:E119"/>
    <mergeCell ref="A94:E94"/>
    <mergeCell ref="A86:E86"/>
    <mergeCell ref="A175:E175"/>
    <mergeCell ref="A163:E163"/>
    <mergeCell ref="A150:E150"/>
    <mergeCell ref="A141:E141"/>
    <mergeCell ref="A132:E132"/>
    <mergeCell ref="A76:E76"/>
    <mergeCell ref="A7:E7"/>
    <mergeCell ref="A21:E21"/>
    <mergeCell ref="A32:E32"/>
    <mergeCell ref="A42:E42"/>
    <mergeCell ref="A57:E57"/>
    <mergeCell ref="A287:E287"/>
    <mergeCell ref="A279:E279"/>
    <mergeCell ref="A256:E256"/>
    <mergeCell ref="A266:E266"/>
    <mergeCell ref="J360:N360"/>
    <mergeCell ref="I265:M265"/>
    <mergeCell ref="A308:E308"/>
    <mergeCell ref="A300:E300"/>
    <mergeCell ref="A296:E29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3"/>
  <sheetViews>
    <sheetView topLeftCell="A2" workbookViewId="0">
      <selection activeCell="A2" sqref="A1:H364"/>
    </sheetView>
  </sheetViews>
  <sheetFormatPr defaultRowHeight="15" x14ac:dyDescent="0.25"/>
  <cols>
    <col min="1" max="1" width="8.5703125" bestFit="1" customWidth="1"/>
    <col min="2" max="2" width="9.7109375" bestFit="1" customWidth="1"/>
    <col min="3" max="3" width="17.28515625" bestFit="1" customWidth="1"/>
    <col min="6" max="6" width="14.28515625" bestFit="1" customWidth="1"/>
    <col min="7" max="7" width="11.28515625" customWidth="1"/>
    <col min="8" max="8" width="11.42578125" customWidth="1"/>
    <col min="12" max="12" width="14.28515625" bestFit="1" customWidth="1"/>
  </cols>
  <sheetData>
    <row r="1" spans="1:12" ht="23.25" x14ac:dyDescent="0.35">
      <c r="A1" s="116">
        <v>2022</v>
      </c>
      <c r="B1" s="116"/>
      <c r="C1" s="116"/>
      <c r="D1" s="116"/>
      <c r="E1" s="116"/>
      <c r="F1" s="116"/>
      <c r="G1" s="116"/>
      <c r="H1" s="116"/>
    </row>
    <row r="2" spans="1:1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12" x14ac:dyDescent="0.25">
      <c r="A3" t="s">
        <v>26</v>
      </c>
      <c r="B3" s="3">
        <v>44562</v>
      </c>
      <c r="C3" t="s">
        <v>16</v>
      </c>
      <c r="D3" t="s">
        <v>11</v>
      </c>
      <c r="E3">
        <v>45</v>
      </c>
      <c r="F3">
        <v>67500</v>
      </c>
      <c r="G3">
        <f>45*500</f>
        <v>22500</v>
      </c>
      <c r="H3">
        <v>45000</v>
      </c>
    </row>
    <row r="4" spans="1:12" x14ac:dyDescent="0.25">
      <c r="D4" t="s">
        <v>12</v>
      </c>
      <c r="E4">
        <v>9</v>
      </c>
      <c r="F4">
        <v>27000</v>
      </c>
      <c r="G4">
        <f>9*2000</f>
        <v>18000</v>
      </c>
      <c r="H4">
        <v>9000</v>
      </c>
      <c r="K4" t="s">
        <v>45</v>
      </c>
      <c r="L4" s="4">
        <f>F9+F19+F27+F34+F44+F54+F62+F78+F89+F103+F113+F130+F142+F153+F162+F180+F188+F196+F207+F216+F231+F243+F259+F266+F275+F287+F299+F309+F320+F333+F340+F351</f>
        <v>15645500</v>
      </c>
    </row>
    <row r="5" spans="1:12" x14ac:dyDescent="0.25">
      <c r="D5" t="s">
        <v>13</v>
      </c>
      <c r="E5">
        <v>1</v>
      </c>
      <c r="F5">
        <v>6500</v>
      </c>
      <c r="G5">
        <v>4500</v>
      </c>
      <c r="H5">
        <v>2000</v>
      </c>
      <c r="K5" t="s">
        <v>6</v>
      </c>
    </row>
    <row r="6" spans="1:12" x14ac:dyDescent="0.25">
      <c r="C6" t="s">
        <v>10</v>
      </c>
      <c r="D6" t="s">
        <v>13</v>
      </c>
      <c r="E6">
        <v>1</v>
      </c>
      <c r="F6">
        <v>6500</v>
      </c>
      <c r="G6">
        <v>4500</v>
      </c>
      <c r="H6">
        <v>2000</v>
      </c>
      <c r="K6" t="s">
        <v>7</v>
      </c>
    </row>
    <row r="7" spans="1:12" x14ac:dyDescent="0.25">
      <c r="D7" t="s">
        <v>14</v>
      </c>
      <c r="E7">
        <v>3</v>
      </c>
      <c r="F7">
        <v>30000</v>
      </c>
      <c r="G7">
        <f>3*5500</f>
        <v>16500</v>
      </c>
      <c r="H7">
        <f>3*4500</f>
        <v>13500</v>
      </c>
    </row>
    <row r="8" spans="1:12" x14ac:dyDescent="0.25">
      <c r="D8" t="s">
        <v>14</v>
      </c>
      <c r="E8">
        <v>2</v>
      </c>
      <c r="F8">
        <v>16000</v>
      </c>
      <c r="G8">
        <f>2*5500</f>
        <v>11000</v>
      </c>
      <c r="H8">
        <v>5000</v>
      </c>
    </row>
    <row r="9" spans="1:12" x14ac:dyDescent="0.25">
      <c r="A9" s="111" t="s">
        <v>17</v>
      </c>
      <c r="B9" s="111"/>
      <c r="C9" s="111"/>
      <c r="D9" s="111"/>
      <c r="E9" s="111"/>
      <c r="F9" s="1">
        <f>SUM(F3:F8)</f>
        <v>153500</v>
      </c>
      <c r="G9" s="1">
        <f>SUM(G3:G8)</f>
        <v>77000</v>
      </c>
      <c r="H9" s="1">
        <f>SUM(H3:H8)</f>
        <v>76500</v>
      </c>
    </row>
    <row r="10" spans="1:12" x14ac:dyDescent="0.25">
      <c r="A10" t="s">
        <v>28</v>
      </c>
      <c r="B10" s="3">
        <v>44593</v>
      </c>
      <c r="C10" t="s">
        <v>20</v>
      </c>
      <c r="D10" t="s">
        <v>13</v>
      </c>
      <c r="E10">
        <v>22</v>
      </c>
      <c r="F10">
        <v>143000</v>
      </c>
      <c r="G10">
        <f>22*4500</f>
        <v>99000</v>
      </c>
      <c r="H10">
        <f>22*2000</f>
        <v>44000</v>
      </c>
    </row>
    <row r="11" spans="1:12" x14ac:dyDescent="0.25">
      <c r="D11" t="s">
        <v>14</v>
      </c>
      <c r="E11">
        <v>25</v>
      </c>
      <c r="F11">
        <v>250000</v>
      </c>
      <c r="G11">
        <f>25*5500</f>
        <v>137500</v>
      </c>
      <c r="H11">
        <f>25*4500</f>
        <v>112500</v>
      </c>
    </row>
    <row r="12" spans="1:12" x14ac:dyDescent="0.25">
      <c r="D12" t="s">
        <v>21</v>
      </c>
      <c r="E12">
        <v>2</v>
      </c>
      <c r="F12">
        <v>30000</v>
      </c>
      <c r="G12">
        <v>22000</v>
      </c>
      <c r="H12">
        <v>8000</v>
      </c>
    </row>
    <row r="13" spans="1:12" x14ac:dyDescent="0.25">
      <c r="C13" t="s">
        <v>10</v>
      </c>
      <c r="D13" t="s">
        <v>13</v>
      </c>
      <c r="E13">
        <v>14</v>
      </c>
      <c r="F13">
        <v>91000</v>
      </c>
      <c r="G13">
        <f>14*4500</f>
        <v>63000</v>
      </c>
      <c r="H13">
        <f>14*2000</f>
        <v>28000</v>
      </c>
    </row>
    <row r="14" spans="1:12" x14ac:dyDescent="0.25">
      <c r="D14" t="s">
        <v>14</v>
      </c>
      <c r="E14">
        <v>11</v>
      </c>
      <c r="F14">
        <v>88000</v>
      </c>
      <c r="G14">
        <f>11*5500</f>
        <v>60500</v>
      </c>
      <c r="H14">
        <f>11*2500</f>
        <v>27500</v>
      </c>
    </row>
    <row r="15" spans="1:12" x14ac:dyDescent="0.25">
      <c r="C15" t="s">
        <v>15</v>
      </c>
      <c r="D15" t="s">
        <v>13</v>
      </c>
      <c r="E15">
        <v>4</v>
      </c>
      <c r="F15">
        <v>26000</v>
      </c>
      <c r="G15">
        <f>4*4500</f>
        <v>18000</v>
      </c>
      <c r="H15">
        <v>8000</v>
      </c>
    </row>
    <row r="16" spans="1:12" x14ac:dyDescent="0.25">
      <c r="D16" t="s">
        <v>14</v>
      </c>
      <c r="E16">
        <v>8</v>
      </c>
      <c r="F16">
        <v>64000</v>
      </c>
      <c r="G16">
        <f>8*5500</f>
        <v>44000</v>
      </c>
      <c r="H16">
        <f>8*2500</f>
        <v>20000</v>
      </c>
    </row>
    <row r="17" spans="1:8" x14ac:dyDescent="0.25">
      <c r="C17" t="s">
        <v>72</v>
      </c>
      <c r="D17" t="s">
        <v>21</v>
      </c>
      <c r="E17">
        <v>3</v>
      </c>
      <c r="F17">
        <v>45000</v>
      </c>
      <c r="G17">
        <v>33000</v>
      </c>
      <c r="H17">
        <v>12000</v>
      </c>
    </row>
    <row r="18" spans="1:8" x14ac:dyDescent="0.25">
      <c r="C18" t="s">
        <v>16</v>
      </c>
      <c r="D18" t="s">
        <v>11</v>
      </c>
      <c r="E18">
        <v>12</v>
      </c>
      <c r="F18">
        <f>12*1500</f>
        <v>18000</v>
      </c>
      <c r="G18">
        <f>12*500</f>
        <v>6000</v>
      </c>
      <c r="H18">
        <v>12000</v>
      </c>
    </row>
    <row r="19" spans="1:8" x14ac:dyDescent="0.25">
      <c r="A19" s="111" t="s">
        <v>17</v>
      </c>
      <c r="B19" s="111"/>
      <c r="C19" s="111"/>
      <c r="D19" s="111"/>
      <c r="E19" s="111"/>
      <c r="F19" s="1">
        <f>SUM(F10:F18)</f>
        <v>755000</v>
      </c>
      <c r="G19" s="1">
        <f>SUM(G10:G18)</f>
        <v>483000</v>
      </c>
      <c r="H19" s="1">
        <f>SUM(H10:H18)</f>
        <v>272000</v>
      </c>
    </row>
    <row r="20" spans="1:8" x14ac:dyDescent="0.25">
      <c r="A20" t="s">
        <v>30</v>
      </c>
      <c r="B20" s="3">
        <v>44621</v>
      </c>
      <c r="C20" t="s">
        <v>10</v>
      </c>
      <c r="D20" t="s">
        <v>11</v>
      </c>
      <c r="E20">
        <v>31</v>
      </c>
      <c r="F20">
        <v>46500</v>
      </c>
      <c r="G20">
        <f>31*500</f>
        <v>15500</v>
      </c>
      <c r="H20">
        <v>31000</v>
      </c>
    </row>
    <row r="21" spans="1:8" x14ac:dyDescent="0.25">
      <c r="D21" t="s">
        <v>12</v>
      </c>
      <c r="E21">
        <v>7</v>
      </c>
      <c r="F21">
        <v>21000</v>
      </c>
      <c r="G21">
        <v>14000</v>
      </c>
      <c r="H21">
        <v>7000</v>
      </c>
    </row>
    <row r="22" spans="1:8" x14ac:dyDescent="0.25">
      <c r="D22" t="s">
        <v>13</v>
      </c>
      <c r="E22">
        <v>7</v>
      </c>
      <c r="F22">
        <v>45500</v>
      </c>
      <c r="G22">
        <f>7*4500</f>
        <v>31500</v>
      </c>
      <c r="H22">
        <v>14000</v>
      </c>
    </row>
    <row r="23" spans="1:8" x14ac:dyDescent="0.25">
      <c r="D23" t="s">
        <v>14</v>
      </c>
      <c r="E23">
        <v>3</v>
      </c>
      <c r="F23">
        <v>24000</v>
      </c>
      <c r="G23">
        <f>3*5500</f>
        <v>16500</v>
      </c>
      <c r="H23">
        <f>3*2500</f>
        <v>7500</v>
      </c>
    </row>
    <row r="24" spans="1:8" x14ac:dyDescent="0.25">
      <c r="C24" t="s">
        <v>16</v>
      </c>
      <c r="D24" t="s">
        <v>11</v>
      </c>
      <c r="E24">
        <v>60</v>
      </c>
      <c r="F24">
        <v>90000</v>
      </c>
      <c r="G24">
        <f>60*500</f>
        <v>30000</v>
      </c>
      <c r="H24">
        <v>60000</v>
      </c>
    </row>
    <row r="25" spans="1:8" x14ac:dyDescent="0.25">
      <c r="D25" t="s">
        <v>12</v>
      </c>
      <c r="E25">
        <v>5</v>
      </c>
      <c r="F25">
        <v>15000</v>
      </c>
      <c r="G25">
        <v>10000</v>
      </c>
      <c r="H25">
        <v>5000</v>
      </c>
    </row>
    <row r="26" spans="1:8" x14ac:dyDescent="0.25">
      <c r="D26" t="s">
        <v>14</v>
      </c>
      <c r="E26">
        <v>1</v>
      </c>
      <c r="F26">
        <v>10000</v>
      </c>
      <c r="G26">
        <v>5500</v>
      </c>
      <c r="H26">
        <v>4500</v>
      </c>
    </row>
    <row r="27" spans="1:8" x14ac:dyDescent="0.25">
      <c r="A27" s="111" t="s">
        <v>17</v>
      </c>
      <c r="B27" s="111"/>
      <c r="C27" s="111"/>
      <c r="D27" s="111"/>
      <c r="E27" s="111"/>
      <c r="F27" s="1">
        <f>SUM(F20:F26)</f>
        <v>252000</v>
      </c>
      <c r="G27" s="1">
        <f>SUM(G20:G26)</f>
        <v>123000</v>
      </c>
      <c r="H27" s="1">
        <f>SUM(H20:H26)</f>
        <v>129000</v>
      </c>
    </row>
    <row r="28" spans="1:8" x14ac:dyDescent="0.25">
      <c r="A28" t="s">
        <v>32</v>
      </c>
      <c r="B28" s="3">
        <v>44652</v>
      </c>
      <c r="C28" t="s">
        <v>16</v>
      </c>
      <c r="D28" t="s">
        <v>11</v>
      </c>
      <c r="E28">
        <v>67</v>
      </c>
      <c r="F28">
        <v>100500</v>
      </c>
      <c r="G28">
        <f>67*500</f>
        <v>33500</v>
      </c>
      <c r="H28">
        <v>67000</v>
      </c>
    </row>
    <row r="29" spans="1:8" x14ac:dyDescent="0.25">
      <c r="D29" t="s">
        <v>13</v>
      </c>
      <c r="E29">
        <v>1</v>
      </c>
      <c r="F29">
        <v>6500</v>
      </c>
      <c r="G29">
        <v>4500</v>
      </c>
      <c r="H29">
        <v>2000</v>
      </c>
    </row>
    <row r="30" spans="1:8" x14ac:dyDescent="0.25">
      <c r="C30" t="s">
        <v>48</v>
      </c>
      <c r="D30" t="s">
        <v>13</v>
      </c>
      <c r="E30">
        <v>8</v>
      </c>
      <c r="F30">
        <f>8*6500</f>
        <v>52000</v>
      </c>
      <c r="G30">
        <f>8*4500</f>
        <v>36000</v>
      </c>
      <c r="H30">
        <v>16000</v>
      </c>
    </row>
    <row r="31" spans="1:8" x14ac:dyDescent="0.25">
      <c r="C31" t="s">
        <v>10</v>
      </c>
      <c r="D31" t="s">
        <v>11</v>
      </c>
      <c r="E31">
        <v>20</v>
      </c>
      <c r="F31">
        <v>30000</v>
      </c>
      <c r="G31">
        <f>20*500</f>
        <v>10000</v>
      </c>
      <c r="H31">
        <v>20000</v>
      </c>
    </row>
    <row r="32" spans="1:8" x14ac:dyDescent="0.25">
      <c r="D32" t="s">
        <v>12</v>
      </c>
      <c r="E32">
        <v>5</v>
      </c>
      <c r="F32">
        <v>15000</v>
      </c>
      <c r="G32">
        <v>10000</v>
      </c>
      <c r="H32">
        <v>5000</v>
      </c>
    </row>
    <row r="33" spans="1:8" x14ac:dyDescent="0.25">
      <c r="D33" t="s">
        <v>13</v>
      </c>
      <c r="E33">
        <v>2</v>
      </c>
      <c r="F33">
        <v>13000</v>
      </c>
      <c r="G33">
        <v>9000</v>
      </c>
      <c r="H33">
        <v>4000</v>
      </c>
    </row>
    <row r="34" spans="1:8" x14ac:dyDescent="0.25">
      <c r="A34" s="111" t="s">
        <v>17</v>
      </c>
      <c r="B34" s="111"/>
      <c r="C34" s="111"/>
      <c r="D34" s="111"/>
      <c r="E34" s="111"/>
      <c r="F34" s="1">
        <f>SUM(F28:F33)</f>
        <v>217000</v>
      </c>
      <c r="G34" s="1">
        <f>SUM(G28:G33)</f>
        <v>103000</v>
      </c>
      <c r="H34" s="1">
        <f>SUM(H28:H33)</f>
        <v>114000</v>
      </c>
    </row>
    <row r="35" spans="1:8" x14ac:dyDescent="0.25">
      <c r="A35" t="s">
        <v>8</v>
      </c>
      <c r="B35" s="3">
        <v>44682</v>
      </c>
      <c r="C35" t="s">
        <v>10</v>
      </c>
      <c r="D35" t="s">
        <v>11</v>
      </c>
      <c r="E35">
        <v>19</v>
      </c>
      <c r="F35">
        <v>28500</v>
      </c>
      <c r="G35">
        <f>19*500</f>
        <v>9500</v>
      </c>
      <c r="H35">
        <v>19000</v>
      </c>
    </row>
    <row r="36" spans="1:8" x14ac:dyDescent="0.25">
      <c r="D36" t="s">
        <v>12</v>
      </c>
      <c r="E36">
        <v>4</v>
      </c>
      <c r="F36">
        <v>12000</v>
      </c>
      <c r="G36">
        <v>8000</v>
      </c>
      <c r="H36">
        <v>4000</v>
      </c>
    </row>
    <row r="37" spans="1:8" x14ac:dyDescent="0.25">
      <c r="D37" t="s">
        <v>13</v>
      </c>
      <c r="E37">
        <v>1</v>
      </c>
      <c r="F37">
        <v>6500</v>
      </c>
      <c r="G37">
        <v>4500</v>
      </c>
      <c r="H37">
        <v>2000</v>
      </c>
    </row>
    <row r="38" spans="1:8" x14ac:dyDescent="0.25">
      <c r="C38" t="s">
        <v>16</v>
      </c>
      <c r="D38" t="s">
        <v>11</v>
      </c>
      <c r="E38">
        <v>65</v>
      </c>
      <c r="F38">
        <v>97500</v>
      </c>
      <c r="G38">
        <f>65*500</f>
        <v>32500</v>
      </c>
      <c r="H38">
        <v>65000</v>
      </c>
    </row>
    <row r="39" spans="1:8" x14ac:dyDescent="0.25">
      <c r="D39" t="s">
        <v>12</v>
      </c>
      <c r="E39">
        <v>2</v>
      </c>
      <c r="F39">
        <v>6000</v>
      </c>
      <c r="G39">
        <v>4000</v>
      </c>
      <c r="H39">
        <v>2000</v>
      </c>
    </row>
    <row r="40" spans="1:8" x14ac:dyDescent="0.25">
      <c r="D40" t="s">
        <v>13</v>
      </c>
      <c r="E40">
        <v>1</v>
      </c>
      <c r="F40">
        <v>6500</v>
      </c>
      <c r="G40">
        <v>4500</v>
      </c>
      <c r="H40">
        <v>2000</v>
      </c>
    </row>
    <row r="41" spans="1:8" x14ac:dyDescent="0.25">
      <c r="C41" t="s">
        <v>77</v>
      </c>
      <c r="D41" t="s">
        <v>11</v>
      </c>
      <c r="E41">
        <v>30</v>
      </c>
      <c r="F41">
        <f>30*1500</f>
        <v>45000</v>
      </c>
      <c r="G41">
        <f>30*500</f>
        <v>15000</v>
      </c>
      <c r="H41">
        <v>30000</v>
      </c>
    </row>
    <row r="42" spans="1:8" x14ac:dyDescent="0.25">
      <c r="C42" t="s">
        <v>78</v>
      </c>
      <c r="D42" t="s">
        <v>11</v>
      </c>
      <c r="E42">
        <v>5</v>
      </c>
      <c r="F42">
        <v>7500</v>
      </c>
      <c r="G42">
        <f>5*500</f>
        <v>2500</v>
      </c>
      <c r="H42">
        <v>5000</v>
      </c>
    </row>
    <row r="43" spans="1:8" x14ac:dyDescent="0.25">
      <c r="D43" t="s">
        <v>14</v>
      </c>
      <c r="E43">
        <v>1</v>
      </c>
      <c r="F43">
        <v>10000</v>
      </c>
      <c r="G43">
        <v>5500</v>
      </c>
      <c r="H43">
        <v>4500</v>
      </c>
    </row>
    <row r="44" spans="1:8" x14ac:dyDescent="0.25">
      <c r="A44" s="111" t="s">
        <v>17</v>
      </c>
      <c r="B44" s="111"/>
      <c r="C44" s="111"/>
      <c r="D44" s="111"/>
      <c r="E44" s="111"/>
      <c r="F44" s="1">
        <f>SUM(F35:F43)</f>
        <v>219500</v>
      </c>
      <c r="G44" s="1">
        <f>SUM(G35:G43)</f>
        <v>86000</v>
      </c>
      <c r="H44" s="1">
        <f>SUM(H35:H43)</f>
        <v>133500</v>
      </c>
    </row>
    <row r="45" spans="1:8" x14ac:dyDescent="0.25">
      <c r="A45" t="s">
        <v>18</v>
      </c>
      <c r="B45" s="3">
        <v>44713</v>
      </c>
      <c r="C45" t="s">
        <v>79</v>
      </c>
      <c r="D45" t="s">
        <v>13</v>
      </c>
      <c r="E45">
        <v>18</v>
      </c>
      <c r="F45">
        <f>18*6500</f>
        <v>117000</v>
      </c>
      <c r="G45">
        <f>18*4500</f>
        <v>81000</v>
      </c>
      <c r="H45">
        <f>18*2000</f>
        <v>36000</v>
      </c>
    </row>
    <row r="46" spans="1:8" x14ac:dyDescent="0.25">
      <c r="C46" t="s">
        <v>10</v>
      </c>
      <c r="D46" t="s">
        <v>11</v>
      </c>
      <c r="E46">
        <v>30</v>
      </c>
      <c r="F46">
        <v>45000</v>
      </c>
      <c r="G46">
        <f>30*500</f>
        <v>15000</v>
      </c>
      <c r="H46">
        <v>30000</v>
      </c>
    </row>
    <row r="47" spans="1:8" x14ac:dyDescent="0.25">
      <c r="D47" t="s">
        <v>12</v>
      </c>
      <c r="E47">
        <v>3</v>
      </c>
      <c r="F47">
        <v>9000</v>
      </c>
      <c r="G47">
        <v>6000</v>
      </c>
      <c r="H47">
        <v>3000</v>
      </c>
    </row>
    <row r="48" spans="1:8" x14ac:dyDescent="0.25">
      <c r="D48" t="s">
        <v>13</v>
      </c>
      <c r="E48">
        <v>9</v>
      </c>
      <c r="F48">
        <v>58500</v>
      </c>
      <c r="G48">
        <f>9*4500</f>
        <v>40500</v>
      </c>
      <c r="H48">
        <v>18000</v>
      </c>
    </row>
    <row r="49" spans="1:8" x14ac:dyDescent="0.25">
      <c r="D49" t="s">
        <v>14</v>
      </c>
      <c r="E49">
        <v>4</v>
      </c>
      <c r="F49">
        <v>32000</v>
      </c>
      <c r="G49">
        <f>4*5500</f>
        <v>22000</v>
      </c>
      <c r="H49">
        <v>10000</v>
      </c>
    </row>
    <row r="50" spans="1:8" x14ac:dyDescent="0.25">
      <c r="C50" t="s">
        <v>16</v>
      </c>
      <c r="D50" t="s">
        <v>11</v>
      </c>
      <c r="E50">
        <v>42</v>
      </c>
      <c r="F50">
        <v>63000</v>
      </c>
      <c r="G50">
        <f>42*500</f>
        <v>21000</v>
      </c>
      <c r="H50">
        <v>42000</v>
      </c>
    </row>
    <row r="51" spans="1:8" x14ac:dyDescent="0.25">
      <c r="D51" t="s">
        <v>12</v>
      </c>
      <c r="E51">
        <v>6</v>
      </c>
      <c r="F51">
        <v>18000</v>
      </c>
      <c r="G51">
        <v>12000</v>
      </c>
      <c r="H51">
        <v>6000</v>
      </c>
    </row>
    <row r="52" spans="1:8" x14ac:dyDescent="0.25">
      <c r="D52" t="s">
        <v>13</v>
      </c>
      <c r="E52">
        <v>1</v>
      </c>
      <c r="F52">
        <v>6500</v>
      </c>
      <c r="G52">
        <v>4500</v>
      </c>
      <c r="H52">
        <v>2000</v>
      </c>
    </row>
    <row r="53" spans="1:8" x14ac:dyDescent="0.25">
      <c r="C53" t="s">
        <v>77</v>
      </c>
      <c r="D53" t="s">
        <v>11</v>
      </c>
      <c r="E53">
        <v>49</v>
      </c>
      <c r="F53">
        <f>49*1500</f>
        <v>73500</v>
      </c>
      <c r="G53">
        <f>49*500</f>
        <v>24500</v>
      </c>
      <c r="H53">
        <v>49000</v>
      </c>
    </row>
    <row r="54" spans="1:8" x14ac:dyDescent="0.25">
      <c r="A54" s="111" t="s">
        <v>17</v>
      </c>
      <c r="B54" s="111"/>
      <c r="C54" s="111"/>
      <c r="D54" s="111"/>
      <c r="E54" s="111"/>
      <c r="F54" s="1">
        <f>SUM(F45:F53)</f>
        <v>422500</v>
      </c>
      <c r="G54" s="1">
        <f>SUM(G45:G53)</f>
        <v>226500</v>
      </c>
      <c r="H54" s="1">
        <f>SUM(H45:H53)</f>
        <v>196000</v>
      </c>
    </row>
    <row r="55" spans="1:8" x14ac:dyDescent="0.25">
      <c r="A55" t="s">
        <v>22</v>
      </c>
      <c r="B55" s="3">
        <v>44743</v>
      </c>
      <c r="C55" t="s">
        <v>80</v>
      </c>
      <c r="D55" t="s">
        <v>11</v>
      </c>
      <c r="E55">
        <v>13</v>
      </c>
      <c r="F55">
        <v>19500</v>
      </c>
      <c r="G55">
        <f>13*500</f>
        <v>6500</v>
      </c>
      <c r="H55">
        <v>13000</v>
      </c>
    </row>
    <row r="56" spans="1:8" x14ac:dyDescent="0.25">
      <c r="D56" t="s">
        <v>11</v>
      </c>
      <c r="E56">
        <v>18</v>
      </c>
      <c r="F56">
        <v>27000</v>
      </c>
      <c r="G56">
        <f>18*500</f>
        <v>9000</v>
      </c>
      <c r="H56">
        <v>18000</v>
      </c>
    </row>
    <row r="57" spans="1:8" x14ac:dyDescent="0.25">
      <c r="C57" t="s">
        <v>20</v>
      </c>
      <c r="D57" t="s">
        <v>13</v>
      </c>
      <c r="E57">
        <v>1</v>
      </c>
      <c r="F57">
        <v>6500</v>
      </c>
      <c r="G57">
        <v>4500</v>
      </c>
      <c r="H57">
        <v>2000</v>
      </c>
    </row>
    <row r="58" spans="1:8" x14ac:dyDescent="0.25">
      <c r="D58" t="s">
        <v>14</v>
      </c>
      <c r="E58">
        <v>6</v>
      </c>
      <c r="F58">
        <v>60000</v>
      </c>
      <c r="G58">
        <f>6*5500</f>
        <v>33000</v>
      </c>
      <c r="H58">
        <f>6*4500</f>
        <v>27000</v>
      </c>
    </row>
    <row r="59" spans="1:8" x14ac:dyDescent="0.25">
      <c r="C59" t="s">
        <v>10</v>
      </c>
      <c r="D59" t="s">
        <v>11</v>
      </c>
      <c r="E59">
        <v>12</v>
      </c>
      <c r="F59">
        <f>12*1500</f>
        <v>18000</v>
      </c>
      <c r="G59">
        <f>12*500</f>
        <v>6000</v>
      </c>
      <c r="H59">
        <v>12000</v>
      </c>
    </row>
    <row r="60" spans="1:8" x14ac:dyDescent="0.25">
      <c r="D60" t="s">
        <v>12</v>
      </c>
      <c r="E60">
        <v>3</v>
      </c>
      <c r="F60">
        <v>9000</v>
      </c>
      <c r="G60">
        <v>6000</v>
      </c>
      <c r="H60">
        <v>3000</v>
      </c>
    </row>
    <row r="61" spans="1:8" x14ac:dyDescent="0.25">
      <c r="C61" t="s">
        <v>16</v>
      </c>
      <c r="D61" t="s">
        <v>11</v>
      </c>
      <c r="E61">
        <v>18</v>
      </c>
      <c r="F61">
        <f>18*500</f>
        <v>9000</v>
      </c>
      <c r="G61">
        <v>18000</v>
      </c>
      <c r="H61">
        <v>18000</v>
      </c>
    </row>
    <row r="62" spans="1:8" x14ac:dyDescent="0.25">
      <c r="A62" s="111" t="s">
        <v>17</v>
      </c>
      <c r="B62" s="111"/>
      <c r="C62" s="111"/>
      <c r="D62" s="111"/>
      <c r="E62" s="111"/>
      <c r="F62" s="1">
        <f>SUM(F55:F61)</f>
        <v>149000</v>
      </c>
      <c r="G62" s="1">
        <f>SUM(G55:G61)</f>
        <v>83000</v>
      </c>
      <c r="H62" s="1">
        <f>SUM(H55:H61)</f>
        <v>93000</v>
      </c>
    </row>
    <row r="63" spans="1:8" x14ac:dyDescent="0.25">
      <c r="A63" t="s">
        <v>26</v>
      </c>
      <c r="B63" s="3">
        <v>44774</v>
      </c>
      <c r="C63" t="s">
        <v>20</v>
      </c>
      <c r="D63" t="s">
        <v>13</v>
      </c>
      <c r="E63">
        <v>3</v>
      </c>
      <c r="F63">
        <v>19500</v>
      </c>
      <c r="G63">
        <f>3*4500</f>
        <v>13500</v>
      </c>
      <c r="H63">
        <v>6000</v>
      </c>
    </row>
    <row r="64" spans="1:8" x14ac:dyDescent="0.25">
      <c r="D64" t="s">
        <v>14</v>
      </c>
      <c r="E64">
        <v>7</v>
      </c>
      <c r="F64">
        <v>70000</v>
      </c>
      <c r="G64">
        <f>7*5500</f>
        <v>38500</v>
      </c>
      <c r="H64">
        <f>7*4500</f>
        <v>31500</v>
      </c>
    </row>
    <row r="65" spans="1:8" x14ac:dyDescent="0.25">
      <c r="D65" t="s">
        <v>21</v>
      </c>
      <c r="E65">
        <v>3</v>
      </c>
      <c r="F65">
        <v>45000</v>
      </c>
      <c r="G65">
        <v>33000</v>
      </c>
      <c r="H65">
        <v>12000</v>
      </c>
    </row>
    <row r="66" spans="1:8" x14ac:dyDescent="0.25">
      <c r="C66" t="s">
        <v>63</v>
      </c>
      <c r="D66" t="s">
        <v>25</v>
      </c>
      <c r="E66">
        <v>2</v>
      </c>
      <c r="F66">
        <v>30000</v>
      </c>
      <c r="G66">
        <v>20000</v>
      </c>
      <c r="H66">
        <v>10000</v>
      </c>
    </row>
    <row r="67" spans="1:8" x14ac:dyDescent="0.25">
      <c r="C67" t="s">
        <v>16</v>
      </c>
      <c r="D67" t="s">
        <v>11</v>
      </c>
      <c r="E67">
        <v>40</v>
      </c>
      <c r="F67">
        <v>60000</v>
      </c>
      <c r="G67">
        <f>40*500</f>
        <v>20000</v>
      </c>
      <c r="H67">
        <v>40000</v>
      </c>
    </row>
    <row r="68" spans="1:8" x14ac:dyDescent="0.25">
      <c r="D68" t="s">
        <v>12</v>
      </c>
      <c r="E68">
        <v>9</v>
      </c>
      <c r="F68">
        <v>27000</v>
      </c>
      <c r="G68">
        <v>18000</v>
      </c>
      <c r="H68">
        <v>9000</v>
      </c>
    </row>
    <row r="69" spans="1:8" x14ac:dyDescent="0.25">
      <c r="D69" t="s">
        <v>13</v>
      </c>
      <c r="E69">
        <v>2</v>
      </c>
      <c r="F69">
        <v>13000</v>
      </c>
      <c r="G69">
        <v>9000</v>
      </c>
      <c r="H69">
        <v>4000</v>
      </c>
    </row>
    <row r="70" spans="1:8" x14ac:dyDescent="0.25">
      <c r="D70" t="s">
        <v>14</v>
      </c>
      <c r="E70">
        <v>2</v>
      </c>
      <c r="F70">
        <v>20000</v>
      </c>
      <c r="G70">
        <v>11000</v>
      </c>
      <c r="H70">
        <v>9000</v>
      </c>
    </row>
    <row r="71" spans="1:8" x14ac:dyDescent="0.25">
      <c r="C71" t="s">
        <v>10</v>
      </c>
      <c r="D71" t="s">
        <v>11</v>
      </c>
      <c r="E71">
        <v>16</v>
      </c>
      <c r="F71">
        <v>24000</v>
      </c>
      <c r="G71">
        <f>16*500</f>
        <v>8000</v>
      </c>
      <c r="H71">
        <v>16000</v>
      </c>
    </row>
    <row r="72" spans="1:8" x14ac:dyDescent="0.25">
      <c r="D72" t="s">
        <v>12</v>
      </c>
      <c r="E72">
        <v>8</v>
      </c>
      <c r="F72">
        <v>24000</v>
      </c>
      <c r="G72">
        <v>16000</v>
      </c>
      <c r="H72">
        <v>8000</v>
      </c>
    </row>
    <row r="73" spans="1:8" x14ac:dyDescent="0.25">
      <c r="D73" t="s">
        <v>13</v>
      </c>
      <c r="E73">
        <v>7</v>
      </c>
      <c r="F73">
        <v>45500</v>
      </c>
      <c r="G73">
        <f>7*4500</f>
        <v>31500</v>
      </c>
      <c r="H73">
        <v>14000</v>
      </c>
    </row>
    <row r="74" spans="1:8" x14ac:dyDescent="0.25">
      <c r="D74" t="s">
        <v>14</v>
      </c>
      <c r="E74">
        <v>14</v>
      </c>
      <c r="F74">
        <v>112000</v>
      </c>
      <c r="G74">
        <f>14*5500</f>
        <v>77000</v>
      </c>
      <c r="H74">
        <f>14*2500</f>
        <v>35000</v>
      </c>
    </row>
    <row r="75" spans="1:8" x14ac:dyDescent="0.25">
      <c r="C75" t="s">
        <v>77</v>
      </c>
      <c r="D75" t="s">
        <v>11</v>
      </c>
      <c r="E75">
        <v>42</v>
      </c>
      <c r="F75">
        <v>63000</v>
      </c>
      <c r="G75">
        <f>42*500</f>
        <v>21000</v>
      </c>
      <c r="H75">
        <v>42000</v>
      </c>
    </row>
    <row r="76" spans="1:8" x14ac:dyDescent="0.25">
      <c r="D76" t="s">
        <v>11</v>
      </c>
      <c r="E76">
        <v>50</v>
      </c>
      <c r="F76">
        <f>50*1500</f>
        <v>75000</v>
      </c>
      <c r="G76">
        <f>50*500</f>
        <v>25000</v>
      </c>
      <c r="H76">
        <v>50000</v>
      </c>
    </row>
    <row r="77" spans="1:8" x14ac:dyDescent="0.25">
      <c r="C77" t="s">
        <v>80</v>
      </c>
      <c r="D77" t="s">
        <v>11</v>
      </c>
      <c r="E77">
        <v>8</v>
      </c>
      <c r="F77">
        <f>8*1500</f>
        <v>12000</v>
      </c>
      <c r="G77">
        <v>4000</v>
      </c>
      <c r="H77">
        <v>8000</v>
      </c>
    </row>
    <row r="78" spans="1:8" x14ac:dyDescent="0.25">
      <c r="A78" s="111" t="s">
        <v>17</v>
      </c>
      <c r="B78" s="111"/>
      <c r="C78" s="111"/>
      <c r="D78" s="111"/>
      <c r="E78" s="111"/>
      <c r="F78" s="1">
        <f>SUM(F63:F77)</f>
        <v>640000</v>
      </c>
      <c r="G78" s="1">
        <f>SUM(G63:G77)</f>
        <v>345500</v>
      </c>
      <c r="H78" s="1">
        <f>SUM(H63:H77)</f>
        <v>294500</v>
      </c>
    </row>
    <row r="79" spans="1:8" x14ac:dyDescent="0.25">
      <c r="A79" t="s">
        <v>28</v>
      </c>
      <c r="B79" s="3">
        <v>44805</v>
      </c>
      <c r="C79" t="s">
        <v>20</v>
      </c>
      <c r="D79" t="s">
        <v>13</v>
      </c>
      <c r="E79">
        <v>12</v>
      </c>
      <c r="F79">
        <v>78000</v>
      </c>
      <c r="G79">
        <f>12*4500</f>
        <v>54000</v>
      </c>
      <c r="H79">
        <v>24000</v>
      </c>
    </row>
    <row r="80" spans="1:8" x14ac:dyDescent="0.25">
      <c r="B80" s="1"/>
      <c r="D80" t="s">
        <v>14</v>
      </c>
      <c r="E80">
        <v>26</v>
      </c>
      <c r="F80">
        <v>260000</v>
      </c>
      <c r="G80">
        <f>26*5500</f>
        <v>143000</v>
      </c>
      <c r="H80">
        <f>26*4500</f>
        <v>117000</v>
      </c>
    </row>
    <row r="81" spans="1:8" x14ac:dyDescent="0.25">
      <c r="C81" t="s">
        <v>10</v>
      </c>
      <c r="D81" t="s">
        <v>12</v>
      </c>
      <c r="E81">
        <v>3</v>
      </c>
      <c r="F81">
        <v>9000</v>
      </c>
      <c r="G81">
        <v>6000</v>
      </c>
      <c r="H81">
        <v>3000</v>
      </c>
    </row>
    <row r="82" spans="1:8" x14ac:dyDescent="0.25">
      <c r="D82" t="s">
        <v>13</v>
      </c>
      <c r="E82">
        <v>19</v>
      </c>
      <c r="F82">
        <v>123500</v>
      </c>
      <c r="G82">
        <f>19*4500</f>
        <v>85500</v>
      </c>
      <c r="H82">
        <f>19*2000</f>
        <v>38000</v>
      </c>
    </row>
    <row r="83" spans="1:8" x14ac:dyDescent="0.25">
      <c r="D83" t="s">
        <v>14</v>
      </c>
      <c r="E83">
        <v>4</v>
      </c>
      <c r="F83">
        <v>32000</v>
      </c>
      <c r="G83">
        <f>4*5500</f>
        <v>22000</v>
      </c>
      <c r="H83">
        <v>10000</v>
      </c>
    </row>
    <row r="84" spans="1:8" x14ac:dyDescent="0.25">
      <c r="D84" t="s">
        <v>14</v>
      </c>
      <c r="E84">
        <v>7</v>
      </c>
      <c r="F84">
        <v>70000</v>
      </c>
      <c r="G84">
        <f>7*5500</f>
        <v>38500</v>
      </c>
      <c r="H84">
        <f>7*4500</f>
        <v>31500</v>
      </c>
    </row>
    <row r="85" spans="1:8" x14ac:dyDescent="0.25">
      <c r="C85" t="s">
        <v>16</v>
      </c>
      <c r="D85" t="s">
        <v>11</v>
      </c>
      <c r="E85">
        <v>38</v>
      </c>
      <c r="F85">
        <v>57000</v>
      </c>
      <c r="G85">
        <f>38*500</f>
        <v>19000</v>
      </c>
      <c r="H85">
        <v>38000</v>
      </c>
    </row>
    <row r="86" spans="1:8" x14ac:dyDescent="0.25">
      <c r="D86" t="s">
        <v>12</v>
      </c>
      <c r="E86">
        <v>9</v>
      </c>
      <c r="F86">
        <v>27000</v>
      </c>
      <c r="G86">
        <v>18000</v>
      </c>
      <c r="H86">
        <v>9000</v>
      </c>
    </row>
    <row r="87" spans="1:8" x14ac:dyDescent="0.25">
      <c r="D87" t="s">
        <v>13</v>
      </c>
      <c r="E87">
        <v>3</v>
      </c>
      <c r="F87">
        <v>19500</v>
      </c>
      <c r="G87">
        <f>3*4500</f>
        <v>13500</v>
      </c>
      <c r="H87">
        <v>6000</v>
      </c>
    </row>
    <row r="88" spans="1:8" x14ac:dyDescent="0.25">
      <c r="D88" t="s">
        <v>14</v>
      </c>
      <c r="E88">
        <v>3</v>
      </c>
      <c r="F88">
        <v>30000</v>
      </c>
      <c r="G88">
        <f>3*5500</f>
        <v>16500</v>
      </c>
      <c r="H88">
        <f>3*4500</f>
        <v>13500</v>
      </c>
    </row>
    <row r="89" spans="1:8" x14ac:dyDescent="0.25">
      <c r="A89" s="111" t="s">
        <v>17</v>
      </c>
      <c r="B89" s="111"/>
      <c r="C89" s="111"/>
      <c r="D89" s="111"/>
      <c r="E89" s="111"/>
      <c r="F89" s="1">
        <f>SUM(F79:F88)</f>
        <v>706000</v>
      </c>
      <c r="G89" s="1">
        <f>SUM(G79:G88)</f>
        <v>416000</v>
      </c>
      <c r="H89" s="1">
        <f>SUM(H79:H88)</f>
        <v>290000</v>
      </c>
    </row>
    <row r="90" spans="1:8" x14ac:dyDescent="0.25">
      <c r="A90" t="s">
        <v>30</v>
      </c>
      <c r="B90" s="3">
        <v>44835</v>
      </c>
      <c r="C90" t="s">
        <v>48</v>
      </c>
      <c r="D90" t="s">
        <v>13</v>
      </c>
      <c r="E90">
        <v>8</v>
      </c>
      <c r="F90">
        <f>8*6500</f>
        <v>52000</v>
      </c>
      <c r="G90">
        <f>8*4500</f>
        <v>36000</v>
      </c>
      <c r="H90">
        <v>16000</v>
      </c>
    </row>
    <row r="91" spans="1:8" x14ac:dyDescent="0.25">
      <c r="C91" t="s">
        <v>47</v>
      </c>
      <c r="D91" t="s">
        <v>25</v>
      </c>
      <c r="E91">
        <v>10</v>
      </c>
      <c r="F91">
        <v>150000</v>
      </c>
      <c r="G91">
        <v>100000</v>
      </c>
      <c r="H91">
        <v>50000</v>
      </c>
    </row>
    <row r="92" spans="1:8" x14ac:dyDescent="0.25">
      <c r="C92" t="s">
        <v>10</v>
      </c>
      <c r="D92" t="s">
        <v>11</v>
      </c>
      <c r="E92">
        <v>40</v>
      </c>
      <c r="F92">
        <v>60000</v>
      </c>
      <c r="G92">
        <f>40*500</f>
        <v>20000</v>
      </c>
      <c r="H92">
        <v>40000</v>
      </c>
    </row>
    <row r="93" spans="1:8" x14ac:dyDescent="0.25">
      <c r="D93" t="s">
        <v>12</v>
      </c>
      <c r="E93">
        <v>5</v>
      </c>
      <c r="F93">
        <v>15000</v>
      </c>
      <c r="G93">
        <v>10000</v>
      </c>
      <c r="H93">
        <v>5000</v>
      </c>
    </row>
    <row r="94" spans="1:8" x14ac:dyDescent="0.25">
      <c r="D94" t="s">
        <v>13</v>
      </c>
      <c r="E94">
        <v>5</v>
      </c>
      <c r="F94">
        <v>32500</v>
      </c>
      <c r="G94">
        <f>5*4500</f>
        <v>22500</v>
      </c>
      <c r="H94">
        <v>10000</v>
      </c>
    </row>
    <row r="95" spans="1:8" x14ac:dyDescent="0.25">
      <c r="D95" t="s">
        <v>14</v>
      </c>
      <c r="E95">
        <v>1</v>
      </c>
      <c r="F95">
        <v>8000</v>
      </c>
      <c r="G95">
        <v>5500</v>
      </c>
      <c r="H95">
        <v>2500</v>
      </c>
    </row>
    <row r="96" spans="1:8" x14ac:dyDescent="0.25">
      <c r="D96" t="s">
        <v>25</v>
      </c>
      <c r="E96">
        <v>3</v>
      </c>
      <c r="F96">
        <v>36000</v>
      </c>
      <c r="G96">
        <v>30000</v>
      </c>
      <c r="H96">
        <v>6000</v>
      </c>
    </row>
    <row r="97" spans="1:8" x14ac:dyDescent="0.25">
      <c r="D97" t="s">
        <v>21</v>
      </c>
      <c r="E97">
        <v>3</v>
      </c>
      <c r="F97">
        <v>36000</v>
      </c>
      <c r="G97">
        <v>33000</v>
      </c>
      <c r="H97">
        <v>3000</v>
      </c>
    </row>
    <row r="98" spans="1:8" x14ac:dyDescent="0.25">
      <c r="C98" t="s">
        <v>16</v>
      </c>
      <c r="D98" t="s">
        <v>11</v>
      </c>
      <c r="E98">
        <v>64</v>
      </c>
      <c r="F98">
        <v>96000</v>
      </c>
      <c r="G98">
        <f>64*500</f>
        <v>32000</v>
      </c>
      <c r="H98">
        <v>64000</v>
      </c>
    </row>
    <row r="99" spans="1:8" x14ac:dyDescent="0.25">
      <c r="D99" t="s">
        <v>12</v>
      </c>
      <c r="E99">
        <v>6</v>
      </c>
      <c r="F99">
        <v>18000</v>
      </c>
      <c r="G99">
        <v>12000</v>
      </c>
      <c r="H99">
        <v>6000</v>
      </c>
    </row>
    <row r="100" spans="1:8" x14ac:dyDescent="0.25">
      <c r="D100" t="s">
        <v>13</v>
      </c>
      <c r="E100">
        <v>3</v>
      </c>
      <c r="F100">
        <v>19500</v>
      </c>
      <c r="G100">
        <f>3*4500</f>
        <v>13500</v>
      </c>
      <c r="H100">
        <v>6000</v>
      </c>
    </row>
    <row r="101" spans="1:8" x14ac:dyDescent="0.25">
      <c r="D101" t="s">
        <v>14</v>
      </c>
      <c r="E101">
        <v>2</v>
      </c>
      <c r="F101">
        <v>20000</v>
      </c>
      <c r="G101">
        <v>11000</v>
      </c>
      <c r="H101">
        <v>9000</v>
      </c>
    </row>
    <row r="102" spans="1:8" x14ac:dyDescent="0.25">
      <c r="D102" t="s">
        <v>21</v>
      </c>
      <c r="E102">
        <v>1</v>
      </c>
      <c r="F102">
        <v>15000</v>
      </c>
      <c r="G102">
        <v>11000</v>
      </c>
      <c r="H102">
        <v>4000</v>
      </c>
    </row>
    <row r="103" spans="1:8" x14ac:dyDescent="0.25">
      <c r="A103" s="111" t="s">
        <v>17</v>
      </c>
      <c r="B103" s="111"/>
      <c r="C103" s="111"/>
      <c r="D103" s="111"/>
      <c r="E103" s="111"/>
      <c r="F103" s="1">
        <f>SUM(F90:F102)</f>
        <v>558000</v>
      </c>
      <c r="G103" s="1">
        <f>SUM(G90:G102)</f>
        <v>336500</v>
      </c>
      <c r="H103" s="1">
        <f>SUM(H90:H102)</f>
        <v>221500</v>
      </c>
    </row>
    <row r="104" spans="1:8" x14ac:dyDescent="0.25">
      <c r="A104" t="s">
        <v>32</v>
      </c>
      <c r="B104" s="3">
        <v>44866</v>
      </c>
      <c r="C104" t="s">
        <v>80</v>
      </c>
      <c r="D104" t="s">
        <v>11</v>
      </c>
      <c r="E104">
        <v>24</v>
      </c>
      <c r="F104">
        <f>24*1500</f>
        <v>36000</v>
      </c>
      <c r="G104">
        <f>24*500</f>
        <v>12000</v>
      </c>
      <c r="H104">
        <v>24000</v>
      </c>
    </row>
    <row r="105" spans="1:8" x14ac:dyDescent="0.25">
      <c r="C105" t="s">
        <v>77</v>
      </c>
      <c r="D105" t="s">
        <v>11</v>
      </c>
      <c r="E105">
        <v>70</v>
      </c>
      <c r="F105">
        <v>105000</v>
      </c>
      <c r="G105">
        <f>70*500</f>
        <v>35000</v>
      </c>
      <c r="H105">
        <v>70000</v>
      </c>
    </row>
    <row r="106" spans="1:8" x14ac:dyDescent="0.25">
      <c r="D106" t="s">
        <v>11</v>
      </c>
      <c r="E106">
        <v>80</v>
      </c>
      <c r="F106">
        <v>120000</v>
      </c>
      <c r="G106">
        <f>80*500</f>
        <v>40000</v>
      </c>
      <c r="H106">
        <v>80000</v>
      </c>
    </row>
    <row r="107" spans="1:8" x14ac:dyDescent="0.25">
      <c r="C107" t="s">
        <v>16</v>
      </c>
      <c r="D107" t="s">
        <v>11</v>
      </c>
      <c r="E107">
        <v>35</v>
      </c>
      <c r="F107">
        <v>52500</v>
      </c>
      <c r="G107">
        <f>35*500</f>
        <v>17500</v>
      </c>
      <c r="H107">
        <v>35000</v>
      </c>
    </row>
    <row r="108" spans="1:8" x14ac:dyDescent="0.25">
      <c r="D108" t="s">
        <v>12</v>
      </c>
      <c r="E108">
        <v>5</v>
      </c>
      <c r="F108">
        <v>15000</v>
      </c>
      <c r="G108">
        <v>10000</v>
      </c>
      <c r="H108">
        <v>5000</v>
      </c>
    </row>
    <row r="109" spans="1:8" x14ac:dyDescent="0.25">
      <c r="D109" t="s">
        <v>13</v>
      </c>
      <c r="E109">
        <v>1</v>
      </c>
      <c r="F109">
        <v>6500</v>
      </c>
      <c r="G109">
        <v>4500</v>
      </c>
      <c r="H109">
        <v>2000</v>
      </c>
    </row>
    <row r="110" spans="1:8" x14ac:dyDescent="0.25">
      <c r="C110" t="s">
        <v>10</v>
      </c>
      <c r="D110" t="s">
        <v>11</v>
      </c>
      <c r="E110">
        <v>30</v>
      </c>
      <c r="F110">
        <v>45000</v>
      </c>
      <c r="G110">
        <f>30*500</f>
        <v>15000</v>
      </c>
      <c r="H110">
        <v>30000</v>
      </c>
    </row>
    <row r="111" spans="1:8" x14ac:dyDescent="0.25">
      <c r="D111" t="s">
        <v>12</v>
      </c>
      <c r="E111">
        <v>5</v>
      </c>
      <c r="F111">
        <v>15000</v>
      </c>
      <c r="G111">
        <v>10000</v>
      </c>
      <c r="H111">
        <v>5000</v>
      </c>
    </row>
    <row r="112" spans="1:8" x14ac:dyDescent="0.25">
      <c r="D112" t="s">
        <v>13</v>
      </c>
      <c r="E112">
        <v>3</v>
      </c>
      <c r="F112">
        <v>19500</v>
      </c>
      <c r="G112">
        <f>3*4500</f>
        <v>13500</v>
      </c>
      <c r="H112">
        <v>6000</v>
      </c>
    </row>
    <row r="113" spans="1:8" x14ac:dyDescent="0.25">
      <c r="A113" s="111" t="s">
        <v>17</v>
      </c>
      <c r="B113" s="111"/>
      <c r="C113" s="111"/>
      <c r="D113" s="111"/>
      <c r="E113" s="111"/>
      <c r="F113" s="1">
        <f>SUM(F104:F112)</f>
        <v>414500</v>
      </c>
      <c r="G113" s="1">
        <f>SUM(G104:G112)</f>
        <v>157500</v>
      </c>
      <c r="H113" s="1">
        <f>SUM(H104:H112)</f>
        <v>257000</v>
      </c>
    </row>
    <row r="114" spans="1:8" x14ac:dyDescent="0.25">
      <c r="A114" t="s">
        <v>8</v>
      </c>
      <c r="B114" s="3">
        <v>44896</v>
      </c>
      <c r="C114" t="s">
        <v>77</v>
      </c>
      <c r="D114" t="s">
        <v>11</v>
      </c>
      <c r="E114">
        <v>100</v>
      </c>
      <c r="F114">
        <v>150000</v>
      </c>
      <c r="G114">
        <v>50000</v>
      </c>
      <c r="H114">
        <v>100000</v>
      </c>
    </row>
    <row r="115" spans="1:8" x14ac:dyDescent="0.25">
      <c r="C115" t="s">
        <v>81</v>
      </c>
      <c r="D115" t="s">
        <v>11</v>
      </c>
      <c r="E115">
        <v>30</v>
      </c>
      <c r="F115">
        <v>45000</v>
      </c>
      <c r="G115">
        <f>30*500</f>
        <v>15000</v>
      </c>
      <c r="H115">
        <v>30000</v>
      </c>
    </row>
    <row r="116" spans="1:8" x14ac:dyDescent="0.25">
      <c r="C116" s="5">
        <v>44835</v>
      </c>
      <c r="D116" t="s">
        <v>12</v>
      </c>
      <c r="E116">
        <v>5</v>
      </c>
      <c r="F116">
        <v>15000</v>
      </c>
      <c r="G116">
        <f>5*2000</f>
        <v>10000</v>
      </c>
      <c r="H116">
        <v>5000</v>
      </c>
    </row>
    <row r="117" spans="1:8" x14ac:dyDescent="0.25">
      <c r="C117" t="s">
        <v>81</v>
      </c>
      <c r="D117" t="s">
        <v>13</v>
      </c>
      <c r="E117">
        <v>1</v>
      </c>
      <c r="F117">
        <v>6500</v>
      </c>
      <c r="G117">
        <v>4500</v>
      </c>
      <c r="H117">
        <v>2000</v>
      </c>
    </row>
    <row r="118" spans="1:8" x14ac:dyDescent="0.25">
      <c r="C118" s="3">
        <v>44866</v>
      </c>
      <c r="D118" t="s">
        <v>12</v>
      </c>
      <c r="E118">
        <v>8</v>
      </c>
      <c r="F118">
        <v>24000</v>
      </c>
      <c r="G118">
        <f>8*2000</f>
        <v>16000</v>
      </c>
      <c r="H118">
        <v>8000</v>
      </c>
    </row>
    <row r="119" spans="1:8" x14ac:dyDescent="0.25">
      <c r="D119" t="s">
        <v>11</v>
      </c>
      <c r="E119">
        <v>8</v>
      </c>
      <c r="F119">
        <f>8*1500</f>
        <v>12000</v>
      </c>
      <c r="G119">
        <f>8*500</f>
        <v>4000</v>
      </c>
      <c r="H119">
        <v>8000</v>
      </c>
    </row>
    <row r="120" spans="1:8" x14ac:dyDescent="0.25">
      <c r="C120" t="s">
        <v>81</v>
      </c>
      <c r="D120" t="s">
        <v>13</v>
      </c>
      <c r="E120">
        <v>1</v>
      </c>
      <c r="F120">
        <v>6500</v>
      </c>
      <c r="G120">
        <v>4500</v>
      </c>
      <c r="H120">
        <v>2000</v>
      </c>
    </row>
    <row r="121" spans="1:8" x14ac:dyDescent="0.25">
      <c r="D121" t="s">
        <v>12</v>
      </c>
      <c r="E121">
        <v>12</v>
      </c>
      <c r="F121">
        <f>12*3000</f>
        <v>36000</v>
      </c>
      <c r="G121">
        <f>12*2000</f>
        <v>24000</v>
      </c>
      <c r="H121">
        <v>12000</v>
      </c>
    </row>
    <row r="122" spans="1:8" x14ac:dyDescent="0.25">
      <c r="D122" t="s">
        <v>11</v>
      </c>
      <c r="E122">
        <v>11</v>
      </c>
      <c r="F122">
        <f>11*1500</f>
        <v>16500</v>
      </c>
      <c r="G122">
        <f>11*500</f>
        <v>5500</v>
      </c>
      <c r="H122">
        <v>11000</v>
      </c>
    </row>
    <row r="123" spans="1:8" x14ac:dyDescent="0.25">
      <c r="C123" t="s">
        <v>10</v>
      </c>
      <c r="D123" t="s">
        <v>11</v>
      </c>
      <c r="E123">
        <v>17</v>
      </c>
      <c r="F123">
        <v>25500</v>
      </c>
      <c r="G123">
        <f>17*500</f>
        <v>8500</v>
      </c>
      <c r="H123">
        <v>17000</v>
      </c>
    </row>
    <row r="124" spans="1:8" x14ac:dyDescent="0.25">
      <c r="D124" t="s">
        <v>12</v>
      </c>
      <c r="E124">
        <v>1</v>
      </c>
      <c r="F124">
        <v>3000</v>
      </c>
      <c r="G124">
        <v>2000</v>
      </c>
      <c r="H124">
        <v>1000</v>
      </c>
    </row>
    <row r="125" spans="1:8" x14ac:dyDescent="0.25">
      <c r="D125" t="s">
        <v>13</v>
      </c>
      <c r="E125">
        <v>3</v>
      </c>
      <c r="F125">
        <v>19500</v>
      </c>
      <c r="G125">
        <f>3*4500</f>
        <v>13500</v>
      </c>
      <c r="H125">
        <v>6000</v>
      </c>
    </row>
    <row r="126" spans="1:8" x14ac:dyDescent="0.25">
      <c r="D126" t="s">
        <v>14</v>
      </c>
      <c r="E126">
        <v>1</v>
      </c>
      <c r="F126">
        <v>8000</v>
      </c>
      <c r="G126">
        <v>5500</v>
      </c>
      <c r="H126">
        <v>2500</v>
      </c>
    </row>
    <row r="127" spans="1:8" x14ac:dyDescent="0.25">
      <c r="C127" t="s">
        <v>16</v>
      </c>
      <c r="D127" t="s">
        <v>11</v>
      </c>
      <c r="E127">
        <v>50</v>
      </c>
      <c r="F127">
        <v>75000</v>
      </c>
      <c r="G127">
        <f>50*500</f>
        <v>25000</v>
      </c>
      <c r="H127">
        <v>50000</v>
      </c>
    </row>
    <row r="128" spans="1:8" x14ac:dyDescent="0.25">
      <c r="D128" t="s">
        <v>12</v>
      </c>
      <c r="E128">
        <v>4</v>
      </c>
      <c r="F128">
        <v>12000</v>
      </c>
      <c r="G128">
        <f>4*2000</f>
        <v>8000</v>
      </c>
      <c r="H128">
        <v>4000</v>
      </c>
    </row>
    <row r="129" spans="1:8" x14ac:dyDescent="0.25">
      <c r="D129" t="s">
        <v>14</v>
      </c>
      <c r="E129">
        <v>1</v>
      </c>
      <c r="F129">
        <v>10000</v>
      </c>
      <c r="G129">
        <v>5500</v>
      </c>
      <c r="H129">
        <v>4500</v>
      </c>
    </row>
    <row r="130" spans="1:8" x14ac:dyDescent="0.25">
      <c r="A130" s="111" t="s">
        <v>17</v>
      </c>
      <c r="B130" s="111"/>
      <c r="C130" s="111"/>
      <c r="D130" s="111"/>
      <c r="E130" s="111"/>
      <c r="F130" s="1">
        <f>SUM(F114:F129)</f>
        <v>464500</v>
      </c>
      <c r="G130" s="1">
        <f>SUM(G114:G129)</f>
        <v>201500</v>
      </c>
      <c r="H130" s="1">
        <f>SUM(H114:H129)</f>
        <v>263000</v>
      </c>
    </row>
    <row r="131" spans="1:8" x14ac:dyDescent="0.25">
      <c r="A131" t="s">
        <v>18</v>
      </c>
      <c r="B131" t="s">
        <v>82</v>
      </c>
      <c r="C131" t="s">
        <v>77</v>
      </c>
      <c r="D131" t="s">
        <v>11</v>
      </c>
      <c r="E131">
        <v>100</v>
      </c>
      <c r="F131">
        <v>150000</v>
      </c>
      <c r="G131">
        <v>50000</v>
      </c>
      <c r="H131">
        <v>100000</v>
      </c>
    </row>
    <row r="132" spans="1:8" x14ac:dyDescent="0.25">
      <c r="C132" t="s">
        <v>80</v>
      </c>
      <c r="D132" t="s">
        <v>11</v>
      </c>
      <c r="E132">
        <v>19</v>
      </c>
      <c r="F132">
        <f>19*1500</f>
        <v>28500</v>
      </c>
      <c r="G132">
        <f>19*500</f>
        <v>9500</v>
      </c>
      <c r="H132">
        <v>19000</v>
      </c>
    </row>
    <row r="133" spans="1:8" x14ac:dyDescent="0.25">
      <c r="D133" t="s">
        <v>11</v>
      </c>
      <c r="E133">
        <v>17</v>
      </c>
      <c r="F133">
        <f>17*1500</f>
        <v>25500</v>
      </c>
      <c r="G133">
        <f>17*500</f>
        <v>8500</v>
      </c>
      <c r="H133">
        <v>17000</v>
      </c>
    </row>
    <row r="134" spans="1:8" x14ac:dyDescent="0.25">
      <c r="C134" t="s">
        <v>81</v>
      </c>
      <c r="D134" t="s">
        <v>13</v>
      </c>
      <c r="E134">
        <v>1</v>
      </c>
      <c r="F134">
        <v>6500</v>
      </c>
      <c r="G134">
        <v>4500</v>
      </c>
      <c r="H134">
        <v>2000</v>
      </c>
    </row>
    <row r="135" spans="1:8" x14ac:dyDescent="0.25">
      <c r="D135" t="s">
        <v>11</v>
      </c>
      <c r="E135">
        <v>8</v>
      </c>
      <c r="F135">
        <f>8*1500</f>
        <v>12000</v>
      </c>
      <c r="G135">
        <f>8*500</f>
        <v>4000</v>
      </c>
      <c r="H135">
        <v>8000</v>
      </c>
    </row>
    <row r="136" spans="1:8" x14ac:dyDescent="0.25">
      <c r="D136" t="s">
        <v>12</v>
      </c>
      <c r="E136">
        <v>6</v>
      </c>
      <c r="F136">
        <v>18000</v>
      </c>
      <c r="G136">
        <v>12000</v>
      </c>
      <c r="H136">
        <v>6000</v>
      </c>
    </row>
    <row r="137" spans="1:8" x14ac:dyDescent="0.25">
      <c r="C137" t="s">
        <v>16</v>
      </c>
      <c r="D137" t="s">
        <v>11</v>
      </c>
      <c r="E137">
        <v>24</v>
      </c>
      <c r="F137">
        <f>24*1500</f>
        <v>36000</v>
      </c>
      <c r="G137">
        <f>24*500</f>
        <v>12000</v>
      </c>
      <c r="H137">
        <v>24000</v>
      </c>
    </row>
    <row r="138" spans="1:8" x14ac:dyDescent="0.25">
      <c r="D138" t="s">
        <v>12</v>
      </c>
      <c r="E138">
        <v>5</v>
      </c>
      <c r="F138">
        <v>15000</v>
      </c>
      <c r="G138">
        <v>10000</v>
      </c>
      <c r="H138">
        <v>5000</v>
      </c>
    </row>
    <row r="139" spans="1:8" x14ac:dyDescent="0.25">
      <c r="C139" t="s">
        <v>10</v>
      </c>
      <c r="D139" t="s">
        <v>11</v>
      </c>
      <c r="E139">
        <v>40</v>
      </c>
      <c r="F139">
        <v>60000</v>
      </c>
      <c r="G139">
        <f>40*500</f>
        <v>20000</v>
      </c>
      <c r="H139">
        <v>40000</v>
      </c>
    </row>
    <row r="140" spans="1:8" x14ac:dyDescent="0.25">
      <c r="D140" t="s">
        <v>12</v>
      </c>
      <c r="E140">
        <v>3</v>
      </c>
      <c r="F140">
        <v>9000</v>
      </c>
      <c r="G140">
        <v>6000</v>
      </c>
      <c r="H140">
        <v>3000</v>
      </c>
    </row>
    <row r="141" spans="1:8" x14ac:dyDescent="0.25">
      <c r="D141" t="s">
        <v>13</v>
      </c>
      <c r="E141">
        <v>1</v>
      </c>
      <c r="F141">
        <v>6500</v>
      </c>
      <c r="G141">
        <v>4500</v>
      </c>
      <c r="H141">
        <v>2000</v>
      </c>
    </row>
    <row r="142" spans="1:8" x14ac:dyDescent="0.25">
      <c r="A142" s="111" t="s">
        <v>17</v>
      </c>
      <c r="B142" s="111"/>
      <c r="C142" s="111"/>
      <c r="D142" s="111"/>
      <c r="E142" s="111"/>
      <c r="F142" s="1">
        <f>SUM(F131:F141)</f>
        <v>367000</v>
      </c>
      <c r="G142" s="1">
        <f>SUM(G131:G141)</f>
        <v>141000</v>
      </c>
      <c r="H142" s="1">
        <f>SUM(H131:H141)</f>
        <v>226000</v>
      </c>
    </row>
    <row r="143" spans="1:8" x14ac:dyDescent="0.25">
      <c r="A143" t="s">
        <v>22</v>
      </c>
      <c r="B143" t="s">
        <v>83</v>
      </c>
      <c r="C143" t="s">
        <v>77</v>
      </c>
      <c r="D143" t="s">
        <v>11</v>
      </c>
      <c r="E143">
        <v>75</v>
      </c>
      <c r="F143">
        <f>75*1500</f>
        <v>112500</v>
      </c>
      <c r="G143">
        <f>75*500</f>
        <v>37500</v>
      </c>
      <c r="H143">
        <v>75000</v>
      </c>
    </row>
    <row r="144" spans="1:8" x14ac:dyDescent="0.25">
      <c r="C144" t="s">
        <v>80</v>
      </c>
      <c r="D144" t="s">
        <v>11</v>
      </c>
      <c r="E144">
        <v>20</v>
      </c>
      <c r="F144">
        <v>30000</v>
      </c>
      <c r="G144">
        <f>20*500</f>
        <v>10000</v>
      </c>
      <c r="H144">
        <v>20000</v>
      </c>
    </row>
    <row r="145" spans="1:8" x14ac:dyDescent="0.25">
      <c r="C145" t="s">
        <v>16</v>
      </c>
      <c r="D145" t="s">
        <v>11</v>
      </c>
      <c r="E145">
        <v>35</v>
      </c>
      <c r="F145">
        <v>52500</v>
      </c>
      <c r="G145">
        <f>35*500</f>
        <v>17500</v>
      </c>
      <c r="H145">
        <v>35000</v>
      </c>
    </row>
    <row r="146" spans="1:8" x14ac:dyDescent="0.25">
      <c r="D146" t="s">
        <v>12</v>
      </c>
      <c r="E146">
        <v>2</v>
      </c>
      <c r="F146">
        <v>6000</v>
      </c>
      <c r="G146">
        <v>4000</v>
      </c>
      <c r="H146">
        <v>2000</v>
      </c>
    </row>
    <row r="147" spans="1:8" x14ac:dyDescent="0.25">
      <c r="D147" t="s">
        <v>13</v>
      </c>
      <c r="E147">
        <v>1</v>
      </c>
      <c r="F147">
        <v>6500</v>
      </c>
      <c r="G147">
        <v>4500</v>
      </c>
      <c r="H147">
        <v>2000</v>
      </c>
    </row>
    <row r="148" spans="1:8" x14ac:dyDescent="0.25">
      <c r="C148" t="s">
        <v>10</v>
      </c>
      <c r="D148" t="s">
        <v>11</v>
      </c>
      <c r="E148">
        <v>25</v>
      </c>
      <c r="F148">
        <v>37500</v>
      </c>
      <c r="G148">
        <f>25*500</f>
        <v>12500</v>
      </c>
      <c r="H148">
        <v>25000</v>
      </c>
    </row>
    <row r="149" spans="1:8" x14ac:dyDescent="0.25">
      <c r="D149" t="s">
        <v>12</v>
      </c>
      <c r="E149">
        <v>4</v>
      </c>
      <c r="F149">
        <v>12000</v>
      </c>
      <c r="G149">
        <v>8000</v>
      </c>
      <c r="H149">
        <v>4000</v>
      </c>
    </row>
    <row r="150" spans="1:8" x14ac:dyDescent="0.25">
      <c r="D150" t="s">
        <v>13</v>
      </c>
      <c r="E150">
        <v>6</v>
      </c>
      <c r="F150">
        <v>39000</v>
      </c>
      <c r="G150">
        <f>6*4500</f>
        <v>27000</v>
      </c>
      <c r="H150">
        <v>12000</v>
      </c>
    </row>
    <row r="151" spans="1:8" x14ac:dyDescent="0.25">
      <c r="D151" t="s">
        <v>14</v>
      </c>
      <c r="E151">
        <v>5</v>
      </c>
      <c r="F151">
        <v>40000</v>
      </c>
      <c r="G151">
        <f>5*5500</f>
        <v>27500</v>
      </c>
      <c r="H151">
        <v>12500</v>
      </c>
    </row>
    <row r="152" spans="1:8" x14ac:dyDescent="0.25">
      <c r="C152" t="s">
        <v>63</v>
      </c>
      <c r="D152" t="s">
        <v>25</v>
      </c>
      <c r="E152">
        <v>1</v>
      </c>
      <c r="F152">
        <v>15000</v>
      </c>
      <c r="G152">
        <v>10000</v>
      </c>
      <c r="H152">
        <v>5000</v>
      </c>
    </row>
    <row r="153" spans="1:8" x14ac:dyDescent="0.25">
      <c r="A153" s="111" t="s">
        <v>17</v>
      </c>
      <c r="B153" s="111"/>
      <c r="C153" s="111"/>
      <c r="D153" s="111"/>
      <c r="E153" s="111"/>
      <c r="F153" s="1">
        <f>SUM(F143:F152)</f>
        <v>351000</v>
      </c>
      <c r="G153" s="1">
        <f>SUM(G143:G152)</f>
        <v>158500</v>
      </c>
      <c r="H153" s="1">
        <f>SUM(H143:H152)</f>
        <v>192500</v>
      </c>
    </row>
    <row r="154" spans="1:8" x14ac:dyDescent="0.25">
      <c r="A154" t="s">
        <v>26</v>
      </c>
      <c r="B154" t="s">
        <v>84</v>
      </c>
      <c r="C154" t="s">
        <v>80</v>
      </c>
      <c r="D154" t="s">
        <v>11</v>
      </c>
      <c r="E154">
        <v>19</v>
      </c>
      <c r="F154">
        <v>28500</v>
      </c>
      <c r="G154">
        <f>19*500</f>
        <v>9500</v>
      </c>
      <c r="H154">
        <v>19000</v>
      </c>
    </row>
    <row r="155" spans="1:8" x14ac:dyDescent="0.25">
      <c r="C155" t="s">
        <v>20</v>
      </c>
      <c r="D155" t="s">
        <v>14</v>
      </c>
      <c r="E155">
        <v>7</v>
      </c>
      <c r="F155">
        <v>70000</v>
      </c>
      <c r="G155">
        <f>7*5500</f>
        <v>38500</v>
      </c>
      <c r="H155">
        <f>7*4500</f>
        <v>31500</v>
      </c>
    </row>
    <row r="156" spans="1:8" x14ac:dyDescent="0.25">
      <c r="C156" t="s">
        <v>16</v>
      </c>
      <c r="D156" t="s">
        <v>11</v>
      </c>
      <c r="E156">
        <v>37</v>
      </c>
      <c r="F156">
        <v>55500</v>
      </c>
      <c r="G156">
        <f>37*500</f>
        <v>18500</v>
      </c>
      <c r="H156">
        <v>37000</v>
      </c>
    </row>
    <row r="157" spans="1:8" x14ac:dyDescent="0.25">
      <c r="D157" t="s">
        <v>12</v>
      </c>
      <c r="E157">
        <v>4</v>
      </c>
      <c r="F157">
        <v>12000</v>
      </c>
      <c r="G157">
        <v>8000</v>
      </c>
      <c r="H157">
        <v>4000</v>
      </c>
    </row>
    <row r="158" spans="1:8" x14ac:dyDescent="0.25">
      <c r="D158" t="s">
        <v>13</v>
      </c>
      <c r="E158">
        <v>2</v>
      </c>
      <c r="F158">
        <v>13000</v>
      </c>
      <c r="G158">
        <v>9000</v>
      </c>
      <c r="H158">
        <v>4000</v>
      </c>
    </row>
    <row r="159" spans="1:8" x14ac:dyDescent="0.25">
      <c r="C159" t="s">
        <v>10</v>
      </c>
      <c r="D159" t="s">
        <v>11</v>
      </c>
      <c r="E159">
        <v>20</v>
      </c>
      <c r="F159">
        <v>30000</v>
      </c>
      <c r="G159">
        <v>10000</v>
      </c>
      <c r="H159">
        <v>20000</v>
      </c>
    </row>
    <row r="160" spans="1:8" x14ac:dyDescent="0.25">
      <c r="D160" t="s">
        <v>13</v>
      </c>
      <c r="E160">
        <v>3</v>
      </c>
      <c r="F160">
        <v>19500</v>
      </c>
      <c r="G160">
        <f>3*4500</f>
        <v>13500</v>
      </c>
      <c r="H160">
        <v>6000</v>
      </c>
    </row>
    <row r="161" spans="1:8" x14ac:dyDescent="0.25">
      <c r="D161" t="s">
        <v>14</v>
      </c>
      <c r="E161">
        <v>3</v>
      </c>
      <c r="F161">
        <v>24000</v>
      </c>
      <c r="G161">
        <f>3*5500</f>
        <v>16500</v>
      </c>
      <c r="H161">
        <v>7500</v>
      </c>
    </row>
    <row r="162" spans="1:8" x14ac:dyDescent="0.25">
      <c r="A162" s="111" t="s">
        <v>17</v>
      </c>
      <c r="B162" s="111"/>
      <c r="C162" s="111"/>
      <c r="D162" s="111"/>
      <c r="E162" s="111"/>
      <c r="F162" s="1">
        <f>SUM(F154:F161)</f>
        <v>252500</v>
      </c>
      <c r="G162" s="1">
        <f>SUM(G154:G161)</f>
        <v>123500</v>
      </c>
      <c r="H162" s="1">
        <f>SUM(H154:H161)</f>
        <v>129000</v>
      </c>
    </row>
    <row r="163" spans="1:8" x14ac:dyDescent="0.25">
      <c r="A163" t="s">
        <v>28</v>
      </c>
      <c r="B163" t="s">
        <v>85</v>
      </c>
      <c r="C163" t="s">
        <v>20</v>
      </c>
      <c r="D163" t="s">
        <v>13</v>
      </c>
      <c r="E163">
        <v>14</v>
      </c>
      <c r="F163">
        <v>91000</v>
      </c>
      <c r="G163">
        <f>14*4500</f>
        <v>63000</v>
      </c>
      <c r="H163">
        <f>14*2000</f>
        <v>28000</v>
      </c>
    </row>
    <row r="164" spans="1:8" x14ac:dyDescent="0.25">
      <c r="D164" t="s">
        <v>14</v>
      </c>
      <c r="E164">
        <v>49</v>
      </c>
      <c r="F164">
        <v>490000</v>
      </c>
      <c r="G164">
        <f>49*5500</f>
        <v>269500</v>
      </c>
      <c r="H164">
        <f>49*4500</f>
        <v>220500</v>
      </c>
    </row>
    <row r="165" spans="1:8" x14ac:dyDescent="0.25">
      <c r="D165" t="s">
        <v>21</v>
      </c>
      <c r="E165">
        <v>3</v>
      </c>
      <c r="F165">
        <v>39000</v>
      </c>
      <c r="G165">
        <v>33000</v>
      </c>
      <c r="H165">
        <v>6000</v>
      </c>
    </row>
    <row r="166" spans="1:8" x14ac:dyDescent="0.25">
      <c r="C166" t="s">
        <v>10</v>
      </c>
      <c r="D166" t="s">
        <v>12</v>
      </c>
      <c r="E166">
        <v>1</v>
      </c>
      <c r="F166">
        <v>3000</v>
      </c>
      <c r="G166">
        <v>2000</v>
      </c>
      <c r="H166">
        <v>1000</v>
      </c>
    </row>
    <row r="167" spans="1:8" x14ac:dyDescent="0.25">
      <c r="D167" t="s">
        <v>13</v>
      </c>
      <c r="E167">
        <v>11</v>
      </c>
      <c r="F167">
        <v>71500</v>
      </c>
      <c r="G167">
        <f>11*4500</f>
        <v>49500</v>
      </c>
      <c r="H167">
        <f>11*2000</f>
        <v>22000</v>
      </c>
    </row>
    <row r="168" spans="1:8" x14ac:dyDescent="0.25">
      <c r="D168" t="s">
        <v>14</v>
      </c>
      <c r="E168">
        <v>25</v>
      </c>
      <c r="F168">
        <v>200000</v>
      </c>
      <c r="G168">
        <f>25*5500</f>
        <v>137500</v>
      </c>
      <c r="H168">
        <f>25*2500</f>
        <v>62500</v>
      </c>
    </row>
    <row r="169" spans="1:8" x14ac:dyDescent="0.25">
      <c r="D169" t="s">
        <v>14</v>
      </c>
      <c r="E169">
        <v>1</v>
      </c>
      <c r="F169">
        <v>10000</v>
      </c>
      <c r="G169">
        <v>5500</v>
      </c>
      <c r="H169">
        <v>4500</v>
      </c>
    </row>
    <row r="170" spans="1:8" x14ac:dyDescent="0.25">
      <c r="C170" t="s">
        <v>15</v>
      </c>
      <c r="D170" t="s">
        <v>13</v>
      </c>
      <c r="E170">
        <v>17</v>
      </c>
      <c r="F170">
        <v>110500</v>
      </c>
      <c r="G170">
        <f>17*4500</f>
        <v>76500</v>
      </c>
      <c r="H170">
        <f>17*2000</f>
        <v>34000</v>
      </c>
    </row>
    <row r="171" spans="1:8" x14ac:dyDescent="0.25">
      <c r="D171" t="s">
        <v>14</v>
      </c>
      <c r="E171">
        <v>4</v>
      </c>
      <c r="F171">
        <v>40000</v>
      </c>
      <c r="G171">
        <f>4*5500</f>
        <v>22000</v>
      </c>
      <c r="H171">
        <f>4*4500</f>
        <v>18000</v>
      </c>
    </row>
    <row r="172" spans="1:8" x14ac:dyDescent="0.25">
      <c r="D172" t="s">
        <v>14</v>
      </c>
      <c r="E172">
        <v>6</v>
      </c>
      <c r="F172">
        <v>48000</v>
      </c>
      <c r="G172">
        <f>6*5500</f>
        <v>33000</v>
      </c>
      <c r="H172">
        <f>6*2500</f>
        <v>15000</v>
      </c>
    </row>
    <row r="173" spans="1:8" x14ac:dyDescent="0.25">
      <c r="C173" t="s">
        <v>16</v>
      </c>
      <c r="D173" t="s">
        <v>11</v>
      </c>
      <c r="E173">
        <v>50</v>
      </c>
      <c r="F173">
        <v>75000</v>
      </c>
      <c r="G173">
        <f>50*500</f>
        <v>25000</v>
      </c>
      <c r="H173">
        <v>50000</v>
      </c>
    </row>
    <row r="174" spans="1:8" x14ac:dyDescent="0.25">
      <c r="D174" t="s">
        <v>12</v>
      </c>
      <c r="E174">
        <v>5</v>
      </c>
      <c r="F174">
        <v>15000</v>
      </c>
      <c r="G174">
        <v>10000</v>
      </c>
      <c r="H174">
        <v>5000</v>
      </c>
    </row>
    <row r="175" spans="1:8" x14ac:dyDescent="0.25">
      <c r="D175" t="s">
        <v>25</v>
      </c>
      <c r="E175">
        <v>1</v>
      </c>
      <c r="F175">
        <v>13000</v>
      </c>
      <c r="G175">
        <v>10000</v>
      </c>
      <c r="H175">
        <v>3000</v>
      </c>
    </row>
    <row r="176" spans="1:8" x14ac:dyDescent="0.25">
      <c r="C176" t="s">
        <v>10</v>
      </c>
      <c r="D176" t="s">
        <v>12</v>
      </c>
      <c r="E176">
        <v>1</v>
      </c>
      <c r="F176">
        <v>3000</v>
      </c>
      <c r="G176">
        <v>2000</v>
      </c>
      <c r="H176">
        <v>1000</v>
      </c>
    </row>
    <row r="177" spans="1:8" x14ac:dyDescent="0.25">
      <c r="D177" t="s">
        <v>13</v>
      </c>
      <c r="E177">
        <v>29</v>
      </c>
      <c r="F177">
        <v>188500</v>
      </c>
      <c r="G177">
        <f>29*4500</f>
        <v>130500</v>
      </c>
      <c r="H177">
        <f>29*2000</f>
        <v>58000</v>
      </c>
    </row>
    <row r="178" spans="1:8" x14ac:dyDescent="0.25">
      <c r="D178" t="s">
        <v>14</v>
      </c>
      <c r="E178">
        <v>6</v>
      </c>
      <c r="F178">
        <v>60000</v>
      </c>
      <c r="G178">
        <f>6*5500</f>
        <v>33000</v>
      </c>
      <c r="H178">
        <f>6*4500</f>
        <v>27000</v>
      </c>
    </row>
    <row r="179" spans="1:8" x14ac:dyDescent="0.25">
      <c r="C179" t="s">
        <v>86</v>
      </c>
      <c r="D179" t="s">
        <v>21</v>
      </c>
      <c r="E179">
        <v>2</v>
      </c>
      <c r="F179">
        <v>30000</v>
      </c>
      <c r="G179">
        <v>22000</v>
      </c>
      <c r="H179">
        <v>8000</v>
      </c>
    </row>
    <row r="180" spans="1:8" x14ac:dyDescent="0.25">
      <c r="A180" s="111" t="s">
        <v>17</v>
      </c>
      <c r="B180" s="111"/>
      <c r="C180" s="111"/>
      <c r="D180" s="111"/>
      <c r="E180" s="111"/>
      <c r="F180" s="1">
        <f>SUM(F163:F179)</f>
        <v>1487500</v>
      </c>
      <c r="G180" s="1">
        <f>SUM(G163:G179)</f>
        <v>924000</v>
      </c>
      <c r="H180" s="1">
        <f>SUM(H163:H179)</f>
        <v>563500</v>
      </c>
    </row>
    <row r="181" spans="1:8" x14ac:dyDescent="0.25">
      <c r="A181" t="s">
        <v>30</v>
      </c>
      <c r="B181" t="s">
        <v>87</v>
      </c>
      <c r="C181" t="s">
        <v>77</v>
      </c>
      <c r="D181" t="s">
        <v>11</v>
      </c>
      <c r="E181">
        <v>200</v>
      </c>
      <c r="F181">
        <v>300000</v>
      </c>
      <c r="G181">
        <f>200*500</f>
        <v>100000</v>
      </c>
      <c r="H181">
        <v>200000</v>
      </c>
    </row>
    <row r="182" spans="1:8" x14ac:dyDescent="0.25">
      <c r="C182" t="s">
        <v>80</v>
      </c>
      <c r="D182" t="s">
        <v>11</v>
      </c>
      <c r="E182">
        <v>20</v>
      </c>
      <c r="F182">
        <v>30000</v>
      </c>
      <c r="G182">
        <f>20*500</f>
        <v>10000</v>
      </c>
      <c r="H182">
        <v>20000</v>
      </c>
    </row>
    <row r="183" spans="1:8" x14ac:dyDescent="0.25">
      <c r="C183" t="s">
        <v>16</v>
      </c>
      <c r="D183" t="s">
        <v>11</v>
      </c>
      <c r="E183">
        <v>14</v>
      </c>
      <c r="F183">
        <v>21000</v>
      </c>
      <c r="G183">
        <f>14*500</f>
        <v>7000</v>
      </c>
      <c r="H183">
        <v>14000</v>
      </c>
    </row>
    <row r="184" spans="1:8" x14ac:dyDescent="0.25">
      <c r="C184" t="s">
        <v>10</v>
      </c>
      <c r="D184" t="s">
        <v>11</v>
      </c>
      <c r="E184">
        <v>40</v>
      </c>
      <c r="F184">
        <f>40*1500</f>
        <v>60000</v>
      </c>
      <c r="G184">
        <f>40*500</f>
        <v>20000</v>
      </c>
      <c r="H184">
        <v>40000</v>
      </c>
    </row>
    <row r="185" spans="1:8" x14ac:dyDescent="0.25">
      <c r="D185" t="s">
        <v>12</v>
      </c>
      <c r="E185">
        <v>2</v>
      </c>
      <c r="F185">
        <v>6000</v>
      </c>
      <c r="G185">
        <v>4000</v>
      </c>
      <c r="H185">
        <v>2000</v>
      </c>
    </row>
    <row r="186" spans="1:8" x14ac:dyDescent="0.25">
      <c r="D186" t="s">
        <v>13</v>
      </c>
      <c r="E186">
        <v>3</v>
      </c>
      <c r="F186">
        <f>3*6500</f>
        <v>19500</v>
      </c>
      <c r="G186">
        <f>3*4500</f>
        <v>13500</v>
      </c>
      <c r="H186">
        <v>6000</v>
      </c>
    </row>
    <row r="187" spans="1:8" x14ac:dyDescent="0.25">
      <c r="D187" t="s">
        <v>25</v>
      </c>
      <c r="E187">
        <v>3</v>
      </c>
      <c r="F187">
        <f>3*13000</f>
        <v>39000</v>
      </c>
      <c r="G187">
        <v>30000</v>
      </c>
      <c r="H187">
        <v>9000</v>
      </c>
    </row>
    <row r="188" spans="1:8" x14ac:dyDescent="0.25">
      <c r="A188" s="111" t="s">
        <v>17</v>
      </c>
      <c r="B188" s="111"/>
      <c r="C188" s="111"/>
      <c r="D188" s="111"/>
      <c r="E188" s="111"/>
      <c r="F188" s="1">
        <f>SUM(F181:F187)</f>
        <v>475500</v>
      </c>
      <c r="G188" s="1">
        <f>SUM(G181:G187)</f>
        <v>184500</v>
      </c>
      <c r="H188" s="1">
        <f>SUM(H181:H187)</f>
        <v>291000</v>
      </c>
    </row>
    <row r="189" spans="1:8" x14ac:dyDescent="0.25">
      <c r="A189" t="s">
        <v>32</v>
      </c>
      <c r="B189" t="s">
        <v>88</v>
      </c>
      <c r="C189" t="s">
        <v>77</v>
      </c>
      <c r="D189" t="s">
        <v>11</v>
      </c>
      <c r="E189">
        <v>100</v>
      </c>
      <c r="F189">
        <v>150000</v>
      </c>
      <c r="G189">
        <v>50000</v>
      </c>
      <c r="H189">
        <v>100000</v>
      </c>
    </row>
    <row r="190" spans="1:8" x14ac:dyDescent="0.25">
      <c r="C190" t="s">
        <v>80</v>
      </c>
      <c r="D190" t="s">
        <v>11</v>
      </c>
      <c r="E190">
        <v>19</v>
      </c>
      <c r="F190">
        <f>19*1500</f>
        <v>28500</v>
      </c>
      <c r="G190">
        <f>19*500</f>
        <v>9500</v>
      </c>
      <c r="H190">
        <v>19000</v>
      </c>
    </row>
    <row r="191" spans="1:8" x14ac:dyDescent="0.25">
      <c r="C191" t="s">
        <v>48</v>
      </c>
      <c r="D191" t="s">
        <v>13</v>
      </c>
      <c r="E191">
        <v>4</v>
      </c>
      <c r="F191">
        <v>26000</v>
      </c>
      <c r="G191">
        <f>4*4500</f>
        <v>18000</v>
      </c>
      <c r="H191">
        <v>8000</v>
      </c>
    </row>
    <row r="192" spans="1:8" x14ac:dyDescent="0.25">
      <c r="C192" t="s">
        <v>10</v>
      </c>
      <c r="D192" t="s">
        <v>11</v>
      </c>
      <c r="E192">
        <v>43</v>
      </c>
      <c r="F192">
        <f>43*1500</f>
        <v>64500</v>
      </c>
      <c r="G192">
        <f>43*500</f>
        <v>21500</v>
      </c>
      <c r="H192">
        <v>43000</v>
      </c>
    </row>
    <row r="193" spans="1:12" x14ac:dyDescent="0.25">
      <c r="D193" t="s">
        <v>12</v>
      </c>
      <c r="E193">
        <v>3</v>
      </c>
      <c r="F193">
        <v>9000</v>
      </c>
      <c r="G193">
        <v>6000</v>
      </c>
      <c r="H193">
        <v>3000</v>
      </c>
    </row>
    <row r="194" spans="1:12" x14ac:dyDescent="0.25">
      <c r="C194" t="s">
        <v>16</v>
      </c>
      <c r="D194" t="s">
        <v>11</v>
      </c>
      <c r="E194">
        <v>43</v>
      </c>
      <c r="F194">
        <f>43*1500</f>
        <v>64500</v>
      </c>
      <c r="G194">
        <f>43*500</f>
        <v>21500</v>
      </c>
      <c r="H194">
        <v>43000</v>
      </c>
    </row>
    <row r="195" spans="1:12" x14ac:dyDescent="0.25">
      <c r="D195" t="s">
        <v>12</v>
      </c>
      <c r="E195">
        <v>3</v>
      </c>
      <c r="F195">
        <v>9000</v>
      </c>
      <c r="G195">
        <v>6000</v>
      </c>
      <c r="H195">
        <v>3000</v>
      </c>
    </row>
    <row r="196" spans="1:12" x14ac:dyDescent="0.25">
      <c r="A196" s="111" t="s">
        <v>17</v>
      </c>
      <c r="B196" s="111"/>
      <c r="C196" s="111"/>
      <c r="D196" s="111"/>
      <c r="E196" s="111"/>
      <c r="F196" s="1">
        <f>SUM(F189:F195)</f>
        <v>351500</v>
      </c>
      <c r="G196" s="1">
        <f>SUM(G189:G195)</f>
        <v>132500</v>
      </c>
      <c r="H196" s="1">
        <f>SUM(H189:H195)</f>
        <v>219000</v>
      </c>
    </row>
    <row r="197" spans="1:12" x14ac:dyDescent="0.25">
      <c r="A197" t="s">
        <v>8</v>
      </c>
      <c r="B197" t="s">
        <v>89</v>
      </c>
      <c r="C197" t="s">
        <v>77</v>
      </c>
      <c r="D197" t="s">
        <v>11</v>
      </c>
      <c r="E197">
        <v>110</v>
      </c>
      <c r="F197">
        <v>165000</v>
      </c>
      <c r="G197">
        <f>110*500</f>
        <v>55000</v>
      </c>
      <c r="H197">
        <v>110000</v>
      </c>
    </row>
    <row r="198" spans="1:12" x14ac:dyDescent="0.25">
      <c r="C198" t="s">
        <v>80</v>
      </c>
      <c r="D198" t="s">
        <v>11</v>
      </c>
      <c r="E198">
        <v>25</v>
      </c>
      <c r="F198">
        <f>25*1500</f>
        <v>37500</v>
      </c>
      <c r="G198">
        <f>25*500</f>
        <v>12500</v>
      </c>
      <c r="H198">
        <v>25000</v>
      </c>
    </row>
    <row r="199" spans="1:12" x14ac:dyDescent="0.25">
      <c r="C199" t="s">
        <v>10</v>
      </c>
      <c r="D199" t="s">
        <v>11</v>
      </c>
      <c r="E199">
        <v>31</v>
      </c>
      <c r="F199">
        <v>46500</v>
      </c>
      <c r="G199">
        <f>31*500</f>
        <v>15500</v>
      </c>
      <c r="H199">
        <v>31000</v>
      </c>
    </row>
    <row r="200" spans="1:12" x14ac:dyDescent="0.25">
      <c r="D200" t="s">
        <v>12</v>
      </c>
      <c r="E200">
        <v>1</v>
      </c>
      <c r="F200">
        <v>3000</v>
      </c>
      <c r="G200">
        <v>2000</v>
      </c>
      <c r="H200">
        <v>1000</v>
      </c>
    </row>
    <row r="201" spans="1:12" x14ac:dyDescent="0.25">
      <c r="D201" t="s">
        <v>13</v>
      </c>
      <c r="E201">
        <v>1</v>
      </c>
      <c r="F201">
        <v>6500</v>
      </c>
      <c r="G201">
        <v>4500</v>
      </c>
      <c r="H201">
        <v>2000</v>
      </c>
    </row>
    <row r="202" spans="1:12" x14ac:dyDescent="0.25">
      <c r="C202" t="s">
        <v>16</v>
      </c>
      <c r="D202" t="s">
        <v>11</v>
      </c>
      <c r="E202">
        <v>44</v>
      </c>
      <c r="F202">
        <v>66000</v>
      </c>
      <c r="G202">
        <f>44*500</f>
        <v>22000</v>
      </c>
      <c r="H202">
        <v>44000</v>
      </c>
    </row>
    <row r="203" spans="1:12" x14ac:dyDescent="0.25">
      <c r="D203" t="s">
        <v>12</v>
      </c>
      <c r="E203">
        <v>5</v>
      </c>
      <c r="F203">
        <v>15000</v>
      </c>
      <c r="G203">
        <v>10000</v>
      </c>
      <c r="H203">
        <v>5000</v>
      </c>
    </row>
    <row r="204" spans="1:12" x14ac:dyDescent="0.25">
      <c r="C204" t="s">
        <v>81</v>
      </c>
      <c r="D204" t="s">
        <v>11</v>
      </c>
      <c r="E204">
        <v>15</v>
      </c>
      <c r="F204">
        <f>15*1500</f>
        <v>22500</v>
      </c>
      <c r="G204">
        <f>15*500</f>
        <v>7500</v>
      </c>
      <c r="H204">
        <v>15000</v>
      </c>
    </row>
    <row r="205" spans="1:12" x14ac:dyDescent="0.25">
      <c r="D205" t="s">
        <v>12</v>
      </c>
      <c r="E205">
        <v>17</v>
      </c>
      <c r="F205">
        <f>17*3000</f>
        <v>51000</v>
      </c>
      <c r="G205">
        <f>17*2000</f>
        <v>34000</v>
      </c>
      <c r="H205">
        <v>17000</v>
      </c>
    </row>
    <row r="206" spans="1:12" x14ac:dyDescent="0.25">
      <c r="D206" t="s">
        <v>13</v>
      </c>
      <c r="E206">
        <v>8</v>
      </c>
      <c r="F206">
        <f>8*6500</f>
        <v>52000</v>
      </c>
      <c r="G206">
        <f>8*4500</f>
        <v>36000</v>
      </c>
      <c r="H206">
        <v>16000</v>
      </c>
    </row>
    <row r="207" spans="1:12" x14ac:dyDescent="0.25">
      <c r="A207" s="111" t="s">
        <v>17</v>
      </c>
      <c r="B207" s="111"/>
      <c r="C207" s="111"/>
      <c r="D207" s="111"/>
      <c r="E207" s="111"/>
      <c r="F207" s="1">
        <f>SUM(F197:F206)</f>
        <v>465000</v>
      </c>
      <c r="G207" s="1">
        <f>SUM(G197:G206)</f>
        <v>199000</v>
      </c>
      <c r="H207" s="1">
        <f>SUM(H197:H206)</f>
        <v>266000</v>
      </c>
    </row>
    <row r="208" spans="1:12" x14ac:dyDescent="0.25">
      <c r="A208" t="s">
        <v>18</v>
      </c>
      <c r="B208" t="s">
        <v>90</v>
      </c>
      <c r="C208" t="s">
        <v>24</v>
      </c>
      <c r="D208" t="s">
        <v>25</v>
      </c>
      <c r="E208">
        <v>2</v>
      </c>
      <c r="F208">
        <v>30000</v>
      </c>
      <c r="G208">
        <v>20000</v>
      </c>
      <c r="H208">
        <v>10000</v>
      </c>
      <c r="I208" s="1"/>
      <c r="J208" s="1"/>
      <c r="K208" s="1"/>
      <c r="L208" s="1"/>
    </row>
    <row r="209" spans="1:9" x14ac:dyDescent="0.25">
      <c r="D209" t="s">
        <v>21</v>
      </c>
      <c r="E209">
        <v>1</v>
      </c>
      <c r="F209">
        <v>17000</v>
      </c>
      <c r="G209">
        <v>11000</v>
      </c>
      <c r="H209">
        <v>6000</v>
      </c>
      <c r="I209" s="1"/>
    </row>
    <row r="210" spans="1:9" x14ac:dyDescent="0.25">
      <c r="C210" t="s">
        <v>77</v>
      </c>
      <c r="D210" t="s">
        <v>11</v>
      </c>
      <c r="E210">
        <v>110</v>
      </c>
      <c r="F210">
        <v>165000</v>
      </c>
      <c r="G210">
        <f>110*500</f>
        <v>55000</v>
      </c>
      <c r="H210">
        <v>110000</v>
      </c>
      <c r="I210" s="1"/>
    </row>
    <row r="211" spans="1:9" x14ac:dyDescent="0.25">
      <c r="C211" t="s">
        <v>16</v>
      </c>
      <c r="D211" t="s">
        <v>11</v>
      </c>
      <c r="E211">
        <v>19</v>
      </c>
      <c r="F211">
        <v>28500</v>
      </c>
      <c r="G211">
        <f>19*500</f>
        <v>9500</v>
      </c>
      <c r="H211">
        <v>19000</v>
      </c>
      <c r="I211" s="1"/>
    </row>
    <row r="212" spans="1:9" x14ac:dyDescent="0.25">
      <c r="D212" t="s">
        <v>12</v>
      </c>
      <c r="E212">
        <v>2</v>
      </c>
      <c r="F212">
        <v>6000</v>
      </c>
      <c r="G212">
        <v>4000</v>
      </c>
      <c r="H212">
        <v>2000</v>
      </c>
      <c r="I212" s="1"/>
    </row>
    <row r="213" spans="1:9" x14ac:dyDescent="0.25">
      <c r="C213" t="s">
        <v>10</v>
      </c>
      <c r="D213" t="s">
        <v>11</v>
      </c>
      <c r="E213">
        <v>38</v>
      </c>
      <c r="F213">
        <v>57000</v>
      </c>
      <c r="G213">
        <f>38*500</f>
        <v>19000</v>
      </c>
      <c r="H213">
        <v>38000</v>
      </c>
      <c r="I213" s="1"/>
    </row>
    <row r="214" spans="1:9" x14ac:dyDescent="0.25">
      <c r="D214" t="s">
        <v>12</v>
      </c>
      <c r="E214">
        <v>2</v>
      </c>
      <c r="F214">
        <v>6000</v>
      </c>
      <c r="G214">
        <v>4000</v>
      </c>
      <c r="H214">
        <v>2000</v>
      </c>
      <c r="I214" s="1"/>
    </row>
    <row r="215" spans="1:9" x14ac:dyDescent="0.25">
      <c r="D215" t="s">
        <v>13</v>
      </c>
      <c r="E215">
        <v>2</v>
      </c>
      <c r="F215">
        <v>13000</v>
      </c>
      <c r="G215">
        <v>9000</v>
      </c>
      <c r="H215">
        <v>4000</v>
      </c>
      <c r="I215" s="1"/>
    </row>
    <row r="216" spans="1:9" x14ac:dyDescent="0.25">
      <c r="A216" s="111" t="s">
        <v>17</v>
      </c>
      <c r="B216" s="111"/>
      <c r="C216" s="111"/>
      <c r="D216" s="111"/>
      <c r="E216" s="111"/>
      <c r="F216" s="1">
        <f>SUM(F208:F215)</f>
        <v>322500</v>
      </c>
      <c r="G216" s="1">
        <f>SUM(G208:G215)</f>
        <v>131500</v>
      </c>
      <c r="H216" s="1">
        <f>SUM(H208:H215)</f>
        <v>191000</v>
      </c>
    </row>
    <row r="217" spans="1:9" x14ac:dyDescent="0.25">
      <c r="A217" t="s">
        <v>22</v>
      </c>
      <c r="B217" t="s">
        <v>91</v>
      </c>
      <c r="C217" t="s">
        <v>20</v>
      </c>
      <c r="D217" t="s">
        <v>13</v>
      </c>
      <c r="E217">
        <v>7</v>
      </c>
      <c r="F217">
        <v>45500</v>
      </c>
      <c r="G217">
        <f>7*4500</f>
        <v>31500</v>
      </c>
      <c r="H217">
        <v>14000</v>
      </c>
    </row>
    <row r="218" spans="1:9" x14ac:dyDescent="0.25">
      <c r="C218" t="s">
        <v>18</v>
      </c>
      <c r="D218" t="s">
        <v>14</v>
      </c>
      <c r="E218">
        <v>9</v>
      </c>
      <c r="F218">
        <v>90000</v>
      </c>
      <c r="G218">
        <f>9*5500</f>
        <v>49500</v>
      </c>
      <c r="H218">
        <f>9*4500</f>
        <v>40500</v>
      </c>
    </row>
    <row r="219" spans="1:9" x14ac:dyDescent="0.25">
      <c r="D219" t="s">
        <v>21</v>
      </c>
      <c r="E219">
        <v>2</v>
      </c>
      <c r="F219">
        <v>30000</v>
      </c>
      <c r="G219">
        <v>22000</v>
      </c>
      <c r="H219">
        <v>8000</v>
      </c>
    </row>
    <row r="220" spans="1:9" x14ac:dyDescent="0.25">
      <c r="C220" t="s">
        <v>20</v>
      </c>
      <c r="D220" t="s">
        <v>14</v>
      </c>
      <c r="E220">
        <v>5</v>
      </c>
      <c r="F220">
        <v>50000</v>
      </c>
      <c r="G220">
        <f>5*5500</f>
        <v>27500</v>
      </c>
      <c r="H220">
        <f>5*4500</f>
        <v>22500</v>
      </c>
    </row>
    <row r="221" spans="1:9" x14ac:dyDescent="0.25">
      <c r="C221" t="s">
        <v>80</v>
      </c>
      <c r="D221" t="s">
        <v>11</v>
      </c>
      <c r="E221">
        <v>25</v>
      </c>
      <c r="F221">
        <v>37500</v>
      </c>
      <c r="G221">
        <f>25*500</f>
        <v>12500</v>
      </c>
      <c r="H221">
        <v>25000</v>
      </c>
    </row>
    <row r="222" spans="1:9" x14ac:dyDescent="0.25">
      <c r="D222" t="s">
        <v>11</v>
      </c>
      <c r="E222">
        <f>F222/1500</f>
        <v>27</v>
      </c>
      <c r="F222">
        <v>40500</v>
      </c>
      <c r="G222">
        <f>27*500</f>
        <v>13500</v>
      </c>
      <c r="H222">
        <v>27000</v>
      </c>
    </row>
    <row r="223" spans="1:9" x14ac:dyDescent="0.25">
      <c r="C223" t="s">
        <v>63</v>
      </c>
      <c r="D223" t="s">
        <v>21</v>
      </c>
      <c r="E223">
        <v>4</v>
      </c>
      <c r="F223">
        <f>4*17000</f>
        <v>68000</v>
      </c>
      <c r="G223">
        <v>44000</v>
      </c>
      <c r="H223">
        <f>F223-G223</f>
        <v>24000</v>
      </c>
    </row>
    <row r="224" spans="1:9" x14ac:dyDescent="0.25">
      <c r="C224" t="s">
        <v>10</v>
      </c>
      <c r="D224" t="s">
        <v>11</v>
      </c>
      <c r="E224">
        <v>19</v>
      </c>
      <c r="F224">
        <v>28500</v>
      </c>
      <c r="G224">
        <f>19*500</f>
        <v>9500</v>
      </c>
      <c r="H224">
        <v>19000</v>
      </c>
    </row>
    <row r="225" spans="1:8" x14ac:dyDescent="0.25">
      <c r="D225" t="s">
        <v>12</v>
      </c>
      <c r="E225">
        <v>3</v>
      </c>
      <c r="F225">
        <v>9000</v>
      </c>
      <c r="G225">
        <v>6000</v>
      </c>
      <c r="H225">
        <v>3000</v>
      </c>
    </row>
    <row r="226" spans="1:8" x14ac:dyDescent="0.25">
      <c r="D226" t="s">
        <v>13</v>
      </c>
      <c r="E226">
        <v>6</v>
      </c>
      <c r="F226">
        <v>39000</v>
      </c>
      <c r="G226">
        <f>6*4500</f>
        <v>27000</v>
      </c>
      <c r="H226">
        <v>12000</v>
      </c>
    </row>
    <row r="227" spans="1:8" x14ac:dyDescent="0.25">
      <c r="C227" t="s">
        <v>16</v>
      </c>
      <c r="D227" t="s">
        <v>11</v>
      </c>
      <c r="E227">
        <v>56</v>
      </c>
      <c r="F227">
        <v>84000</v>
      </c>
      <c r="G227">
        <f>56*500</f>
        <v>28000</v>
      </c>
      <c r="H227">
        <v>56000</v>
      </c>
    </row>
    <row r="228" spans="1:8" x14ac:dyDescent="0.25">
      <c r="D228" t="s">
        <v>12</v>
      </c>
      <c r="E228">
        <v>2</v>
      </c>
      <c r="F228">
        <v>6000</v>
      </c>
      <c r="G228">
        <v>4000</v>
      </c>
      <c r="H228">
        <v>2000</v>
      </c>
    </row>
    <row r="229" spans="1:8" x14ac:dyDescent="0.25">
      <c r="D229" t="s">
        <v>13</v>
      </c>
      <c r="E229">
        <v>2</v>
      </c>
      <c r="F229">
        <v>13000</v>
      </c>
      <c r="G229">
        <v>9000</v>
      </c>
      <c r="H229">
        <v>4000</v>
      </c>
    </row>
    <row r="230" spans="1:8" x14ac:dyDescent="0.25">
      <c r="D230" t="s">
        <v>14</v>
      </c>
      <c r="E230">
        <v>1</v>
      </c>
      <c r="F230">
        <v>10000</v>
      </c>
      <c r="G230">
        <v>5500</v>
      </c>
      <c r="H230">
        <v>4500</v>
      </c>
    </row>
    <row r="231" spans="1:8" x14ac:dyDescent="0.25">
      <c r="A231" s="111" t="s">
        <v>17</v>
      </c>
      <c r="B231" s="111"/>
      <c r="C231" s="111"/>
      <c r="D231" s="111"/>
      <c r="E231" s="111"/>
      <c r="F231" s="1">
        <f>SUM(F217:F230)</f>
        <v>551000</v>
      </c>
      <c r="G231" s="1">
        <f>SUM(G217:G230)</f>
        <v>289500</v>
      </c>
      <c r="H231" s="1">
        <f>SUM(H217:H230)</f>
        <v>261500</v>
      </c>
    </row>
    <row r="232" spans="1:8" x14ac:dyDescent="0.25">
      <c r="A232" t="s">
        <v>26</v>
      </c>
      <c r="B232" t="s">
        <v>92</v>
      </c>
      <c r="C232" t="s">
        <v>77</v>
      </c>
      <c r="D232" t="s">
        <v>11</v>
      </c>
      <c r="E232">
        <v>90</v>
      </c>
      <c r="F232">
        <v>135000</v>
      </c>
      <c r="G232">
        <f>90*500</f>
        <v>45000</v>
      </c>
      <c r="H232">
        <v>90000</v>
      </c>
    </row>
    <row r="233" spans="1:8" x14ac:dyDescent="0.25">
      <c r="D233" t="s">
        <v>11</v>
      </c>
      <c r="E233">
        <v>100</v>
      </c>
      <c r="F233">
        <v>150000</v>
      </c>
      <c r="G233">
        <v>50000</v>
      </c>
      <c r="H233">
        <v>100000</v>
      </c>
    </row>
    <row r="234" spans="1:8" x14ac:dyDescent="0.25">
      <c r="C234" t="s">
        <v>16</v>
      </c>
      <c r="D234" t="s">
        <v>11</v>
      </c>
      <c r="E234">
        <v>30</v>
      </c>
      <c r="F234">
        <v>45000</v>
      </c>
      <c r="G234">
        <f>30*500</f>
        <v>15000</v>
      </c>
      <c r="H234">
        <v>30000</v>
      </c>
    </row>
    <row r="235" spans="1:8" x14ac:dyDescent="0.25">
      <c r="D235" t="s">
        <v>12</v>
      </c>
      <c r="E235">
        <v>2</v>
      </c>
      <c r="F235">
        <v>6000</v>
      </c>
      <c r="G235">
        <v>4000</v>
      </c>
      <c r="H235">
        <v>2000</v>
      </c>
    </row>
    <row r="236" spans="1:8" x14ac:dyDescent="0.25">
      <c r="D236" t="s">
        <v>13</v>
      </c>
      <c r="E236">
        <v>1</v>
      </c>
      <c r="F236">
        <v>6500</v>
      </c>
      <c r="G236">
        <v>4500</v>
      </c>
      <c r="H236">
        <v>2000</v>
      </c>
    </row>
    <row r="237" spans="1:8" x14ac:dyDescent="0.25">
      <c r="D237" t="s">
        <v>21</v>
      </c>
      <c r="E237">
        <v>1</v>
      </c>
      <c r="F237">
        <v>15000</v>
      </c>
      <c r="G237">
        <v>11000</v>
      </c>
      <c r="H237">
        <v>4000</v>
      </c>
    </row>
    <row r="238" spans="1:8" x14ac:dyDescent="0.25">
      <c r="C238" t="s">
        <v>10</v>
      </c>
      <c r="D238" t="s">
        <v>11</v>
      </c>
      <c r="E238">
        <v>9</v>
      </c>
      <c r="F238">
        <v>13500</v>
      </c>
      <c r="G238">
        <f>9*500</f>
        <v>4500</v>
      </c>
      <c r="H238">
        <v>9000</v>
      </c>
    </row>
    <row r="239" spans="1:8" x14ac:dyDescent="0.25">
      <c r="D239" t="s">
        <v>12</v>
      </c>
      <c r="E239">
        <v>10</v>
      </c>
      <c r="F239">
        <v>30000</v>
      </c>
      <c r="G239">
        <v>20000</v>
      </c>
      <c r="H239">
        <v>10000</v>
      </c>
    </row>
    <row r="240" spans="1:8" x14ac:dyDescent="0.25">
      <c r="D240" t="s">
        <v>13</v>
      </c>
      <c r="E240">
        <v>38</v>
      </c>
      <c r="F240">
        <v>247000</v>
      </c>
      <c r="G240">
        <f>38*4500</f>
        <v>171000</v>
      </c>
      <c r="H240">
        <f>38*2000</f>
        <v>76000</v>
      </c>
    </row>
    <row r="241" spans="1:8" x14ac:dyDescent="0.25">
      <c r="D241" t="s">
        <v>14</v>
      </c>
      <c r="E241">
        <v>8</v>
      </c>
      <c r="F241">
        <v>80000</v>
      </c>
      <c r="G241">
        <f>8*5500</f>
        <v>44000</v>
      </c>
      <c r="H241">
        <f>8*4500</f>
        <v>36000</v>
      </c>
    </row>
    <row r="242" spans="1:8" x14ac:dyDescent="0.25">
      <c r="D242" t="s">
        <v>14</v>
      </c>
      <c r="E242">
        <v>10</v>
      </c>
      <c r="F242">
        <v>80000</v>
      </c>
      <c r="G242">
        <f>10*5500</f>
        <v>55000</v>
      </c>
      <c r="H242">
        <v>25000</v>
      </c>
    </row>
    <row r="243" spans="1:8" x14ac:dyDescent="0.25">
      <c r="A243" s="111" t="s">
        <v>17</v>
      </c>
      <c r="B243" s="111"/>
      <c r="C243" s="111"/>
      <c r="D243" s="111"/>
      <c r="E243" s="111"/>
      <c r="F243" s="1">
        <f>SUM(F232:F242)</f>
        <v>808000</v>
      </c>
      <c r="G243" s="1">
        <f>SUM(G232:G242)</f>
        <v>424000</v>
      </c>
      <c r="H243" s="1">
        <f>SUM(H232:H242)</f>
        <v>384000</v>
      </c>
    </row>
    <row r="244" spans="1:8" x14ac:dyDescent="0.25">
      <c r="A244" t="s">
        <v>28</v>
      </c>
      <c r="B244" t="s">
        <v>93</v>
      </c>
      <c r="C244" t="s">
        <v>20</v>
      </c>
      <c r="D244" t="s">
        <v>13</v>
      </c>
      <c r="E244">
        <v>15</v>
      </c>
      <c r="F244">
        <v>97500</v>
      </c>
      <c r="G244">
        <f>15*4500</f>
        <v>67500</v>
      </c>
      <c r="H244">
        <f>15*2000</f>
        <v>30000</v>
      </c>
    </row>
    <row r="245" spans="1:8" x14ac:dyDescent="0.25">
      <c r="D245" t="s">
        <v>14</v>
      </c>
      <c r="E245">
        <v>28</v>
      </c>
      <c r="F245">
        <v>280000</v>
      </c>
      <c r="G245">
        <f>28*5500</f>
        <v>154000</v>
      </c>
      <c r="H245">
        <f>28*4500</f>
        <v>126000</v>
      </c>
    </row>
    <row r="246" spans="1:8" x14ac:dyDescent="0.25">
      <c r="D246" t="s">
        <v>21</v>
      </c>
      <c r="E246">
        <v>3</v>
      </c>
      <c r="F246">
        <v>45000</v>
      </c>
      <c r="G246">
        <v>33000</v>
      </c>
      <c r="H246">
        <f>F246-G246</f>
        <v>12000</v>
      </c>
    </row>
    <row r="247" spans="1:8" x14ac:dyDescent="0.25">
      <c r="C247" t="s">
        <v>10</v>
      </c>
      <c r="D247" t="s">
        <v>13</v>
      </c>
      <c r="E247">
        <v>9</v>
      </c>
      <c r="F247">
        <v>58500</v>
      </c>
      <c r="G247">
        <f>9*4500</f>
        <v>40500</v>
      </c>
      <c r="H247">
        <v>18000</v>
      </c>
    </row>
    <row r="248" spans="1:8" x14ac:dyDescent="0.25">
      <c r="D248" t="s">
        <v>14</v>
      </c>
      <c r="E248">
        <v>9</v>
      </c>
      <c r="F248">
        <v>72000</v>
      </c>
      <c r="G248">
        <f>9*5500</f>
        <v>49500</v>
      </c>
      <c r="H248">
        <f>9*2500</f>
        <v>22500</v>
      </c>
    </row>
    <row r="249" spans="1:8" x14ac:dyDescent="0.25">
      <c r="C249" t="s">
        <v>15</v>
      </c>
      <c r="D249" t="s">
        <v>13</v>
      </c>
      <c r="E249">
        <v>4</v>
      </c>
      <c r="F249">
        <v>26000</v>
      </c>
      <c r="G249">
        <f>4*4500</f>
        <v>18000</v>
      </c>
      <c r="H249">
        <v>8000</v>
      </c>
    </row>
    <row r="250" spans="1:8" x14ac:dyDescent="0.25">
      <c r="D250" t="s">
        <v>14</v>
      </c>
      <c r="E250">
        <v>4</v>
      </c>
      <c r="F250">
        <v>32000</v>
      </c>
      <c r="G250">
        <f>4*5500</f>
        <v>22000</v>
      </c>
      <c r="H250">
        <f>4*2500</f>
        <v>10000</v>
      </c>
    </row>
    <row r="251" spans="1:8" x14ac:dyDescent="0.25">
      <c r="C251" t="s">
        <v>44</v>
      </c>
      <c r="D251" t="s">
        <v>13</v>
      </c>
      <c r="E251">
        <v>6</v>
      </c>
      <c r="F251">
        <f>6*6500</f>
        <v>39000</v>
      </c>
      <c r="G251">
        <f>6*4500</f>
        <v>27000</v>
      </c>
      <c r="H251">
        <v>12000</v>
      </c>
    </row>
    <row r="252" spans="1:8" x14ac:dyDescent="0.25">
      <c r="C252" t="s">
        <v>10</v>
      </c>
      <c r="D252" t="s">
        <v>13</v>
      </c>
      <c r="E252">
        <v>7</v>
      </c>
      <c r="F252">
        <v>45500</v>
      </c>
      <c r="G252">
        <f>7*4500</f>
        <v>31500</v>
      </c>
      <c r="H252">
        <v>14000</v>
      </c>
    </row>
    <row r="253" spans="1:8" x14ac:dyDescent="0.25">
      <c r="D253" t="s">
        <v>14</v>
      </c>
      <c r="E253">
        <v>9</v>
      </c>
      <c r="F253">
        <v>72000</v>
      </c>
      <c r="G253">
        <f>9*5500</f>
        <v>49500</v>
      </c>
      <c r="H253">
        <f>9*2500</f>
        <v>22500</v>
      </c>
    </row>
    <row r="254" spans="1:8" x14ac:dyDescent="0.25">
      <c r="C254" t="s">
        <v>16</v>
      </c>
      <c r="D254" t="s">
        <v>11</v>
      </c>
      <c r="E254">
        <v>55</v>
      </c>
      <c r="F254">
        <v>82500</v>
      </c>
      <c r="G254">
        <f>55*500</f>
        <v>27500</v>
      </c>
      <c r="H254">
        <v>55000</v>
      </c>
    </row>
    <row r="255" spans="1:8" x14ac:dyDescent="0.25">
      <c r="D255" t="s">
        <v>12</v>
      </c>
      <c r="E255">
        <v>6</v>
      </c>
      <c r="F255">
        <v>18000</v>
      </c>
      <c r="G255">
        <v>12000</v>
      </c>
      <c r="H255">
        <v>6000</v>
      </c>
    </row>
    <row r="256" spans="1:8" x14ac:dyDescent="0.25">
      <c r="D256" t="s">
        <v>13</v>
      </c>
      <c r="E256">
        <v>2</v>
      </c>
      <c r="F256">
        <v>13000</v>
      </c>
      <c r="G256">
        <v>9000</v>
      </c>
      <c r="H256">
        <v>4000</v>
      </c>
    </row>
    <row r="257" spans="1:8" x14ac:dyDescent="0.25">
      <c r="D257" t="s">
        <v>14</v>
      </c>
      <c r="E257">
        <v>2</v>
      </c>
      <c r="F257">
        <v>20000</v>
      </c>
      <c r="G257">
        <v>11000</v>
      </c>
      <c r="H257">
        <v>9000</v>
      </c>
    </row>
    <row r="258" spans="1:8" x14ac:dyDescent="0.25">
      <c r="C258" t="s">
        <v>63</v>
      </c>
      <c r="D258" t="s">
        <v>21</v>
      </c>
      <c r="E258">
        <v>1</v>
      </c>
      <c r="F258">
        <v>15000</v>
      </c>
      <c r="G258">
        <v>11000</v>
      </c>
      <c r="H258">
        <v>4000</v>
      </c>
    </row>
    <row r="259" spans="1:8" x14ac:dyDescent="0.25">
      <c r="A259" s="111" t="s">
        <v>17</v>
      </c>
      <c r="B259" s="111"/>
      <c r="C259" s="111"/>
      <c r="D259" s="111"/>
      <c r="E259" s="111"/>
      <c r="F259" s="1">
        <f>SUM(F244:F258)</f>
        <v>916000</v>
      </c>
      <c r="G259" s="1">
        <f>SUM(G244:G258)</f>
        <v>563000</v>
      </c>
      <c r="H259" s="1">
        <f>SUM(H244:H258)</f>
        <v>353000</v>
      </c>
    </row>
    <row r="260" spans="1:8" x14ac:dyDescent="0.25">
      <c r="A260" t="s">
        <v>30</v>
      </c>
      <c r="B260" t="s">
        <v>94</v>
      </c>
      <c r="C260" t="s">
        <v>77</v>
      </c>
      <c r="D260" t="s">
        <v>11</v>
      </c>
      <c r="E260">
        <v>110</v>
      </c>
      <c r="F260">
        <v>165000</v>
      </c>
      <c r="G260">
        <f>110*500</f>
        <v>55000</v>
      </c>
      <c r="H260">
        <v>110000</v>
      </c>
    </row>
    <row r="261" spans="1:8" x14ac:dyDescent="0.25">
      <c r="C261" t="s">
        <v>80</v>
      </c>
      <c r="D261" t="s">
        <v>11</v>
      </c>
      <c r="E261">
        <v>10</v>
      </c>
      <c r="F261">
        <v>15000</v>
      </c>
      <c r="G261">
        <v>5000</v>
      </c>
      <c r="H261">
        <v>10000</v>
      </c>
    </row>
    <row r="262" spans="1:8" x14ac:dyDescent="0.25">
      <c r="C262" t="s">
        <v>10</v>
      </c>
      <c r="D262" t="s">
        <v>11</v>
      </c>
      <c r="E262">
        <v>30</v>
      </c>
      <c r="F262">
        <v>45000</v>
      </c>
      <c r="G262">
        <f>30*500</f>
        <v>15000</v>
      </c>
      <c r="H262">
        <v>30000</v>
      </c>
    </row>
    <row r="263" spans="1:8" x14ac:dyDescent="0.25">
      <c r="D263" t="s">
        <v>12</v>
      </c>
      <c r="E263">
        <v>3</v>
      </c>
      <c r="F263">
        <v>9000</v>
      </c>
      <c r="G263">
        <v>6000</v>
      </c>
      <c r="H263">
        <v>3000</v>
      </c>
    </row>
    <row r="264" spans="1:8" x14ac:dyDescent="0.25">
      <c r="D264" t="s">
        <v>13</v>
      </c>
      <c r="E264">
        <v>6</v>
      </c>
      <c r="F264">
        <v>39000</v>
      </c>
      <c r="G264">
        <f>6*4500</f>
        <v>27000</v>
      </c>
      <c r="H264">
        <v>12000</v>
      </c>
    </row>
    <row r="265" spans="1:8" x14ac:dyDescent="0.25">
      <c r="D265" t="s">
        <v>14</v>
      </c>
      <c r="E265">
        <v>2</v>
      </c>
      <c r="F265">
        <v>20000</v>
      </c>
      <c r="G265">
        <v>11000</v>
      </c>
      <c r="H265">
        <v>9000</v>
      </c>
    </row>
    <row r="266" spans="1:8" x14ac:dyDescent="0.25">
      <c r="A266" s="111" t="s">
        <v>17</v>
      </c>
      <c r="B266" s="111"/>
      <c r="C266" s="111"/>
      <c r="D266" s="111"/>
      <c r="E266" s="111"/>
      <c r="F266" s="1">
        <f>SUM(F260:F265)</f>
        <v>293000</v>
      </c>
      <c r="G266" s="1">
        <f>SUM(G260:G265)</f>
        <v>119000</v>
      </c>
      <c r="H266" s="1">
        <f>SUM(H260:H265)</f>
        <v>174000</v>
      </c>
    </row>
    <row r="267" spans="1:8" x14ac:dyDescent="0.25">
      <c r="A267" t="s">
        <v>32</v>
      </c>
      <c r="B267" t="s">
        <v>95</v>
      </c>
      <c r="C267" t="s">
        <v>77</v>
      </c>
      <c r="D267" t="s">
        <v>11</v>
      </c>
      <c r="E267">
        <v>120</v>
      </c>
      <c r="F267">
        <v>180000</v>
      </c>
      <c r="G267">
        <f>120*500</f>
        <v>60000</v>
      </c>
      <c r="H267">
        <v>120000</v>
      </c>
    </row>
    <row r="268" spans="1:8" x14ac:dyDescent="0.25">
      <c r="C268" t="s">
        <v>80</v>
      </c>
      <c r="D268" t="s">
        <v>11</v>
      </c>
      <c r="E268">
        <v>30</v>
      </c>
      <c r="F268">
        <v>45000</v>
      </c>
      <c r="G268">
        <f>30*500</f>
        <v>15000</v>
      </c>
      <c r="H268">
        <v>30000</v>
      </c>
    </row>
    <row r="269" spans="1:8" x14ac:dyDescent="0.25">
      <c r="C269" t="s">
        <v>16</v>
      </c>
      <c r="D269" t="s">
        <v>11</v>
      </c>
      <c r="E269">
        <v>38</v>
      </c>
      <c r="F269">
        <v>57000</v>
      </c>
      <c r="G269">
        <f>38*500</f>
        <v>19000</v>
      </c>
      <c r="H269">
        <v>38000</v>
      </c>
    </row>
    <row r="270" spans="1:8" x14ac:dyDescent="0.25">
      <c r="D270" t="s">
        <v>14</v>
      </c>
      <c r="E270">
        <v>1</v>
      </c>
      <c r="F270">
        <v>10000</v>
      </c>
      <c r="G270">
        <v>5500</v>
      </c>
      <c r="H270">
        <v>4500</v>
      </c>
    </row>
    <row r="271" spans="1:8" x14ac:dyDescent="0.25">
      <c r="D271" t="s">
        <v>21</v>
      </c>
      <c r="E271">
        <v>1</v>
      </c>
      <c r="F271">
        <v>15000</v>
      </c>
      <c r="G271">
        <v>11000</v>
      </c>
      <c r="H271">
        <v>4000</v>
      </c>
    </row>
    <row r="272" spans="1:8" x14ac:dyDescent="0.25">
      <c r="C272" t="s">
        <v>10</v>
      </c>
      <c r="D272" t="s">
        <v>11</v>
      </c>
      <c r="E272">
        <v>33</v>
      </c>
      <c r="F272">
        <v>49500</v>
      </c>
      <c r="G272">
        <f>33*500</f>
        <v>16500</v>
      </c>
      <c r="H272">
        <v>33000</v>
      </c>
    </row>
    <row r="273" spans="1:8" x14ac:dyDescent="0.25">
      <c r="D273" t="s">
        <v>12</v>
      </c>
      <c r="E273">
        <v>3</v>
      </c>
      <c r="F273">
        <v>9000</v>
      </c>
      <c r="G273">
        <v>6000</v>
      </c>
      <c r="H273">
        <v>3000</v>
      </c>
    </row>
    <row r="274" spans="1:8" x14ac:dyDescent="0.25">
      <c r="D274" t="s">
        <v>13</v>
      </c>
      <c r="E274">
        <v>2</v>
      </c>
      <c r="F274">
        <v>13000</v>
      </c>
      <c r="G274">
        <v>9000</v>
      </c>
      <c r="H274">
        <v>4000</v>
      </c>
    </row>
    <row r="275" spans="1:8" x14ac:dyDescent="0.25">
      <c r="A275" s="111" t="s">
        <v>17</v>
      </c>
      <c r="B275" s="111"/>
      <c r="C275" s="111"/>
      <c r="D275" s="111"/>
      <c r="E275" s="111"/>
      <c r="F275" s="1">
        <f>SUM(F267:F274)</f>
        <v>378500</v>
      </c>
      <c r="G275" s="1">
        <f>SUM(G267:G274)</f>
        <v>142000</v>
      </c>
      <c r="H275" s="1">
        <f>SUM(H267:H274)</f>
        <v>236500</v>
      </c>
    </row>
    <row r="276" spans="1:8" x14ac:dyDescent="0.25">
      <c r="A276" t="s">
        <v>8</v>
      </c>
      <c r="B276" t="s">
        <v>96</v>
      </c>
      <c r="C276" t="s">
        <v>63</v>
      </c>
      <c r="D276" t="s">
        <v>25</v>
      </c>
      <c r="E276">
        <v>3</v>
      </c>
      <c r="F276">
        <v>45000</v>
      </c>
      <c r="G276">
        <v>30000</v>
      </c>
      <c r="H276">
        <v>15000</v>
      </c>
    </row>
    <row r="277" spans="1:8" x14ac:dyDescent="0.25">
      <c r="C277" t="s">
        <v>48</v>
      </c>
      <c r="D277" t="s">
        <v>13</v>
      </c>
      <c r="E277">
        <v>6</v>
      </c>
      <c r="F277">
        <v>39000</v>
      </c>
      <c r="G277">
        <f>6*4500</f>
        <v>27000</v>
      </c>
      <c r="H277">
        <v>12000</v>
      </c>
    </row>
    <row r="278" spans="1:8" x14ac:dyDescent="0.25">
      <c r="C278" t="s">
        <v>77</v>
      </c>
      <c r="D278" t="s">
        <v>11</v>
      </c>
      <c r="E278">
        <v>120</v>
      </c>
      <c r="F278">
        <v>180000</v>
      </c>
      <c r="G278">
        <f>120*500</f>
        <v>60000</v>
      </c>
      <c r="H278">
        <v>120000</v>
      </c>
    </row>
    <row r="279" spans="1:8" x14ac:dyDescent="0.25">
      <c r="C279" t="s">
        <v>80</v>
      </c>
      <c r="D279" t="s">
        <v>11</v>
      </c>
      <c r="E279">
        <v>30</v>
      </c>
      <c r="F279">
        <v>45000</v>
      </c>
      <c r="G279">
        <f>30*500</f>
        <v>15000</v>
      </c>
      <c r="H279">
        <v>30000</v>
      </c>
    </row>
    <row r="280" spans="1:8" x14ac:dyDescent="0.25">
      <c r="C280" t="s">
        <v>10</v>
      </c>
      <c r="D280" t="s">
        <v>11</v>
      </c>
      <c r="E280">
        <v>25</v>
      </c>
      <c r="F280">
        <f>25*1500</f>
        <v>37500</v>
      </c>
      <c r="G280">
        <f>25*500</f>
        <v>12500</v>
      </c>
      <c r="H280">
        <v>25000</v>
      </c>
    </row>
    <row r="281" spans="1:8" x14ac:dyDescent="0.25">
      <c r="D281" t="s">
        <v>12</v>
      </c>
      <c r="E281">
        <v>1</v>
      </c>
      <c r="F281">
        <v>3000</v>
      </c>
      <c r="G281">
        <v>2000</v>
      </c>
      <c r="H281">
        <v>1000</v>
      </c>
    </row>
    <row r="282" spans="1:8" x14ac:dyDescent="0.25">
      <c r="D282" t="s">
        <v>13</v>
      </c>
      <c r="E282">
        <v>7</v>
      </c>
      <c r="F282">
        <f>7*6500</f>
        <v>45500</v>
      </c>
      <c r="G282">
        <f>7*4500</f>
        <v>31500</v>
      </c>
      <c r="H282">
        <v>14000</v>
      </c>
    </row>
    <row r="283" spans="1:8" x14ac:dyDescent="0.25">
      <c r="D283" t="s">
        <v>14</v>
      </c>
      <c r="E283">
        <v>1</v>
      </c>
      <c r="F283">
        <v>10000</v>
      </c>
      <c r="G283">
        <v>5500</v>
      </c>
      <c r="H283">
        <v>4500</v>
      </c>
    </row>
    <row r="284" spans="1:8" x14ac:dyDescent="0.25">
      <c r="C284" t="s">
        <v>16</v>
      </c>
      <c r="D284" t="s">
        <v>11</v>
      </c>
      <c r="E284">
        <v>31</v>
      </c>
      <c r="F284">
        <v>46500</v>
      </c>
      <c r="G284">
        <f>31*500</f>
        <v>15500</v>
      </c>
      <c r="H284">
        <v>31000</v>
      </c>
    </row>
    <row r="285" spans="1:8" x14ac:dyDescent="0.25">
      <c r="D285" t="s">
        <v>12</v>
      </c>
      <c r="E285">
        <v>3</v>
      </c>
      <c r="F285">
        <v>9000</v>
      </c>
      <c r="G285">
        <v>6000</v>
      </c>
      <c r="H285">
        <v>3000</v>
      </c>
    </row>
    <row r="286" spans="1:8" x14ac:dyDescent="0.25">
      <c r="D286" t="s">
        <v>13</v>
      </c>
      <c r="E286">
        <v>1</v>
      </c>
      <c r="F286">
        <v>6500</v>
      </c>
      <c r="G286">
        <v>4500</v>
      </c>
      <c r="H286">
        <v>2000</v>
      </c>
    </row>
    <row r="287" spans="1:8" x14ac:dyDescent="0.25">
      <c r="A287" s="111" t="s">
        <v>17</v>
      </c>
      <c r="B287" s="111"/>
      <c r="C287" s="111"/>
      <c r="D287" s="111"/>
      <c r="E287" s="111"/>
      <c r="F287" s="1">
        <f>SUM(F276:F286)</f>
        <v>467000</v>
      </c>
      <c r="G287" s="1">
        <f>SUM(G276:G286)</f>
        <v>209500</v>
      </c>
      <c r="H287" s="1">
        <f>SUM(H276:H286)</f>
        <v>257500</v>
      </c>
    </row>
    <row r="288" spans="1:8" x14ac:dyDescent="0.25">
      <c r="A288" t="s">
        <v>18</v>
      </c>
      <c r="B288" t="s">
        <v>97</v>
      </c>
      <c r="C288" t="s">
        <v>63</v>
      </c>
      <c r="D288" t="s">
        <v>25</v>
      </c>
      <c r="E288">
        <v>5</v>
      </c>
      <c r="F288">
        <v>65000</v>
      </c>
      <c r="G288">
        <v>50000</v>
      </c>
      <c r="H288">
        <v>15000</v>
      </c>
    </row>
    <row r="289" spans="1:8" x14ac:dyDescent="0.25">
      <c r="C289" t="s">
        <v>77</v>
      </c>
      <c r="D289" t="s">
        <v>11</v>
      </c>
      <c r="E289">
        <v>120</v>
      </c>
      <c r="F289">
        <v>180000</v>
      </c>
      <c r="G289">
        <v>60000</v>
      </c>
      <c r="H289">
        <v>120000</v>
      </c>
    </row>
    <row r="290" spans="1:8" x14ac:dyDescent="0.25">
      <c r="C290" t="s">
        <v>80</v>
      </c>
      <c r="D290" t="s">
        <v>11</v>
      </c>
      <c r="E290">
        <v>30</v>
      </c>
      <c r="F290">
        <v>45000</v>
      </c>
      <c r="G290">
        <v>15000</v>
      </c>
      <c r="H290">
        <v>30000</v>
      </c>
    </row>
    <row r="291" spans="1:8" x14ac:dyDescent="0.25">
      <c r="C291" t="s">
        <v>20</v>
      </c>
      <c r="D291" t="s">
        <v>13</v>
      </c>
      <c r="E291">
        <v>2</v>
      </c>
      <c r="F291">
        <v>10000</v>
      </c>
      <c r="G291">
        <v>9000</v>
      </c>
      <c r="H291">
        <v>1000</v>
      </c>
    </row>
    <row r="292" spans="1:8" x14ac:dyDescent="0.25">
      <c r="D292" t="s">
        <v>14</v>
      </c>
      <c r="E292">
        <v>9</v>
      </c>
      <c r="F292">
        <v>90000</v>
      </c>
      <c r="G292">
        <f>9*5500</f>
        <v>49500</v>
      </c>
      <c r="H292">
        <f>9*4500</f>
        <v>40500</v>
      </c>
    </row>
    <row r="293" spans="1:8" x14ac:dyDescent="0.25">
      <c r="C293" t="s">
        <v>98</v>
      </c>
      <c r="D293" t="s">
        <v>14</v>
      </c>
      <c r="E293">
        <v>10</v>
      </c>
      <c r="F293">
        <v>100000</v>
      </c>
      <c r="G293">
        <f>10*5500</f>
        <v>55000</v>
      </c>
      <c r="H293">
        <v>45000</v>
      </c>
    </row>
    <row r="294" spans="1:8" x14ac:dyDescent="0.25">
      <c r="C294" t="s">
        <v>10</v>
      </c>
      <c r="D294" t="s">
        <v>11</v>
      </c>
      <c r="E294">
        <v>27</v>
      </c>
      <c r="F294">
        <v>40500</v>
      </c>
      <c r="G294">
        <f>27*500</f>
        <v>13500</v>
      </c>
      <c r="H294">
        <v>27000</v>
      </c>
    </row>
    <row r="295" spans="1:8" x14ac:dyDescent="0.25">
      <c r="D295" t="s">
        <v>12</v>
      </c>
      <c r="E295">
        <v>7</v>
      </c>
      <c r="F295">
        <v>21000</v>
      </c>
      <c r="G295">
        <f>7*2000</f>
        <v>14000</v>
      </c>
      <c r="H295">
        <v>7000</v>
      </c>
    </row>
    <row r="296" spans="1:8" x14ac:dyDescent="0.25">
      <c r="D296" t="s">
        <v>13</v>
      </c>
      <c r="E296">
        <v>2</v>
      </c>
      <c r="F296">
        <v>13000</v>
      </c>
      <c r="G296">
        <v>9000</v>
      </c>
      <c r="H296">
        <v>4000</v>
      </c>
    </row>
    <row r="297" spans="1:8" x14ac:dyDescent="0.25">
      <c r="C297" t="s">
        <v>16</v>
      </c>
      <c r="D297" t="s">
        <v>11</v>
      </c>
      <c r="E297">
        <v>37</v>
      </c>
      <c r="F297">
        <v>55500</v>
      </c>
      <c r="G297">
        <f>37*500</f>
        <v>18500</v>
      </c>
      <c r="H297">
        <v>37000</v>
      </c>
    </row>
    <row r="298" spans="1:8" x14ac:dyDescent="0.25">
      <c r="D298" t="s">
        <v>12</v>
      </c>
      <c r="E298">
        <v>2</v>
      </c>
      <c r="F298">
        <v>6000</v>
      </c>
      <c r="G298">
        <v>4000</v>
      </c>
      <c r="H298">
        <v>2000</v>
      </c>
    </row>
    <row r="299" spans="1:8" x14ac:dyDescent="0.25">
      <c r="A299" s="111" t="s">
        <v>17</v>
      </c>
      <c r="B299" s="111"/>
      <c r="C299" s="111"/>
      <c r="D299" s="111"/>
      <c r="E299" s="111"/>
      <c r="F299" s="1">
        <f>SUM(F288:F298)</f>
        <v>626000</v>
      </c>
      <c r="G299" s="1">
        <f>SUM(G288:G298)</f>
        <v>297500</v>
      </c>
      <c r="H299" s="1">
        <f>SUM(H288:H298)</f>
        <v>328500</v>
      </c>
    </row>
    <row r="300" spans="1:8" x14ac:dyDescent="0.25">
      <c r="A300" t="s">
        <v>22</v>
      </c>
      <c r="B300" t="s">
        <v>99</v>
      </c>
      <c r="C300" t="s">
        <v>80</v>
      </c>
      <c r="D300" t="s">
        <v>11</v>
      </c>
      <c r="E300">
        <v>19</v>
      </c>
      <c r="F300">
        <f>19*1500</f>
        <v>28500</v>
      </c>
      <c r="G300">
        <f>19*500</f>
        <v>9500</v>
      </c>
      <c r="H300">
        <v>19000</v>
      </c>
    </row>
    <row r="301" spans="1:8" x14ac:dyDescent="0.25">
      <c r="C301" t="s">
        <v>10</v>
      </c>
      <c r="D301" t="s">
        <v>11</v>
      </c>
      <c r="E301">
        <v>18</v>
      </c>
      <c r="F301">
        <v>27000</v>
      </c>
      <c r="G301">
        <f>18*500</f>
        <v>9000</v>
      </c>
      <c r="H301">
        <v>18000</v>
      </c>
    </row>
    <row r="302" spans="1:8" x14ac:dyDescent="0.25">
      <c r="D302" t="s">
        <v>12</v>
      </c>
      <c r="E302">
        <v>6</v>
      </c>
      <c r="F302">
        <v>18000</v>
      </c>
      <c r="G302">
        <v>12000</v>
      </c>
      <c r="H302">
        <v>6000</v>
      </c>
    </row>
    <row r="303" spans="1:8" x14ac:dyDescent="0.25">
      <c r="D303" t="s">
        <v>13</v>
      </c>
      <c r="E303">
        <v>5</v>
      </c>
      <c r="F303">
        <v>32500</v>
      </c>
      <c r="G303">
        <f>5*4500</f>
        <v>22500</v>
      </c>
      <c r="H303">
        <v>10000</v>
      </c>
    </row>
    <row r="304" spans="1:8" x14ac:dyDescent="0.25">
      <c r="D304" t="s">
        <v>14</v>
      </c>
      <c r="E304">
        <v>4</v>
      </c>
      <c r="F304">
        <v>32000</v>
      </c>
      <c r="G304">
        <f>4*5500</f>
        <v>22000</v>
      </c>
      <c r="H304">
        <v>10000</v>
      </c>
    </row>
    <row r="305" spans="1:8" x14ac:dyDescent="0.25">
      <c r="C305" t="s">
        <v>16</v>
      </c>
      <c r="D305" t="s">
        <v>11</v>
      </c>
      <c r="E305">
        <v>35</v>
      </c>
      <c r="F305">
        <v>52500</v>
      </c>
      <c r="G305">
        <f>35*500</f>
        <v>17500</v>
      </c>
      <c r="H305">
        <v>35000</v>
      </c>
    </row>
    <row r="306" spans="1:8" x14ac:dyDescent="0.25">
      <c r="D306" t="s">
        <v>12</v>
      </c>
      <c r="E306">
        <v>3</v>
      </c>
      <c r="F306">
        <v>9000</v>
      </c>
      <c r="G306">
        <v>6000</v>
      </c>
      <c r="H306">
        <v>3000</v>
      </c>
    </row>
    <row r="307" spans="1:8" x14ac:dyDescent="0.25">
      <c r="C307" t="s">
        <v>100</v>
      </c>
      <c r="D307" t="s">
        <v>14</v>
      </c>
      <c r="E307">
        <v>5</v>
      </c>
      <c r="F307">
        <v>50000</v>
      </c>
      <c r="G307">
        <f>5*5500</f>
        <v>27500</v>
      </c>
      <c r="H307">
        <f>5*4500</f>
        <v>22500</v>
      </c>
    </row>
    <row r="308" spans="1:8" x14ac:dyDescent="0.25">
      <c r="C308" t="s">
        <v>67</v>
      </c>
      <c r="D308" t="s">
        <v>14</v>
      </c>
      <c r="E308">
        <v>15</v>
      </c>
      <c r="F308">
        <v>150000</v>
      </c>
      <c r="G308">
        <f>15*5500</f>
        <v>82500</v>
      </c>
      <c r="H308">
        <f>15*4500</f>
        <v>67500</v>
      </c>
    </row>
    <row r="309" spans="1:8" x14ac:dyDescent="0.25">
      <c r="A309" s="111" t="s">
        <v>17</v>
      </c>
      <c r="B309" s="111"/>
      <c r="C309" s="111"/>
      <c r="D309" s="111"/>
      <c r="E309" s="111"/>
      <c r="F309" s="1">
        <f>SUM(F300:F308)</f>
        <v>399500</v>
      </c>
      <c r="G309" s="1">
        <f>SUM(G300:G308)</f>
        <v>208500</v>
      </c>
      <c r="H309" s="1">
        <f>SUM(H300:H308)</f>
        <v>191000</v>
      </c>
    </row>
    <row r="310" spans="1:8" x14ac:dyDescent="0.25">
      <c r="A310" t="s">
        <v>26</v>
      </c>
      <c r="B310" t="s">
        <v>101</v>
      </c>
      <c r="C310" t="s">
        <v>10</v>
      </c>
      <c r="D310" t="s">
        <v>11</v>
      </c>
      <c r="E310">
        <v>40</v>
      </c>
      <c r="F310">
        <v>60000</v>
      </c>
      <c r="G310">
        <v>20000</v>
      </c>
      <c r="H310">
        <v>40000</v>
      </c>
    </row>
    <row r="311" spans="1:8" x14ac:dyDescent="0.25">
      <c r="D311" t="s">
        <v>12</v>
      </c>
      <c r="E311">
        <v>8</v>
      </c>
      <c r="F311">
        <v>24000</v>
      </c>
      <c r="G311">
        <v>16000</v>
      </c>
      <c r="H311">
        <v>8000</v>
      </c>
    </row>
    <row r="312" spans="1:8" x14ac:dyDescent="0.25">
      <c r="D312" t="s">
        <v>13</v>
      </c>
      <c r="E312">
        <v>6</v>
      </c>
      <c r="F312">
        <v>39000</v>
      </c>
      <c r="G312">
        <f>6*4500</f>
        <v>27000</v>
      </c>
      <c r="H312">
        <v>12000</v>
      </c>
    </row>
    <row r="313" spans="1:8" x14ac:dyDescent="0.25">
      <c r="D313" t="s">
        <v>14</v>
      </c>
      <c r="E313">
        <v>5</v>
      </c>
      <c r="F313">
        <v>40000</v>
      </c>
      <c r="G313">
        <f>5*5500</f>
        <v>27500</v>
      </c>
      <c r="H313">
        <f>5*2500</f>
        <v>12500</v>
      </c>
    </row>
    <row r="314" spans="1:8" x14ac:dyDescent="0.25">
      <c r="C314" t="s">
        <v>63</v>
      </c>
      <c r="D314" t="s">
        <v>56</v>
      </c>
      <c r="E314">
        <v>2</v>
      </c>
      <c r="F314">
        <v>34000</v>
      </c>
      <c r="G314">
        <v>26000</v>
      </c>
      <c r="H314">
        <f>F314-G314</f>
        <v>8000</v>
      </c>
    </row>
    <row r="315" spans="1:8" x14ac:dyDescent="0.25">
      <c r="C315" t="s">
        <v>16</v>
      </c>
      <c r="D315" t="s">
        <v>11</v>
      </c>
      <c r="E315">
        <v>21</v>
      </c>
      <c r="F315">
        <v>31500</v>
      </c>
      <c r="G315">
        <f>21*500</f>
        <v>10500</v>
      </c>
      <c r="H315">
        <v>21000</v>
      </c>
    </row>
    <row r="316" spans="1:8" x14ac:dyDescent="0.25">
      <c r="D316" t="s">
        <v>12</v>
      </c>
      <c r="E316">
        <v>4</v>
      </c>
      <c r="F316">
        <v>12000</v>
      </c>
      <c r="G316">
        <v>8000</v>
      </c>
      <c r="H316">
        <v>4000</v>
      </c>
    </row>
    <row r="317" spans="1:8" x14ac:dyDescent="0.25">
      <c r="C317" t="s">
        <v>20</v>
      </c>
      <c r="D317" t="s">
        <v>13</v>
      </c>
      <c r="E317">
        <v>6</v>
      </c>
      <c r="F317">
        <f>6*6500</f>
        <v>39000</v>
      </c>
      <c r="G317">
        <f>6*4500</f>
        <v>27000</v>
      </c>
      <c r="H317">
        <v>12000</v>
      </c>
    </row>
    <row r="318" spans="1:8" x14ac:dyDescent="0.25">
      <c r="D318" t="s">
        <v>14</v>
      </c>
      <c r="E318">
        <v>11</v>
      </c>
      <c r="F318">
        <f>11*10000</f>
        <v>110000</v>
      </c>
      <c r="G318">
        <f>11*5500</f>
        <v>60500</v>
      </c>
      <c r="H318">
        <f>11*4500</f>
        <v>49500</v>
      </c>
    </row>
    <row r="319" spans="1:8" x14ac:dyDescent="0.25">
      <c r="C319" t="s">
        <v>80</v>
      </c>
      <c r="D319" t="s">
        <v>11</v>
      </c>
      <c r="E319">
        <v>16</v>
      </c>
      <c r="F319">
        <f>16*1500</f>
        <v>24000</v>
      </c>
      <c r="G319">
        <f>16*500</f>
        <v>8000</v>
      </c>
      <c r="H319">
        <v>16000</v>
      </c>
    </row>
    <row r="320" spans="1:8" x14ac:dyDescent="0.25">
      <c r="A320" s="111" t="s">
        <v>17</v>
      </c>
      <c r="B320" s="111"/>
      <c r="C320" s="111"/>
      <c r="D320" s="111"/>
      <c r="E320" s="111"/>
      <c r="F320" s="1">
        <f>SUM(F310:F319)</f>
        <v>413500</v>
      </c>
      <c r="G320" s="1">
        <f>SUM(G310:G319)</f>
        <v>230500</v>
      </c>
      <c r="H320" s="1">
        <f>SUM(H310:H319)</f>
        <v>183000</v>
      </c>
    </row>
    <row r="321" spans="1:8" x14ac:dyDescent="0.25">
      <c r="A321" t="s">
        <v>28</v>
      </c>
      <c r="B321" t="s">
        <v>102</v>
      </c>
      <c r="C321" t="s">
        <v>20</v>
      </c>
      <c r="D321" t="s">
        <v>13</v>
      </c>
      <c r="E321">
        <v>31</v>
      </c>
      <c r="F321">
        <v>201500</v>
      </c>
      <c r="G321">
        <f>31*4500</f>
        <v>139500</v>
      </c>
      <c r="H321">
        <f>31*2000</f>
        <v>62000</v>
      </c>
    </row>
    <row r="322" spans="1:8" x14ac:dyDescent="0.25">
      <c r="D322" t="s">
        <v>14</v>
      </c>
      <c r="E322">
        <v>50</v>
      </c>
      <c r="F322">
        <v>500000</v>
      </c>
      <c r="G322">
        <f>50*5500</f>
        <v>275000</v>
      </c>
      <c r="H322">
        <f>50*4500</f>
        <v>225000</v>
      </c>
    </row>
    <row r="323" spans="1:8" x14ac:dyDescent="0.25">
      <c r="C323" t="s">
        <v>10</v>
      </c>
      <c r="D323" t="s">
        <v>13</v>
      </c>
      <c r="E323">
        <v>16</v>
      </c>
      <c r="F323">
        <v>104000</v>
      </c>
      <c r="G323">
        <f>16*4500</f>
        <v>72000</v>
      </c>
      <c r="H323">
        <f>16*2000</f>
        <v>32000</v>
      </c>
    </row>
    <row r="324" spans="1:8" x14ac:dyDescent="0.25">
      <c r="D324" t="s">
        <v>14</v>
      </c>
      <c r="E324">
        <v>10</v>
      </c>
      <c r="F324">
        <v>80000</v>
      </c>
      <c r="G324">
        <f>10*5500</f>
        <v>55000</v>
      </c>
      <c r="H324">
        <f>10*2500</f>
        <v>25000</v>
      </c>
    </row>
    <row r="325" spans="1:8" x14ac:dyDescent="0.25">
      <c r="C325" t="s">
        <v>15</v>
      </c>
      <c r="D325" t="s">
        <v>13</v>
      </c>
      <c r="E325">
        <v>12</v>
      </c>
      <c r="F325">
        <v>78000</v>
      </c>
      <c r="G325">
        <f>12*4500</f>
        <v>54000</v>
      </c>
      <c r="H325">
        <v>24000</v>
      </c>
    </row>
    <row r="326" spans="1:8" x14ac:dyDescent="0.25">
      <c r="D326" t="s">
        <v>14</v>
      </c>
      <c r="E326">
        <v>6</v>
      </c>
      <c r="F326">
        <v>48000</v>
      </c>
      <c r="G326">
        <f>6*5500</f>
        <v>33000</v>
      </c>
      <c r="H326">
        <f>6*2500</f>
        <v>15000</v>
      </c>
    </row>
    <row r="327" spans="1:8" x14ac:dyDescent="0.25">
      <c r="D327" t="s">
        <v>14</v>
      </c>
      <c r="E327">
        <v>2</v>
      </c>
      <c r="F327">
        <v>20000</v>
      </c>
      <c r="G327">
        <v>11000</v>
      </c>
      <c r="H327">
        <v>9000</v>
      </c>
    </row>
    <row r="328" spans="1:8" x14ac:dyDescent="0.25">
      <c r="C328" t="s">
        <v>16</v>
      </c>
      <c r="D328" t="s">
        <v>11</v>
      </c>
      <c r="E328">
        <v>78</v>
      </c>
      <c r="F328">
        <v>117000</v>
      </c>
      <c r="G328">
        <f>78*500</f>
        <v>39000</v>
      </c>
      <c r="H328">
        <v>78000</v>
      </c>
    </row>
    <row r="329" spans="1:8" x14ac:dyDescent="0.25">
      <c r="D329" t="s">
        <v>12</v>
      </c>
      <c r="E329">
        <v>7</v>
      </c>
      <c r="F329">
        <v>21000</v>
      </c>
      <c r="G329">
        <v>14000</v>
      </c>
      <c r="H329">
        <v>7000</v>
      </c>
    </row>
    <row r="330" spans="1:8" x14ac:dyDescent="0.25">
      <c r="D330" t="s">
        <v>13</v>
      </c>
      <c r="E330">
        <v>2</v>
      </c>
      <c r="F330">
        <v>13000</v>
      </c>
      <c r="G330">
        <v>9000</v>
      </c>
      <c r="H330">
        <v>4000</v>
      </c>
    </row>
    <row r="331" spans="1:8" x14ac:dyDescent="0.25">
      <c r="D331" t="s">
        <v>14</v>
      </c>
      <c r="E331">
        <v>1</v>
      </c>
      <c r="F331">
        <v>10000</v>
      </c>
      <c r="G331">
        <v>5500</v>
      </c>
      <c r="H331">
        <v>4500</v>
      </c>
    </row>
    <row r="332" spans="1:8" x14ac:dyDescent="0.25">
      <c r="D332" t="s">
        <v>25</v>
      </c>
      <c r="E332">
        <v>2</v>
      </c>
      <c r="F332">
        <v>26000</v>
      </c>
      <c r="G332">
        <v>20000</v>
      </c>
      <c r="H332">
        <v>6000</v>
      </c>
    </row>
    <row r="333" spans="1:8" x14ac:dyDescent="0.25">
      <c r="A333" s="111" t="s">
        <v>17</v>
      </c>
      <c r="B333" s="111"/>
      <c r="C333" s="111"/>
      <c r="D333" s="111"/>
      <c r="E333" s="111"/>
      <c r="F333" s="1">
        <f>SUM(F321:F332)</f>
        <v>1218500</v>
      </c>
      <c r="G333" s="1">
        <f>SUM(G321:G332)</f>
        <v>727000</v>
      </c>
      <c r="H333" s="1">
        <f>SUM(H321:H332)</f>
        <v>491500</v>
      </c>
    </row>
    <row r="334" spans="1:8" x14ac:dyDescent="0.25">
      <c r="C334" t="s">
        <v>72</v>
      </c>
      <c r="D334" t="s">
        <v>21</v>
      </c>
      <c r="E334">
        <v>3</v>
      </c>
      <c r="F334">
        <v>45000</v>
      </c>
      <c r="G334">
        <v>33000</v>
      </c>
      <c r="H334">
        <f>F334-G334</f>
        <v>12000</v>
      </c>
    </row>
    <row r="335" spans="1:8" x14ac:dyDescent="0.25">
      <c r="C335" t="s">
        <v>81</v>
      </c>
      <c r="D335" t="s">
        <v>11</v>
      </c>
      <c r="E335">
        <v>7</v>
      </c>
      <c r="F335">
        <f>7*1500</f>
        <v>10500</v>
      </c>
      <c r="G335">
        <v>3500</v>
      </c>
      <c r="H335">
        <v>7000</v>
      </c>
    </row>
    <row r="336" spans="1:8" x14ac:dyDescent="0.25">
      <c r="D336" t="s">
        <v>12</v>
      </c>
      <c r="E336">
        <v>17</v>
      </c>
      <c r="F336">
        <f>17*3000</f>
        <v>51000</v>
      </c>
      <c r="G336">
        <f>17*2000</f>
        <v>34000</v>
      </c>
      <c r="H336">
        <v>17000</v>
      </c>
    </row>
    <row r="337" spans="1:8" x14ac:dyDescent="0.25">
      <c r="D337" t="s">
        <v>13</v>
      </c>
      <c r="E337">
        <v>6</v>
      </c>
      <c r="F337">
        <f>6*6500</f>
        <v>39000</v>
      </c>
      <c r="G337">
        <f>6*4500</f>
        <v>27000</v>
      </c>
      <c r="H337">
        <v>12000</v>
      </c>
    </row>
    <row r="338" spans="1:8" x14ac:dyDescent="0.25">
      <c r="C338" t="s">
        <v>10</v>
      </c>
      <c r="D338" t="s">
        <v>13</v>
      </c>
      <c r="E338">
        <v>11</v>
      </c>
      <c r="F338">
        <v>71500</v>
      </c>
      <c r="G338">
        <f>11*4500</f>
        <v>49500</v>
      </c>
      <c r="H338">
        <v>22000</v>
      </c>
    </row>
    <row r="339" spans="1:8" x14ac:dyDescent="0.25">
      <c r="D339" t="s">
        <v>14</v>
      </c>
      <c r="E339">
        <v>5</v>
      </c>
      <c r="F339">
        <v>40000</v>
      </c>
      <c r="G339">
        <f>5*5500</f>
        <v>27500</v>
      </c>
      <c r="H339">
        <v>12500</v>
      </c>
    </row>
    <row r="340" spans="1:8" x14ac:dyDescent="0.25">
      <c r="A340" s="111" t="s">
        <v>17</v>
      </c>
      <c r="B340" s="111"/>
      <c r="C340" s="111"/>
      <c r="D340" s="111"/>
      <c r="E340" s="111"/>
      <c r="F340" s="1">
        <f>SUM(F334:F339)</f>
        <v>257000</v>
      </c>
      <c r="G340" s="1">
        <f>SUM(G334:G339)</f>
        <v>174500</v>
      </c>
      <c r="H340" s="1">
        <f>SUM(H334:H339)</f>
        <v>82500</v>
      </c>
    </row>
    <row r="341" spans="1:8" x14ac:dyDescent="0.25">
      <c r="A341" t="s">
        <v>30</v>
      </c>
      <c r="B341" t="s">
        <v>103</v>
      </c>
      <c r="C341" t="s">
        <v>10</v>
      </c>
      <c r="D341" t="s">
        <v>11</v>
      </c>
      <c r="E341">
        <v>32</v>
      </c>
      <c r="F341">
        <v>48000</v>
      </c>
      <c r="G341">
        <f>32*500</f>
        <v>16000</v>
      </c>
      <c r="H341">
        <v>32000</v>
      </c>
    </row>
    <row r="342" spans="1:8" x14ac:dyDescent="0.25">
      <c r="D342" t="s">
        <v>12</v>
      </c>
      <c r="E342">
        <v>3</v>
      </c>
      <c r="F342">
        <v>9000</v>
      </c>
      <c r="G342">
        <v>6000</v>
      </c>
      <c r="H342">
        <v>3000</v>
      </c>
    </row>
    <row r="343" spans="1:8" x14ac:dyDescent="0.25">
      <c r="D343" t="s">
        <v>13</v>
      </c>
      <c r="E343">
        <v>4</v>
      </c>
      <c r="F343">
        <v>26000</v>
      </c>
      <c r="G343">
        <v>18000</v>
      </c>
      <c r="H343">
        <v>8000</v>
      </c>
    </row>
    <row r="344" spans="1:8" x14ac:dyDescent="0.25">
      <c r="D344" t="s">
        <v>14</v>
      </c>
      <c r="E344">
        <v>5</v>
      </c>
      <c r="F344">
        <v>50000</v>
      </c>
      <c r="G344">
        <f>5*5500</f>
        <v>27500</v>
      </c>
      <c r="H344">
        <f>5*4500</f>
        <v>22500</v>
      </c>
    </row>
    <row r="345" spans="1:8" x14ac:dyDescent="0.25">
      <c r="C345" t="s">
        <v>86</v>
      </c>
      <c r="D345" t="s">
        <v>21</v>
      </c>
      <c r="E345">
        <v>2</v>
      </c>
      <c r="F345">
        <v>30000</v>
      </c>
      <c r="G345">
        <v>22000</v>
      </c>
      <c r="H345">
        <v>8000</v>
      </c>
    </row>
    <row r="346" spans="1:8" x14ac:dyDescent="0.25">
      <c r="D346" t="s">
        <v>56</v>
      </c>
      <c r="E346">
        <v>2</v>
      </c>
      <c r="F346">
        <v>34000</v>
      </c>
      <c r="G346">
        <v>24000</v>
      </c>
      <c r="H346">
        <v>10000</v>
      </c>
    </row>
    <row r="347" spans="1:8" x14ac:dyDescent="0.25">
      <c r="C347" t="s">
        <v>16</v>
      </c>
      <c r="D347" t="s">
        <v>11</v>
      </c>
      <c r="E347">
        <v>27</v>
      </c>
      <c r="F347">
        <v>40500</v>
      </c>
      <c r="G347">
        <f>27*500</f>
        <v>13500</v>
      </c>
      <c r="H347">
        <v>27000</v>
      </c>
    </row>
    <row r="348" spans="1:8" x14ac:dyDescent="0.25">
      <c r="D348" t="s">
        <v>12</v>
      </c>
      <c r="E348">
        <v>3</v>
      </c>
      <c r="F348">
        <v>9000</v>
      </c>
      <c r="G348">
        <v>6000</v>
      </c>
      <c r="H348">
        <v>3000</v>
      </c>
    </row>
    <row r="349" spans="1:8" x14ac:dyDescent="0.25">
      <c r="D349" t="s">
        <v>13</v>
      </c>
      <c r="E349">
        <v>1</v>
      </c>
      <c r="F349">
        <v>6500</v>
      </c>
      <c r="G349">
        <v>4500</v>
      </c>
      <c r="H349">
        <v>2000</v>
      </c>
    </row>
    <row r="350" spans="1:8" x14ac:dyDescent="0.25">
      <c r="C350" t="s">
        <v>104</v>
      </c>
      <c r="D350" t="s">
        <v>11</v>
      </c>
      <c r="E350">
        <v>27</v>
      </c>
      <c r="F350">
        <v>40500</v>
      </c>
      <c r="G350">
        <f>27*500</f>
        <v>13500</v>
      </c>
      <c r="H350">
        <v>27000</v>
      </c>
    </row>
    <row r="351" spans="1:8" x14ac:dyDescent="0.25">
      <c r="A351" s="111" t="s">
        <v>17</v>
      </c>
      <c r="B351" s="111"/>
      <c r="C351" s="111"/>
      <c r="D351" s="111"/>
      <c r="E351" s="111"/>
      <c r="F351" s="1">
        <f>SUM(F341:F350)</f>
        <v>293500</v>
      </c>
      <c r="G351" s="1">
        <f>SUM(G341:G350)</f>
        <v>151000</v>
      </c>
      <c r="H351" s="1">
        <f>SUM(H341:H350)</f>
        <v>142500</v>
      </c>
    </row>
    <row r="354" spans="4:8" x14ac:dyDescent="0.25">
      <c r="D354" s="113" t="s">
        <v>257</v>
      </c>
      <c r="E354" s="114"/>
      <c r="F354" s="114"/>
      <c r="G354" s="114"/>
      <c r="H354" s="115"/>
    </row>
    <row r="355" spans="4:8" x14ac:dyDescent="0.25">
      <c r="D355" s="7" t="s">
        <v>251</v>
      </c>
      <c r="E355" s="7" t="s">
        <v>252</v>
      </c>
      <c r="F355" s="7" t="s">
        <v>253</v>
      </c>
      <c r="G355" s="7" t="s">
        <v>254</v>
      </c>
      <c r="H355" s="7" t="s">
        <v>255</v>
      </c>
    </row>
    <row r="356" spans="4:8" x14ac:dyDescent="0.25">
      <c r="D356" s="27" t="s">
        <v>11</v>
      </c>
      <c r="E356" s="27">
        <v>4396</v>
      </c>
      <c r="F356" s="22">
        <f>E356*3000</f>
        <v>13188000</v>
      </c>
      <c r="G356" s="22">
        <f>E356*500</f>
        <v>2198000</v>
      </c>
      <c r="H356" s="22">
        <f>E356*1000</f>
        <v>4396000</v>
      </c>
    </row>
    <row r="357" spans="4:8" x14ac:dyDescent="0.25">
      <c r="D357" s="27" t="s">
        <v>12</v>
      </c>
      <c r="E357" s="27">
        <v>302</v>
      </c>
      <c r="F357" s="22">
        <f>E357*5000</f>
        <v>1510000</v>
      </c>
      <c r="G357" s="22">
        <f>E357*2000</f>
        <v>604000</v>
      </c>
      <c r="H357" s="22">
        <f>E357*1000</f>
        <v>302000</v>
      </c>
    </row>
    <row r="358" spans="4:8" x14ac:dyDescent="0.25">
      <c r="D358" s="27" t="s">
        <v>247</v>
      </c>
      <c r="E358" s="27">
        <v>465</v>
      </c>
      <c r="F358" s="22">
        <f>E358*6500</f>
        <v>3022500</v>
      </c>
      <c r="G358" s="22">
        <f>E358*4500</f>
        <v>2092500</v>
      </c>
      <c r="H358" s="22">
        <f>E358*1500</f>
        <v>697500</v>
      </c>
    </row>
    <row r="359" spans="4:8" x14ac:dyDescent="0.25">
      <c r="D359" s="27" t="s">
        <v>248</v>
      </c>
      <c r="E359" s="27">
        <v>485</v>
      </c>
      <c r="F359" s="22">
        <f>E359*10000</f>
        <v>4850000</v>
      </c>
      <c r="G359" s="22">
        <f>E359*5500</f>
        <v>2667500</v>
      </c>
      <c r="H359" s="22">
        <f>E359*4500</f>
        <v>2182500</v>
      </c>
    </row>
    <row r="360" spans="4:8" x14ac:dyDescent="0.25">
      <c r="D360" s="27" t="s">
        <v>243</v>
      </c>
      <c r="E360" s="27">
        <v>56</v>
      </c>
      <c r="F360" s="22">
        <f>E360*15000</f>
        <v>840000</v>
      </c>
      <c r="G360" s="22">
        <f>E360*10000</f>
        <v>560000</v>
      </c>
      <c r="H360" s="22">
        <f>E360*5000</f>
        <v>280000</v>
      </c>
    </row>
    <row r="361" spans="4:8" x14ac:dyDescent="0.25">
      <c r="D361" s="27" t="s">
        <v>245</v>
      </c>
      <c r="E361" s="27">
        <v>32</v>
      </c>
      <c r="F361" s="22">
        <f>E361*18000</f>
        <v>576000</v>
      </c>
      <c r="G361" s="22">
        <f>E361*13000</f>
        <v>416000</v>
      </c>
      <c r="H361" s="22">
        <f>E361*5000</f>
        <v>160000</v>
      </c>
    </row>
    <row r="362" spans="4:8" x14ac:dyDescent="0.25">
      <c r="D362" s="27" t="s">
        <v>200</v>
      </c>
      <c r="E362" s="27">
        <v>0</v>
      </c>
      <c r="F362" s="22">
        <f>E362*18000</f>
        <v>0</v>
      </c>
      <c r="G362" s="22">
        <f>E362*13000</f>
        <v>0</v>
      </c>
      <c r="H362" s="22">
        <f>E362*5000</f>
        <v>0</v>
      </c>
    </row>
    <row r="363" spans="4:8" x14ac:dyDescent="0.25">
      <c r="D363" s="31" t="s">
        <v>249</v>
      </c>
      <c r="E363" s="32">
        <f>SUM(E356:E362)</f>
        <v>5736</v>
      </c>
      <c r="F363" s="32">
        <f>SUM(F356:F362)</f>
        <v>23986500</v>
      </c>
      <c r="G363" s="32">
        <f>SUM(G356:G362)</f>
        <v>8538000</v>
      </c>
      <c r="H363" s="32">
        <f>SUM(H356:H362)</f>
        <v>8018000</v>
      </c>
    </row>
  </sheetData>
  <mergeCells count="34">
    <mergeCell ref="A180:E180"/>
    <mergeCell ref="A162:E162"/>
    <mergeCell ref="A153:E153"/>
    <mergeCell ref="A142:E142"/>
    <mergeCell ref="A275:E275"/>
    <mergeCell ref="A231:E231"/>
    <mergeCell ref="A243:E243"/>
    <mergeCell ref="A188:E188"/>
    <mergeCell ref="A207:E207"/>
    <mergeCell ref="A216:E216"/>
    <mergeCell ref="A196:E196"/>
    <mergeCell ref="A266:E266"/>
    <mergeCell ref="A259:E259"/>
    <mergeCell ref="A287:E287"/>
    <mergeCell ref="A299:E299"/>
    <mergeCell ref="A340:E340"/>
    <mergeCell ref="A1:H1"/>
    <mergeCell ref="A54:E54"/>
    <mergeCell ref="A34:E34"/>
    <mergeCell ref="A44:E44"/>
    <mergeCell ref="A27:E27"/>
    <mergeCell ref="A19:E19"/>
    <mergeCell ref="A9:E9"/>
    <mergeCell ref="A130:E130"/>
    <mergeCell ref="A62:E62"/>
    <mergeCell ref="A113:E113"/>
    <mergeCell ref="A103:E103"/>
    <mergeCell ref="A89:E89"/>
    <mergeCell ref="A78:E78"/>
    <mergeCell ref="D354:H354"/>
    <mergeCell ref="A351:E351"/>
    <mergeCell ref="A333:E333"/>
    <mergeCell ref="A309:E309"/>
    <mergeCell ref="A320:E320"/>
  </mergeCell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0"/>
  <sheetViews>
    <sheetView topLeftCell="A337" workbookViewId="0">
      <selection activeCell="K352" sqref="K352"/>
    </sheetView>
  </sheetViews>
  <sheetFormatPr defaultRowHeight="15" x14ac:dyDescent="0.25"/>
  <cols>
    <col min="2" max="2" width="9.7109375" bestFit="1" customWidth="1"/>
    <col min="3" max="3" width="15.85546875" bestFit="1" customWidth="1"/>
    <col min="6" max="6" width="12.85546875" customWidth="1"/>
    <col min="8" max="8" width="13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32</v>
      </c>
      <c r="B2" s="3">
        <v>44563</v>
      </c>
      <c r="C2" t="s">
        <v>20</v>
      </c>
      <c r="D2" t="s">
        <v>13</v>
      </c>
      <c r="E2">
        <v>3</v>
      </c>
      <c r="F2">
        <v>19500</v>
      </c>
      <c r="G2">
        <f>3*4500</f>
        <v>13500</v>
      </c>
      <c r="H2">
        <v>6000</v>
      </c>
    </row>
    <row r="3" spans="1:8" x14ac:dyDescent="0.25">
      <c r="D3" t="s">
        <v>14</v>
      </c>
      <c r="E3">
        <v>9</v>
      </c>
      <c r="F3">
        <v>90000</v>
      </c>
      <c r="G3">
        <f>9*5500</f>
        <v>49500</v>
      </c>
      <c r="H3">
        <f>9*4500</f>
        <v>40500</v>
      </c>
    </row>
    <row r="4" spans="1:8" x14ac:dyDescent="0.25">
      <c r="C4" t="s">
        <v>63</v>
      </c>
      <c r="D4" t="s">
        <v>25</v>
      </c>
      <c r="E4">
        <v>1</v>
      </c>
      <c r="F4">
        <v>15000</v>
      </c>
      <c r="G4">
        <v>10000</v>
      </c>
      <c r="H4">
        <v>5000</v>
      </c>
    </row>
    <row r="5" spans="1:8" x14ac:dyDescent="0.25">
      <c r="C5" t="s">
        <v>10</v>
      </c>
      <c r="D5" t="s">
        <v>11</v>
      </c>
      <c r="E5">
        <v>3</v>
      </c>
      <c r="F5">
        <v>4500</v>
      </c>
      <c r="G5">
        <v>1500</v>
      </c>
      <c r="H5">
        <v>3000</v>
      </c>
    </row>
    <row r="6" spans="1:8" x14ac:dyDescent="0.25">
      <c r="D6" t="s">
        <v>12</v>
      </c>
      <c r="E6">
        <v>3</v>
      </c>
      <c r="F6">
        <v>9000</v>
      </c>
      <c r="G6">
        <v>6000</v>
      </c>
      <c r="H6">
        <v>3000</v>
      </c>
    </row>
    <row r="7" spans="1:8" x14ac:dyDescent="0.25">
      <c r="D7" t="s">
        <v>13</v>
      </c>
      <c r="E7">
        <v>8</v>
      </c>
      <c r="F7">
        <v>52000</v>
      </c>
      <c r="G7">
        <f>8*4500</f>
        <v>36000</v>
      </c>
      <c r="H7">
        <v>16000</v>
      </c>
    </row>
    <row r="8" spans="1:8" x14ac:dyDescent="0.25">
      <c r="D8" t="s">
        <v>14</v>
      </c>
      <c r="E8">
        <v>2</v>
      </c>
      <c r="F8">
        <v>20000</v>
      </c>
      <c r="G8">
        <f>2*5500</f>
        <v>11000</v>
      </c>
      <c r="H8">
        <v>9000</v>
      </c>
    </row>
    <row r="9" spans="1:8" x14ac:dyDescent="0.25">
      <c r="C9" t="s">
        <v>16</v>
      </c>
      <c r="D9" t="s">
        <v>11</v>
      </c>
      <c r="E9">
        <v>44</v>
      </c>
      <c r="F9">
        <v>66000</v>
      </c>
      <c r="G9">
        <f>44*500</f>
        <v>22000</v>
      </c>
      <c r="H9">
        <v>44000</v>
      </c>
    </row>
    <row r="10" spans="1:8" x14ac:dyDescent="0.25">
      <c r="D10" t="s">
        <v>12</v>
      </c>
      <c r="E10">
        <v>2</v>
      </c>
      <c r="F10">
        <v>6000</v>
      </c>
      <c r="G10">
        <v>4000</v>
      </c>
      <c r="H10">
        <v>2000</v>
      </c>
    </row>
    <row r="11" spans="1:8" x14ac:dyDescent="0.25">
      <c r="D11" t="s">
        <v>13</v>
      </c>
      <c r="E11">
        <v>1</v>
      </c>
      <c r="F11">
        <v>6500</v>
      </c>
      <c r="G11">
        <v>4500</v>
      </c>
      <c r="H11">
        <v>2000</v>
      </c>
    </row>
    <row r="12" spans="1:8" x14ac:dyDescent="0.25">
      <c r="D12" t="s">
        <v>14</v>
      </c>
      <c r="E12">
        <v>1</v>
      </c>
      <c r="F12">
        <v>10000</v>
      </c>
      <c r="G12">
        <v>5500</v>
      </c>
      <c r="H12">
        <v>4500</v>
      </c>
    </row>
    <row r="13" spans="1:8" x14ac:dyDescent="0.25">
      <c r="D13" t="s">
        <v>25</v>
      </c>
      <c r="E13">
        <v>3</v>
      </c>
      <c r="F13">
        <v>39000</v>
      </c>
      <c r="G13">
        <v>30000</v>
      </c>
      <c r="H13">
        <v>9000</v>
      </c>
    </row>
    <row r="14" spans="1:8" x14ac:dyDescent="0.25">
      <c r="A14" s="111" t="s">
        <v>17</v>
      </c>
      <c r="B14" s="111"/>
      <c r="C14" s="111"/>
      <c r="D14" s="111"/>
      <c r="E14" s="111"/>
      <c r="F14" s="1">
        <f>SUM(F2:F13)</f>
        <v>337500</v>
      </c>
      <c r="G14" s="1">
        <f>SUM(G2:G13)</f>
        <v>193500</v>
      </c>
      <c r="H14" s="1">
        <f>SUM(H2:H13)</f>
        <v>144000</v>
      </c>
    </row>
    <row r="15" spans="1:8" x14ac:dyDescent="0.25">
      <c r="A15" t="s">
        <v>8</v>
      </c>
      <c r="B15" s="3">
        <v>44594</v>
      </c>
      <c r="C15" t="s">
        <v>77</v>
      </c>
      <c r="D15" t="s">
        <v>11</v>
      </c>
      <c r="E15">
        <v>90</v>
      </c>
      <c r="F15">
        <v>135000</v>
      </c>
      <c r="G15">
        <f>90*500</f>
        <v>45000</v>
      </c>
      <c r="H15">
        <v>90000</v>
      </c>
    </row>
    <row r="16" spans="1:8" x14ac:dyDescent="0.25">
      <c r="D16" t="s">
        <v>11</v>
      </c>
      <c r="E16">
        <v>100</v>
      </c>
      <c r="F16">
        <v>150000</v>
      </c>
      <c r="G16">
        <v>50000</v>
      </c>
      <c r="H16">
        <v>100000</v>
      </c>
    </row>
    <row r="17" spans="1:8" x14ac:dyDescent="0.25">
      <c r="D17" t="s">
        <v>11</v>
      </c>
      <c r="E17">
        <v>123</v>
      </c>
      <c r="F17">
        <v>184500</v>
      </c>
      <c r="G17">
        <f>123*500</f>
        <v>61500</v>
      </c>
      <c r="H17">
        <v>123000</v>
      </c>
    </row>
    <row r="18" spans="1:8" x14ac:dyDescent="0.25">
      <c r="D18" t="s">
        <v>11</v>
      </c>
      <c r="E18">
        <v>130</v>
      </c>
      <c r="F18">
        <v>195000</v>
      </c>
      <c r="G18">
        <f>130*500</f>
        <v>65000</v>
      </c>
      <c r="H18">
        <v>130000</v>
      </c>
    </row>
    <row r="19" spans="1:8" x14ac:dyDescent="0.25">
      <c r="C19" t="s">
        <v>105</v>
      </c>
      <c r="D19" t="s">
        <v>11</v>
      </c>
      <c r="E19">
        <v>50</v>
      </c>
      <c r="F19">
        <v>75000</v>
      </c>
      <c r="G19">
        <f>50*500</f>
        <v>25000</v>
      </c>
      <c r="H19">
        <v>50000</v>
      </c>
    </row>
    <row r="20" spans="1:8" x14ac:dyDescent="0.25">
      <c r="C20" t="s">
        <v>106</v>
      </c>
      <c r="D20" t="s">
        <v>11</v>
      </c>
      <c r="E20">
        <v>34</v>
      </c>
      <c r="F20">
        <v>51000</v>
      </c>
      <c r="G20">
        <f>34*500</f>
        <v>17000</v>
      </c>
      <c r="H20">
        <v>34000</v>
      </c>
    </row>
    <row r="21" spans="1:8" x14ac:dyDescent="0.25">
      <c r="C21" t="s">
        <v>107</v>
      </c>
      <c r="D21" t="s">
        <v>11</v>
      </c>
      <c r="E21">
        <v>13</v>
      </c>
      <c r="F21">
        <f>13*1500</f>
        <v>19500</v>
      </c>
      <c r="G21">
        <f>13*500</f>
        <v>6500</v>
      </c>
      <c r="H21">
        <v>13000</v>
      </c>
    </row>
    <row r="22" spans="1:8" x14ac:dyDescent="0.25">
      <c r="D22" t="s">
        <v>13</v>
      </c>
      <c r="E22">
        <v>2</v>
      </c>
      <c r="F22">
        <v>12000</v>
      </c>
      <c r="G22">
        <v>9000</v>
      </c>
      <c r="H22">
        <v>3000</v>
      </c>
    </row>
    <row r="23" spans="1:8" x14ac:dyDescent="0.25">
      <c r="C23" t="s">
        <v>48</v>
      </c>
      <c r="D23" t="s">
        <v>13</v>
      </c>
      <c r="E23">
        <v>7</v>
      </c>
      <c r="F23">
        <v>45500</v>
      </c>
      <c r="G23">
        <f>7*4500</f>
        <v>31500</v>
      </c>
      <c r="H23">
        <v>14000</v>
      </c>
    </row>
    <row r="24" spans="1:8" x14ac:dyDescent="0.25">
      <c r="C24" t="s">
        <v>10</v>
      </c>
      <c r="D24" t="s">
        <v>11</v>
      </c>
      <c r="E24">
        <v>20</v>
      </c>
      <c r="F24">
        <v>30000</v>
      </c>
      <c r="G24">
        <f>20*500</f>
        <v>10000</v>
      </c>
      <c r="H24">
        <v>20000</v>
      </c>
    </row>
    <row r="25" spans="1:8" x14ac:dyDescent="0.25">
      <c r="D25" t="s">
        <v>12</v>
      </c>
      <c r="E25">
        <v>3</v>
      </c>
      <c r="F25">
        <v>9000</v>
      </c>
      <c r="G25">
        <v>6000</v>
      </c>
      <c r="H25">
        <v>3000</v>
      </c>
    </row>
    <row r="26" spans="1:8" x14ac:dyDescent="0.25">
      <c r="D26" t="s">
        <v>13</v>
      </c>
      <c r="E26">
        <v>1</v>
      </c>
      <c r="F26">
        <v>6500</v>
      </c>
      <c r="G26">
        <v>4500</v>
      </c>
      <c r="H26">
        <v>2000</v>
      </c>
    </row>
    <row r="27" spans="1:8" x14ac:dyDescent="0.25">
      <c r="C27" t="s">
        <v>16</v>
      </c>
      <c r="D27" t="s">
        <v>11</v>
      </c>
      <c r="E27">
        <v>39</v>
      </c>
      <c r="F27">
        <v>58500</v>
      </c>
      <c r="G27">
        <f>39*500</f>
        <v>19500</v>
      </c>
      <c r="H27">
        <v>39000</v>
      </c>
    </row>
    <row r="28" spans="1:8" x14ac:dyDescent="0.25">
      <c r="D28" t="s">
        <v>12</v>
      </c>
      <c r="E28">
        <v>1</v>
      </c>
      <c r="F28">
        <v>3000</v>
      </c>
      <c r="G28">
        <v>2000</v>
      </c>
      <c r="H28">
        <v>1000</v>
      </c>
    </row>
    <row r="29" spans="1:8" x14ac:dyDescent="0.25">
      <c r="D29" t="s">
        <v>13</v>
      </c>
      <c r="E29">
        <v>1</v>
      </c>
      <c r="F29">
        <v>6500</v>
      </c>
      <c r="G29">
        <v>4500</v>
      </c>
      <c r="H29">
        <v>2000</v>
      </c>
    </row>
    <row r="30" spans="1:8" x14ac:dyDescent="0.25">
      <c r="D30" t="s">
        <v>14</v>
      </c>
      <c r="E30">
        <v>2</v>
      </c>
      <c r="F30">
        <v>20000</v>
      </c>
      <c r="G30">
        <v>11000</v>
      </c>
      <c r="H30">
        <v>9000</v>
      </c>
    </row>
    <row r="31" spans="1:8" x14ac:dyDescent="0.25">
      <c r="C31" t="s">
        <v>63</v>
      </c>
      <c r="D31" t="s">
        <v>25</v>
      </c>
      <c r="E31">
        <v>2</v>
      </c>
      <c r="F31">
        <v>30000</v>
      </c>
      <c r="G31">
        <v>20000</v>
      </c>
      <c r="H31">
        <v>10000</v>
      </c>
    </row>
    <row r="32" spans="1:8" x14ac:dyDescent="0.25">
      <c r="A32" s="111" t="s">
        <v>17</v>
      </c>
      <c r="B32" s="111"/>
      <c r="C32" s="111"/>
      <c r="D32" s="111"/>
      <c r="E32" s="111"/>
      <c r="F32" s="1">
        <f>SUM(F15:F31)</f>
        <v>1031000</v>
      </c>
      <c r="G32" s="1">
        <f>SUM(G15:G31)</f>
        <v>388000</v>
      </c>
      <c r="H32" s="1">
        <f>SUM(H15:H31)</f>
        <v>643000</v>
      </c>
    </row>
    <row r="33" spans="1:8" x14ac:dyDescent="0.25">
      <c r="A33" t="s">
        <v>18</v>
      </c>
      <c r="B33" s="3">
        <v>44622</v>
      </c>
      <c r="C33" t="s">
        <v>106</v>
      </c>
      <c r="D33" t="s">
        <v>11</v>
      </c>
      <c r="E33">
        <v>15</v>
      </c>
      <c r="F33">
        <v>22500</v>
      </c>
      <c r="G33">
        <f>15*500</f>
        <v>7500</v>
      </c>
      <c r="H33">
        <v>15000</v>
      </c>
    </row>
    <row r="34" spans="1:8" x14ac:dyDescent="0.25">
      <c r="C34" t="s">
        <v>77</v>
      </c>
      <c r="D34" t="s">
        <v>11</v>
      </c>
      <c r="E34">
        <v>129</v>
      </c>
      <c r="F34">
        <v>193500</v>
      </c>
      <c r="G34">
        <f>129*500</f>
        <v>64500</v>
      </c>
      <c r="H34">
        <v>129000</v>
      </c>
    </row>
    <row r="35" spans="1:8" x14ac:dyDescent="0.25">
      <c r="C35" t="s">
        <v>10</v>
      </c>
      <c r="D35" t="s">
        <v>11</v>
      </c>
      <c r="E35">
        <v>15</v>
      </c>
      <c r="F35">
        <v>22500</v>
      </c>
      <c r="G35">
        <f>15*500</f>
        <v>7500</v>
      </c>
      <c r="H35">
        <v>15000</v>
      </c>
    </row>
    <row r="36" spans="1:8" x14ac:dyDescent="0.25">
      <c r="D36" t="s">
        <v>12</v>
      </c>
      <c r="E36">
        <v>10</v>
      </c>
      <c r="F36">
        <v>30000</v>
      </c>
      <c r="G36">
        <v>20000</v>
      </c>
      <c r="H36">
        <v>10000</v>
      </c>
    </row>
    <row r="37" spans="1:8" x14ac:dyDescent="0.25">
      <c r="D37" t="s">
        <v>13</v>
      </c>
      <c r="E37">
        <v>7</v>
      </c>
      <c r="F37">
        <v>45500</v>
      </c>
      <c r="G37">
        <f>7*4500</f>
        <v>31500</v>
      </c>
      <c r="H37">
        <v>14000</v>
      </c>
    </row>
    <row r="38" spans="1:8" x14ac:dyDescent="0.25">
      <c r="D38" t="s">
        <v>14</v>
      </c>
      <c r="E38">
        <v>4</v>
      </c>
      <c r="F38">
        <v>32000</v>
      </c>
      <c r="G38">
        <f>4*5500</f>
        <v>22000</v>
      </c>
      <c r="H38">
        <v>10000</v>
      </c>
    </row>
    <row r="39" spans="1:8" x14ac:dyDescent="0.25">
      <c r="C39" t="s">
        <v>16</v>
      </c>
      <c r="D39" t="s">
        <v>11</v>
      </c>
      <c r="E39">
        <v>35</v>
      </c>
      <c r="F39">
        <v>52500</v>
      </c>
      <c r="G39">
        <f>35*500</f>
        <v>17500</v>
      </c>
      <c r="H39">
        <v>35000</v>
      </c>
    </row>
    <row r="40" spans="1:8" x14ac:dyDescent="0.25">
      <c r="C40" t="s">
        <v>105</v>
      </c>
      <c r="D40" t="s">
        <v>11</v>
      </c>
      <c r="E40">
        <v>50</v>
      </c>
      <c r="F40">
        <v>75000</v>
      </c>
      <c r="G40">
        <f>50*500</f>
        <v>25000</v>
      </c>
      <c r="H40">
        <v>50000</v>
      </c>
    </row>
    <row r="41" spans="1:8" x14ac:dyDescent="0.25">
      <c r="A41" s="111" t="s">
        <v>17</v>
      </c>
      <c r="B41" s="111"/>
      <c r="C41" s="111"/>
      <c r="D41" s="111"/>
      <c r="E41" s="111"/>
      <c r="F41" s="1">
        <f>SUM(F33:F40)</f>
        <v>473500</v>
      </c>
      <c r="G41" s="1">
        <f>SUM(G33:G40)</f>
        <v>195500</v>
      </c>
      <c r="H41" s="1">
        <f>SUM(H33:H40)</f>
        <v>278000</v>
      </c>
    </row>
    <row r="42" spans="1:8" x14ac:dyDescent="0.25">
      <c r="A42" t="s">
        <v>22</v>
      </c>
      <c r="B42" s="3">
        <v>44653</v>
      </c>
      <c r="C42" t="s">
        <v>106</v>
      </c>
      <c r="D42" t="s">
        <v>11</v>
      </c>
      <c r="E42">
        <v>21</v>
      </c>
      <c r="F42">
        <f>21*1500</f>
        <v>31500</v>
      </c>
      <c r="G42">
        <f>21*500</f>
        <v>10500</v>
      </c>
      <c r="H42">
        <v>21000</v>
      </c>
    </row>
    <row r="43" spans="1:8" x14ac:dyDescent="0.25">
      <c r="C43" t="s">
        <v>105</v>
      </c>
      <c r="D43" t="s">
        <v>11</v>
      </c>
      <c r="E43">
        <v>50</v>
      </c>
      <c r="F43">
        <v>75000</v>
      </c>
      <c r="G43">
        <v>25000</v>
      </c>
      <c r="H43">
        <v>50000</v>
      </c>
    </row>
    <row r="44" spans="1:8" x14ac:dyDescent="0.25">
      <c r="C44" t="s">
        <v>107</v>
      </c>
      <c r="D44" t="s">
        <v>13</v>
      </c>
      <c r="E44">
        <v>5</v>
      </c>
      <c r="F44">
        <f>5*6000</f>
        <v>30000</v>
      </c>
      <c r="G44">
        <f>5*4500</f>
        <v>22500</v>
      </c>
      <c r="H44">
        <f>5*1500</f>
        <v>7500</v>
      </c>
    </row>
    <row r="45" spans="1:8" x14ac:dyDescent="0.25">
      <c r="D45" t="s">
        <v>12</v>
      </c>
      <c r="E45">
        <v>2</v>
      </c>
      <c r="F45">
        <v>6000</v>
      </c>
      <c r="G45">
        <v>4000</v>
      </c>
      <c r="H45">
        <v>2000</v>
      </c>
    </row>
    <row r="46" spans="1:8" x14ac:dyDescent="0.25">
      <c r="C46" t="s">
        <v>16</v>
      </c>
      <c r="D46" t="s">
        <v>11</v>
      </c>
      <c r="E46">
        <v>19</v>
      </c>
      <c r="F46">
        <v>28500</v>
      </c>
      <c r="G46">
        <f>19*500</f>
        <v>9500</v>
      </c>
      <c r="H46">
        <v>19000</v>
      </c>
    </row>
    <row r="47" spans="1:8" x14ac:dyDescent="0.25">
      <c r="D47" t="s">
        <v>12</v>
      </c>
      <c r="E47">
        <v>4</v>
      </c>
      <c r="F47">
        <v>12000</v>
      </c>
      <c r="G47">
        <v>8000</v>
      </c>
      <c r="H47">
        <v>4000</v>
      </c>
    </row>
    <row r="48" spans="1:8" x14ac:dyDescent="0.25">
      <c r="D48" t="s">
        <v>13</v>
      </c>
      <c r="E48">
        <v>2</v>
      </c>
      <c r="F48">
        <v>13000</v>
      </c>
      <c r="G48">
        <v>9000</v>
      </c>
      <c r="H48">
        <v>4000</v>
      </c>
    </row>
    <row r="49" spans="1:8" x14ac:dyDescent="0.25">
      <c r="D49" t="s">
        <v>14</v>
      </c>
      <c r="E49">
        <v>1</v>
      </c>
      <c r="F49">
        <v>10000</v>
      </c>
      <c r="G49">
        <v>5500</v>
      </c>
      <c r="H49">
        <v>4500</v>
      </c>
    </row>
    <row r="50" spans="1:8" x14ac:dyDescent="0.25">
      <c r="D50" t="s">
        <v>21</v>
      </c>
      <c r="E50">
        <v>1</v>
      </c>
      <c r="F50">
        <v>15000</v>
      </c>
      <c r="G50">
        <v>11000</v>
      </c>
      <c r="H50">
        <v>4000</v>
      </c>
    </row>
    <row r="51" spans="1:8" x14ac:dyDescent="0.25">
      <c r="C51" t="s">
        <v>10</v>
      </c>
      <c r="D51" t="s">
        <v>11</v>
      </c>
      <c r="E51">
        <v>20</v>
      </c>
      <c r="F51">
        <v>30000</v>
      </c>
      <c r="G51">
        <f>20*500</f>
        <v>10000</v>
      </c>
      <c r="H51">
        <v>20000</v>
      </c>
    </row>
    <row r="52" spans="1:8" x14ac:dyDescent="0.25">
      <c r="D52" t="s">
        <v>12</v>
      </c>
      <c r="E52">
        <v>3</v>
      </c>
      <c r="F52">
        <v>9000</v>
      </c>
      <c r="G52">
        <v>6000</v>
      </c>
      <c r="H52">
        <v>3000</v>
      </c>
    </row>
    <row r="53" spans="1:8" x14ac:dyDescent="0.25">
      <c r="D53" t="s">
        <v>13</v>
      </c>
      <c r="E53">
        <v>2</v>
      </c>
      <c r="F53">
        <v>13000</v>
      </c>
      <c r="G53">
        <v>9000</v>
      </c>
      <c r="H53">
        <v>4000</v>
      </c>
    </row>
    <row r="54" spans="1:8" x14ac:dyDescent="0.25">
      <c r="D54" t="s">
        <v>14</v>
      </c>
      <c r="E54">
        <v>3</v>
      </c>
      <c r="F54">
        <v>24000</v>
      </c>
      <c r="G54">
        <v>16500</v>
      </c>
      <c r="H54">
        <v>7500</v>
      </c>
    </row>
    <row r="55" spans="1:8" x14ac:dyDescent="0.25">
      <c r="C55" t="s">
        <v>63</v>
      </c>
      <c r="D55" t="s">
        <v>25</v>
      </c>
      <c r="E55">
        <v>3</v>
      </c>
      <c r="F55">
        <v>39000</v>
      </c>
      <c r="G55">
        <v>30000</v>
      </c>
      <c r="H55">
        <v>9000</v>
      </c>
    </row>
    <row r="56" spans="1:8" x14ac:dyDescent="0.25">
      <c r="C56" t="s">
        <v>86</v>
      </c>
      <c r="D56" t="s">
        <v>21</v>
      </c>
      <c r="E56">
        <v>2</v>
      </c>
      <c r="F56">
        <v>30000</v>
      </c>
      <c r="G56">
        <v>22000</v>
      </c>
      <c r="H56">
        <v>8000</v>
      </c>
    </row>
    <row r="57" spans="1:8" x14ac:dyDescent="0.25">
      <c r="A57" s="111" t="s">
        <v>17</v>
      </c>
      <c r="B57" s="111"/>
      <c r="C57" s="111"/>
      <c r="D57" s="111"/>
      <c r="E57" s="111"/>
      <c r="F57" s="1">
        <f>SUM(F42:F56)</f>
        <v>366000</v>
      </c>
      <c r="G57" s="1">
        <f>SUM(G42:G56)</f>
        <v>198500</v>
      </c>
      <c r="H57" s="1">
        <f>SUM(H42:H56)</f>
        <v>167500</v>
      </c>
    </row>
    <row r="58" spans="1:8" x14ac:dyDescent="0.25">
      <c r="A58" t="s">
        <v>26</v>
      </c>
      <c r="B58" s="3">
        <v>44683</v>
      </c>
      <c r="C58" t="s">
        <v>105</v>
      </c>
      <c r="D58" t="s">
        <v>11</v>
      </c>
      <c r="E58">
        <v>32</v>
      </c>
      <c r="F58">
        <v>48000</v>
      </c>
      <c r="G58">
        <f>32*500</f>
        <v>16000</v>
      </c>
      <c r="H58">
        <v>32000</v>
      </c>
    </row>
    <row r="59" spans="1:8" x14ac:dyDescent="0.25">
      <c r="C59" t="s">
        <v>16</v>
      </c>
      <c r="D59" t="s">
        <v>11</v>
      </c>
      <c r="E59">
        <v>42</v>
      </c>
      <c r="F59">
        <v>63000</v>
      </c>
      <c r="G59">
        <f>42*500</f>
        <v>21000</v>
      </c>
      <c r="H59">
        <v>42000</v>
      </c>
    </row>
    <row r="60" spans="1:8" x14ac:dyDescent="0.25">
      <c r="D60" t="s">
        <v>12</v>
      </c>
      <c r="E60">
        <v>9</v>
      </c>
      <c r="F60">
        <v>27000</v>
      </c>
      <c r="G60">
        <v>18000</v>
      </c>
      <c r="H60">
        <v>9000</v>
      </c>
    </row>
    <row r="61" spans="1:8" x14ac:dyDescent="0.25">
      <c r="C61" t="s">
        <v>10</v>
      </c>
      <c r="D61" t="s">
        <v>11</v>
      </c>
      <c r="E61">
        <v>10</v>
      </c>
      <c r="F61">
        <v>15000</v>
      </c>
      <c r="G61">
        <v>5000</v>
      </c>
      <c r="H61">
        <v>10000</v>
      </c>
    </row>
    <row r="62" spans="1:8" x14ac:dyDescent="0.25">
      <c r="D62" t="s">
        <v>13</v>
      </c>
      <c r="E62">
        <v>2</v>
      </c>
      <c r="F62">
        <v>13000</v>
      </c>
      <c r="G62">
        <v>9000</v>
      </c>
      <c r="H62">
        <v>4000</v>
      </c>
    </row>
    <row r="63" spans="1:8" x14ac:dyDescent="0.25">
      <c r="D63" t="s">
        <v>14</v>
      </c>
      <c r="E63">
        <v>4</v>
      </c>
      <c r="F63">
        <v>40000</v>
      </c>
      <c r="G63">
        <f>4*5500</f>
        <v>22000</v>
      </c>
      <c r="H63">
        <f>4*4500</f>
        <v>18000</v>
      </c>
    </row>
    <row r="64" spans="1:8" x14ac:dyDescent="0.25">
      <c r="A64" s="111" t="s">
        <v>17</v>
      </c>
      <c r="B64" s="111"/>
      <c r="C64" s="111"/>
      <c r="D64" s="111"/>
      <c r="E64" s="111"/>
      <c r="F64" s="1">
        <f>SUM(F58:F63)</f>
        <v>206000</v>
      </c>
      <c r="G64" s="1">
        <f>SUM(G58:G63)</f>
        <v>91000</v>
      </c>
      <c r="H64" s="1">
        <f>SUM(H58:H63)</f>
        <v>115000</v>
      </c>
    </row>
    <row r="65" spans="1:8" x14ac:dyDescent="0.25">
      <c r="A65" t="s">
        <v>28</v>
      </c>
      <c r="B65" s="3">
        <v>44714</v>
      </c>
      <c r="C65" t="s">
        <v>20</v>
      </c>
      <c r="D65" t="s">
        <v>13</v>
      </c>
      <c r="E65">
        <v>28</v>
      </c>
      <c r="F65">
        <v>182000</v>
      </c>
      <c r="G65">
        <f>28*4500</f>
        <v>126000</v>
      </c>
      <c r="H65">
        <f>28*2000</f>
        <v>56000</v>
      </c>
    </row>
    <row r="66" spans="1:8" x14ac:dyDescent="0.25">
      <c r="D66" t="s">
        <v>14</v>
      </c>
      <c r="E66">
        <v>56</v>
      </c>
      <c r="F66">
        <v>560000</v>
      </c>
      <c r="G66">
        <f>56*5500</f>
        <v>308000</v>
      </c>
      <c r="H66">
        <f>56*4500</f>
        <v>252000</v>
      </c>
    </row>
    <row r="67" spans="1:8" x14ac:dyDescent="0.25">
      <c r="D67" t="s">
        <v>21</v>
      </c>
      <c r="E67">
        <v>1</v>
      </c>
      <c r="F67">
        <v>15000</v>
      </c>
      <c r="G67">
        <v>11000</v>
      </c>
      <c r="H67">
        <v>4000</v>
      </c>
    </row>
    <row r="68" spans="1:8" x14ac:dyDescent="0.25">
      <c r="C68" t="s">
        <v>10</v>
      </c>
      <c r="D68" t="s">
        <v>13</v>
      </c>
      <c r="E68">
        <v>14</v>
      </c>
      <c r="F68">
        <v>91000</v>
      </c>
      <c r="G68">
        <f>14*4500</f>
        <v>63000</v>
      </c>
      <c r="H68">
        <v>28000</v>
      </c>
    </row>
    <row r="69" spans="1:8" x14ac:dyDescent="0.25">
      <c r="D69" t="s">
        <v>14</v>
      </c>
      <c r="E69">
        <v>11</v>
      </c>
      <c r="F69">
        <v>88000</v>
      </c>
      <c r="G69">
        <f>11*5500</f>
        <v>60500</v>
      </c>
      <c r="H69">
        <f>11*2500</f>
        <v>27500</v>
      </c>
    </row>
    <row r="70" spans="1:8" x14ac:dyDescent="0.25">
      <c r="C70" t="s">
        <v>15</v>
      </c>
      <c r="D70" t="s">
        <v>13</v>
      </c>
      <c r="E70">
        <v>9</v>
      </c>
      <c r="F70">
        <v>58500</v>
      </c>
      <c r="G70">
        <f>9*4500</f>
        <v>40500</v>
      </c>
      <c r="H70">
        <v>18000</v>
      </c>
    </row>
    <row r="71" spans="1:8" x14ac:dyDescent="0.25">
      <c r="D71" t="s">
        <v>14</v>
      </c>
      <c r="E71">
        <v>6</v>
      </c>
      <c r="F71">
        <v>48000</v>
      </c>
      <c r="G71">
        <f>6*5500</f>
        <v>33000</v>
      </c>
      <c r="H71">
        <f>6*2500</f>
        <v>15000</v>
      </c>
    </row>
    <row r="72" spans="1:8" x14ac:dyDescent="0.25">
      <c r="D72" t="s">
        <v>14</v>
      </c>
      <c r="E72">
        <v>1</v>
      </c>
      <c r="F72">
        <v>10000</v>
      </c>
      <c r="G72">
        <v>5500</v>
      </c>
      <c r="H72">
        <v>4500</v>
      </c>
    </row>
    <row r="73" spans="1:8" x14ac:dyDescent="0.25">
      <c r="C73" t="s">
        <v>63</v>
      </c>
      <c r="D73" t="s">
        <v>25</v>
      </c>
      <c r="E73">
        <v>2</v>
      </c>
      <c r="F73">
        <v>30000</v>
      </c>
      <c r="G73">
        <v>20000</v>
      </c>
      <c r="H73">
        <v>10000</v>
      </c>
    </row>
    <row r="74" spans="1:8" x14ac:dyDescent="0.25">
      <c r="C74" t="s">
        <v>16</v>
      </c>
      <c r="D74" t="s">
        <v>11</v>
      </c>
      <c r="E74">
        <v>49</v>
      </c>
      <c r="F74">
        <v>73500</v>
      </c>
      <c r="G74">
        <f>49*500</f>
        <v>24500</v>
      </c>
      <c r="H74">
        <v>49000</v>
      </c>
    </row>
    <row r="75" spans="1:8" x14ac:dyDescent="0.25">
      <c r="D75" t="s">
        <v>12</v>
      </c>
      <c r="E75">
        <v>6</v>
      </c>
      <c r="F75">
        <v>18000</v>
      </c>
      <c r="G75">
        <v>12000</v>
      </c>
      <c r="H75">
        <v>6000</v>
      </c>
    </row>
    <row r="76" spans="1:8" x14ac:dyDescent="0.25">
      <c r="D76" t="s">
        <v>13</v>
      </c>
      <c r="E76">
        <v>1</v>
      </c>
      <c r="F76">
        <v>6500</v>
      </c>
      <c r="G76">
        <v>4500</v>
      </c>
      <c r="H76">
        <v>2000</v>
      </c>
    </row>
    <row r="77" spans="1:8" x14ac:dyDescent="0.25">
      <c r="D77" t="s">
        <v>21</v>
      </c>
      <c r="E77">
        <v>1</v>
      </c>
      <c r="F77">
        <v>15000</v>
      </c>
      <c r="G77">
        <v>11000</v>
      </c>
      <c r="H77">
        <v>4000</v>
      </c>
    </row>
    <row r="78" spans="1:8" x14ac:dyDescent="0.25">
      <c r="C78" t="s">
        <v>10</v>
      </c>
      <c r="D78" t="s">
        <v>13</v>
      </c>
      <c r="E78">
        <v>8</v>
      </c>
      <c r="F78">
        <v>52000</v>
      </c>
      <c r="G78">
        <f>8*4500</f>
        <v>36000</v>
      </c>
      <c r="H78">
        <v>16000</v>
      </c>
    </row>
    <row r="79" spans="1:8" x14ac:dyDescent="0.25">
      <c r="D79" t="s">
        <v>14</v>
      </c>
      <c r="E79">
        <v>4</v>
      </c>
      <c r="F79">
        <v>32000</v>
      </c>
      <c r="G79">
        <f>4*5500</f>
        <v>22000</v>
      </c>
      <c r="H79">
        <v>10000</v>
      </c>
    </row>
    <row r="80" spans="1:8" x14ac:dyDescent="0.25">
      <c r="A80" s="111" t="s">
        <v>17</v>
      </c>
      <c r="B80" s="111"/>
      <c r="C80" s="111"/>
      <c r="D80" s="111"/>
      <c r="E80" s="111"/>
      <c r="F80" s="1">
        <f>SUM(F65:F79)</f>
        <v>1279500</v>
      </c>
      <c r="G80" s="1">
        <f>SUM(G65:G79)</f>
        <v>777500</v>
      </c>
      <c r="H80" s="1">
        <f>SUM(H65:H79)</f>
        <v>502000</v>
      </c>
    </row>
    <row r="81" spans="1:8" x14ac:dyDescent="0.25">
      <c r="A81" t="s">
        <v>30</v>
      </c>
      <c r="B81" s="3">
        <v>44744</v>
      </c>
      <c r="C81" t="s">
        <v>63</v>
      </c>
      <c r="D81" t="s">
        <v>25</v>
      </c>
      <c r="E81">
        <v>2</v>
      </c>
      <c r="F81">
        <v>30000</v>
      </c>
      <c r="G81">
        <v>20000</v>
      </c>
      <c r="H81">
        <v>10000</v>
      </c>
    </row>
    <row r="82" spans="1:8" x14ac:dyDescent="0.25">
      <c r="C82" t="s">
        <v>105</v>
      </c>
      <c r="D82" t="s">
        <v>11</v>
      </c>
      <c r="E82">
        <v>50</v>
      </c>
      <c r="F82">
        <f>50*1500</f>
        <v>75000</v>
      </c>
      <c r="G82">
        <f>50*500</f>
        <v>25000</v>
      </c>
      <c r="H82">
        <v>50000</v>
      </c>
    </row>
    <row r="83" spans="1:8" x14ac:dyDescent="0.25">
      <c r="C83" t="s">
        <v>106</v>
      </c>
      <c r="D83" t="s">
        <v>11</v>
      </c>
      <c r="E83">
        <v>19</v>
      </c>
      <c r="F83">
        <f>19*1500</f>
        <v>28500</v>
      </c>
      <c r="G83">
        <f>19*500</f>
        <v>9500</v>
      </c>
      <c r="H83">
        <v>19000</v>
      </c>
    </row>
    <row r="84" spans="1:8" x14ac:dyDescent="0.25">
      <c r="D84" t="s">
        <v>11</v>
      </c>
      <c r="E84">
        <v>16</v>
      </c>
      <c r="F84">
        <f>16*1500</f>
        <v>24000</v>
      </c>
      <c r="G84">
        <f>16*500</f>
        <v>8000</v>
      </c>
      <c r="H84">
        <v>16000</v>
      </c>
    </row>
    <row r="85" spans="1:8" x14ac:dyDescent="0.25">
      <c r="C85" t="s">
        <v>107</v>
      </c>
      <c r="D85" t="s">
        <v>13</v>
      </c>
      <c r="E85">
        <v>1</v>
      </c>
      <c r="F85">
        <v>6000</v>
      </c>
      <c r="G85">
        <v>4500</v>
      </c>
      <c r="H85">
        <v>1500</v>
      </c>
    </row>
    <row r="86" spans="1:8" x14ac:dyDescent="0.25">
      <c r="C86" t="s">
        <v>10</v>
      </c>
      <c r="D86" t="s">
        <v>11</v>
      </c>
      <c r="E86">
        <v>15</v>
      </c>
      <c r="F86">
        <v>22500</v>
      </c>
      <c r="G86">
        <f>15*500</f>
        <v>7500</v>
      </c>
      <c r="H86">
        <v>15000</v>
      </c>
    </row>
    <row r="87" spans="1:8" x14ac:dyDescent="0.25">
      <c r="D87" t="s">
        <v>12</v>
      </c>
      <c r="E87">
        <v>1</v>
      </c>
      <c r="F87">
        <v>3000</v>
      </c>
      <c r="G87">
        <v>2000</v>
      </c>
      <c r="H87">
        <v>1000</v>
      </c>
    </row>
    <row r="88" spans="1:8" x14ac:dyDescent="0.25">
      <c r="D88" t="s">
        <v>14</v>
      </c>
      <c r="E88">
        <v>1</v>
      </c>
      <c r="F88">
        <v>10000</v>
      </c>
      <c r="G88">
        <v>5500</v>
      </c>
      <c r="H88">
        <v>4500</v>
      </c>
    </row>
    <row r="89" spans="1:8" x14ac:dyDescent="0.25">
      <c r="A89" s="111" t="s">
        <v>17</v>
      </c>
      <c r="B89" s="111"/>
      <c r="C89" s="111"/>
      <c r="D89" s="111"/>
      <c r="E89" s="111"/>
      <c r="F89" s="1">
        <f>SUM(F81:F88)</f>
        <v>199000</v>
      </c>
      <c r="G89" s="1">
        <f>SUM(G81:G88)</f>
        <v>82000</v>
      </c>
      <c r="H89" s="1">
        <f>SUM(H81:H88)</f>
        <v>117000</v>
      </c>
    </row>
    <row r="90" spans="1:8" x14ac:dyDescent="0.25">
      <c r="A90" t="s">
        <v>32</v>
      </c>
      <c r="B90" s="3">
        <v>44775</v>
      </c>
      <c r="C90" t="s">
        <v>105</v>
      </c>
      <c r="D90" t="s">
        <v>11</v>
      </c>
      <c r="E90">
        <v>50</v>
      </c>
      <c r="F90">
        <v>75000</v>
      </c>
      <c r="G90">
        <f>50*500</f>
        <v>25000</v>
      </c>
      <c r="H90">
        <v>50000</v>
      </c>
    </row>
    <row r="91" spans="1:8" x14ac:dyDescent="0.25">
      <c r="C91" t="s">
        <v>108</v>
      </c>
      <c r="D91" t="s">
        <v>11</v>
      </c>
      <c r="E91">
        <v>40</v>
      </c>
      <c r="F91">
        <v>60000</v>
      </c>
      <c r="G91">
        <f>40*500</f>
        <v>20000</v>
      </c>
      <c r="H91">
        <v>40000</v>
      </c>
    </row>
    <row r="92" spans="1:8" x14ac:dyDescent="0.25">
      <c r="C92" t="s">
        <v>106</v>
      </c>
      <c r="D92" t="s">
        <v>11</v>
      </c>
      <c r="E92">
        <v>26</v>
      </c>
      <c r="F92">
        <v>39000</v>
      </c>
      <c r="G92">
        <f>26*500</f>
        <v>13000</v>
      </c>
      <c r="H92">
        <v>26000</v>
      </c>
    </row>
    <row r="93" spans="1:8" x14ac:dyDescent="0.25">
      <c r="C93" t="s">
        <v>72</v>
      </c>
      <c r="D93" t="s">
        <v>21</v>
      </c>
      <c r="E93">
        <v>3</v>
      </c>
      <c r="F93">
        <v>45000</v>
      </c>
      <c r="G93">
        <v>33000</v>
      </c>
      <c r="H93">
        <f>F93-G93</f>
        <v>12000</v>
      </c>
    </row>
    <row r="94" spans="1:8" x14ac:dyDescent="0.25">
      <c r="C94" t="s">
        <v>48</v>
      </c>
      <c r="D94" t="s">
        <v>13</v>
      </c>
      <c r="E94">
        <v>5</v>
      </c>
      <c r="F94">
        <f>5*6500</f>
        <v>32500</v>
      </c>
      <c r="G94">
        <f>5*4500</f>
        <v>22500</v>
      </c>
      <c r="H94">
        <v>10000</v>
      </c>
    </row>
    <row r="95" spans="1:8" x14ac:dyDescent="0.25">
      <c r="A95" s="111" t="s">
        <v>17</v>
      </c>
      <c r="B95" s="111"/>
      <c r="C95" s="111"/>
      <c r="D95" s="111"/>
      <c r="E95" s="111"/>
      <c r="F95" s="1">
        <f>SUM(F90:F94)</f>
        <v>251500</v>
      </c>
      <c r="G95" s="1">
        <f>SUM(G90:G94)</f>
        <v>113500</v>
      </c>
      <c r="H95" s="1">
        <f>SUM(H90:H94)</f>
        <v>138000</v>
      </c>
    </row>
    <row r="96" spans="1:8" x14ac:dyDescent="0.25">
      <c r="A96" t="s">
        <v>8</v>
      </c>
      <c r="B96" s="3">
        <v>44806</v>
      </c>
      <c r="C96" t="s">
        <v>105</v>
      </c>
      <c r="D96" t="s">
        <v>11</v>
      </c>
      <c r="E96">
        <v>50</v>
      </c>
      <c r="F96">
        <v>75000</v>
      </c>
      <c r="G96">
        <f>50*500</f>
        <v>25000</v>
      </c>
      <c r="H96">
        <v>50000</v>
      </c>
    </row>
    <row r="97" spans="1:8" x14ac:dyDescent="0.25">
      <c r="C97" t="s">
        <v>108</v>
      </c>
      <c r="D97" t="s">
        <v>11</v>
      </c>
      <c r="E97">
        <v>50</v>
      </c>
      <c r="F97">
        <v>75000</v>
      </c>
      <c r="G97">
        <f>50*500</f>
        <v>25000</v>
      </c>
      <c r="H97">
        <v>50000</v>
      </c>
    </row>
    <row r="98" spans="1:8" x14ac:dyDescent="0.25">
      <c r="D98" t="s">
        <v>11</v>
      </c>
      <c r="E98">
        <v>50</v>
      </c>
      <c r="F98">
        <v>75000</v>
      </c>
      <c r="G98">
        <f>50*500</f>
        <v>25000</v>
      </c>
      <c r="H98">
        <v>50000</v>
      </c>
    </row>
    <row r="99" spans="1:8" x14ac:dyDescent="0.25">
      <c r="C99" t="s">
        <v>106</v>
      </c>
      <c r="D99" t="s">
        <v>11</v>
      </c>
      <c r="E99">
        <v>22</v>
      </c>
      <c r="F99">
        <v>33500</v>
      </c>
      <c r="G99">
        <f>22*500</f>
        <v>11000</v>
      </c>
      <c r="H99">
        <v>22000</v>
      </c>
    </row>
    <row r="100" spans="1:8" x14ac:dyDescent="0.25">
      <c r="C100" t="s">
        <v>77</v>
      </c>
      <c r="D100" t="s">
        <v>11</v>
      </c>
      <c r="E100">
        <v>87</v>
      </c>
      <c r="F100">
        <v>130500</v>
      </c>
      <c r="G100">
        <f>87*500</f>
        <v>43500</v>
      </c>
      <c r="H100">
        <v>87000</v>
      </c>
    </row>
    <row r="101" spans="1:8" x14ac:dyDescent="0.25">
      <c r="C101" t="s">
        <v>109</v>
      </c>
      <c r="D101" t="s">
        <v>11</v>
      </c>
      <c r="E101">
        <v>26</v>
      </c>
      <c r="F101">
        <v>39000</v>
      </c>
      <c r="G101">
        <f>26*500</f>
        <v>13000</v>
      </c>
      <c r="H101">
        <v>26000</v>
      </c>
    </row>
    <row r="102" spans="1:8" x14ac:dyDescent="0.25">
      <c r="C102" t="s">
        <v>63</v>
      </c>
      <c r="D102" t="s">
        <v>25</v>
      </c>
      <c r="E102">
        <v>3</v>
      </c>
      <c r="F102">
        <v>45000</v>
      </c>
      <c r="G102">
        <v>30000</v>
      </c>
      <c r="H102">
        <v>15000</v>
      </c>
    </row>
    <row r="103" spans="1:8" x14ac:dyDescent="0.25">
      <c r="C103" t="s">
        <v>10</v>
      </c>
      <c r="D103" t="s">
        <v>11</v>
      </c>
      <c r="E103">
        <v>14</v>
      </c>
      <c r="F103">
        <v>21000</v>
      </c>
      <c r="G103">
        <f>14*500</f>
        <v>7000</v>
      </c>
      <c r="H103">
        <v>14000</v>
      </c>
    </row>
    <row r="104" spans="1:8" x14ac:dyDescent="0.25">
      <c r="D104" t="s">
        <v>12</v>
      </c>
      <c r="E104">
        <v>2</v>
      </c>
      <c r="F104">
        <v>6000</v>
      </c>
      <c r="G104">
        <v>4000</v>
      </c>
      <c r="H104">
        <v>2000</v>
      </c>
    </row>
    <row r="105" spans="1:8" x14ac:dyDescent="0.25">
      <c r="D105" t="s">
        <v>13</v>
      </c>
      <c r="E105">
        <v>1</v>
      </c>
      <c r="F105">
        <v>6500</v>
      </c>
      <c r="G105">
        <v>4500</v>
      </c>
      <c r="H105">
        <v>2000</v>
      </c>
    </row>
    <row r="106" spans="1:8" x14ac:dyDescent="0.25">
      <c r="C106" t="s">
        <v>10</v>
      </c>
      <c r="D106" t="s">
        <v>11</v>
      </c>
      <c r="E106">
        <v>21</v>
      </c>
      <c r="F106">
        <v>31500</v>
      </c>
      <c r="G106">
        <f>21*500</f>
        <v>10500</v>
      </c>
      <c r="H106">
        <v>21000</v>
      </c>
    </row>
    <row r="107" spans="1:8" x14ac:dyDescent="0.25">
      <c r="D107" t="s">
        <v>12</v>
      </c>
      <c r="E107">
        <v>2</v>
      </c>
      <c r="F107">
        <v>6000</v>
      </c>
      <c r="G107">
        <v>4000</v>
      </c>
      <c r="H107">
        <v>2000</v>
      </c>
    </row>
    <row r="108" spans="1:8" x14ac:dyDescent="0.25">
      <c r="D108" t="s">
        <v>13</v>
      </c>
      <c r="E108">
        <v>4</v>
      </c>
      <c r="F108">
        <v>26000</v>
      </c>
      <c r="G108">
        <f>4*4500</f>
        <v>18000</v>
      </c>
      <c r="H108">
        <v>8000</v>
      </c>
    </row>
    <row r="109" spans="1:8" x14ac:dyDescent="0.25">
      <c r="D109" t="s">
        <v>14</v>
      </c>
      <c r="E109">
        <v>3</v>
      </c>
      <c r="F109">
        <v>30000</v>
      </c>
      <c r="G109">
        <f>3*5500</f>
        <v>16500</v>
      </c>
      <c r="H109">
        <f>3*4500</f>
        <v>13500</v>
      </c>
    </row>
    <row r="110" spans="1:8" x14ac:dyDescent="0.25">
      <c r="A110" s="111" t="s">
        <v>17</v>
      </c>
      <c r="B110" s="111"/>
      <c r="C110" s="111"/>
      <c r="D110" s="111"/>
      <c r="E110" s="111"/>
      <c r="F110" s="1">
        <f>SUM(F96:F109)</f>
        <v>600000</v>
      </c>
      <c r="G110" s="1">
        <f>SUM(G96:G109)</f>
        <v>237000</v>
      </c>
      <c r="H110" s="1">
        <f>SUM(H96:H109)</f>
        <v>362500</v>
      </c>
    </row>
    <row r="111" spans="1:8" x14ac:dyDescent="0.25">
      <c r="A111" t="s">
        <v>18</v>
      </c>
      <c r="B111" s="3">
        <v>44836</v>
      </c>
      <c r="C111" t="s">
        <v>108</v>
      </c>
      <c r="D111" t="s">
        <v>11</v>
      </c>
      <c r="E111">
        <v>55</v>
      </c>
      <c r="F111">
        <v>82500</v>
      </c>
      <c r="G111">
        <f>55*500</f>
        <v>27500</v>
      </c>
      <c r="H111">
        <v>55000</v>
      </c>
    </row>
    <row r="112" spans="1:8" x14ac:dyDescent="0.25">
      <c r="C112" t="s">
        <v>106</v>
      </c>
      <c r="D112" t="s">
        <v>11</v>
      </c>
      <c r="E112">
        <v>30</v>
      </c>
      <c r="F112">
        <v>45000</v>
      </c>
      <c r="G112">
        <f>30*500</f>
        <v>15000</v>
      </c>
      <c r="H112">
        <v>30000</v>
      </c>
    </row>
    <row r="113" spans="1:8" x14ac:dyDescent="0.25">
      <c r="C113" t="s">
        <v>109</v>
      </c>
      <c r="D113" t="s">
        <v>11</v>
      </c>
      <c r="E113">
        <v>30</v>
      </c>
      <c r="F113">
        <v>45000</v>
      </c>
      <c r="G113">
        <f>30*500</f>
        <v>15000</v>
      </c>
      <c r="H113">
        <v>30000</v>
      </c>
    </row>
    <row r="114" spans="1:8" x14ac:dyDescent="0.25">
      <c r="C114" t="s">
        <v>77</v>
      </c>
      <c r="D114" t="s">
        <v>11</v>
      </c>
      <c r="E114">
        <v>90</v>
      </c>
      <c r="F114">
        <v>135000</v>
      </c>
      <c r="G114">
        <f>90*500</f>
        <v>45000</v>
      </c>
      <c r="H114">
        <v>90000</v>
      </c>
    </row>
    <row r="115" spans="1:8" x14ac:dyDescent="0.25">
      <c r="C115" t="s">
        <v>105</v>
      </c>
      <c r="D115" t="s">
        <v>11</v>
      </c>
      <c r="E115">
        <v>55</v>
      </c>
      <c r="F115">
        <v>82500</v>
      </c>
      <c r="G115">
        <f>55*500</f>
        <v>27500</v>
      </c>
      <c r="H115">
        <v>55000</v>
      </c>
    </row>
    <row r="116" spans="1:8" x14ac:dyDescent="0.25">
      <c r="C116" t="s">
        <v>16</v>
      </c>
      <c r="D116" t="s">
        <v>11</v>
      </c>
      <c r="E116">
        <v>53</v>
      </c>
      <c r="F116">
        <v>79500</v>
      </c>
      <c r="G116">
        <f>53*500</f>
        <v>26500</v>
      </c>
      <c r="H116">
        <v>53000</v>
      </c>
    </row>
    <row r="117" spans="1:8" x14ac:dyDescent="0.25">
      <c r="D117" t="s">
        <v>12</v>
      </c>
      <c r="E117">
        <v>10</v>
      </c>
      <c r="F117">
        <v>30000</v>
      </c>
      <c r="G117">
        <v>20000</v>
      </c>
      <c r="H117">
        <v>10000</v>
      </c>
    </row>
    <row r="118" spans="1:8" x14ac:dyDescent="0.25">
      <c r="D118" t="s">
        <v>13</v>
      </c>
      <c r="E118">
        <v>2</v>
      </c>
      <c r="F118">
        <v>13000</v>
      </c>
      <c r="G118">
        <v>9000</v>
      </c>
      <c r="H118">
        <v>4000</v>
      </c>
    </row>
    <row r="119" spans="1:8" x14ac:dyDescent="0.25">
      <c r="D119" t="s">
        <v>14</v>
      </c>
      <c r="E119">
        <v>2</v>
      </c>
      <c r="F119">
        <v>20000</v>
      </c>
      <c r="G119">
        <v>11000</v>
      </c>
      <c r="H119">
        <v>9000</v>
      </c>
    </row>
    <row r="120" spans="1:8" x14ac:dyDescent="0.25">
      <c r="D120" t="s">
        <v>21</v>
      </c>
      <c r="E120">
        <v>1</v>
      </c>
      <c r="F120">
        <v>15000</v>
      </c>
      <c r="G120">
        <v>11000</v>
      </c>
      <c r="H120">
        <v>4000</v>
      </c>
    </row>
    <row r="121" spans="1:8" x14ac:dyDescent="0.25">
      <c r="C121" t="s">
        <v>63</v>
      </c>
      <c r="D121" t="s">
        <v>25</v>
      </c>
      <c r="E121">
        <v>2</v>
      </c>
      <c r="F121">
        <v>30000</v>
      </c>
      <c r="G121">
        <v>20000</v>
      </c>
      <c r="H121">
        <v>10000</v>
      </c>
    </row>
    <row r="122" spans="1:8" x14ac:dyDescent="0.25">
      <c r="A122" s="111" t="s">
        <v>17</v>
      </c>
      <c r="B122" s="111"/>
      <c r="C122" s="111"/>
      <c r="D122" s="111"/>
      <c r="E122" s="111"/>
      <c r="F122" s="1">
        <f>SUM(F111:F121)</f>
        <v>577500</v>
      </c>
      <c r="G122" s="1">
        <f>SUM(G111:G121)</f>
        <v>227500</v>
      </c>
      <c r="H122" s="1">
        <f>SUM(H111:H121)</f>
        <v>350000</v>
      </c>
    </row>
    <row r="123" spans="1:8" x14ac:dyDescent="0.25">
      <c r="A123" t="s">
        <v>22</v>
      </c>
      <c r="B123" s="3">
        <v>44867</v>
      </c>
      <c r="C123" t="s">
        <v>108</v>
      </c>
      <c r="D123" t="s">
        <v>11</v>
      </c>
      <c r="E123">
        <v>55</v>
      </c>
      <c r="F123">
        <f>55*1500</f>
        <v>82500</v>
      </c>
      <c r="G123">
        <f>55*500</f>
        <v>27500</v>
      </c>
      <c r="H123">
        <v>55000</v>
      </c>
    </row>
    <row r="124" spans="1:8" x14ac:dyDescent="0.25">
      <c r="C124" t="s">
        <v>106</v>
      </c>
      <c r="D124" t="s">
        <v>11</v>
      </c>
      <c r="E124">
        <v>15</v>
      </c>
      <c r="F124">
        <f>15*1500</f>
        <v>22500</v>
      </c>
      <c r="G124">
        <f>15*500</f>
        <v>7500</v>
      </c>
      <c r="H124">
        <v>15000</v>
      </c>
    </row>
    <row r="125" spans="1:8" x14ac:dyDescent="0.25">
      <c r="C125" t="s">
        <v>109</v>
      </c>
      <c r="D125" t="s">
        <v>11</v>
      </c>
      <c r="E125">
        <v>25</v>
      </c>
      <c r="F125">
        <f>25*1500</f>
        <v>37500</v>
      </c>
      <c r="G125">
        <f>25*500</f>
        <v>12500</v>
      </c>
      <c r="H125">
        <v>25000</v>
      </c>
    </row>
    <row r="126" spans="1:8" x14ac:dyDescent="0.25">
      <c r="C126" t="s">
        <v>16</v>
      </c>
      <c r="D126" t="s">
        <v>11</v>
      </c>
      <c r="E126">
        <v>29</v>
      </c>
      <c r="F126">
        <v>43500</v>
      </c>
      <c r="G126">
        <f>29*500</f>
        <v>14500</v>
      </c>
      <c r="H126">
        <v>29000</v>
      </c>
    </row>
    <row r="127" spans="1:8" x14ac:dyDescent="0.25">
      <c r="D127" t="s">
        <v>12</v>
      </c>
      <c r="E127">
        <v>5</v>
      </c>
      <c r="F127">
        <v>15000</v>
      </c>
      <c r="G127">
        <v>10000</v>
      </c>
      <c r="H127">
        <v>5000</v>
      </c>
    </row>
    <row r="128" spans="1:8" x14ac:dyDescent="0.25">
      <c r="C128" t="s">
        <v>10</v>
      </c>
      <c r="D128" t="s">
        <v>11</v>
      </c>
      <c r="E128">
        <v>15</v>
      </c>
      <c r="F128">
        <v>22500</v>
      </c>
      <c r="G128">
        <f>15*500</f>
        <v>7500</v>
      </c>
      <c r="H128">
        <v>15000</v>
      </c>
    </row>
    <row r="129" spans="1:8" x14ac:dyDescent="0.25">
      <c r="D129" t="s">
        <v>12</v>
      </c>
      <c r="E129">
        <v>2</v>
      </c>
      <c r="F129">
        <v>6000</v>
      </c>
      <c r="G129">
        <v>4000</v>
      </c>
      <c r="H129">
        <v>2000</v>
      </c>
    </row>
    <row r="130" spans="1:8" x14ac:dyDescent="0.25">
      <c r="D130" t="s">
        <v>13</v>
      </c>
      <c r="E130">
        <v>2</v>
      </c>
      <c r="F130">
        <v>13000</v>
      </c>
      <c r="G130">
        <v>9000</v>
      </c>
      <c r="H130">
        <v>4000</v>
      </c>
    </row>
    <row r="131" spans="1:8" x14ac:dyDescent="0.25">
      <c r="D131" t="s">
        <v>14</v>
      </c>
      <c r="E131">
        <v>1</v>
      </c>
      <c r="F131">
        <v>8000</v>
      </c>
      <c r="G131">
        <v>5500</v>
      </c>
      <c r="H131">
        <v>2500</v>
      </c>
    </row>
    <row r="132" spans="1:8" x14ac:dyDescent="0.25">
      <c r="A132" s="111" t="s">
        <v>17</v>
      </c>
      <c r="B132" s="111"/>
      <c r="C132" s="111"/>
      <c r="D132" s="111"/>
      <c r="E132" s="111"/>
      <c r="F132" s="1">
        <f>SUM(F123:F131)</f>
        <v>250500</v>
      </c>
      <c r="G132" s="1">
        <f>SUM(G123:G131)</f>
        <v>98000</v>
      </c>
      <c r="H132" s="1">
        <f>SUM(H123:H131)</f>
        <v>152500</v>
      </c>
    </row>
    <row r="133" spans="1:8" x14ac:dyDescent="0.25">
      <c r="A133" t="s">
        <v>26</v>
      </c>
      <c r="B133" s="3">
        <v>44897</v>
      </c>
      <c r="C133" t="s">
        <v>20</v>
      </c>
      <c r="D133" t="s">
        <v>14</v>
      </c>
      <c r="E133">
        <v>14</v>
      </c>
      <c r="F133">
        <v>140000</v>
      </c>
      <c r="G133">
        <f>14*5500</f>
        <v>77000</v>
      </c>
      <c r="H133">
        <f>14*4500</f>
        <v>63000</v>
      </c>
    </row>
    <row r="134" spans="1:8" x14ac:dyDescent="0.25">
      <c r="D134" t="s">
        <v>13</v>
      </c>
      <c r="E134">
        <v>3</v>
      </c>
      <c r="F134">
        <v>19500</v>
      </c>
      <c r="G134">
        <f>3*4500</f>
        <v>13500</v>
      </c>
      <c r="H134">
        <v>6000</v>
      </c>
    </row>
    <row r="135" spans="1:8" x14ac:dyDescent="0.25">
      <c r="C135" t="s">
        <v>109</v>
      </c>
      <c r="D135" t="s">
        <v>11</v>
      </c>
      <c r="E135">
        <v>23</v>
      </c>
      <c r="F135">
        <v>34500</v>
      </c>
      <c r="G135">
        <f>23*500</f>
        <v>11500</v>
      </c>
      <c r="H135">
        <v>23000</v>
      </c>
    </row>
    <row r="136" spans="1:8" x14ac:dyDescent="0.25">
      <c r="C136" t="s">
        <v>106</v>
      </c>
      <c r="D136" t="s">
        <v>11</v>
      </c>
      <c r="E136">
        <v>7</v>
      </c>
      <c r="F136">
        <f>7*1500</f>
        <v>10500</v>
      </c>
      <c r="G136">
        <v>3500</v>
      </c>
      <c r="H136">
        <v>7000</v>
      </c>
    </row>
    <row r="137" spans="1:8" x14ac:dyDescent="0.25">
      <c r="C137" t="s">
        <v>105</v>
      </c>
      <c r="D137" t="s">
        <v>11</v>
      </c>
      <c r="E137">
        <f>F137/1500</f>
        <v>47</v>
      </c>
      <c r="F137">
        <v>70500</v>
      </c>
      <c r="G137">
        <f>47*500</f>
        <v>23500</v>
      </c>
      <c r="H137">
        <v>47000</v>
      </c>
    </row>
    <row r="138" spans="1:8" x14ac:dyDescent="0.25">
      <c r="D138" t="s">
        <v>11</v>
      </c>
      <c r="E138">
        <f>F138/1500</f>
        <v>50</v>
      </c>
      <c r="F138">
        <v>75000</v>
      </c>
      <c r="G138">
        <f>50*500</f>
        <v>25000</v>
      </c>
      <c r="H138">
        <v>50000</v>
      </c>
    </row>
    <row r="139" spans="1:8" x14ac:dyDescent="0.25">
      <c r="C139" t="s">
        <v>16</v>
      </c>
      <c r="D139" t="s">
        <v>11</v>
      </c>
      <c r="E139">
        <v>49</v>
      </c>
      <c r="F139">
        <v>73500</v>
      </c>
      <c r="G139">
        <f>49*500</f>
        <v>24500</v>
      </c>
      <c r="H139">
        <v>49000</v>
      </c>
    </row>
    <row r="140" spans="1:8" x14ac:dyDescent="0.25">
      <c r="D140" t="s">
        <v>12</v>
      </c>
      <c r="E140">
        <v>7</v>
      </c>
      <c r="F140">
        <v>21000</v>
      </c>
      <c r="G140">
        <v>14000</v>
      </c>
      <c r="H140">
        <v>7000</v>
      </c>
    </row>
    <row r="141" spans="1:8" x14ac:dyDescent="0.25">
      <c r="D141" t="s">
        <v>13</v>
      </c>
      <c r="E141">
        <v>1</v>
      </c>
      <c r="F141">
        <v>6500</v>
      </c>
      <c r="G141">
        <v>4500</v>
      </c>
      <c r="H141">
        <v>2000</v>
      </c>
    </row>
    <row r="142" spans="1:8" x14ac:dyDescent="0.25">
      <c r="C142" t="s">
        <v>63</v>
      </c>
      <c r="D142" t="s">
        <v>21</v>
      </c>
      <c r="E142">
        <v>2</v>
      </c>
      <c r="F142">
        <v>30000</v>
      </c>
      <c r="G142">
        <v>22000</v>
      </c>
      <c r="H142">
        <v>8000</v>
      </c>
    </row>
    <row r="143" spans="1:8" x14ac:dyDescent="0.25">
      <c r="C143" t="s">
        <v>10</v>
      </c>
      <c r="D143" t="s">
        <v>11</v>
      </c>
      <c r="E143">
        <v>22</v>
      </c>
      <c r="F143">
        <v>33000</v>
      </c>
      <c r="G143">
        <f>22*500</f>
        <v>11000</v>
      </c>
      <c r="H143">
        <v>22000</v>
      </c>
    </row>
    <row r="144" spans="1:8" x14ac:dyDescent="0.25">
      <c r="D144" t="s">
        <v>13</v>
      </c>
      <c r="E144">
        <v>8</v>
      </c>
      <c r="F144">
        <v>52000</v>
      </c>
      <c r="G144">
        <f>8*4500</f>
        <v>36000</v>
      </c>
      <c r="H144">
        <v>16000</v>
      </c>
    </row>
    <row r="145" spans="1:8" x14ac:dyDescent="0.25">
      <c r="D145" t="s">
        <v>14</v>
      </c>
      <c r="E145">
        <v>6</v>
      </c>
      <c r="F145">
        <v>48000</v>
      </c>
      <c r="G145">
        <f>6*5500</f>
        <v>33000</v>
      </c>
      <c r="H145">
        <f>6*2500</f>
        <v>15000</v>
      </c>
    </row>
    <row r="146" spans="1:8" x14ac:dyDescent="0.25">
      <c r="D146" t="s">
        <v>14</v>
      </c>
      <c r="E146">
        <v>2</v>
      </c>
      <c r="F146">
        <v>20000</v>
      </c>
      <c r="G146">
        <v>11000</v>
      </c>
      <c r="H146">
        <v>9000</v>
      </c>
    </row>
    <row r="147" spans="1:8" x14ac:dyDescent="0.25">
      <c r="A147" s="111" t="s">
        <v>17</v>
      </c>
      <c r="B147" s="111"/>
      <c r="C147" s="111"/>
      <c r="D147" s="111"/>
      <c r="E147" s="111"/>
      <c r="F147" s="1">
        <f>SUM(F133:F146)</f>
        <v>634000</v>
      </c>
      <c r="G147" s="1">
        <f>SUM(G133:G146)</f>
        <v>310000</v>
      </c>
      <c r="H147" s="1">
        <f>SUM(H133:H146)</f>
        <v>324000</v>
      </c>
    </row>
    <row r="148" spans="1:8" x14ac:dyDescent="0.25">
      <c r="A148" t="s">
        <v>28</v>
      </c>
      <c r="B148" t="s">
        <v>110</v>
      </c>
      <c r="C148" t="s">
        <v>20</v>
      </c>
      <c r="D148" t="s">
        <v>13</v>
      </c>
      <c r="E148">
        <v>14</v>
      </c>
      <c r="F148">
        <v>91000</v>
      </c>
      <c r="G148">
        <f>14*4500</f>
        <v>63000</v>
      </c>
      <c r="H148">
        <f>14*2000</f>
        <v>28000</v>
      </c>
    </row>
    <row r="149" spans="1:8" x14ac:dyDescent="0.25">
      <c r="D149" t="s">
        <v>14</v>
      </c>
      <c r="E149">
        <v>46</v>
      </c>
      <c r="F149">
        <v>460000</v>
      </c>
      <c r="G149">
        <f>46*5500</f>
        <v>253000</v>
      </c>
      <c r="H149">
        <f>46*4500</f>
        <v>207000</v>
      </c>
    </row>
    <row r="150" spans="1:8" x14ac:dyDescent="0.25">
      <c r="D150" t="s">
        <v>21</v>
      </c>
      <c r="E150">
        <v>1</v>
      </c>
      <c r="F150">
        <v>15000</v>
      </c>
      <c r="G150">
        <v>11000</v>
      </c>
      <c r="H150">
        <v>4000</v>
      </c>
    </row>
    <row r="151" spans="1:8" x14ac:dyDescent="0.25">
      <c r="C151" t="s">
        <v>10</v>
      </c>
      <c r="D151" t="s">
        <v>13</v>
      </c>
      <c r="E151">
        <v>13</v>
      </c>
      <c r="F151">
        <v>84500</v>
      </c>
      <c r="G151">
        <f>13*4500</f>
        <v>58500</v>
      </c>
      <c r="H151">
        <f>13*2000</f>
        <v>26000</v>
      </c>
    </row>
    <row r="152" spans="1:8" x14ac:dyDescent="0.25">
      <c r="D152" t="s">
        <v>14</v>
      </c>
      <c r="E152">
        <v>5</v>
      </c>
      <c r="F152">
        <v>40000</v>
      </c>
      <c r="G152">
        <f>5*5500</f>
        <v>27500</v>
      </c>
      <c r="H152">
        <f>5*2500</f>
        <v>12500</v>
      </c>
    </row>
    <row r="153" spans="1:8" x14ac:dyDescent="0.25">
      <c r="D153" t="s">
        <v>12</v>
      </c>
      <c r="E153">
        <v>7</v>
      </c>
      <c r="F153">
        <v>21000</v>
      </c>
      <c r="G153">
        <f>7*2000</f>
        <v>14000</v>
      </c>
      <c r="H153">
        <v>7000</v>
      </c>
    </row>
    <row r="154" spans="1:8" x14ac:dyDescent="0.25">
      <c r="C154" t="s">
        <v>16</v>
      </c>
      <c r="D154" t="s">
        <v>11</v>
      </c>
      <c r="E154">
        <v>48</v>
      </c>
      <c r="F154">
        <v>72000</v>
      </c>
      <c r="G154">
        <f>48*500</f>
        <v>24000</v>
      </c>
      <c r="H154">
        <v>48000</v>
      </c>
    </row>
    <row r="155" spans="1:8" x14ac:dyDescent="0.25">
      <c r="D155" t="s">
        <v>12</v>
      </c>
      <c r="E155">
        <v>7</v>
      </c>
      <c r="F155">
        <v>21000</v>
      </c>
      <c r="G155">
        <v>14000</v>
      </c>
      <c r="H155">
        <v>7000</v>
      </c>
    </row>
    <row r="156" spans="1:8" x14ac:dyDescent="0.25">
      <c r="D156" t="s">
        <v>13</v>
      </c>
      <c r="E156">
        <v>2</v>
      </c>
      <c r="F156">
        <v>13000</v>
      </c>
      <c r="G156">
        <v>9000</v>
      </c>
      <c r="H156">
        <v>4000</v>
      </c>
    </row>
    <row r="157" spans="1:8" x14ac:dyDescent="0.25">
      <c r="D157" t="s">
        <v>14</v>
      </c>
      <c r="E157">
        <v>1</v>
      </c>
      <c r="F157">
        <v>10000</v>
      </c>
      <c r="G157">
        <v>5500</v>
      </c>
      <c r="H157">
        <v>4500</v>
      </c>
    </row>
    <row r="158" spans="1:8" x14ac:dyDescent="0.25">
      <c r="D158" t="s">
        <v>21</v>
      </c>
      <c r="E158">
        <v>1</v>
      </c>
      <c r="F158">
        <v>15000</v>
      </c>
      <c r="G158">
        <v>11000</v>
      </c>
      <c r="H158">
        <v>4000</v>
      </c>
    </row>
    <row r="159" spans="1:8" x14ac:dyDescent="0.25">
      <c r="C159" t="s">
        <v>81</v>
      </c>
      <c r="D159" t="s">
        <v>13</v>
      </c>
      <c r="E159">
        <v>1</v>
      </c>
      <c r="F159">
        <v>6500</v>
      </c>
      <c r="G159">
        <v>4500</v>
      </c>
      <c r="H159">
        <v>2000</v>
      </c>
    </row>
    <row r="160" spans="1:8" x14ac:dyDescent="0.25">
      <c r="D160" t="s">
        <v>12</v>
      </c>
      <c r="E160">
        <v>11</v>
      </c>
      <c r="F160">
        <f>11*3000</f>
        <v>33000</v>
      </c>
      <c r="G160">
        <f>11*2000</f>
        <v>22000</v>
      </c>
      <c r="H160">
        <v>11000</v>
      </c>
    </row>
    <row r="161" spans="1:8" x14ac:dyDescent="0.25">
      <c r="D161" t="s">
        <v>11</v>
      </c>
      <c r="E161">
        <v>20</v>
      </c>
      <c r="F161">
        <f>20*1500</f>
        <v>30000</v>
      </c>
      <c r="G161">
        <f>20*500</f>
        <v>10000</v>
      </c>
      <c r="H161">
        <v>30000</v>
      </c>
    </row>
    <row r="162" spans="1:8" x14ac:dyDescent="0.25">
      <c r="A162" s="111" t="s">
        <v>17</v>
      </c>
      <c r="B162" s="111"/>
      <c r="C162" s="111"/>
      <c r="D162" s="111"/>
      <c r="E162" s="111"/>
      <c r="F162" s="1">
        <f>SUM(F148:F161)</f>
        <v>912000</v>
      </c>
      <c r="G162" s="1">
        <f>SUM(G148:G161)</f>
        <v>527000</v>
      </c>
      <c r="H162" s="1">
        <f>SUM(H148:H161)</f>
        <v>395000</v>
      </c>
    </row>
    <row r="163" spans="1:8" x14ac:dyDescent="0.25">
      <c r="A163" t="s">
        <v>30</v>
      </c>
      <c r="B163" t="s">
        <v>112</v>
      </c>
      <c r="C163" t="s">
        <v>108</v>
      </c>
      <c r="D163" t="s">
        <v>11</v>
      </c>
      <c r="E163">
        <v>55</v>
      </c>
      <c r="F163">
        <v>82500</v>
      </c>
      <c r="G163">
        <f>55*500</f>
        <v>27500</v>
      </c>
      <c r="H163">
        <v>55000</v>
      </c>
    </row>
    <row r="164" spans="1:8" x14ac:dyDescent="0.25">
      <c r="C164" t="s">
        <v>105</v>
      </c>
      <c r="D164" t="s">
        <v>11</v>
      </c>
      <c r="E164">
        <v>55</v>
      </c>
      <c r="F164">
        <v>82500</v>
      </c>
      <c r="G164">
        <f>55*500</f>
        <v>27500</v>
      </c>
      <c r="H164">
        <v>55000</v>
      </c>
    </row>
    <row r="165" spans="1:8" x14ac:dyDescent="0.25">
      <c r="C165" t="s">
        <v>109</v>
      </c>
      <c r="D165" t="s">
        <v>11</v>
      </c>
      <c r="E165">
        <v>28</v>
      </c>
      <c r="F165">
        <v>42000</v>
      </c>
      <c r="G165">
        <f>28*500</f>
        <v>14000</v>
      </c>
      <c r="H165">
        <v>28000</v>
      </c>
    </row>
    <row r="166" spans="1:8" x14ac:dyDescent="0.25">
      <c r="C166" t="s">
        <v>106</v>
      </c>
      <c r="D166" t="s">
        <v>11</v>
      </c>
      <c r="E166">
        <v>13</v>
      </c>
      <c r="F166">
        <v>19500</v>
      </c>
      <c r="G166">
        <f>13*500</f>
        <v>6500</v>
      </c>
      <c r="H166">
        <v>13000</v>
      </c>
    </row>
    <row r="167" spans="1:8" x14ac:dyDescent="0.25">
      <c r="C167" t="s">
        <v>20</v>
      </c>
      <c r="D167" t="s">
        <v>13</v>
      </c>
      <c r="E167">
        <v>2</v>
      </c>
      <c r="F167">
        <v>13000</v>
      </c>
      <c r="G167">
        <v>9000</v>
      </c>
      <c r="H167">
        <v>4000</v>
      </c>
    </row>
    <row r="168" spans="1:8" x14ac:dyDescent="0.25">
      <c r="D168" t="s">
        <v>14</v>
      </c>
      <c r="E168">
        <v>4</v>
      </c>
      <c r="F168">
        <v>40000</v>
      </c>
      <c r="G168">
        <f>4*5500</f>
        <v>22000</v>
      </c>
      <c r="H168">
        <v>18000</v>
      </c>
    </row>
    <row r="169" spans="1:8" x14ac:dyDescent="0.25">
      <c r="D169" t="s">
        <v>21</v>
      </c>
      <c r="E169">
        <v>1</v>
      </c>
      <c r="F169">
        <v>15000</v>
      </c>
      <c r="G169">
        <v>11000</v>
      </c>
      <c r="H169">
        <v>4000</v>
      </c>
    </row>
    <row r="170" spans="1:8" x14ac:dyDescent="0.25">
      <c r="C170" t="s">
        <v>72</v>
      </c>
      <c r="D170" t="s">
        <v>21</v>
      </c>
      <c r="E170">
        <v>3</v>
      </c>
      <c r="F170">
        <v>45000</v>
      </c>
      <c r="G170">
        <v>33000</v>
      </c>
      <c r="H170">
        <f>F170-G170</f>
        <v>12000</v>
      </c>
    </row>
    <row r="171" spans="1:8" x14ac:dyDescent="0.25">
      <c r="C171" t="s">
        <v>16</v>
      </c>
      <c r="D171" t="s">
        <v>11</v>
      </c>
      <c r="E171">
        <v>20</v>
      </c>
      <c r="F171">
        <v>30000</v>
      </c>
      <c r="G171">
        <v>10000</v>
      </c>
      <c r="H171">
        <v>20000</v>
      </c>
    </row>
    <row r="172" spans="1:8" x14ac:dyDescent="0.25">
      <c r="D172" t="s">
        <v>12</v>
      </c>
      <c r="E172">
        <v>1</v>
      </c>
      <c r="F172">
        <v>3000</v>
      </c>
      <c r="G172">
        <v>2000</v>
      </c>
      <c r="H172">
        <v>1000</v>
      </c>
    </row>
    <row r="173" spans="1:8" x14ac:dyDescent="0.25">
      <c r="C173" t="s">
        <v>10</v>
      </c>
      <c r="D173" t="s">
        <v>11</v>
      </c>
      <c r="E173">
        <v>15</v>
      </c>
      <c r="F173">
        <v>22500</v>
      </c>
      <c r="G173">
        <f>15*500</f>
        <v>7500</v>
      </c>
      <c r="H173">
        <v>15000</v>
      </c>
    </row>
    <row r="174" spans="1:8" x14ac:dyDescent="0.25">
      <c r="D174" t="s">
        <v>12</v>
      </c>
      <c r="E174">
        <v>3</v>
      </c>
      <c r="F174">
        <v>9000</v>
      </c>
      <c r="G174">
        <v>6000</v>
      </c>
      <c r="H174">
        <v>3000</v>
      </c>
    </row>
    <row r="175" spans="1:8" x14ac:dyDescent="0.25">
      <c r="D175" t="s">
        <v>13</v>
      </c>
      <c r="E175">
        <v>3</v>
      </c>
      <c r="F175">
        <v>19500</v>
      </c>
      <c r="G175">
        <f>3*4500</f>
        <v>13500</v>
      </c>
      <c r="H175">
        <v>6000</v>
      </c>
    </row>
    <row r="176" spans="1:8" x14ac:dyDescent="0.25">
      <c r="D176" t="s">
        <v>14</v>
      </c>
      <c r="E176">
        <v>1</v>
      </c>
      <c r="F176">
        <v>10000</v>
      </c>
      <c r="G176">
        <v>5500</v>
      </c>
      <c r="H176">
        <v>4500</v>
      </c>
    </row>
    <row r="177" spans="1:8" x14ac:dyDescent="0.25">
      <c r="A177" s="111" t="s">
        <v>17</v>
      </c>
      <c r="B177" s="111"/>
      <c r="C177" s="111"/>
      <c r="D177" s="111"/>
      <c r="E177" s="111"/>
      <c r="F177" s="1">
        <f>SUM(F163:F176)</f>
        <v>433500</v>
      </c>
      <c r="G177" s="1">
        <f>SUM(G163:G176)</f>
        <v>195000</v>
      </c>
      <c r="H177" s="1">
        <f>SUM(H163:H176)</f>
        <v>238500</v>
      </c>
    </row>
    <row r="178" spans="1:8" x14ac:dyDescent="0.25">
      <c r="A178" t="s">
        <v>32</v>
      </c>
      <c r="B178" t="s">
        <v>113</v>
      </c>
      <c r="C178" t="s">
        <v>105</v>
      </c>
      <c r="D178" t="s">
        <v>11</v>
      </c>
      <c r="E178">
        <v>49</v>
      </c>
      <c r="F178">
        <v>73500</v>
      </c>
      <c r="G178">
        <f>49*500</f>
        <v>24500</v>
      </c>
      <c r="H178">
        <v>49000</v>
      </c>
    </row>
    <row r="179" spans="1:8" x14ac:dyDescent="0.25">
      <c r="C179" t="s">
        <v>109</v>
      </c>
      <c r="D179" t="s">
        <v>11</v>
      </c>
      <c r="E179">
        <v>15</v>
      </c>
      <c r="F179">
        <v>22500</v>
      </c>
      <c r="G179">
        <f>15*500</f>
        <v>7500</v>
      </c>
      <c r="H179">
        <v>15000</v>
      </c>
    </row>
    <row r="180" spans="1:8" x14ac:dyDescent="0.25">
      <c r="C180" t="s">
        <v>106</v>
      </c>
      <c r="D180" t="s">
        <v>11</v>
      </c>
      <c r="E180">
        <v>13</v>
      </c>
      <c r="F180">
        <v>19500</v>
      </c>
      <c r="G180">
        <f>13*500</f>
        <v>6500</v>
      </c>
      <c r="H180">
        <v>13000</v>
      </c>
    </row>
    <row r="181" spans="1:8" x14ac:dyDescent="0.25">
      <c r="C181" t="s">
        <v>114</v>
      </c>
      <c r="D181" t="s">
        <v>14</v>
      </c>
      <c r="E181">
        <v>5</v>
      </c>
      <c r="F181">
        <v>50000</v>
      </c>
      <c r="G181">
        <f>5*5500</f>
        <v>27500</v>
      </c>
      <c r="H181">
        <f>5*4500</f>
        <v>22500</v>
      </c>
    </row>
    <row r="182" spans="1:8" x14ac:dyDescent="0.25">
      <c r="C182" t="s">
        <v>10</v>
      </c>
      <c r="D182" t="s">
        <v>11</v>
      </c>
      <c r="E182">
        <v>10</v>
      </c>
      <c r="F182">
        <v>15000</v>
      </c>
      <c r="G182">
        <v>5000</v>
      </c>
      <c r="H182">
        <v>10000</v>
      </c>
    </row>
    <row r="183" spans="1:8" x14ac:dyDescent="0.25">
      <c r="D183" t="s">
        <v>13</v>
      </c>
      <c r="E183">
        <v>10</v>
      </c>
      <c r="F183">
        <v>65000</v>
      </c>
      <c r="G183">
        <v>45000</v>
      </c>
      <c r="H183">
        <v>20000</v>
      </c>
    </row>
    <row r="184" spans="1:8" x14ac:dyDescent="0.25">
      <c r="D184" t="s">
        <v>14</v>
      </c>
      <c r="E184">
        <v>3</v>
      </c>
      <c r="F184">
        <v>30000</v>
      </c>
      <c r="G184">
        <f>3*5500</f>
        <v>16500</v>
      </c>
      <c r="H184">
        <f>3*4500</f>
        <v>13500</v>
      </c>
    </row>
    <row r="185" spans="1:8" x14ac:dyDescent="0.25">
      <c r="C185" t="s">
        <v>16</v>
      </c>
      <c r="D185" t="s">
        <v>11</v>
      </c>
      <c r="E185">
        <v>51</v>
      </c>
      <c r="F185">
        <f>51*1500</f>
        <v>76500</v>
      </c>
      <c r="G185">
        <f>51*500</f>
        <v>25500</v>
      </c>
      <c r="H185">
        <v>51000</v>
      </c>
    </row>
    <row r="186" spans="1:8" x14ac:dyDescent="0.25">
      <c r="D186" t="s">
        <v>12</v>
      </c>
      <c r="E186">
        <v>4</v>
      </c>
      <c r="F186">
        <v>12000</v>
      </c>
      <c r="G186">
        <v>8000</v>
      </c>
      <c r="H186">
        <v>4000</v>
      </c>
    </row>
    <row r="187" spans="1:8" x14ac:dyDescent="0.25">
      <c r="D187" t="s">
        <v>13</v>
      </c>
      <c r="E187">
        <v>1</v>
      </c>
      <c r="F187">
        <v>6500</v>
      </c>
      <c r="G187">
        <v>4500</v>
      </c>
      <c r="H187">
        <v>2000</v>
      </c>
    </row>
    <row r="188" spans="1:8" x14ac:dyDescent="0.25">
      <c r="A188" s="111" t="s">
        <v>17</v>
      </c>
      <c r="B188" s="111"/>
      <c r="C188" s="111"/>
      <c r="D188" s="111"/>
      <c r="E188" s="111"/>
      <c r="F188" s="1">
        <f>SUM(F178:F187)</f>
        <v>370500</v>
      </c>
      <c r="G188" s="1">
        <f>SUM(G178:G187)</f>
        <v>170500</v>
      </c>
      <c r="H188" s="1">
        <f>SUM(H178:H187)</f>
        <v>200000</v>
      </c>
    </row>
    <row r="189" spans="1:8" x14ac:dyDescent="0.25">
      <c r="A189" t="s">
        <v>8</v>
      </c>
      <c r="B189" t="s">
        <v>115</v>
      </c>
      <c r="C189" t="s">
        <v>20</v>
      </c>
      <c r="D189" t="s">
        <v>13</v>
      </c>
      <c r="E189">
        <v>2</v>
      </c>
      <c r="F189">
        <v>13000</v>
      </c>
      <c r="G189">
        <v>9000</v>
      </c>
      <c r="H189">
        <v>4000</v>
      </c>
    </row>
    <row r="190" spans="1:8" x14ac:dyDescent="0.25">
      <c r="D190" t="s">
        <v>14</v>
      </c>
      <c r="E190">
        <v>10</v>
      </c>
      <c r="F190">
        <v>100000</v>
      </c>
      <c r="G190">
        <v>55000</v>
      </c>
      <c r="H190">
        <v>45000</v>
      </c>
    </row>
    <row r="191" spans="1:8" x14ac:dyDescent="0.25">
      <c r="D191" t="s">
        <v>21</v>
      </c>
      <c r="E191">
        <v>1</v>
      </c>
      <c r="F191">
        <v>15000</v>
      </c>
      <c r="G191">
        <v>11000</v>
      </c>
      <c r="H191">
        <v>4000</v>
      </c>
    </row>
    <row r="192" spans="1:8" x14ac:dyDescent="0.25">
      <c r="C192" t="s">
        <v>105</v>
      </c>
      <c r="D192" t="s">
        <v>11</v>
      </c>
      <c r="E192">
        <v>60</v>
      </c>
      <c r="F192">
        <v>90000</v>
      </c>
      <c r="G192">
        <f>60*500</f>
        <v>30000</v>
      </c>
      <c r="H192">
        <v>60000</v>
      </c>
    </row>
    <row r="193" spans="1:8" x14ac:dyDescent="0.25">
      <c r="C193" t="s">
        <v>106</v>
      </c>
      <c r="D193" t="s">
        <v>11</v>
      </c>
      <c r="E193">
        <v>23</v>
      </c>
      <c r="F193">
        <v>34500</v>
      </c>
      <c r="G193">
        <f>23*500</f>
        <v>11500</v>
      </c>
      <c r="H193">
        <v>23000</v>
      </c>
    </row>
    <row r="194" spans="1:8" x14ac:dyDescent="0.25">
      <c r="C194" t="s">
        <v>109</v>
      </c>
      <c r="D194" t="s">
        <v>11</v>
      </c>
      <c r="E194">
        <v>22</v>
      </c>
      <c r="F194">
        <v>33000</v>
      </c>
      <c r="G194">
        <f>22*500</f>
        <v>11000</v>
      </c>
      <c r="H194">
        <v>22000</v>
      </c>
    </row>
    <row r="195" spans="1:8" x14ac:dyDescent="0.25">
      <c r="C195" t="s">
        <v>10</v>
      </c>
      <c r="D195" t="s">
        <v>11</v>
      </c>
      <c r="E195">
        <v>40</v>
      </c>
      <c r="F195">
        <v>60000</v>
      </c>
      <c r="G195">
        <f>40*500</f>
        <v>20000</v>
      </c>
      <c r="H195">
        <v>40000</v>
      </c>
    </row>
    <row r="196" spans="1:8" x14ac:dyDescent="0.25">
      <c r="D196" t="s">
        <v>12</v>
      </c>
      <c r="E196">
        <v>7</v>
      </c>
      <c r="F196">
        <v>21000</v>
      </c>
      <c r="G196">
        <v>14000</v>
      </c>
      <c r="H196">
        <v>7000</v>
      </c>
    </row>
    <row r="197" spans="1:8" x14ac:dyDescent="0.25">
      <c r="D197" t="s">
        <v>13</v>
      </c>
      <c r="E197">
        <v>5</v>
      </c>
      <c r="F197">
        <v>32500</v>
      </c>
      <c r="G197">
        <f>5*4500</f>
        <v>22500</v>
      </c>
      <c r="H197">
        <v>10000</v>
      </c>
    </row>
    <row r="198" spans="1:8" x14ac:dyDescent="0.25">
      <c r="D198" t="s">
        <v>14</v>
      </c>
      <c r="E198">
        <v>5</v>
      </c>
      <c r="F198">
        <v>40000</v>
      </c>
      <c r="G198">
        <f>5*5500</f>
        <v>27500</v>
      </c>
      <c r="H198">
        <f>5*2500</f>
        <v>12500</v>
      </c>
    </row>
    <row r="199" spans="1:8" x14ac:dyDescent="0.25">
      <c r="C199" t="s">
        <v>16</v>
      </c>
      <c r="D199" t="s">
        <v>11</v>
      </c>
      <c r="E199">
        <v>30</v>
      </c>
      <c r="F199">
        <v>45000</v>
      </c>
      <c r="G199">
        <f>30*500</f>
        <v>15000</v>
      </c>
      <c r="H199">
        <v>30000</v>
      </c>
    </row>
    <row r="200" spans="1:8" x14ac:dyDescent="0.25">
      <c r="D200" t="s">
        <v>12</v>
      </c>
      <c r="E200">
        <v>5</v>
      </c>
      <c r="F200">
        <v>15000</v>
      </c>
      <c r="G200">
        <v>10000</v>
      </c>
      <c r="H200">
        <v>5000</v>
      </c>
    </row>
    <row r="201" spans="1:8" x14ac:dyDescent="0.25">
      <c r="D201" t="s">
        <v>13</v>
      </c>
      <c r="E201">
        <v>1</v>
      </c>
      <c r="F201">
        <v>6500</v>
      </c>
      <c r="G201">
        <v>4500</v>
      </c>
      <c r="H201">
        <v>2000</v>
      </c>
    </row>
    <row r="202" spans="1:8" x14ac:dyDescent="0.25">
      <c r="D202" t="s">
        <v>21</v>
      </c>
      <c r="E202">
        <v>1</v>
      </c>
      <c r="F202">
        <v>15000</v>
      </c>
      <c r="G202">
        <v>11000</v>
      </c>
      <c r="H202">
        <v>4000</v>
      </c>
    </row>
    <row r="203" spans="1:8" x14ac:dyDescent="0.25">
      <c r="A203" s="111" t="s">
        <v>17</v>
      </c>
      <c r="B203" s="111"/>
      <c r="C203" s="111"/>
      <c r="D203" s="111"/>
      <c r="E203" s="111"/>
      <c r="F203" s="1">
        <f>SUM(F189:F202)</f>
        <v>520500</v>
      </c>
      <c r="G203" s="1">
        <f>SUM(G189:G202)</f>
        <v>252000</v>
      </c>
      <c r="H203" s="1">
        <f>SUM(H189:H202)</f>
        <v>268500</v>
      </c>
    </row>
    <row r="204" spans="1:8" x14ac:dyDescent="0.25">
      <c r="A204" t="s">
        <v>18</v>
      </c>
      <c r="B204" t="s">
        <v>116</v>
      </c>
      <c r="C204" t="s">
        <v>20</v>
      </c>
      <c r="D204" t="s">
        <v>25</v>
      </c>
      <c r="E204">
        <v>2</v>
      </c>
      <c r="F204">
        <v>30000</v>
      </c>
      <c r="G204">
        <v>20000</v>
      </c>
      <c r="H204">
        <v>10000</v>
      </c>
    </row>
    <row r="205" spans="1:8" x14ac:dyDescent="0.25">
      <c r="D205" t="s">
        <v>14</v>
      </c>
      <c r="E205">
        <v>1</v>
      </c>
      <c r="F205">
        <v>10000</v>
      </c>
      <c r="G205">
        <v>5500</v>
      </c>
      <c r="H205">
        <v>4500</v>
      </c>
    </row>
    <row r="206" spans="1:8" x14ac:dyDescent="0.25">
      <c r="C206" t="s">
        <v>105</v>
      </c>
      <c r="D206" t="s">
        <v>11</v>
      </c>
      <c r="E206">
        <v>55</v>
      </c>
      <c r="F206">
        <v>82500</v>
      </c>
      <c r="G206">
        <f>55*500</f>
        <v>27500</v>
      </c>
      <c r="H206">
        <v>55000</v>
      </c>
    </row>
    <row r="207" spans="1:8" x14ac:dyDescent="0.25">
      <c r="C207" t="s">
        <v>108</v>
      </c>
      <c r="D207" t="s">
        <v>11</v>
      </c>
      <c r="E207">
        <v>60</v>
      </c>
      <c r="F207">
        <f>60*1500</f>
        <v>90000</v>
      </c>
      <c r="G207">
        <f>60*500</f>
        <v>30000</v>
      </c>
      <c r="H207">
        <v>60000</v>
      </c>
    </row>
    <row r="208" spans="1:8" x14ac:dyDescent="0.25">
      <c r="D208" t="s">
        <v>11</v>
      </c>
      <c r="E208">
        <v>60</v>
      </c>
      <c r="F208">
        <f>60*1500</f>
        <v>90000</v>
      </c>
      <c r="G208">
        <f>60*500</f>
        <v>30000</v>
      </c>
      <c r="H208">
        <v>60000</v>
      </c>
    </row>
    <row r="209" spans="1:8" x14ac:dyDescent="0.25">
      <c r="D209" t="s">
        <v>11</v>
      </c>
      <c r="E209">
        <v>60</v>
      </c>
      <c r="F209">
        <f>60*1500</f>
        <v>90000</v>
      </c>
      <c r="G209">
        <f>60*500</f>
        <v>30000</v>
      </c>
      <c r="H209">
        <v>60000</v>
      </c>
    </row>
    <row r="210" spans="1:8" x14ac:dyDescent="0.25">
      <c r="C210" t="s">
        <v>106</v>
      </c>
      <c r="D210" t="s">
        <v>11</v>
      </c>
      <c r="E210">
        <v>24</v>
      </c>
      <c r="F210">
        <v>36000</v>
      </c>
      <c r="G210">
        <f>24*500</f>
        <v>12000</v>
      </c>
      <c r="H210">
        <v>24000</v>
      </c>
    </row>
    <row r="211" spans="1:8" x14ac:dyDescent="0.25">
      <c r="C211" t="s">
        <v>109</v>
      </c>
      <c r="D211" t="s">
        <v>11</v>
      </c>
      <c r="E211">
        <v>18</v>
      </c>
      <c r="F211">
        <v>27000</v>
      </c>
      <c r="G211">
        <f>18*500</f>
        <v>9000</v>
      </c>
      <c r="H211">
        <v>18000</v>
      </c>
    </row>
    <row r="212" spans="1:8" x14ac:dyDescent="0.25">
      <c r="C212" t="s">
        <v>16</v>
      </c>
      <c r="D212" t="s">
        <v>11</v>
      </c>
      <c r="E212">
        <v>35</v>
      </c>
      <c r="F212">
        <v>52500</v>
      </c>
      <c r="G212">
        <f>35*500</f>
        <v>17500</v>
      </c>
      <c r="H212">
        <v>35000</v>
      </c>
    </row>
    <row r="213" spans="1:8" x14ac:dyDescent="0.25">
      <c r="D213" t="s">
        <v>12</v>
      </c>
      <c r="E213">
        <v>9</v>
      </c>
      <c r="F213">
        <v>27000</v>
      </c>
      <c r="G213">
        <v>18000</v>
      </c>
      <c r="H213">
        <v>9000</v>
      </c>
    </row>
    <row r="214" spans="1:8" x14ac:dyDescent="0.25">
      <c r="D214" t="s">
        <v>13</v>
      </c>
      <c r="E214">
        <v>1</v>
      </c>
      <c r="F214">
        <v>6500</v>
      </c>
      <c r="G214">
        <v>4500</v>
      </c>
      <c r="H214">
        <v>2000</v>
      </c>
    </row>
    <row r="215" spans="1:8" x14ac:dyDescent="0.25">
      <c r="D215" t="s">
        <v>21</v>
      </c>
      <c r="E215">
        <v>1</v>
      </c>
      <c r="F215">
        <v>15000</v>
      </c>
      <c r="G215">
        <v>11000</v>
      </c>
      <c r="H215">
        <v>4000</v>
      </c>
    </row>
    <row r="216" spans="1:8" x14ac:dyDescent="0.25">
      <c r="A216" s="111" t="s">
        <v>17</v>
      </c>
      <c r="B216" s="111"/>
      <c r="C216" s="111"/>
      <c r="D216" s="111"/>
      <c r="E216" s="111"/>
      <c r="F216" s="1">
        <f>SUM(F204:F215)</f>
        <v>556500</v>
      </c>
      <c r="G216" s="1">
        <f>SUM(G204:G215)</f>
        <v>215000</v>
      </c>
      <c r="H216" s="1">
        <f>SUM(H204:H215)</f>
        <v>341500</v>
      </c>
    </row>
    <row r="217" spans="1:8" x14ac:dyDescent="0.25">
      <c r="A217" t="s">
        <v>22</v>
      </c>
      <c r="B217" t="s">
        <v>117</v>
      </c>
      <c r="C217" t="s">
        <v>105</v>
      </c>
      <c r="D217" t="s">
        <v>11</v>
      </c>
      <c r="E217">
        <v>50</v>
      </c>
      <c r="F217">
        <v>75000</v>
      </c>
      <c r="G217">
        <f>50*500</f>
        <v>25000</v>
      </c>
      <c r="H217">
        <v>50000</v>
      </c>
    </row>
    <row r="218" spans="1:8" x14ac:dyDescent="0.25">
      <c r="C218" t="s">
        <v>108</v>
      </c>
      <c r="D218" t="s">
        <v>11</v>
      </c>
      <c r="E218">
        <v>60</v>
      </c>
      <c r="F218">
        <v>90000</v>
      </c>
      <c r="G218">
        <f>60*500</f>
        <v>30000</v>
      </c>
      <c r="H218">
        <v>60000</v>
      </c>
    </row>
    <row r="219" spans="1:8" x14ac:dyDescent="0.25">
      <c r="C219" t="s">
        <v>106</v>
      </c>
      <c r="D219" t="s">
        <v>11</v>
      </c>
      <c r="E219">
        <v>20</v>
      </c>
      <c r="F219">
        <v>30000</v>
      </c>
      <c r="G219">
        <f>20*500</f>
        <v>10000</v>
      </c>
      <c r="H219">
        <v>20000</v>
      </c>
    </row>
    <row r="220" spans="1:8" x14ac:dyDescent="0.25">
      <c r="C220" t="s">
        <v>63</v>
      </c>
      <c r="D220" t="s">
        <v>25</v>
      </c>
      <c r="E220">
        <v>2</v>
      </c>
      <c r="F220">
        <v>26000</v>
      </c>
      <c r="G220">
        <v>20000</v>
      </c>
      <c r="H220">
        <v>6000</v>
      </c>
    </row>
    <row r="221" spans="1:8" x14ac:dyDescent="0.25">
      <c r="C221" t="s">
        <v>16</v>
      </c>
      <c r="D221" t="s">
        <v>11</v>
      </c>
      <c r="E221">
        <v>38</v>
      </c>
      <c r="F221">
        <v>57000</v>
      </c>
      <c r="G221">
        <f>38*500</f>
        <v>19000</v>
      </c>
      <c r="H221">
        <v>38000</v>
      </c>
    </row>
    <row r="222" spans="1:8" x14ac:dyDescent="0.25">
      <c r="D222" t="s">
        <v>12</v>
      </c>
      <c r="E222">
        <v>6</v>
      </c>
      <c r="F222">
        <v>18000</v>
      </c>
      <c r="G222">
        <v>12000</v>
      </c>
      <c r="H222">
        <v>6000</v>
      </c>
    </row>
    <row r="223" spans="1:8" x14ac:dyDescent="0.25">
      <c r="C223" t="s">
        <v>10</v>
      </c>
      <c r="D223" t="s">
        <v>11</v>
      </c>
      <c r="E223">
        <v>10</v>
      </c>
      <c r="F223">
        <v>15000</v>
      </c>
      <c r="G223">
        <v>5000</v>
      </c>
      <c r="H223">
        <v>10000</v>
      </c>
    </row>
    <row r="224" spans="1:8" x14ac:dyDescent="0.25">
      <c r="D224" t="s">
        <v>12</v>
      </c>
      <c r="E224">
        <v>2</v>
      </c>
      <c r="F224">
        <v>6000</v>
      </c>
      <c r="G224">
        <v>4000</v>
      </c>
      <c r="H224">
        <v>2000</v>
      </c>
    </row>
    <row r="225" spans="1:8" x14ac:dyDescent="0.25">
      <c r="D225" t="s">
        <v>13</v>
      </c>
      <c r="E225">
        <v>8</v>
      </c>
      <c r="F225">
        <v>52000</v>
      </c>
      <c r="G225">
        <f>8*4500</f>
        <v>36000</v>
      </c>
      <c r="H225">
        <v>16000</v>
      </c>
    </row>
    <row r="226" spans="1:8" x14ac:dyDescent="0.25">
      <c r="A226" s="111" t="s">
        <v>17</v>
      </c>
      <c r="B226" s="111"/>
      <c r="C226" s="111"/>
      <c r="D226" s="111"/>
      <c r="E226" s="111"/>
      <c r="F226" s="1">
        <f>SUM(F217:F225)</f>
        <v>369000</v>
      </c>
      <c r="G226" s="1">
        <f>SUM(G217:G225)</f>
        <v>161000</v>
      </c>
      <c r="H226" s="1">
        <f>SUM(H217:H225)</f>
        <v>208000</v>
      </c>
    </row>
    <row r="227" spans="1:8" x14ac:dyDescent="0.25">
      <c r="A227" t="s">
        <v>26</v>
      </c>
      <c r="B227" t="s">
        <v>118</v>
      </c>
      <c r="C227" t="s">
        <v>20</v>
      </c>
      <c r="D227" t="s">
        <v>13</v>
      </c>
      <c r="E227">
        <v>2</v>
      </c>
      <c r="F227">
        <v>13000</v>
      </c>
      <c r="G227">
        <f>2*4500</f>
        <v>9000</v>
      </c>
      <c r="H227">
        <v>4000</v>
      </c>
    </row>
    <row r="228" spans="1:8" x14ac:dyDescent="0.25">
      <c r="D228" t="s">
        <v>14</v>
      </c>
      <c r="E228">
        <v>5</v>
      </c>
      <c r="F228">
        <v>50000</v>
      </c>
      <c r="G228">
        <f>5*5500</f>
        <v>27500</v>
      </c>
      <c r="H228">
        <f>5*4500</f>
        <v>22500</v>
      </c>
    </row>
    <row r="229" spans="1:8" x14ac:dyDescent="0.25">
      <c r="C229" t="s">
        <v>10</v>
      </c>
      <c r="D229" t="s">
        <v>11</v>
      </c>
      <c r="E229">
        <v>10</v>
      </c>
      <c r="F229">
        <v>15000</v>
      </c>
      <c r="G229">
        <v>5000</v>
      </c>
      <c r="H229">
        <v>10000</v>
      </c>
    </row>
    <row r="230" spans="1:8" x14ac:dyDescent="0.25">
      <c r="D230" t="s">
        <v>12</v>
      </c>
      <c r="E230">
        <v>6</v>
      </c>
      <c r="F230">
        <v>18000</v>
      </c>
      <c r="G230">
        <v>12000</v>
      </c>
      <c r="H230">
        <v>6000</v>
      </c>
    </row>
    <row r="231" spans="1:8" x14ac:dyDescent="0.25">
      <c r="D231" t="s">
        <v>13</v>
      </c>
      <c r="E231">
        <v>8</v>
      </c>
      <c r="F231">
        <v>52000</v>
      </c>
      <c r="G231">
        <f>8*4500</f>
        <v>36000</v>
      </c>
      <c r="H231">
        <v>16000</v>
      </c>
    </row>
    <row r="232" spans="1:8" x14ac:dyDescent="0.25">
      <c r="D232" t="s">
        <v>14</v>
      </c>
      <c r="E232">
        <v>11</v>
      </c>
      <c r="F232">
        <v>88000</v>
      </c>
      <c r="G232">
        <f>11*5500</f>
        <v>60500</v>
      </c>
      <c r="H232">
        <f>11*2500</f>
        <v>27500</v>
      </c>
    </row>
    <row r="233" spans="1:8" x14ac:dyDescent="0.25">
      <c r="C233" t="s">
        <v>106</v>
      </c>
      <c r="D233" t="s">
        <v>11</v>
      </c>
      <c r="E233">
        <v>13</v>
      </c>
      <c r="F233">
        <f>13*1500</f>
        <v>19500</v>
      </c>
      <c r="G233">
        <f>13*500</f>
        <v>6500</v>
      </c>
      <c r="H233">
        <v>13000</v>
      </c>
    </row>
    <row r="234" spans="1:8" x14ac:dyDescent="0.25">
      <c r="C234" t="s">
        <v>109</v>
      </c>
      <c r="D234" t="s">
        <v>11</v>
      </c>
      <c r="E234">
        <v>12</v>
      </c>
      <c r="F234">
        <f>12*1500</f>
        <v>18000</v>
      </c>
      <c r="G234">
        <f>12*500</f>
        <v>6000</v>
      </c>
      <c r="H234">
        <v>12000</v>
      </c>
    </row>
    <row r="235" spans="1:8" x14ac:dyDescent="0.25">
      <c r="C235" t="s">
        <v>105</v>
      </c>
      <c r="D235" t="s">
        <v>11</v>
      </c>
      <c r="E235">
        <v>63</v>
      </c>
      <c r="F235">
        <v>94500</v>
      </c>
      <c r="G235">
        <f>63*500</f>
        <v>31500</v>
      </c>
      <c r="H235">
        <v>63000</v>
      </c>
    </row>
    <row r="236" spans="1:8" x14ac:dyDescent="0.25">
      <c r="C236" t="s">
        <v>108</v>
      </c>
      <c r="D236" t="s">
        <v>11</v>
      </c>
      <c r="E236">
        <v>45</v>
      </c>
      <c r="F236">
        <f>45*1500</f>
        <v>67500</v>
      </c>
      <c r="G236">
        <f>45*500</f>
        <v>22500</v>
      </c>
      <c r="H236">
        <v>45000</v>
      </c>
    </row>
    <row r="237" spans="1:8" x14ac:dyDescent="0.25">
      <c r="C237" t="s">
        <v>16</v>
      </c>
      <c r="D237" t="s">
        <v>11</v>
      </c>
      <c r="E237">
        <v>46</v>
      </c>
      <c r="F237">
        <v>69000</v>
      </c>
      <c r="G237">
        <f>46*500</f>
        <v>23000</v>
      </c>
      <c r="H237">
        <v>46000</v>
      </c>
    </row>
    <row r="238" spans="1:8" x14ac:dyDescent="0.25">
      <c r="D238" t="s">
        <v>12</v>
      </c>
      <c r="E238">
        <v>7</v>
      </c>
      <c r="F238">
        <v>21000</v>
      </c>
      <c r="G238">
        <v>14000</v>
      </c>
      <c r="H238">
        <v>7000</v>
      </c>
    </row>
    <row r="239" spans="1:8" x14ac:dyDescent="0.25">
      <c r="D239" t="s">
        <v>13</v>
      </c>
      <c r="E239">
        <v>1</v>
      </c>
      <c r="F239">
        <v>6500</v>
      </c>
      <c r="G239">
        <v>4500</v>
      </c>
      <c r="H239">
        <v>2000</v>
      </c>
    </row>
    <row r="240" spans="1:8" x14ac:dyDescent="0.25">
      <c r="D240" t="s">
        <v>14</v>
      </c>
      <c r="E240">
        <v>1</v>
      </c>
      <c r="F240">
        <v>10000</v>
      </c>
      <c r="G240">
        <v>5500</v>
      </c>
      <c r="H240">
        <v>4500</v>
      </c>
    </row>
    <row r="241" spans="1:8" x14ac:dyDescent="0.25">
      <c r="D241" t="s">
        <v>21</v>
      </c>
      <c r="E241">
        <v>1</v>
      </c>
      <c r="F241">
        <v>15000</v>
      </c>
      <c r="G241">
        <v>11000</v>
      </c>
      <c r="H241">
        <v>4000</v>
      </c>
    </row>
    <row r="242" spans="1:8" x14ac:dyDescent="0.25">
      <c r="A242" s="111" t="s">
        <v>17</v>
      </c>
      <c r="B242" s="111"/>
      <c r="C242" s="111"/>
      <c r="D242" s="111"/>
      <c r="E242" s="111"/>
      <c r="F242" s="1">
        <f>SUM(F227:F241)</f>
        <v>557000</v>
      </c>
      <c r="G242" s="1">
        <f>SUM(G227:G241)</f>
        <v>274500</v>
      </c>
      <c r="H242" s="1">
        <f>SUM(H227:H241)</f>
        <v>282500</v>
      </c>
    </row>
    <row r="243" spans="1:8" x14ac:dyDescent="0.25">
      <c r="A243" t="s">
        <v>28</v>
      </c>
      <c r="B243" t="s">
        <v>119</v>
      </c>
      <c r="C243" t="s">
        <v>20</v>
      </c>
      <c r="D243" t="s">
        <v>13</v>
      </c>
      <c r="E243">
        <v>18</v>
      </c>
      <c r="F243">
        <v>117500</v>
      </c>
      <c r="G243">
        <f>18*4500</f>
        <v>81000</v>
      </c>
      <c r="H243">
        <f>18*2000</f>
        <v>36000</v>
      </c>
    </row>
    <row r="244" spans="1:8" x14ac:dyDescent="0.25">
      <c r="D244" t="s">
        <v>14</v>
      </c>
      <c r="E244">
        <v>32</v>
      </c>
      <c r="F244">
        <v>320000</v>
      </c>
      <c r="G244">
        <f>32*5500</f>
        <v>176000</v>
      </c>
      <c r="H244">
        <f>32*4500</f>
        <v>144000</v>
      </c>
    </row>
    <row r="245" spans="1:8" x14ac:dyDescent="0.25">
      <c r="C245" t="s">
        <v>10</v>
      </c>
      <c r="D245" t="s">
        <v>13</v>
      </c>
      <c r="E245">
        <v>13</v>
      </c>
      <c r="F245">
        <v>84500</v>
      </c>
      <c r="G245">
        <f>13*4500</f>
        <v>58500</v>
      </c>
      <c r="H245">
        <f>13*2000</f>
        <v>26000</v>
      </c>
    </row>
    <row r="246" spans="1:8" x14ac:dyDescent="0.25">
      <c r="D246" t="s">
        <v>14</v>
      </c>
      <c r="E246">
        <v>5</v>
      </c>
      <c r="F246">
        <v>40000</v>
      </c>
      <c r="G246">
        <f>5*5500</f>
        <v>27500</v>
      </c>
      <c r="H246">
        <v>12500</v>
      </c>
    </row>
    <row r="247" spans="1:8" x14ac:dyDescent="0.25">
      <c r="C247" t="s">
        <v>15</v>
      </c>
      <c r="D247" t="s">
        <v>13</v>
      </c>
      <c r="E247">
        <v>5</v>
      </c>
      <c r="F247">
        <v>32500</v>
      </c>
      <c r="G247">
        <f>5*4500</f>
        <v>22500</v>
      </c>
      <c r="H247">
        <v>10000</v>
      </c>
    </row>
    <row r="248" spans="1:8" x14ac:dyDescent="0.25">
      <c r="D248" t="s">
        <v>14</v>
      </c>
      <c r="E248">
        <v>5</v>
      </c>
      <c r="F248">
        <v>40000</v>
      </c>
      <c r="G248">
        <f>5*5500</f>
        <v>27500</v>
      </c>
      <c r="H248">
        <v>12500</v>
      </c>
    </row>
    <row r="249" spans="1:8" x14ac:dyDescent="0.25">
      <c r="C249" t="s">
        <v>16</v>
      </c>
      <c r="D249" t="s">
        <v>11</v>
      </c>
      <c r="E249">
        <v>46</v>
      </c>
      <c r="F249">
        <v>69000</v>
      </c>
      <c r="G249">
        <f>46*500</f>
        <v>23000</v>
      </c>
      <c r="H249">
        <v>46000</v>
      </c>
    </row>
    <row r="250" spans="1:8" x14ac:dyDescent="0.25">
      <c r="D250" t="s">
        <v>12</v>
      </c>
      <c r="E250">
        <v>3</v>
      </c>
      <c r="F250">
        <v>9000</v>
      </c>
      <c r="G250">
        <v>6000</v>
      </c>
      <c r="H250">
        <v>3000</v>
      </c>
    </row>
    <row r="251" spans="1:8" x14ac:dyDescent="0.25">
      <c r="D251" t="s">
        <v>13</v>
      </c>
      <c r="E251">
        <v>3</v>
      </c>
      <c r="F251">
        <v>19500</v>
      </c>
      <c r="G251">
        <f>3*4500</f>
        <v>13500</v>
      </c>
      <c r="H251">
        <v>6000</v>
      </c>
    </row>
    <row r="252" spans="1:8" x14ac:dyDescent="0.25">
      <c r="C252" t="s">
        <v>10</v>
      </c>
      <c r="D252" t="s">
        <v>13</v>
      </c>
      <c r="E252">
        <v>7</v>
      </c>
      <c r="F252">
        <v>45500</v>
      </c>
      <c r="G252">
        <f>7*4500</f>
        <v>31500</v>
      </c>
      <c r="H252">
        <v>14000</v>
      </c>
    </row>
    <row r="253" spans="1:8" x14ac:dyDescent="0.25">
      <c r="D253" t="s">
        <v>14</v>
      </c>
      <c r="E253">
        <v>7</v>
      </c>
      <c r="F253">
        <v>56000</v>
      </c>
      <c r="G253">
        <f>7*5500</f>
        <v>38500</v>
      </c>
      <c r="H253">
        <f>7*2500</f>
        <v>17500</v>
      </c>
    </row>
    <row r="254" spans="1:8" x14ac:dyDescent="0.25">
      <c r="A254" s="111" t="s">
        <v>17</v>
      </c>
      <c r="B254" s="111"/>
      <c r="C254" s="111"/>
      <c r="D254" s="111"/>
      <c r="E254" s="111"/>
      <c r="F254" s="1">
        <f>SUM(F243:F253)</f>
        <v>833500</v>
      </c>
      <c r="G254" s="1">
        <f>SUM(G243:G253)</f>
        <v>505500</v>
      </c>
      <c r="H254" s="1">
        <f>SUM(H243:H253)</f>
        <v>327500</v>
      </c>
    </row>
    <row r="255" spans="1:8" x14ac:dyDescent="0.25">
      <c r="A255" t="s">
        <v>30</v>
      </c>
      <c r="B255" t="s">
        <v>120</v>
      </c>
      <c r="C255" t="s">
        <v>105</v>
      </c>
      <c r="D255" t="s">
        <v>11</v>
      </c>
      <c r="E255">
        <f>25500/1500</f>
        <v>17</v>
      </c>
      <c r="F255">
        <v>25500</v>
      </c>
      <c r="G255">
        <f>17*500</f>
        <v>8500</v>
      </c>
      <c r="H255">
        <v>17000</v>
      </c>
    </row>
    <row r="256" spans="1:8" x14ac:dyDescent="0.25">
      <c r="C256" t="s">
        <v>108</v>
      </c>
      <c r="D256" t="s">
        <v>11</v>
      </c>
      <c r="E256">
        <v>45</v>
      </c>
      <c r="F256">
        <f>45*1500</f>
        <v>67500</v>
      </c>
      <c r="G256">
        <f>45*500</f>
        <v>22500</v>
      </c>
      <c r="H256">
        <v>45000</v>
      </c>
    </row>
    <row r="257" spans="1:8" x14ac:dyDescent="0.25">
      <c r="C257" t="s">
        <v>109</v>
      </c>
      <c r="D257" t="s">
        <v>11</v>
      </c>
      <c r="E257">
        <v>8</v>
      </c>
      <c r="F257">
        <f>8*1500</f>
        <v>12000</v>
      </c>
      <c r="G257">
        <f>8*500</f>
        <v>4000</v>
      </c>
      <c r="H257">
        <v>8000</v>
      </c>
    </row>
    <row r="258" spans="1:8" x14ac:dyDescent="0.25">
      <c r="C258" t="s">
        <v>106</v>
      </c>
      <c r="D258" t="s">
        <v>11</v>
      </c>
      <c r="E258">
        <v>14</v>
      </c>
      <c r="F258">
        <f>14*1500</f>
        <v>21000</v>
      </c>
      <c r="G258">
        <f>14*500</f>
        <v>7000</v>
      </c>
      <c r="H258">
        <v>14000</v>
      </c>
    </row>
    <row r="259" spans="1:8" x14ac:dyDescent="0.25">
      <c r="C259" t="s">
        <v>16</v>
      </c>
      <c r="D259" t="s">
        <v>11</v>
      </c>
      <c r="E259">
        <v>15</v>
      </c>
      <c r="F259">
        <v>22500</v>
      </c>
      <c r="G259">
        <f>15*500</f>
        <v>7500</v>
      </c>
      <c r="H259">
        <v>15000</v>
      </c>
    </row>
    <row r="260" spans="1:8" x14ac:dyDescent="0.25">
      <c r="D260" t="s">
        <v>12</v>
      </c>
      <c r="E260">
        <v>6</v>
      </c>
      <c r="F260">
        <v>18000</v>
      </c>
      <c r="G260">
        <v>12000</v>
      </c>
      <c r="H260">
        <v>6000</v>
      </c>
    </row>
    <row r="261" spans="1:8" x14ac:dyDescent="0.25">
      <c r="D261" t="s">
        <v>13</v>
      </c>
      <c r="E261">
        <v>2</v>
      </c>
      <c r="F261">
        <v>13000</v>
      </c>
      <c r="G261">
        <v>9000</v>
      </c>
      <c r="H261">
        <v>4000</v>
      </c>
    </row>
    <row r="262" spans="1:8" x14ac:dyDescent="0.25">
      <c r="C262" t="s">
        <v>10</v>
      </c>
      <c r="D262" t="s">
        <v>11</v>
      </c>
      <c r="E262">
        <v>13</v>
      </c>
      <c r="F262">
        <v>19500</v>
      </c>
      <c r="G262">
        <f>13*500</f>
        <v>6500</v>
      </c>
      <c r="H262">
        <v>13000</v>
      </c>
    </row>
    <row r="263" spans="1:8" x14ac:dyDescent="0.25">
      <c r="D263" t="s">
        <v>13</v>
      </c>
      <c r="E263">
        <v>2</v>
      </c>
      <c r="F263">
        <v>13000</v>
      </c>
      <c r="G263">
        <v>9000</v>
      </c>
      <c r="H263">
        <v>4000</v>
      </c>
    </row>
    <row r="264" spans="1:8" x14ac:dyDescent="0.25">
      <c r="D264" t="s">
        <v>14</v>
      </c>
      <c r="E264">
        <v>1</v>
      </c>
      <c r="F264">
        <v>8000</v>
      </c>
      <c r="G264">
        <v>5500</v>
      </c>
      <c r="H264">
        <v>2500</v>
      </c>
    </row>
    <row r="265" spans="1:8" x14ac:dyDescent="0.25">
      <c r="A265" s="111" t="s">
        <v>17</v>
      </c>
      <c r="B265" s="111"/>
      <c r="C265" s="111"/>
      <c r="D265" s="111"/>
      <c r="E265" s="111"/>
      <c r="F265" s="1">
        <f>SUM(F255:F264)</f>
        <v>220000</v>
      </c>
      <c r="G265" s="1">
        <f>SUM(G255:G264)</f>
        <v>91500</v>
      </c>
      <c r="H265" s="1">
        <f>SUM(H255:H264)</f>
        <v>128500</v>
      </c>
    </row>
    <row r="266" spans="1:8" x14ac:dyDescent="0.25">
      <c r="A266" t="s">
        <v>32</v>
      </c>
      <c r="B266" t="s">
        <v>121</v>
      </c>
      <c r="C266" t="s">
        <v>63</v>
      </c>
      <c r="D266" t="s">
        <v>25</v>
      </c>
      <c r="E266">
        <v>1</v>
      </c>
      <c r="F266">
        <v>15000</v>
      </c>
      <c r="G266">
        <v>10000</v>
      </c>
      <c r="H266">
        <v>5000</v>
      </c>
    </row>
    <row r="267" spans="1:8" x14ac:dyDescent="0.25">
      <c r="C267" t="s">
        <v>105</v>
      </c>
      <c r="D267" t="s">
        <v>11</v>
      </c>
      <c r="E267">
        <v>49</v>
      </c>
      <c r="F267">
        <v>73500</v>
      </c>
      <c r="G267">
        <f>49*500</f>
        <v>24500</v>
      </c>
      <c r="H267">
        <v>49000</v>
      </c>
    </row>
    <row r="268" spans="1:8" x14ac:dyDescent="0.25">
      <c r="C268" t="s">
        <v>108</v>
      </c>
      <c r="D268" t="s">
        <v>11</v>
      </c>
      <c r="E268">
        <v>37</v>
      </c>
      <c r="F268">
        <v>55500</v>
      </c>
      <c r="G268">
        <f>37*500</f>
        <v>18500</v>
      </c>
      <c r="H268">
        <v>37000</v>
      </c>
    </row>
    <row r="269" spans="1:8" x14ac:dyDescent="0.25">
      <c r="C269" t="s">
        <v>106</v>
      </c>
      <c r="D269" t="s">
        <v>11</v>
      </c>
      <c r="E269">
        <v>15</v>
      </c>
      <c r="F269">
        <v>22500</v>
      </c>
      <c r="G269">
        <f>15*500</f>
        <v>7500</v>
      </c>
      <c r="H269">
        <v>15000</v>
      </c>
    </row>
    <row r="270" spans="1:8" x14ac:dyDescent="0.25">
      <c r="C270" t="s">
        <v>109</v>
      </c>
      <c r="D270" t="s">
        <v>11</v>
      </c>
      <c r="E270">
        <v>5</v>
      </c>
      <c r="F270">
        <v>7500</v>
      </c>
      <c r="G270">
        <v>2500</v>
      </c>
      <c r="H270">
        <v>5000</v>
      </c>
    </row>
    <row r="271" spans="1:8" x14ac:dyDescent="0.25">
      <c r="D271" t="s">
        <v>13</v>
      </c>
      <c r="E271">
        <v>2</v>
      </c>
      <c r="F271">
        <v>13000</v>
      </c>
      <c r="G271">
        <v>9000</v>
      </c>
      <c r="H271">
        <v>4000</v>
      </c>
    </row>
    <row r="272" spans="1:8" x14ac:dyDescent="0.25">
      <c r="C272" t="s">
        <v>10</v>
      </c>
      <c r="D272" t="s">
        <v>12</v>
      </c>
      <c r="E272">
        <v>9</v>
      </c>
      <c r="F272">
        <v>27000</v>
      </c>
      <c r="G272">
        <f>9*2000</f>
        <v>18000</v>
      </c>
      <c r="H272">
        <v>9000</v>
      </c>
    </row>
    <row r="273" spans="1:8" x14ac:dyDescent="0.25">
      <c r="D273" t="s">
        <v>13</v>
      </c>
      <c r="E273">
        <v>52</v>
      </c>
      <c r="F273">
        <v>338000</v>
      </c>
      <c r="G273">
        <f>52*4500</f>
        <v>234000</v>
      </c>
      <c r="H273">
        <f>52*2000</f>
        <v>104000</v>
      </c>
    </row>
    <row r="274" spans="1:8" x14ac:dyDescent="0.25">
      <c r="D274" t="s">
        <v>14</v>
      </c>
      <c r="E274">
        <v>10</v>
      </c>
      <c r="F274">
        <v>100000</v>
      </c>
      <c r="G274">
        <v>55000</v>
      </c>
      <c r="H274">
        <v>45000</v>
      </c>
    </row>
    <row r="275" spans="1:8" x14ac:dyDescent="0.25">
      <c r="D275" t="s">
        <v>14</v>
      </c>
      <c r="E275">
        <v>9</v>
      </c>
      <c r="F275">
        <v>72000</v>
      </c>
      <c r="G275">
        <f>9*5500</f>
        <v>49500</v>
      </c>
      <c r="H275">
        <f>9*2500</f>
        <v>22500</v>
      </c>
    </row>
    <row r="276" spans="1:8" x14ac:dyDescent="0.25">
      <c r="C276" t="s">
        <v>16</v>
      </c>
      <c r="D276" t="s">
        <v>11</v>
      </c>
      <c r="E276">
        <v>29</v>
      </c>
      <c r="F276">
        <v>43500</v>
      </c>
      <c r="G276">
        <f>29*500</f>
        <v>14500</v>
      </c>
      <c r="H276">
        <v>29000</v>
      </c>
    </row>
    <row r="277" spans="1:8" x14ac:dyDescent="0.25">
      <c r="D277" t="s">
        <v>12</v>
      </c>
      <c r="E277">
        <v>2</v>
      </c>
      <c r="F277">
        <v>6000</v>
      </c>
      <c r="G277">
        <v>4000</v>
      </c>
      <c r="H277">
        <v>2000</v>
      </c>
    </row>
    <row r="278" spans="1:8" x14ac:dyDescent="0.25">
      <c r="D278" t="s">
        <v>14</v>
      </c>
      <c r="E278">
        <v>1</v>
      </c>
      <c r="F278">
        <v>10000</v>
      </c>
      <c r="G278">
        <v>5500</v>
      </c>
      <c r="H278">
        <v>4500</v>
      </c>
    </row>
    <row r="279" spans="1:8" x14ac:dyDescent="0.25">
      <c r="A279" s="111" t="s">
        <v>17</v>
      </c>
      <c r="B279" s="111"/>
      <c r="C279" s="111"/>
      <c r="D279" s="111"/>
      <c r="E279" s="111"/>
      <c r="F279" s="1">
        <f>SUM(F266:F278)</f>
        <v>783500</v>
      </c>
      <c r="G279" s="1">
        <f>SUM(G266:G278)</f>
        <v>452500</v>
      </c>
      <c r="H279" s="1">
        <f>SUM(H266:H278)</f>
        <v>331000</v>
      </c>
    </row>
    <row r="280" spans="1:8" x14ac:dyDescent="0.25">
      <c r="A280" t="s">
        <v>8</v>
      </c>
      <c r="B280" t="s">
        <v>122</v>
      </c>
      <c r="C280" t="s">
        <v>105</v>
      </c>
      <c r="D280" t="s">
        <v>11</v>
      </c>
      <c r="E280">
        <v>56</v>
      </c>
      <c r="F280">
        <v>84000</v>
      </c>
      <c r="G280">
        <f>56*500</f>
        <v>28000</v>
      </c>
      <c r="H280">
        <v>56000</v>
      </c>
    </row>
    <row r="281" spans="1:8" x14ac:dyDescent="0.25">
      <c r="C281" t="s">
        <v>108</v>
      </c>
      <c r="D281" t="s">
        <v>11</v>
      </c>
      <c r="E281">
        <v>38</v>
      </c>
      <c r="F281">
        <v>57000</v>
      </c>
      <c r="G281">
        <f>38*500</f>
        <v>19000</v>
      </c>
      <c r="H281">
        <v>38000</v>
      </c>
    </row>
    <row r="282" spans="1:8" x14ac:dyDescent="0.25">
      <c r="C282" t="s">
        <v>106</v>
      </c>
      <c r="D282" t="s">
        <v>11</v>
      </c>
      <c r="E282">
        <v>25</v>
      </c>
      <c r="F282">
        <v>37500</v>
      </c>
      <c r="G282">
        <f>25*500</f>
        <v>12500</v>
      </c>
      <c r="H282">
        <v>25000</v>
      </c>
    </row>
    <row r="283" spans="1:8" x14ac:dyDescent="0.25">
      <c r="C283" t="s">
        <v>109</v>
      </c>
      <c r="D283" t="s">
        <v>11</v>
      </c>
      <c r="E283">
        <v>23</v>
      </c>
      <c r="F283">
        <f>23*1500</f>
        <v>34500</v>
      </c>
      <c r="G283">
        <f>23*500</f>
        <v>11500</v>
      </c>
      <c r="H283">
        <v>23000</v>
      </c>
    </row>
    <row r="284" spans="1:8" x14ac:dyDescent="0.25">
      <c r="C284" t="s">
        <v>10</v>
      </c>
      <c r="D284" t="s">
        <v>12</v>
      </c>
      <c r="E284">
        <v>3</v>
      </c>
      <c r="F284">
        <v>9000</v>
      </c>
      <c r="G284">
        <v>6000</v>
      </c>
      <c r="H284">
        <v>3000</v>
      </c>
    </row>
    <row r="285" spans="1:8" x14ac:dyDescent="0.25">
      <c r="D285" t="s">
        <v>13</v>
      </c>
      <c r="E285">
        <v>4</v>
      </c>
      <c r="F285">
        <v>26000</v>
      </c>
      <c r="G285">
        <f>4*4500</f>
        <v>18000</v>
      </c>
      <c r="H285">
        <v>8000</v>
      </c>
    </row>
    <row r="286" spans="1:8" x14ac:dyDescent="0.25">
      <c r="C286" t="s">
        <v>16</v>
      </c>
      <c r="D286" t="s">
        <v>11</v>
      </c>
      <c r="E286">
        <v>17</v>
      </c>
      <c r="F286">
        <v>25500</v>
      </c>
      <c r="G286">
        <f>17*500</f>
        <v>8500</v>
      </c>
      <c r="H286">
        <v>17000</v>
      </c>
    </row>
    <row r="287" spans="1:8" x14ac:dyDescent="0.25">
      <c r="D287" t="s">
        <v>12</v>
      </c>
      <c r="E287">
        <v>1</v>
      </c>
      <c r="F287">
        <v>3000</v>
      </c>
      <c r="G287">
        <v>2000</v>
      </c>
      <c r="H287">
        <v>1000</v>
      </c>
    </row>
    <row r="288" spans="1:8" x14ac:dyDescent="0.25">
      <c r="A288" s="111" t="s">
        <v>17</v>
      </c>
      <c r="B288" s="111"/>
      <c r="C288" s="111"/>
      <c r="D288" s="111"/>
      <c r="E288" s="111"/>
      <c r="F288" s="1">
        <f>SUM(F280:F287)</f>
        <v>276500</v>
      </c>
      <c r="G288" s="1">
        <f>SUM(G280:G287)</f>
        <v>105500</v>
      </c>
      <c r="H288" s="1">
        <f>SUM(H280:H287)</f>
        <v>171000</v>
      </c>
    </row>
    <row r="289" spans="1:8" x14ac:dyDescent="0.25">
      <c r="A289" t="s">
        <v>18</v>
      </c>
      <c r="B289" t="s">
        <v>123</v>
      </c>
      <c r="C289" t="s">
        <v>105</v>
      </c>
      <c r="D289" t="s">
        <v>11</v>
      </c>
      <c r="E289">
        <v>25</v>
      </c>
      <c r="F289">
        <v>37500</v>
      </c>
      <c r="G289">
        <f>25*500</f>
        <v>12500</v>
      </c>
      <c r="H289">
        <v>25000</v>
      </c>
    </row>
    <row r="290" spans="1:8" x14ac:dyDescent="0.25">
      <c r="C290" t="s">
        <v>108</v>
      </c>
      <c r="D290" t="s">
        <v>11</v>
      </c>
      <c r="E290">
        <v>45</v>
      </c>
      <c r="F290">
        <v>67500</v>
      </c>
      <c r="G290">
        <f>45*500</f>
        <v>22500</v>
      </c>
      <c r="H290">
        <v>45000</v>
      </c>
    </row>
    <row r="291" spans="1:8" x14ac:dyDescent="0.25">
      <c r="C291" t="s">
        <v>106</v>
      </c>
      <c r="D291" t="s">
        <v>11</v>
      </c>
      <c r="E291">
        <v>27</v>
      </c>
      <c r="F291">
        <v>40500</v>
      </c>
      <c r="G291">
        <f>27*500</f>
        <v>13500</v>
      </c>
      <c r="H291">
        <v>27000</v>
      </c>
    </row>
    <row r="292" spans="1:8" x14ac:dyDescent="0.25">
      <c r="C292" t="s">
        <v>72</v>
      </c>
      <c r="D292" t="s">
        <v>21</v>
      </c>
      <c r="E292">
        <v>3</v>
      </c>
      <c r="F292">
        <v>45000</v>
      </c>
      <c r="G292">
        <v>33000</v>
      </c>
      <c r="H292">
        <f>F292-G292</f>
        <v>12000</v>
      </c>
    </row>
    <row r="293" spans="1:8" x14ac:dyDescent="0.25">
      <c r="C293" t="s">
        <v>63</v>
      </c>
      <c r="D293" t="s">
        <v>25</v>
      </c>
      <c r="E293">
        <v>3</v>
      </c>
      <c r="F293">
        <v>45000</v>
      </c>
      <c r="G293">
        <v>30000</v>
      </c>
      <c r="H293">
        <v>15000</v>
      </c>
    </row>
    <row r="294" spans="1:8" x14ac:dyDescent="0.25">
      <c r="C294" t="s">
        <v>16</v>
      </c>
      <c r="D294" t="s">
        <v>11</v>
      </c>
      <c r="E294">
        <v>57</v>
      </c>
      <c r="F294">
        <v>85500</v>
      </c>
      <c r="G294">
        <f>57*500</f>
        <v>28500</v>
      </c>
      <c r="H294">
        <v>57000</v>
      </c>
    </row>
    <row r="295" spans="1:8" x14ac:dyDescent="0.25">
      <c r="D295" t="s">
        <v>12</v>
      </c>
      <c r="E295">
        <v>5</v>
      </c>
      <c r="F295">
        <v>15000</v>
      </c>
      <c r="G295">
        <v>10000</v>
      </c>
      <c r="H295">
        <v>5000</v>
      </c>
    </row>
    <row r="296" spans="1:8" x14ac:dyDescent="0.25">
      <c r="D296" t="s">
        <v>13</v>
      </c>
      <c r="E296">
        <v>3</v>
      </c>
      <c r="F296">
        <v>19500</v>
      </c>
      <c r="G296">
        <f>3*4500</f>
        <v>13500</v>
      </c>
      <c r="H296">
        <v>6000</v>
      </c>
    </row>
    <row r="297" spans="1:8" x14ac:dyDescent="0.25">
      <c r="A297" s="111" t="s">
        <v>17</v>
      </c>
      <c r="B297" s="111"/>
      <c r="C297" s="111"/>
      <c r="D297" s="111"/>
      <c r="E297" s="111"/>
      <c r="F297" s="1">
        <f>SUM(F289:F296)</f>
        <v>355500</v>
      </c>
      <c r="G297" s="1">
        <f>SUM(G289:G296)</f>
        <v>163500</v>
      </c>
      <c r="H297" s="1">
        <f>SUM(H289:H296)</f>
        <v>192000</v>
      </c>
    </row>
    <row r="298" spans="1:8" x14ac:dyDescent="0.25">
      <c r="A298" t="s">
        <v>22</v>
      </c>
      <c r="B298" t="s">
        <v>124</v>
      </c>
      <c r="C298" t="s">
        <v>20</v>
      </c>
      <c r="D298" t="s">
        <v>13</v>
      </c>
      <c r="E298">
        <v>10</v>
      </c>
      <c r="F298">
        <v>65000</v>
      </c>
      <c r="G298">
        <v>45000</v>
      </c>
      <c r="H298">
        <v>20000</v>
      </c>
    </row>
    <row r="299" spans="1:8" x14ac:dyDescent="0.25">
      <c r="D299" t="s">
        <v>14</v>
      </c>
      <c r="E299">
        <v>2</v>
      </c>
      <c r="F299">
        <v>20000</v>
      </c>
      <c r="G299">
        <v>11000</v>
      </c>
      <c r="H299">
        <v>9000</v>
      </c>
    </row>
    <row r="300" spans="1:8" x14ac:dyDescent="0.25">
      <c r="D300" t="s">
        <v>21</v>
      </c>
      <c r="E300">
        <v>1</v>
      </c>
      <c r="F300">
        <v>15000</v>
      </c>
      <c r="G300">
        <v>11000</v>
      </c>
      <c r="H300">
        <v>4000</v>
      </c>
    </row>
    <row r="301" spans="1:8" x14ac:dyDescent="0.25">
      <c r="C301" t="s">
        <v>109</v>
      </c>
      <c r="D301" t="s">
        <v>11</v>
      </c>
      <c r="E301">
        <v>23</v>
      </c>
      <c r="F301">
        <v>34500</v>
      </c>
      <c r="G301">
        <f>23*500</f>
        <v>11500</v>
      </c>
      <c r="H301">
        <v>23000</v>
      </c>
    </row>
    <row r="302" spans="1:8" x14ac:dyDescent="0.25">
      <c r="C302" t="s">
        <v>106</v>
      </c>
      <c r="D302" t="s">
        <v>11</v>
      </c>
      <c r="E302">
        <v>25</v>
      </c>
      <c r="F302">
        <v>37500</v>
      </c>
      <c r="G302">
        <f>25*500</f>
        <v>12500</v>
      </c>
      <c r="H302">
        <v>25000</v>
      </c>
    </row>
    <row r="303" spans="1:8" x14ac:dyDescent="0.25">
      <c r="C303" t="s">
        <v>109</v>
      </c>
      <c r="D303" t="s">
        <v>11</v>
      </c>
      <c r="E303">
        <v>11</v>
      </c>
      <c r="F303">
        <v>16500</v>
      </c>
      <c r="G303">
        <f>11*500</f>
        <v>5500</v>
      </c>
      <c r="H303">
        <v>11000</v>
      </c>
    </row>
    <row r="304" spans="1:8" x14ac:dyDescent="0.25">
      <c r="C304" t="s">
        <v>10</v>
      </c>
      <c r="D304" t="s">
        <v>11</v>
      </c>
      <c r="E304">
        <v>10</v>
      </c>
      <c r="F304">
        <v>15000</v>
      </c>
      <c r="G304">
        <v>5000</v>
      </c>
      <c r="H304">
        <v>10000</v>
      </c>
    </row>
    <row r="305" spans="1:8" x14ac:dyDescent="0.25">
      <c r="D305" t="s">
        <v>12</v>
      </c>
      <c r="E305">
        <v>2</v>
      </c>
      <c r="F305">
        <v>6000</v>
      </c>
      <c r="G305">
        <v>4000</v>
      </c>
      <c r="H305">
        <v>2000</v>
      </c>
    </row>
    <row r="306" spans="1:8" x14ac:dyDescent="0.25">
      <c r="D306" t="s">
        <v>13</v>
      </c>
      <c r="E306">
        <v>6</v>
      </c>
      <c r="F306">
        <v>39000</v>
      </c>
      <c r="G306">
        <f>6*4500</f>
        <v>27000</v>
      </c>
      <c r="H306">
        <f>6*2000</f>
        <v>12000</v>
      </c>
    </row>
    <row r="307" spans="1:8" x14ac:dyDescent="0.25">
      <c r="C307" t="s">
        <v>10</v>
      </c>
      <c r="D307" t="s">
        <v>11</v>
      </c>
      <c r="E307">
        <v>8</v>
      </c>
      <c r="F307">
        <v>12000</v>
      </c>
      <c r="G307">
        <f>8*500</f>
        <v>4000</v>
      </c>
      <c r="H307">
        <v>8000</v>
      </c>
    </row>
    <row r="308" spans="1:8" x14ac:dyDescent="0.25">
      <c r="D308" t="s">
        <v>13</v>
      </c>
      <c r="E308">
        <v>3</v>
      </c>
      <c r="F308">
        <v>19500</v>
      </c>
      <c r="G308">
        <f>3*4500</f>
        <v>13500</v>
      </c>
      <c r="H308">
        <v>6000</v>
      </c>
    </row>
    <row r="309" spans="1:8" x14ac:dyDescent="0.25">
      <c r="C309" t="s">
        <v>16</v>
      </c>
      <c r="D309" t="s">
        <v>11</v>
      </c>
      <c r="E309">
        <v>30</v>
      </c>
      <c r="F309">
        <v>45000</v>
      </c>
      <c r="G309">
        <f>30*500</f>
        <v>15000</v>
      </c>
      <c r="H309">
        <v>30000</v>
      </c>
    </row>
    <row r="310" spans="1:8" x14ac:dyDescent="0.25">
      <c r="D310" t="s">
        <v>12</v>
      </c>
      <c r="E310">
        <v>1</v>
      </c>
      <c r="F310">
        <v>3000</v>
      </c>
      <c r="G310">
        <v>2000</v>
      </c>
      <c r="H310">
        <v>1000</v>
      </c>
    </row>
    <row r="311" spans="1:8" x14ac:dyDescent="0.25">
      <c r="A311" s="111" t="s">
        <v>17</v>
      </c>
      <c r="B311" s="111"/>
      <c r="C311" s="111"/>
      <c r="D311" s="111"/>
      <c r="E311" s="111"/>
      <c r="F311" s="1">
        <f>SUM(F298:F310)</f>
        <v>328000</v>
      </c>
      <c r="G311" s="1">
        <f>SUM(G298:G310)</f>
        <v>167000</v>
      </c>
      <c r="H311" s="1">
        <f>SUM(H298:H310)</f>
        <v>161000</v>
      </c>
    </row>
    <row r="312" spans="1:8" x14ac:dyDescent="0.25">
      <c r="A312" t="s">
        <v>26</v>
      </c>
      <c r="B312" t="s">
        <v>125</v>
      </c>
      <c r="C312" t="s">
        <v>108</v>
      </c>
      <c r="D312" t="s">
        <v>11</v>
      </c>
      <c r="E312">
        <v>45</v>
      </c>
      <c r="F312">
        <v>67500</v>
      </c>
      <c r="G312">
        <f>45*500</f>
        <v>22500</v>
      </c>
      <c r="H312">
        <v>45000</v>
      </c>
    </row>
    <row r="313" spans="1:8" x14ac:dyDescent="0.25">
      <c r="C313" t="s">
        <v>109</v>
      </c>
      <c r="D313" t="s">
        <v>11</v>
      </c>
      <c r="E313">
        <v>23</v>
      </c>
      <c r="F313">
        <v>34500</v>
      </c>
      <c r="G313">
        <f>23*500</f>
        <v>11500</v>
      </c>
      <c r="H313">
        <v>23000</v>
      </c>
    </row>
    <row r="314" spans="1:8" x14ac:dyDescent="0.25">
      <c r="C314" t="s">
        <v>105</v>
      </c>
      <c r="D314" t="s">
        <v>11</v>
      </c>
      <c r="E314">
        <v>37</v>
      </c>
      <c r="F314">
        <v>55500</v>
      </c>
      <c r="G314">
        <f>37*500</f>
        <v>18500</v>
      </c>
      <c r="H314">
        <v>37000</v>
      </c>
    </row>
    <row r="315" spans="1:8" x14ac:dyDescent="0.25">
      <c r="C315" t="s">
        <v>105</v>
      </c>
      <c r="D315" t="s">
        <v>11</v>
      </c>
      <c r="E315">
        <v>50</v>
      </c>
      <c r="F315">
        <v>75000</v>
      </c>
      <c r="G315">
        <f>50*500</f>
        <v>25000</v>
      </c>
      <c r="H315">
        <v>50000</v>
      </c>
    </row>
    <row r="316" spans="1:8" x14ac:dyDescent="0.25">
      <c r="C316" t="s">
        <v>106</v>
      </c>
      <c r="D316" t="s">
        <v>11</v>
      </c>
      <c r="E316">
        <v>16</v>
      </c>
      <c r="F316">
        <f>16*1500</f>
        <v>24000</v>
      </c>
      <c r="G316">
        <f>16*500</f>
        <v>8000</v>
      </c>
      <c r="H316">
        <v>16000</v>
      </c>
    </row>
    <row r="317" spans="1:8" x14ac:dyDescent="0.25">
      <c r="C317" t="s">
        <v>16</v>
      </c>
      <c r="D317" t="s">
        <v>11</v>
      </c>
      <c r="E317">
        <v>31</v>
      </c>
      <c r="F317">
        <v>46500</v>
      </c>
      <c r="G317">
        <f>31*500</f>
        <v>15500</v>
      </c>
      <c r="H317">
        <v>31000</v>
      </c>
    </row>
    <row r="318" spans="1:8" x14ac:dyDescent="0.25">
      <c r="D318" t="s">
        <v>12</v>
      </c>
      <c r="E318">
        <v>1</v>
      </c>
      <c r="F318">
        <v>3000</v>
      </c>
      <c r="G318">
        <v>2000</v>
      </c>
      <c r="H318">
        <v>1000</v>
      </c>
    </row>
    <row r="319" spans="1:8" x14ac:dyDescent="0.25">
      <c r="C319" t="s">
        <v>10</v>
      </c>
      <c r="D319" t="s">
        <v>12</v>
      </c>
      <c r="E319">
        <v>6</v>
      </c>
      <c r="F319">
        <v>18000</v>
      </c>
      <c r="G319">
        <v>12000</v>
      </c>
      <c r="H319">
        <v>6000</v>
      </c>
    </row>
    <row r="320" spans="1:8" x14ac:dyDescent="0.25">
      <c r="D320" t="s">
        <v>13</v>
      </c>
      <c r="E320">
        <v>8</v>
      </c>
      <c r="F320">
        <v>52000</v>
      </c>
      <c r="G320">
        <f>8*4500</f>
        <v>36000</v>
      </c>
      <c r="H320">
        <f>8*2000</f>
        <v>16000</v>
      </c>
    </row>
    <row r="321" spans="1:8" x14ac:dyDescent="0.25">
      <c r="D321" t="s">
        <v>14</v>
      </c>
      <c r="E321">
        <v>10</v>
      </c>
      <c r="F321">
        <v>80000</v>
      </c>
      <c r="G321">
        <f>10*5500</f>
        <v>55000</v>
      </c>
      <c r="H321">
        <f>10*2500</f>
        <v>25000</v>
      </c>
    </row>
    <row r="322" spans="1:8" x14ac:dyDescent="0.25">
      <c r="A322" s="111" t="s">
        <v>17</v>
      </c>
      <c r="B322" s="111"/>
      <c r="C322" s="111"/>
      <c r="D322" s="111"/>
      <c r="E322" s="111"/>
      <c r="F322" s="1">
        <f>SUM(F312:F321)</f>
        <v>456000</v>
      </c>
      <c r="G322" s="1">
        <f>SUM(G312:G321)</f>
        <v>206000</v>
      </c>
      <c r="H322" s="1">
        <f>SUM(H312:H321)</f>
        <v>250000</v>
      </c>
    </row>
    <row r="323" spans="1:8" x14ac:dyDescent="0.25">
      <c r="A323" t="s">
        <v>28</v>
      </c>
      <c r="B323" t="s">
        <v>126</v>
      </c>
      <c r="C323" t="s">
        <v>20</v>
      </c>
      <c r="D323" t="s">
        <v>13</v>
      </c>
      <c r="E323">
        <v>19</v>
      </c>
      <c r="F323">
        <v>123500</v>
      </c>
      <c r="G323">
        <f>19*4500</f>
        <v>85500</v>
      </c>
      <c r="H323">
        <f>19*2000</f>
        <v>38000</v>
      </c>
    </row>
    <row r="324" spans="1:8" x14ac:dyDescent="0.25">
      <c r="D324" t="s">
        <v>14</v>
      </c>
      <c r="E324">
        <v>44</v>
      </c>
      <c r="F324">
        <v>440000</v>
      </c>
      <c r="G324">
        <f>44*5500</f>
        <v>242000</v>
      </c>
      <c r="H324">
        <f>44*4500</f>
        <v>198000</v>
      </c>
    </row>
    <row r="325" spans="1:8" x14ac:dyDescent="0.25">
      <c r="D325" t="s">
        <v>21</v>
      </c>
      <c r="E325">
        <v>2</v>
      </c>
      <c r="F325">
        <v>30000</v>
      </c>
      <c r="G325">
        <v>22000</v>
      </c>
      <c r="H325">
        <v>8000</v>
      </c>
    </row>
    <row r="326" spans="1:8" x14ac:dyDescent="0.25">
      <c r="C326" t="s">
        <v>10</v>
      </c>
      <c r="D326" t="s">
        <v>13</v>
      </c>
      <c r="E326">
        <v>9</v>
      </c>
      <c r="F326">
        <v>58500</v>
      </c>
      <c r="G326">
        <f>9*4500</f>
        <v>40500</v>
      </c>
      <c r="H326">
        <v>18000</v>
      </c>
    </row>
    <row r="327" spans="1:8" x14ac:dyDescent="0.25">
      <c r="D327" t="s">
        <v>14</v>
      </c>
      <c r="E327">
        <v>6</v>
      </c>
      <c r="F327">
        <v>48000</v>
      </c>
      <c r="G327">
        <f>6*5500</f>
        <v>33000</v>
      </c>
      <c r="H327">
        <f>6*2500</f>
        <v>15000</v>
      </c>
    </row>
    <row r="328" spans="1:8" x14ac:dyDescent="0.25">
      <c r="C328" t="s">
        <v>15</v>
      </c>
      <c r="D328" t="s">
        <v>13</v>
      </c>
      <c r="E328">
        <v>7</v>
      </c>
      <c r="F328">
        <v>45500</v>
      </c>
      <c r="G328">
        <f>7*4500</f>
        <v>31500</v>
      </c>
      <c r="H328">
        <v>14000</v>
      </c>
    </row>
    <row r="329" spans="1:8" x14ac:dyDescent="0.25">
      <c r="D329" t="s">
        <v>14</v>
      </c>
      <c r="E329">
        <v>4</v>
      </c>
      <c r="F329">
        <v>32000</v>
      </c>
      <c r="G329">
        <f>4*5500</f>
        <v>22000</v>
      </c>
      <c r="H329">
        <f>4*2500</f>
        <v>10000</v>
      </c>
    </row>
    <row r="330" spans="1:8" x14ac:dyDescent="0.25">
      <c r="C330" t="s">
        <v>127</v>
      </c>
      <c r="D330" t="s">
        <v>25</v>
      </c>
      <c r="E330">
        <v>10</v>
      </c>
      <c r="F330">
        <v>150000</v>
      </c>
      <c r="G330">
        <v>100000</v>
      </c>
      <c r="H330">
        <v>50000</v>
      </c>
    </row>
    <row r="331" spans="1:8" x14ac:dyDescent="0.25">
      <c r="A331" s="111" t="s">
        <v>17</v>
      </c>
      <c r="B331" s="111"/>
      <c r="C331" s="111"/>
      <c r="D331" s="111"/>
      <c r="E331" s="111"/>
      <c r="F331" s="1">
        <f>SUM(F323:F330)</f>
        <v>927500</v>
      </c>
      <c r="G331" s="1">
        <f>SUM(G323:G330)</f>
        <v>576500</v>
      </c>
      <c r="H331" s="1">
        <f>SUM(H323:H330)</f>
        <v>351000</v>
      </c>
    </row>
    <row r="332" spans="1:8" x14ac:dyDescent="0.25">
      <c r="C332" t="s">
        <v>10</v>
      </c>
      <c r="D332" t="s">
        <v>13</v>
      </c>
      <c r="E332">
        <v>15</v>
      </c>
      <c r="F332">
        <v>97500</v>
      </c>
      <c r="G332">
        <f>15*4500</f>
        <v>67500</v>
      </c>
      <c r="H332">
        <v>30000</v>
      </c>
    </row>
    <row r="333" spans="1:8" x14ac:dyDescent="0.25">
      <c r="D333" t="s">
        <v>14</v>
      </c>
      <c r="E333">
        <v>14</v>
      </c>
      <c r="F333">
        <v>112000</v>
      </c>
      <c r="G333">
        <f>14*5500</f>
        <v>77000</v>
      </c>
      <c r="H333">
        <f>14*2500</f>
        <v>35000</v>
      </c>
    </row>
    <row r="334" spans="1:8" x14ac:dyDescent="0.25">
      <c r="D334" t="s">
        <v>21</v>
      </c>
      <c r="E334">
        <v>1</v>
      </c>
      <c r="F334">
        <v>15000</v>
      </c>
      <c r="G334">
        <v>11000</v>
      </c>
      <c r="H334">
        <v>4000</v>
      </c>
    </row>
    <row r="335" spans="1:8" x14ac:dyDescent="0.25">
      <c r="D335" t="s">
        <v>25</v>
      </c>
      <c r="E335">
        <v>2</v>
      </c>
      <c r="F335">
        <v>24000</v>
      </c>
      <c r="G335">
        <v>20000</v>
      </c>
      <c r="H335">
        <v>4000</v>
      </c>
    </row>
    <row r="336" spans="1:8" x14ac:dyDescent="0.25">
      <c r="C336" t="s">
        <v>16</v>
      </c>
      <c r="D336" t="s">
        <v>11</v>
      </c>
      <c r="E336">
        <v>55</v>
      </c>
      <c r="F336">
        <v>82500</v>
      </c>
      <c r="G336">
        <f>55*500</f>
        <v>27500</v>
      </c>
      <c r="H336">
        <v>55000</v>
      </c>
    </row>
    <row r="337" spans="1:8" x14ac:dyDescent="0.25">
      <c r="D337" t="s">
        <v>12</v>
      </c>
      <c r="E337">
        <v>7</v>
      </c>
      <c r="F337">
        <v>21000</v>
      </c>
      <c r="G337">
        <v>14000</v>
      </c>
      <c r="H337">
        <v>7000</v>
      </c>
    </row>
    <row r="338" spans="1:8" x14ac:dyDescent="0.25">
      <c r="D338" t="s">
        <v>13</v>
      </c>
      <c r="E338">
        <v>2</v>
      </c>
      <c r="F338">
        <v>13000</v>
      </c>
      <c r="G338">
        <v>9000</v>
      </c>
      <c r="H338">
        <v>4000</v>
      </c>
    </row>
    <row r="339" spans="1:8" x14ac:dyDescent="0.25">
      <c r="A339" s="111" t="s">
        <v>17</v>
      </c>
      <c r="B339" s="111"/>
      <c r="C339" s="111"/>
      <c r="D339" s="111"/>
      <c r="E339" s="111"/>
      <c r="F339" s="1">
        <f>SUM(F332:F338)</f>
        <v>365000</v>
      </c>
      <c r="G339" s="1">
        <f>SUM(G332:G338)</f>
        <v>226000</v>
      </c>
      <c r="H339" s="1">
        <f>SUM(H332:H338)</f>
        <v>139000</v>
      </c>
    </row>
    <row r="340" spans="1:8" x14ac:dyDescent="0.25">
      <c r="A340" t="s">
        <v>30</v>
      </c>
      <c r="B340" t="s">
        <v>128</v>
      </c>
      <c r="C340" t="s">
        <v>20</v>
      </c>
      <c r="D340" t="s">
        <v>13</v>
      </c>
      <c r="E340">
        <v>14</v>
      </c>
      <c r="F340">
        <v>91000</v>
      </c>
      <c r="G340">
        <f>14*4500</f>
        <v>63000</v>
      </c>
      <c r="H340">
        <f>14*2000</f>
        <v>28000</v>
      </c>
    </row>
    <row r="341" spans="1:8" x14ac:dyDescent="0.25">
      <c r="D341" t="s">
        <v>14</v>
      </c>
      <c r="E341">
        <v>3</v>
      </c>
      <c r="F341">
        <v>30000</v>
      </c>
      <c r="G341">
        <f>3*5500</f>
        <v>16500</v>
      </c>
      <c r="H341">
        <f>3*4500</f>
        <v>13500</v>
      </c>
    </row>
    <row r="342" spans="1:8" x14ac:dyDescent="0.25">
      <c r="C342" t="s">
        <v>10</v>
      </c>
      <c r="D342" t="s">
        <v>12</v>
      </c>
      <c r="E342">
        <v>5</v>
      </c>
      <c r="F342">
        <v>15000</v>
      </c>
      <c r="G342">
        <v>10000</v>
      </c>
      <c r="H342">
        <v>5000</v>
      </c>
    </row>
    <row r="343" spans="1:8" x14ac:dyDescent="0.25">
      <c r="D343" t="s">
        <v>13</v>
      </c>
      <c r="E343">
        <v>17</v>
      </c>
      <c r="F343">
        <v>110500</v>
      </c>
      <c r="G343">
        <f>17*4500</f>
        <v>76500</v>
      </c>
      <c r="H343">
        <f>17*2000</f>
        <v>34000</v>
      </c>
    </row>
    <row r="344" spans="1:8" x14ac:dyDescent="0.25">
      <c r="D344" t="s">
        <v>14</v>
      </c>
      <c r="E344">
        <v>2</v>
      </c>
      <c r="F344">
        <v>16000</v>
      </c>
      <c r="G344">
        <v>11000</v>
      </c>
      <c r="H344">
        <v>5000</v>
      </c>
    </row>
    <row r="345" spans="1:8" x14ac:dyDescent="0.25">
      <c r="D345" t="s">
        <v>25</v>
      </c>
      <c r="E345">
        <v>1</v>
      </c>
      <c r="F345">
        <v>12000</v>
      </c>
      <c r="G345">
        <v>10000</v>
      </c>
      <c r="H345">
        <v>2000</v>
      </c>
    </row>
    <row r="346" spans="1:8" x14ac:dyDescent="0.25">
      <c r="C346" t="s">
        <v>16</v>
      </c>
      <c r="D346" t="s">
        <v>11</v>
      </c>
      <c r="E346">
        <v>20</v>
      </c>
      <c r="F346">
        <v>30000</v>
      </c>
      <c r="G346">
        <f>20*500</f>
        <v>10000</v>
      </c>
      <c r="H346">
        <v>20000</v>
      </c>
    </row>
    <row r="347" spans="1:8" x14ac:dyDescent="0.25">
      <c r="D347" t="s">
        <v>12</v>
      </c>
      <c r="E347">
        <v>9</v>
      </c>
      <c r="F347">
        <v>27000</v>
      </c>
      <c r="G347">
        <v>18000</v>
      </c>
      <c r="H347">
        <v>9000</v>
      </c>
    </row>
    <row r="348" spans="1:8" x14ac:dyDescent="0.25">
      <c r="A348" s="111" t="s">
        <v>17</v>
      </c>
      <c r="B348" s="111"/>
      <c r="C348" s="111"/>
      <c r="D348" s="111"/>
      <c r="E348" s="111"/>
      <c r="F348" s="1">
        <f>SUM(F340:F347)</f>
        <v>331500</v>
      </c>
      <c r="G348" s="1">
        <f>SUM(G340:G347)</f>
        <v>215000</v>
      </c>
      <c r="H348" s="1">
        <f>SUM(H340:H347)</f>
        <v>116500</v>
      </c>
    </row>
    <row r="351" spans="1:8" x14ac:dyDescent="0.25">
      <c r="D351" s="113" t="s">
        <v>256</v>
      </c>
      <c r="E351" s="114"/>
      <c r="F351" s="114"/>
      <c r="G351" s="114"/>
      <c r="H351" s="115"/>
    </row>
    <row r="352" spans="1:8" x14ac:dyDescent="0.25">
      <c r="D352" s="7" t="s">
        <v>251</v>
      </c>
      <c r="E352" s="7" t="s">
        <v>252</v>
      </c>
      <c r="F352" s="7" t="s">
        <v>253</v>
      </c>
      <c r="G352" s="7" t="s">
        <v>254</v>
      </c>
      <c r="H352" s="7" t="s">
        <v>255</v>
      </c>
    </row>
    <row r="353" spans="4:8" x14ac:dyDescent="0.25">
      <c r="D353" s="27" t="s">
        <v>11</v>
      </c>
      <c r="E353" s="27">
        <v>3480</v>
      </c>
      <c r="F353" s="22">
        <f>E353*3000</f>
        <v>10440000</v>
      </c>
      <c r="G353" s="22">
        <f>E353*500</f>
        <v>1740000</v>
      </c>
      <c r="H353" s="22">
        <f>E353*1000</f>
        <v>3480000</v>
      </c>
    </row>
    <row r="354" spans="4:8" x14ac:dyDescent="0.25">
      <c r="D354" s="27" t="s">
        <v>12</v>
      </c>
      <c r="E354" s="27">
        <v>172</v>
      </c>
      <c r="F354" s="22">
        <f>E354*5000</f>
        <v>860000</v>
      </c>
      <c r="G354" s="22">
        <f>E354*2000</f>
        <v>344000</v>
      </c>
      <c r="H354" s="22">
        <f>E354*1000</f>
        <v>172000</v>
      </c>
    </row>
    <row r="355" spans="4:8" x14ac:dyDescent="0.25">
      <c r="D355" s="27" t="s">
        <v>247</v>
      </c>
      <c r="E355" s="27">
        <v>312</v>
      </c>
      <c r="F355" s="22">
        <f>E355*6500</f>
        <v>2028000</v>
      </c>
      <c r="G355" s="22">
        <f>E355*4500</f>
        <v>1404000</v>
      </c>
      <c r="H355" s="22">
        <f>E355*1500</f>
        <v>468000</v>
      </c>
    </row>
    <row r="356" spans="4:8" x14ac:dyDescent="0.25">
      <c r="D356" s="27" t="s">
        <v>248</v>
      </c>
      <c r="E356" s="27">
        <v>293</v>
      </c>
      <c r="F356" s="22">
        <f>E356*10000</f>
        <v>2930000</v>
      </c>
      <c r="G356" s="22">
        <f>E356*5500</f>
        <v>1611500</v>
      </c>
      <c r="H356" s="22">
        <f>E356*4500</f>
        <v>1318500</v>
      </c>
    </row>
    <row r="357" spans="4:8" x14ac:dyDescent="0.25">
      <c r="D357" s="27" t="s">
        <v>243</v>
      </c>
      <c r="E357" s="27">
        <v>47</v>
      </c>
      <c r="F357" s="22">
        <f>E357*15000</f>
        <v>705000</v>
      </c>
      <c r="G357" s="22">
        <f>E357*10000</f>
        <v>470000</v>
      </c>
      <c r="H357" s="22">
        <f>E357*5000</f>
        <v>235000</v>
      </c>
    </row>
    <row r="358" spans="4:8" x14ac:dyDescent="0.25">
      <c r="D358" s="27" t="s">
        <v>245</v>
      </c>
      <c r="E358" s="27">
        <v>26</v>
      </c>
      <c r="F358" s="22">
        <f>E358*18000</f>
        <v>468000</v>
      </c>
      <c r="G358" s="22">
        <f>E358*13000</f>
        <v>338000</v>
      </c>
      <c r="H358" s="22">
        <f>E358*5000</f>
        <v>130000</v>
      </c>
    </row>
    <row r="359" spans="4:8" x14ac:dyDescent="0.25">
      <c r="D359" s="27" t="s">
        <v>200</v>
      </c>
      <c r="E359" s="27"/>
      <c r="F359" s="22">
        <f>E359*18000</f>
        <v>0</v>
      </c>
      <c r="G359" s="22">
        <f>E359*13000</f>
        <v>0</v>
      </c>
      <c r="H359" s="22">
        <f>E359*5000</f>
        <v>0</v>
      </c>
    </row>
    <row r="360" spans="4:8" x14ac:dyDescent="0.25">
      <c r="D360" s="31" t="s">
        <v>249</v>
      </c>
      <c r="E360" s="32">
        <f>SUM(E353:E359)</f>
        <v>4330</v>
      </c>
      <c r="F360" s="32">
        <f>SUM(F353:F359)</f>
        <v>17431000</v>
      </c>
      <c r="G360" s="32">
        <f>SUM(G353:G359)</f>
        <v>5907500</v>
      </c>
      <c r="H360" s="32">
        <f>SUM(H353:H359)</f>
        <v>5803500</v>
      </c>
    </row>
  </sheetData>
  <mergeCells count="30">
    <mergeCell ref="A331:E331"/>
    <mergeCell ref="A348:E348"/>
    <mergeCell ref="A279:E279"/>
    <mergeCell ref="A254:E254"/>
    <mergeCell ref="A265:E265"/>
    <mergeCell ref="A288:E288"/>
    <mergeCell ref="A297:E297"/>
    <mergeCell ref="A322:E322"/>
    <mergeCell ref="A311:E311"/>
    <mergeCell ref="A14:E14"/>
    <mergeCell ref="A32:E32"/>
    <mergeCell ref="A41:E41"/>
    <mergeCell ref="A57:E57"/>
    <mergeCell ref="A64:E64"/>
    <mergeCell ref="D351:H351"/>
    <mergeCell ref="A242:E242"/>
    <mergeCell ref="A226:E226"/>
    <mergeCell ref="A80:E80"/>
    <mergeCell ref="A203:E203"/>
    <mergeCell ref="A216:E216"/>
    <mergeCell ref="A122:E122"/>
    <mergeCell ref="A110:E110"/>
    <mergeCell ref="A89:E89"/>
    <mergeCell ref="A95:E95"/>
    <mergeCell ref="A177:E177"/>
    <mergeCell ref="A188:E188"/>
    <mergeCell ref="A162:E162"/>
    <mergeCell ref="A147:E147"/>
    <mergeCell ref="A132:E132"/>
    <mergeCell ref="A339:E339"/>
  </mergeCell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21"/>
  <sheetViews>
    <sheetView topLeftCell="A400" workbookViewId="0">
      <selection activeCell="I423" sqref="I423"/>
    </sheetView>
  </sheetViews>
  <sheetFormatPr defaultRowHeight="15" x14ac:dyDescent="0.25"/>
  <cols>
    <col min="2" max="2" width="9.7109375" bestFit="1" customWidth="1"/>
    <col min="3" max="3" width="14.42578125" bestFit="1" customWidth="1"/>
    <col min="5" max="5" width="12.5703125" customWidth="1"/>
    <col min="6" max="6" width="14.28515625" customWidth="1"/>
    <col min="7" max="7" width="12.5703125" customWidth="1"/>
    <col min="8" max="8" width="15.5703125" customWidth="1"/>
    <col min="10" max="10" width="14.28515625" bestFit="1" customWidth="1"/>
    <col min="11" max="11" width="14.28515625" customWidth="1"/>
    <col min="12" max="12" width="12.140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 x14ac:dyDescent="0.25">
      <c r="A2" t="s">
        <v>32</v>
      </c>
      <c r="B2" t="s">
        <v>129</v>
      </c>
      <c r="C2" t="s">
        <v>108</v>
      </c>
      <c r="D2" t="s">
        <v>11</v>
      </c>
      <c r="E2">
        <v>45</v>
      </c>
      <c r="F2">
        <v>67500</v>
      </c>
      <c r="G2">
        <f>45*500</f>
        <v>22500</v>
      </c>
      <c r="H2">
        <v>45000</v>
      </c>
    </row>
    <row r="3" spans="1:10" x14ac:dyDescent="0.25">
      <c r="D3" t="s">
        <v>11</v>
      </c>
      <c r="E3">
        <v>45</v>
      </c>
      <c r="F3">
        <v>67500</v>
      </c>
      <c r="G3">
        <f>45*500</f>
        <v>22500</v>
      </c>
      <c r="H3">
        <v>45000</v>
      </c>
      <c r="J3" t="s">
        <v>130</v>
      </c>
    </row>
    <row r="4" spans="1:10" x14ac:dyDescent="0.25">
      <c r="C4" t="s">
        <v>106</v>
      </c>
      <c r="D4" t="s">
        <v>11</v>
      </c>
      <c r="E4">
        <v>26</v>
      </c>
      <c r="F4">
        <v>39000</v>
      </c>
      <c r="G4">
        <f>26*500</f>
        <v>13000</v>
      </c>
      <c r="H4">
        <v>26000</v>
      </c>
    </row>
    <row r="5" spans="1:10" x14ac:dyDescent="0.25">
      <c r="C5" t="s">
        <v>109</v>
      </c>
      <c r="D5" t="s">
        <v>11</v>
      </c>
      <c r="E5">
        <v>11</v>
      </c>
      <c r="F5">
        <v>16500</v>
      </c>
      <c r="G5">
        <f>11*500</f>
        <v>5500</v>
      </c>
      <c r="H5">
        <v>11000</v>
      </c>
    </row>
    <row r="6" spans="1:10" x14ac:dyDescent="0.25">
      <c r="C6" t="s">
        <v>105</v>
      </c>
      <c r="D6" t="s">
        <v>11</v>
      </c>
      <c r="E6">
        <v>43</v>
      </c>
      <c r="F6">
        <v>64500</v>
      </c>
      <c r="G6">
        <f>43*500</f>
        <v>21500</v>
      </c>
      <c r="H6">
        <v>43000</v>
      </c>
    </row>
    <row r="7" spans="1:10" x14ac:dyDescent="0.25">
      <c r="C7" t="s">
        <v>20</v>
      </c>
      <c r="D7" t="s">
        <v>13</v>
      </c>
      <c r="E7">
        <v>4</v>
      </c>
      <c r="F7">
        <v>26000</v>
      </c>
      <c r="G7">
        <f>4*4500</f>
        <v>18000</v>
      </c>
      <c r="H7">
        <v>8000</v>
      </c>
    </row>
    <row r="8" spans="1:10" x14ac:dyDescent="0.25">
      <c r="D8" t="s">
        <v>14</v>
      </c>
      <c r="E8">
        <v>5</v>
      </c>
      <c r="F8">
        <v>50000</v>
      </c>
      <c r="G8">
        <f>5*5500</f>
        <v>27500</v>
      </c>
      <c r="H8">
        <f>5*4500</f>
        <v>22500</v>
      </c>
    </row>
    <row r="9" spans="1:10" x14ac:dyDescent="0.25">
      <c r="D9" t="s">
        <v>21</v>
      </c>
      <c r="E9">
        <v>1</v>
      </c>
      <c r="F9">
        <v>15000</v>
      </c>
      <c r="G9">
        <v>11000</v>
      </c>
      <c r="H9">
        <v>4000</v>
      </c>
    </row>
    <row r="10" spans="1:10" x14ac:dyDescent="0.25">
      <c r="C10" t="s">
        <v>72</v>
      </c>
      <c r="D10" t="s">
        <v>21</v>
      </c>
      <c r="E10">
        <v>4</v>
      </c>
      <c r="F10">
        <f>4*15000</f>
        <v>60000</v>
      </c>
      <c r="G10">
        <v>44000</v>
      </c>
      <c r="H10">
        <f>F10-G10</f>
        <v>16000</v>
      </c>
    </row>
    <row r="11" spans="1:10" x14ac:dyDescent="0.25">
      <c r="A11" s="111" t="s">
        <v>17</v>
      </c>
      <c r="B11" s="111"/>
      <c r="C11" s="111"/>
      <c r="D11" s="111"/>
      <c r="E11" s="111"/>
      <c r="F11" s="1">
        <f>SUM(F2:F10)</f>
        <v>406000</v>
      </c>
      <c r="G11" s="1">
        <f>SUM(G2:G10)</f>
        <v>185500</v>
      </c>
      <c r="H11" s="1">
        <f>SUM(H2:H10)</f>
        <v>220500</v>
      </c>
    </row>
    <row r="12" spans="1:10" x14ac:dyDescent="0.25">
      <c r="A12" t="s">
        <v>8</v>
      </c>
      <c r="B12" s="3">
        <v>44595</v>
      </c>
      <c r="C12" t="s">
        <v>108</v>
      </c>
      <c r="D12" t="s">
        <v>11</v>
      </c>
      <c r="E12">
        <v>75</v>
      </c>
      <c r="F12">
        <f>75*1500</f>
        <v>112500</v>
      </c>
      <c r="G12">
        <f>75*500</f>
        <v>37500</v>
      </c>
      <c r="H12">
        <v>75000</v>
      </c>
    </row>
    <row r="13" spans="1:10" x14ac:dyDescent="0.25">
      <c r="C13" t="s">
        <v>105</v>
      </c>
      <c r="D13" t="s">
        <v>11</v>
      </c>
      <c r="E13">
        <v>49</v>
      </c>
      <c r="F13">
        <v>73500</v>
      </c>
      <c r="G13">
        <f>49*500</f>
        <v>24500</v>
      </c>
      <c r="H13">
        <v>49000</v>
      </c>
    </row>
    <row r="14" spans="1:10" x14ac:dyDescent="0.25">
      <c r="C14" t="s">
        <v>106</v>
      </c>
      <c r="D14" t="s">
        <v>11</v>
      </c>
      <c r="E14">
        <v>28</v>
      </c>
      <c r="F14">
        <v>42000</v>
      </c>
      <c r="G14">
        <f>28*500</f>
        <v>14000</v>
      </c>
      <c r="H14">
        <v>28000</v>
      </c>
    </row>
    <row r="15" spans="1:10" x14ac:dyDescent="0.25">
      <c r="C15" t="s">
        <v>109</v>
      </c>
      <c r="D15" t="s">
        <v>11</v>
      </c>
      <c r="E15">
        <v>30</v>
      </c>
      <c r="F15">
        <v>45000</v>
      </c>
      <c r="G15">
        <f>30*500</f>
        <v>15000</v>
      </c>
      <c r="H15">
        <v>30000</v>
      </c>
    </row>
    <row r="16" spans="1:10" x14ac:dyDescent="0.25">
      <c r="C16" t="s">
        <v>20</v>
      </c>
      <c r="D16" t="s">
        <v>14</v>
      </c>
      <c r="E16">
        <v>5</v>
      </c>
      <c r="F16">
        <v>50000</v>
      </c>
      <c r="G16">
        <f>5*5500</f>
        <v>27500</v>
      </c>
      <c r="H16">
        <f>5*4500</f>
        <v>22500</v>
      </c>
    </row>
    <row r="17" spans="1:15" x14ac:dyDescent="0.25">
      <c r="C17" t="s">
        <v>10</v>
      </c>
      <c r="D17" t="s">
        <v>11</v>
      </c>
      <c r="E17">
        <v>10</v>
      </c>
      <c r="F17">
        <v>15000</v>
      </c>
      <c r="G17">
        <f>10*500</f>
        <v>5000</v>
      </c>
      <c r="H17">
        <v>10000</v>
      </c>
    </row>
    <row r="18" spans="1:15" x14ac:dyDescent="0.25">
      <c r="D18" t="s">
        <v>12</v>
      </c>
      <c r="E18">
        <v>2</v>
      </c>
      <c r="F18">
        <v>6000</v>
      </c>
      <c r="G18">
        <v>4000</v>
      </c>
      <c r="H18">
        <v>2000</v>
      </c>
    </row>
    <row r="19" spans="1:15" x14ac:dyDescent="0.25">
      <c r="D19" t="s">
        <v>13</v>
      </c>
      <c r="E19">
        <v>11</v>
      </c>
      <c r="F19">
        <v>71500</v>
      </c>
      <c r="G19">
        <f>11*4500</f>
        <v>49500</v>
      </c>
      <c r="H19">
        <v>22000</v>
      </c>
    </row>
    <row r="20" spans="1:15" x14ac:dyDescent="0.25">
      <c r="D20" t="s">
        <v>14</v>
      </c>
      <c r="E20">
        <v>2</v>
      </c>
      <c r="F20">
        <v>16000</v>
      </c>
      <c r="G20">
        <v>11000</v>
      </c>
      <c r="H20">
        <v>5000</v>
      </c>
    </row>
    <row r="21" spans="1:15" x14ac:dyDescent="0.25">
      <c r="C21" t="s">
        <v>16</v>
      </c>
      <c r="D21" t="s">
        <v>11</v>
      </c>
      <c r="E21">
        <v>25</v>
      </c>
      <c r="F21">
        <v>37500</v>
      </c>
      <c r="G21">
        <f>25*500</f>
        <v>12500</v>
      </c>
      <c r="H21">
        <v>25000</v>
      </c>
    </row>
    <row r="22" spans="1:15" x14ac:dyDescent="0.25">
      <c r="D22" t="s">
        <v>12</v>
      </c>
      <c r="E22">
        <v>10</v>
      </c>
      <c r="F22">
        <v>30000</v>
      </c>
      <c r="G22">
        <v>20000</v>
      </c>
      <c r="H22">
        <v>10000</v>
      </c>
    </row>
    <row r="23" spans="1:15" x14ac:dyDescent="0.25">
      <c r="D23" t="s">
        <v>13</v>
      </c>
      <c r="E23">
        <v>1</v>
      </c>
      <c r="F23">
        <v>6500</v>
      </c>
      <c r="G23">
        <v>4500</v>
      </c>
      <c r="H23">
        <v>2000</v>
      </c>
    </row>
    <row r="24" spans="1:15" x14ac:dyDescent="0.25">
      <c r="D24" t="s">
        <v>14</v>
      </c>
      <c r="E24">
        <v>1</v>
      </c>
      <c r="F24">
        <v>10000</v>
      </c>
      <c r="G24">
        <v>5500</v>
      </c>
      <c r="H24">
        <v>4500</v>
      </c>
    </row>
    <row r="25" spans="1:15" x14ac:dyDescent="0.25">
      <c r="A25" s="111" t="s">
        <v>17</v>
      </c>
      <c r="B25" s="111"/>
      <c r="C25" s="111"/>
      <c r="D25" s="111"/>
      <c r="E25" s="111"/>
      <c r="F25" s="1">
        <f>SUM(F12:F24)</f>
        <v>515500</v>
      </c>
      <c r="G25" s="1">
        <f>SUM(G12:G24)</f>
        <v>230500</v>
      </c>
      <c r="H25" s="1">
        <f>SUM(H12:H24)</f>
        <v>285000</v>
      </c>
    </row>
    <row r="26" spans="1:15" x14ac:dyDescent="0.25">
      <c r="B26" s="3"/>
      <c r="C26" t="s">
        <v>10</v>
      </c>
      <c r="D26" t="s">
        <v>11</v>
      </c>
      <c r="E26">
        <v>20</v>
      </c>
      <c r="F26">
        <v>30000</v>
      </c>
      <c r="G26">
        <f>20*500</f>
        <v>10000</v>
      </c>
      <c r="H26">
        <v>20000</v>
      </c>
    </row>
    <row r="27" spans="1:15" x14ac:dyDescent="0.25">
      <c r="D27" t="s">
        <v>12</v>
      </c>
      <c r="E27">
        <v>6</v>
      </c>
      <c r="F27">
        <v>18000</v>
      </c>
      <c r="G27">
        <v>12000</v>
      </c>
      <c r="H27">
        <v>6000</v>
      </c>
      <c r="K27" s="111" t="s">
        <v>17</v>
      </c>
      <c r="L27" s="111"/>
      <c r="M27" s="111"/>
      <c r="N27" s="111"/>
      <c r="O27" s="111"/>
    </row>
    <row r="28" spans="1:15" x14ac:dyDescent="0.25">
      <c r="D28" t="s">
        <v>13</v>
      </c>
      <c r="E28">
        <v>6</v>
      </c>
      <c r="F28">
        <v>39000</v>
      </c>
      <c r="G28">
        <f>6*4500</f>
        <v>27000</v>
      </c>
      <c r="H28">
        <f>6*2000</f>
        <v>12000</v>
      </c>
    </row>
    <row r="29" spans="1:15" x14ac:dyDescent="0.25">
      <c r="D29" t="s">
        <v>14</v>
      </c>
      <c r="E29">
        <v>2</v>
      </c>
      <c r="F29">
        <v>16000</v>
      </c>
      <c r="G29">
        <v>11000</v>
      </c>
      <c r="H29">
        <v>5000</v>
      </c>
    </row>
    <row r="30" spans="1:15" x14ac:dyDescent="0.25">
      <c r="C30" t="s">
        <v>16</v>
      </c>
      <c r="D30" t="s">
        <v>11</v>
      </c>
      <c r="E30">
        <v>33</v>
      </c>
      <c r="F30">
        <v>49500</v>
      </c>
      <c r="G30">
        <f>33*500</f>
        <v>16500</v>
      </c>
      <c r="H30">
        <v>33000</v>
      </c>
    </row>
    <row r="31" spans="1:15" x14ac:dyDescent="0.25">
      <c r="D31" t="s">
        <v>13</v>
      </c>
      <c r="E31">
        <v>1</v>
      </c>
      <c r="F31">
        <v>6500</v>
      </c>
      <c r="G31">
        <v>4500</v>
      </c>
      <c r="H31">
        <v>2000</v>
      </c>
    </row>
    <row r="32" spans="1:15" x14ac:dyDescent="0.25">
      <c r="A32" s="111" t="s">
        <v>17</v>
      </c>
      <c r="B32" s="111"/>
      <c r="C32" s="111"/>
      <c r="D32" s="111"/>
      <c r="E32" s="111"/>
      <c r="F32" s="1">
        <f>SUM(F26:F31)</f>
        <v>159000</v>
      </c>
      <c r="G32" s="1">
        <f>SUM(G26:G31)</f>
        <v>81000</v>
      </c>
      <c r="H32" s="1">
        <f>SUM(H26:H31)</f>
        <v>78000</v>
      </c>
    </row>
    <row r="33" spans="1:8" x14ac:dyDescent="0.25">
      <c r="A33" t="s">
        <v>18</v>
      </c>
      <c r="B33" s="3">
        <v>44623</v>
      </c>
      <c r="C33" t="s">
        <v>20</v>
      </c>
      <c r="D33" t="s">
        <v>14</v>
      </c>
      <c r="E33">
        <v>9</v>
      </c>
      <c r="F33">
        <v>90000</v>
      </c>
      <c r="G33">
        <f>9*5500</f>
        <v>49500</v>
      </c>
      <c r="H33">
        <f>9*4500</f>
        <v>40500</v>
      </c>
    </row>
    <row r="34" spans="1:8" x14ac:dyDescent="0.25">
      <c r="C34" t="s">
        <v>16</v>
      </c>
      <c r="D34" t="s">
        <v>11</v>
      </c>
      <c r="E34">
        <v>19</v>
      </c>
      <c r="F34">
        <v>28500</v>
      </c>
      <c r="G34">
        <f>19*500</f>
        <v>9500</v>
      </c>
      <c r="H34">
        <v>19000</v>
      </c>
    </row>
    <row r="35" spans="1:8" x14ac:dyDescent="0.25">
      <c r="D35" t="s">
        <v>12</v>
      </c>
      <c r="E35">
        <v>2</v>
      </c>
      <c r="F35">
        <v>6000</v>
      </c>
      <c r="G35">
        <v>4000</v>
      </c>
      <c r="H35">
        <v>2000</v>
      </c>
    </row>
    <row r="36" spans="1:8" x14ac:dyDescent="0.25">
      <c r="D36" t="s">
        <v>14</v>
      </c>
      <c r="E36">
        <v>1</v>
      </c>
      <c r="F36">
        <v>10000</v>
      </c>
      <c r="G36">
        <v>5500</v>
      </c>
      <c r="H36">
        <v>4500</v>
      </c>
    </row>
    <row r="37" spans="1:8" x14ac:dyDescent="0.25">
      <c r="D37" t="s">
        <v>21</v>
      </c>
      <c r="E37">
        <v>1</v>
      </c>
      <c r="F37">
        <v>15000</v>
      </c>
      <c r="G37">
        <v>11000</v>
      </c>
      <c r="H37">
        <v>4000</v>
      </c>
    </row>
    <row r="38" spans="1:8" x14ac:dyDescent="0.25">
      <c r="C38" t="s">
        <v>10</v>
      </c>
      <c r="D38" t="s">
        <v>11</v>
      </c>
      <c r="E38">
        <v>3</v>
      </c>
      <c r="F38">
        <v>4500</v>
      </c>
      <c r="G38">
        <v>1500</v>
      </c>
      <c r="H38">
        <v>3000</v>
      </c>
    </row>
    <row r="39" spans="1:8" x14ac:dyDescent="0.25">
      <c r="D39" t="s">
        <v>12</v>
      </c>
      <c r="E39">
        <v>2</v>
      </c>
      <c r="F39">
        <v>6000</v>
      </c>
      <c r="G39">
        <v>4000</v>
      </c>
      <c r="H39">
        <v>2000</v>
      </c>
    </row>
    <row r="40" spans="1:8" x14ac:dyDescent="0.25">
      <c r="D40" t="s">
        <v>13</v>
      </c>
      <c r="E40">
        <v>5</v>
      </c>
      <c r="F40">
        <v>32500</v>
      </c>
      <c r="G40">
        <f>5*4500</f>
        <v>22500</v>
      </c>
      <c r="H40">
        <v>10000</v>
      </c>
    </row>
    <row r="41" spans="1:8" x14ac:dyDescent="0.25">
      <c r="D41" t="s">
        <v>14</v>
      </c>
      <c r="E41">
        <v>1</v>
      </c>
      <c r="F41">
        <v>10000</v>
      </c>
      <c r="G41">
        <v>5500</v>
      </c>
      <c r="H41">
        <v>4500</v>
      </c>
    </row>
    <row r="42" spans="1:8" x14ac:dyDescent="0.25">
      <c r="A42" s="111" t="s">
        <v>17</v>
      </c>
      <c r="B42" s="111"/>
      <c r="C42" s="111"/>
      <c r="D42" s="111"/>
      <c r="E42" s="111"/>
      <c r="F42" s="1">
        <f>SUM(F33:F41)</f>
        <v>202500</v>
      </c>
      <c r="G42" s="1">
        <f>SUM(G33:G41)</f>
        <v>113000</v>
      </c>
      <c r="H42" s="1">
        <f>SUM(H33:H41)</f>
        <v>89500</v>
      </c>
    </row>
    <row r="43" spans="1:8" x14ac:dyDescent="0.25">
      <c r="A43" t="s">
        <v>22</v>
      </c>
      <c r="B43" s="3">
        <v>44654</v>
      </c>
      <c r="C43" t="s">
        <v>20</v>
      </c>
      <c r="D43" t="s">
        <v>21</v>
      </c>
      <c r="E43">
        <v>1</v>
      </c>
      <c r="F43">
        <v>15000</v>
      </c>
      <c r="G43">
        <v>11000</v>
      </c>
      <c r="H43">
        <v>40000</v>
      </c>
    </row>
    <row r="44" spans="1:8" x14ac:dyDescent="0.25">
      <c r="C44" t="s">
        <v>108</v>
      </c>
      <c r="D44" t="s">
        <v>11</v>
      </c>
      <c r="E44">
        <v>60</v>
      </c>
      <c r="F44">
        <v>90000</v>
      </c>
      <c r="G44">
        <f>60*500</f>
        <v>30000</v>
      </c>
      <c r="H44">
        <v>60000</v>
      </c>
    </row>
    <row r="45" spans="1:8" x14ac:dyDescent="0.25">
      <c r="C45" t="s">
        <v>106</v>
      </c>
      <c r="D45" t="s">
        <v>11</v>
      </c>
      <c r="E45">
        <v>18</v>
      </c>
      <c r="F45">
        <v>27000</v>
      </c>
      <c r="G45">
        <f>18*500</f>
        <v>9000</v>
      </c>
      <c r="H45">
        <v>18000</v>
      </c>
    </row>
    <row r="46" spans="1:8" x14ac:dyDescent="0.25">
      <c r="C46" t="s">
        <v>16</v>
      </c>
      <c r="D46" t="s">
        <v>11</v>
      </c>
      <c r="E46">
        <v>35</v>
      </c>
      <c r="F46">
        <v>52500</v>
      </c>
      <c r="G46">
        <f>35*500</f>
        <v>17500</v>
      </c>
      <c r="H46">
        <v>35000</v>
      </c>
    </row>
    <row r="47" spans="1:8" x14ac:dyDescent="0.25">
      <c r="D47" t="s">
        <v>14</v>
      </c>
      <c r="E47">
        <v>1</v>
      </c>
      <c r="F47">
        <v>10000</v>
      </c>
      <c r="G47">
        <v>5500</v>
      </c>
      <c r="H47">
        <v>4500</v>
      </c>
    </row>
    <row r="48" spans="1:8" x14ac:dyDescent="0.25">
      <c r="C48" t="s">
        <v>10</v>
      </c>
      <c r="D48" t="s">
        <v>11</v>
      </c>
      <c r="E48">
        <v>15</v>
      </c>
      <c r="F48">
        <v>22500</v>
      </c>
      <c r="G48">
        <f>15*500</f>
        <v>7500</v>
      </c>
      <c r="H48">
        <v>15000</v>
      </c>
    </row>
    <row r="49" spans="1:8" x14ac:dyDescent="0.25">
      <c r="D49" t="s">
        <v>12</v>
      </c>
      <c r="E49">
        <v>1</v>
      </c>
      <c r="F49">
        <v>3000</v>
      </c>
      <c r="G49">
        <v>2000</v>
      </c>
      <c r="H49">
        <v>1000</v>
      </c>
    </row>
    <row r="50" spans="1:8" x14ac:dyDescent="0.25">
      <c r="D50" t="s">
        <v>13</v>
      </c>
      <c r="E50">
        <v>4</v>
      </c>
      <c r="F50">
        <v>26000</v>
      </c>
      <c r="G50">
        <v>18000</v>
      </c>
      <c r="H50">
        <v>8000</v>
      </c>
    </row>
    <row r="51" spans="1:8" x14ac:dyDescent="0.25">
      <c r="D51" t="s">
        <v>14</v>
      </c>
      <c r="E51">
        <v>6</v>
      </c>
      <c r="F51">
        <v>48000</v>
      </c>
      <c r="G51">
        <f>6*5500</f>
        <v>33000</v>
      </c>
      <c r="H51">
        <f>6*2500</f>
        <v>15000</v>
      </c>
    </row>
    <row r="52" spans="1:8" x14ac:dyDescent="0.25">
      <c r="A52" s="111" t="s">
        <v>17</v>
      </c>
      <c r="B52" s="111"/>
      <c r="C52" s="111"/>
      <c r="D52" s="111"/>
      <c r="E52" s="111"/>
      <c r="F52" s="1">
        <f>SUM(F43:F51)</f>
        <v>294000</v>
      </c>
      <c r="G52" s="1">
        <f>SUM(G43:G51)</f>
        <v>133500</v>
      </c>
      <c r="H52" s="1">
        <f>SUM(H43:H51)</f>
        <v>196500</v>
      </c>
    </row>
    <row r="53" spans="1:8" x14ac:dyDescent="0.25">
      <c r="A53" t="s">
        <v>26</v>
      </c>
      <c r="B53" s="3">
        <v>44684</v>
      </c>
      <c r="C53" t="s">
        <v>108</v>
      </c>
      <c r="D53" t="s">
        <v>11</v>
      </c>
      <c r="E53">
        <v>46</v>
      </c>
      <c r="F53">
        <v>69000</v>
      </c>
      <c r="G53">
        <f>46*500</f>
        <v>23000</v>
      </c>
      <c r="H53">
        <v>46000</v>
      </c>
    </row>
    <row r="54" spans="1:8" x14ac:dyDescent="0.25">
      <c r="C54" t="s">
        <v>106</v>
      </c>
      <c r="D54" t="s">
        <v>11</v>
      </c>
      <c r="E54">
        <v>24</v>
      </c>
      <c r="F54">
        <v>36000</v>
      </c>
      <c r="G54">
        <f>24*500</f>
        <v>12000</v>
      </c>
      <c r="H54">
        <v>24000</v>
      </c>
    </row>
    <row r="55" spans="1:8" x14ac:dyDescent="0.25">
      <c r="C55" t="s">
        <v>131</v>
      </c>
      <c r="D55" t="s">
        <v>11</v>
      </c>
      <c r="E55">
        <v>25</v>
      </c>
      <c r="F55">
        <v>37500</v>
      </c>
      <c r="G55">
        <f>25*500</f>
        <v>12500</v>
      </c>
      <c r="H55">
        <v>25000</v>
      </c>
    </row>
    <row r="56" spans="1:8" x14ac:dyDescent="0.25">
      <c r="C56" t="s">
        <v>20</v>
      </c>
      <c r="D56" t="s">
        <v>14</v>
      </c>
      <c r="E56">
        <v>8</v>
      </c>
      <c r="F56">
        <v>80000</v>
      </c>
      <c r="G56">
        <f>8*5500</f>
        <v>44000</v>
      </c>
      <c r="H56">
        <f>8*4500</f>
        <v>36000</v>
      </c>
    </row>
    <row r="57" spans="1:8" x14ac:dyDescent="0.25">
      <c r="D57" t="s">
        <v>13</v>
      </c>
      <c r="E57">
        <v>4</v>
      </c>
      <c r="F57">
        <v>26000</v>
      </c>
      <c r="G57">
        <f>4*4500</f>
        <v>18000</v>
      </c>
      <c r="H57">
        <v>8000</v>
      </c>
    </row>
    <row r="58" spans="1:8" x14ac:dyDescent="0.25">
      <c r="C58" t="s">
        <v>132</v>
      </c>
      <c r="D58" t="s">
        <v>13</v>
      </c>
      <c r="E58">
        <v>10</v>
      </c>
      <c r="F58">
        <v>65000</v>
      </c>
      <c r="G58">
        <f>10*4500</f>
        <v>45000</v>
      </c>
      <c r="H58">
        <v>20000</v>
      </c>
    </row>
    <row r="59" spans="1:8" x14ac:dyDescent="0.25">
      <c r="C59" t="s">
        <v>20</v>
      </c>
      <c r="D59" t="s">
        <v>13</v>
      </c>
      <c r="E59">
        <v>10</v>
      </c>
      <c r="F59">
        <v>65000</v>
      </c>
      <c r="G59">
        <f>10*4500</f>
        <v>45000</v>
      </c>
      <c r="H59">
        <v>20000</v>
      </c>
    </row>
    <row r="60" spans="1:8" x14ac:dyDescent="0.25">
      <c r="D60" t="s">
        <v>14</v>
      </c>
      <c r="E60">
        <v>18</v>
      </c>
      <c r="F60">
        <v>180000</v>
      </c>
      <c r="G60">
        <f>18*5500</f>
        <v>99000</v>
      </c>
      <c r="H60">
        <f>18*4500</f>
        <v>81000</v>
      </c>
    </row>
    <row r="61" spans="1:8" x14ac:dyDescent="0.25">
      <c r="C61" t="s">
        <v>10</v>
      </c>
      <c r="D61" t="s">
        <v>11</v>
      </c>
      <c r="E61">
        <v>6</v>
      </c>
      <c r="F61">
        <v>9000</v>
      </c>
      <c r="G61">
        <f>6*500</f>
        <v>3000</v>
      </c>
      <c r="H61">
        <v>6000</v>
      </c>
    </row>
    <row r="62" spans="1:8" x14ac:dyDescent="0.25">
      <c r="D62" t="s">
        <v>12</v>
      </c>
      <c r="E62">
        <v>7</v>
      </c>
      <c r="F62">
        <v>21000</v>
      </c>
      <c r="G62">
        <v>14000</v>
      </c>
      <c r="H62">
        <v>7000</v>
      </c>
    </row>
    <row r="63" spans="1:8" x14ac:dyDescent="0.25">
      <c r="D63" t="s">
        <v>13</v>
      </c>
      <c r="E63">
        <v>19</v>
      </c>
      <c r="F63">
        <v>123500</v>
      </c>
      <c r="G63">
        <f>19*4500</f>
        <v>85500</v>
      </c>
      <c r="H63">
        <f>19*2000</f>
        <v>38000</v>
      </c>
    </row>
    <row r="64" spans="1:8" x14ac:dyDescent="0.25">
      <c r="D64" t="s">
        <v>14</v>
      </c>
      <c r="E64">
        <v>18</v>
      </c>
      <c r="F64">
        <v>144000</v>
      </c>
      <c r="G64">
        <f>18*5500</f>
        <v>99000</v>
      </c>
      <c r="H64">
        <f>18*2500</f>
        <v>45000</v>
      </c>
    </row>
    <row r="65" spans="1:8" x14ac:dyDescent="0.25">
      <c r="A65" s="111" t="s">
        <v>17</v>
      </c>
      <c r="B65" s="111"/>
      <c r="C65" s="111"/>
      <c r="D65" s="111"/>
      <c r="E65" s="111"/>
      <c r="F65" s="1">
        <f>SUM(F53:F64)</f>
        <v>856000</v>
      </c>
      <c r="G65" s="1">
        <f>SUM(G53:G64)</f>
        <v>500000</v>
      </c>
      <c r="H65" s="1">
        <f>SUM(H53:H64)</f>
        <v>356000</v>
      </c>
    </row>
    <row r="66" spans="1:8" x14ac:dyDescent="0.25">
      <c r="A66" t="s">
        <v>28</v>
      </c>
      <c r="B66" s="3">
        <v>44715</v>
      </c>
      <c r="C66" t="s">
        <v>20</v>
      </c>
      <c r="D66" t="s">
        <v>13</v>
      </c>
      <c r="E66">
        <v>35</v>
      </c>
      <c r="F66">
        <v>227500</v>
      </c>
      <c r="G66">
        <f>35*4500</f>
        <v>157500</v>
      </c>
      <c r="H66">
        <f>35*2000</f>
        <v>70000</v>
      </c>
    </row>
    <row r="67" spans="1:8" x14ac:dyDescent="0.25">
      <c r="D67" t="s">
        <v>14</v>
      </c>
      <c r="E67">
        <v>50</v>
      </c>
      <c r="F67">
        <v>500000</v>
      </c>
      <c r="G67">
        <f>50*5500</f>
        <v>275000</v>
      </c>
      <c r="H67">
        <f>50*4500</f>
        <v>225000</v>
      </c>
    </row>
    <row r="68" spans="1:8" x14ac:dyDescent="0.25">
      <c r="C68" t="s">
        <v>10</v>
      </c>
      <c r="D68" t="s">
        <v>13</v>
      </c>
      <c r="E68">
        <v>14</v>
      </c>
      <c r="F68">
        <v>91000</v>
      </c>
      <c r="G68">
        <f>14*4500</f>
        <v>63000</v>
      </c>
      <c r="H68">
        <f>14*2000</f>
        <v>28000</v>
      </c>
    </row>
    <row r="69" spans="1:8" x14ac:dyDescent="0.25">
      <c r="D69" t="s">
        <v>14</v>
      </c>
      <c r="E69">
        <v>7</v>
      </c>
      <c r="F69">
        <v>56000</v>
      </c>
      <c r="G69">
        <f>7*5500</f>
        <v>38500</v>
      </c>
      <c r="H69">
        <f>7*2500</f>
        <v>17500</v>
      </c>
    </row>
    <row r="70" spans="1:8" x14ac:dyDescent="0.25">
      <c r="C70" t="s">
        <v>15</v>
      </c>
      <c r="D70" t="s">
        <v>13</v>
      </c>
      <c r="E70">
        <v>8</v>
      </c>
      <c r="F70">
        <v>52000</v>
      </c>
      <c r="G70">
        <f>8*4500</f>
        <v>36000</v>
      </c>
      <c r="H70">
        <v>16000</v>
      </c>
    </row>
    <row r="71" spans="1:8" x14ac:dyDescent="0.25">
      <c r="D71" t="s">
        <v>14</v>
      </c>
      <c r="E71">
        <v>6</v>
      </c>
      <c r="F71">
        <v>48000</v>
      </c>
      <c r="G71">
        <f>6*5500</f>
        <v>33000</v>
      </c>
      <c r="H71">
        <f>6*2500</f>
        <v>15000</v>
      </c>
    </row>
    <row r="72" spans="1:8" x14ac:dyDescent="0.25">
      <c r="D72" t="s">
        <v>14</v>
      </c>
      <c r="E72">
        <v>2</v>
      </c>
      <c r="F72">
        <v>20000</v>
      </c>
      <c r="G72">
        <v>11000</v>
      </c>
      <c r="H72">
        <v>9000</v>
      </c>
    </row>
    <row r="73" spans="1:8" x14ac:dyDescent="0.25">
      <c r="C73" t="s">
        <v>63</v>
      </c>
      <c r="D73" t="s">
        <v>11</v>
      </c>
      <c r="E73">
        <v>3</v>
      </c>
      <c r="F73">
        <v>4500</v>
      </c>
      <c r="G73">
        <v>1500</v>
      </c>
      <c r="H73">
        <v>3000</v>
      </c>
    </row>
    <row r="74" spans="1:8" x14ac:dyDescent="0.25">
      <c r="D74" t="s">
        <v>21</v>
      </c>
      <c r="E74">
        <v>2</v>
      </c>
      <c r="F74">
        <v>30000</v>
      </c>
      <c r="G74">
        <v>22000</v>
      </c>
      <c r="H74">
        <v>8000</v>
      </c>
    </row>
    <row r="75" spans="1:8" x14ac:dyDescent="0.25">
      <c r="C75" t="s">
        <v>10</v>
      </c>
      <c r="D75" t="s">
        <v>13</v>
      </c>
      <c r="E75">
        <v>3</v>
      </c>
      <c r="F75">
        <v>19500</v>
      </c>
      <c r="G75">
        <f>3*4500</f>
        <v>13500</v>
      </c>
      <c r="H75">
        <v>6000</v>
      </c>
    </row>
    <row r="76" spans="1:8" x14ac:dyDescent="0.25">
      <c r="D76" t="s">
        <v>14</v>
      </c>
      <c r="E76">
        <v>3</v>
      </c>
      <c r="F76">
        <v>24000</v>
      </c>
      <c r="G76">
        <f>3*5500</f>
        <v>16500</v>
      </c>
      <c r="H76">
        <f>3*2500</f>
        <v>7500</v>
      </c>
    </row>
    <row r="77" spans="1:8" x14ac:dyDescent="0.25">
      <c r="C77" t="s">
        <v>16</v>
      </c>
      <c r="D77" t="s">
        <v>11</v>
      </c>
      <c r="E77">
        <v>68</v>
      </c>
      <c r="F77">
        <v>102000</v>
      </c>
      <c r="G77">
        <f>68*500</f>
        <v>34000</v>
      </c>
      <c r="H77">
        <v>68000</v>
      </c>
    </row>
    <row r="78" spans="1:8" x14ac:dyDescent="0.25">
      <c r="D78" t="s">
        <v>12</v>
      </c>
      <c r="E78">
        <v>9</v>
      </c>
      <c r="F78">
        <v>27000</v>
      </c>
      <c r="G78">
        <v>18000</v>
      </c>
      <c r="H78">
        <v>9000</v>
      </c>
    </row>
    <row r="79" spans="1:8" x14ac:dyDescent="0.25">
      <c r="D79" t="s">
        <v>14</v>
      </c>
      <c r="E79">
        <v>1</v>
      </c>
      <c r="F79">
        <v>10000</v>
      </c>
      <c r="G79">
        <v>5500</v>
      </c>
      <c r="H79">
        <v>4500</v>
      </c>
    </row>
    <row r="80" spans="1:8" x14ac:dyDescent="0.25">
      <c r="D80" t="s">
        <v>21</v>
      </c>
      <c r="E80">
        <v>1</v>
      </c>
      <c r="F80">
        <v>15000</v>
      </c>
      <c r="G80">
        <v>11000</v>
      </c>
      <c r="H80">
        <v>4000</v>
      </c>
    </row>
    <row r="81" spans="1:8" x14ac:dyDescent="0.25">
      <c r="A81" s="111" t="s">
        <v>17</v>
      </c>
      <c r="B81" s="111"/>
      <c r="C81" s="111"/>
      <c r="D81" s="111"/>
      <c r="E81" s="111"/>
      <c r="F81" s="1">
        <f>SUM(F66:F80)</f>
        <v>1226500</v>
      </c>
      <c r="G81" s="1">
        <f>SUM(G66:G80)</f>
        <v>736000</v>
      </c>
      <c r="H81" s="1">
        <f>SUM(H66:H80)</f>
        <v>490500</v>
      </c>
    </row>
    <row r="82" spans="1:8" x14ac:dyDescent="0.25">
      <c r="A82" t="s">
        <v>30</v>
      </c>
      <c r="B82" s="3">
        <v>44745</v>
      </c>
      <c r="C82" t="s">
        <v>108</v>
      </c>
      <c r="D82" t="s">
        <v>11</v>
      </c>
      <c r="E82">
        <v>60</v>
      </c>
      <c r="F82">
        <v>90000</v>
      </c>
      <c r="G82">
        <f>60*500</f>
        <v>30000</v>
      </c>
      <c r="H82">
        <v>60000</v>
      </c>
    </row>
    <row r="83" spans="1:8" x14ac:dyDescent="0.25">
      <c r="C83" t="s">
        <v>105</v>
      </c>
      <c r="D83" t="s">
        <v>11</v>
      </c>
      <c r="E83">
        <v>50</v>
      </c>
      <c r="F83">
        <v>75000</v>
      </c>
      <c r="G83">
        <f>50*500</f>
        <v>25000</v>
      </c>
      <c r="H83">
        <v>50000</v>
      </c>
    </row>
    <row r="84" spans="1:8" x14ac:dyDescent="0.25">
      <c r="C84" t="s">
        <v>109</v>
      </c>
      <c r="D84" t="s">
        <v>11</v>
      </c>
      <c r="E84">
        <v>15</v>
      </c>
      <c r="F84">
        <v>22500</v>
      </c>
      <c r="G84">
        <f>15*500</f>
        <v>7500</v>
      </c>
      <c r="H84">
        <v>15000</v>
      </c>
    </row>
    <row r="85" spans="1:8" x14ac:dyDescent="0.25">
      <c r="C85" t="s">
        <v>133</v>
      </c>
      <c r="D85" t="s">
        <v>11</v>
      </c>
      <c r="E85">
        <v>40</v>
      </c>
      <c r="F85">
        <v>60000</v>
      </c>
      <c r="G85">
        <f>40*500</f>
        <v>20000</v>
      </c>
      <c r="H85">
        <v>40000</v>
      </c>
    </row>
    <row r="86" spans="1:8" x14ac:dyDescent="0.25">
      <c r="C86" t="s">
        <v>106</v>
      </c>
      <c r="D86" t="s">
        <v>11</v>
      </c>
      <c r="E86">
        <v>24</v>
      </c>
      <c r="F86">
        <v>36000</v>
      </c>
      <c r="G86">
        <f>24*500</f>
        <v>12000</v>
      </c>
      <c r="H86">
        <v>24000</v>
      </c>
    </row>
    <row r="87" spans="1:8" x14ac:dyDescent="0.25">
      <c r="C87" t="s">
        <v>16</v>
      </c>
      <c r="D87" t="s">
        <v>11</v>
      </c>
      <c r="E87">
        <v>8</v>
      </c>
      <c r="F87">
        <v>12000</v>
      </c>
      <c r="G87">
        <f>8*500</f>
        <v>4000</v>
      </c>
      <c r="H87">
        <v>8000</v>
      </c>
    </row>
    <row r="88" spans="1:8" x14ac:dyDescent="0.25">
      <c r="D88" t="s">
        <v>12</v>
      </c>
      <c r="E88">
        <v>4</v>
      </c>
      <c r="F88">
        <v>12000</v>
      </c>
      <c r="G88">
        <v>8000</v>
      </c>
      <c r="H88">
        <v>4000</v>
      </c>
    </row>
    <row r="89" spans="1:8" x14ac:dyDescent="0.25">
      <c r="D89" t="s">
        <v>13</v>
      </c>
      <c r="E89">
        <v>1</v>
      </c>
      <c r="F89">
        <v>6500</v>
      </c>
      <c r="G89">
        <v>4500</v>
      </c>
      <c r="H89">
        <v>2000</v>
      </c>
    </row>
    <row r="90" spans="1:8" x14ac:dyDescent="0.25">
      <c r="A90" s="111" t="s">
        <v>17</v>
      </c>
      <c r="B90" s="111"/>
      <c r="C90" s="111"/>
      <c r="D90" s="111"/>
      <c r="E90" s="111"/>
      <c r="F90" s="1">
        <f>SUM(F82:F89)</f>
        <v>314000</v>
      </c>
      <c r="G90" s="1">
        <f>SUM(G82:G89)</f>
        <v>111000</v>
      </c>
      <c r="H90" s="1">
        <f>SUM(H82:H89)</f>
        <v>203000</v>
      </c>
    </row>
    <row r="91" spans="1:8" x14ac:dyDescent="0.25">
      <c r="A91" t="s">
        <v>32</v>
      </c>
      <c r="B91" s="3">
        <v>44776</v>
      </c>
      <c r="C91" t="s">
        <v>108</v>
      </c>
      <c r="D91" t="s">
        <v>11</v>
      </c>
      <c r="E91">
        <v>60</v>
      </c>
      <c r="F91">
        <v>90000</v>
      </c>
      <c r="G91">
        <f>60*500</f>
        <v>30000</v>
      </c>
      <c r="H91">
        <v>60000</v>
      </c>
    </row>
    <row r="92" spans="1:8" x14ac:dyDescent="0.25">
      <c r="C92" t="s">
        <v>105</v>
      </c>
      <c r="D92" t="s">
        <v>11</v>
      </c>
      <c r="E92">
        <v>33</v>
      </c>
      <c r="F92">
        <v>49500</v>
      </c>
      <c r="G92">
        <f>33*500</f>
        <v>16500</v>
      </c>
      <c r="H92">
        <v>33000</v>
      </c>
    </row>
    <row r="93" spans="1:8" x14ac:dyDescent="0.25">
      <c r="C93" t="s">
        <v>106</v>
      </c>
      <c r="D93" t="s">
        <v>11</v>
      </c>
      <c r="E93">
        <v>25</v>
      </c>
      <c r="F93">
        <v>37500</v>
      </c>
      <c r="G93">
        <f>25*500</f>
        <v>12500</v>
      </c>
      <c r="H93">
        <v>25000</v>
      </c>
    </row>
    <row r="94" spans="1:8" x14ac:dyDescent="0.25">
      <c r="C94" t="s">
        <v>133</v>
      </c>
      <c r="D94" t="s">
        <v>11</v>
      </c>
      <c r="E94">
        <v>55</v>
      </c>
      <c r="F94">
        <v>82500</v>
      </c>
      <c r="G94">
        <f>55*500</f>
        <v>27500</v>
      </c>
      <c r="H94">
        <v>55000</v>
      </c>
    </row>
    <row r="95" spans="1:8" x14ac:dyDescent="0.25">
      <c r="D95" t="s">
        <v>11</v>
      </c>
      <c r="E95">
        <v>50</v>
      </c>
      <c r="F95">
        <v>75000</v>
      </c>
      <c r="G95">
        <f>50*500</f>
        <v>25000</v>
      </c>
      <c r="H95">
        <v>50000</v>
      </c>
    </row>
    <row r="96" spans="1:8" x14ac:dyDescent="0.25">
      <c r="C96" t="s">
        <v>10</v>
      </c>
      <c r="D96" t="s">
        <v>11</v>
      </c>
      <c r="E96">
        <v>25</v>
      </c>
      <c r="F96">
        <v>37500</v>
      </c>
      <c r="G96">
        <f>25*500</f>
        <v>12500</v>
      </c>
      <c r="H96">
        <v>25000</v>
      </c>
    </row>
    <row r="97" spans="1:8" x14ac:dyDescent="0.25">
      <c r="D97" t="s">
        <v>12</v>
      </c>
      <c r="E97">
        <v>2</v>
      </c>
      <c r="F97">
        <v>6000</v>
      </c>
      <c r="G97">
        <v>4000</v>
      </c>
      <c r="H97">
        <v>2000</v>
      </c>
    </row>
    <row r="98" spans="1:8" x14ac:dyDescent="0.25">
      <c r="C98" t="s">
        <v>16</v>
      </c>
      <c r="D98" t="s">
        <v>11</v>
      </c>
      <c r="E98">
        <v>33</v>
      </c>
      <c r="F98">
        <v>49500</v>
      </c>
      <c r="G98">
        <f>33*500</f>
        <v>16500</v>
      </c>
      <c r="H98">
        <v>33000</v>
      </c>
    </row>
    <row r="99" spans="1:8" x14ac:dyDescent="0.25">
      <c r="D99" t="s">
        <v>12</v>
      </c>
      <c r="E99">
        <v>3</v>
      </c>
      <c r="F99">
        <v>9000</v>
      </c>
      <c r="G99">
        <v>6000</v>
      </c>
      <c r="H99">
        <v>3000</v>
      </c>
    </row>
    <row r="100" spans="1:8" x14ac:dyDescent="0.25">
      <c r="C100" t="s">
        <v>10</v>
      </c>
      <c r="D100" t="s">
        <v>11</v>
      </c>
      <c r="E100">
        <v>20</v>
      </c>
      <c r="F100">
        <v>30000</v>
      </c>
      <c r="G100">
        <f>20*500</f>
        <v>10000</v>
      </c>
      <c r="H100">
        <v>20000</v>
      </c>
    </row>
    <row r="101" spans="1:8" x14ac:dyDescent="0.25">
      <c r="C101" t="s">
        <v>30</v>
      </c>
      <c r="D101" t="s">
        <v>12</v>
      </c>
      <c r="E101">
        <v>6</v>
      </c>
      <c r="F101">
        <v>18000</v>
      </c>
      <c r="G101">
        <v>12000</v>
      </c>
      <c r="H101">
        <v>6000</v>
      </c>
    </row>
    <row r="102" spans="1:8" x14ac:dyDescent="0.25">
      <c r="D102" t="s">
        <v>13</v>
      </c>
      <c r="E102">
        <v>5</v>
      </c>
      <c r="F102">
        <v>32500</v>
      </c>
      <c r="G102">
        <f>5*4500</f>
        <v>22500</v>
      </c>
      <c r="H102">
        <v>10000</v>
      </c>
    </row>
    <row r="103" spans="1:8" x14ac:dyDescent="0.25">
      <c r="D103" t="s">
        <v>14</v>
      </c>
      <c r="E103">
        <v>3</v>
      </c>
      <c r="F103">
        <v>24000</v>
      </c>
      <c r="G103">
        <f>3*5500</f>
        <v>16500</v>
      </c>
      <c r="H103">
        <v>7500</v>
      </c>
    </row>
    <row r="104" spans="1:8" x14ac:dyDescent="0.25">
      <c r="A104" s="111" t="s">
        <v>17</v>
      </c>
      <c r="B104" s="111"/>
      <c r="C104" s="111"/>
      <c r="D104" s="111"/>
      <c r="E104" s="111"/>
      <c r="F104" s="1">
        <f>SUM(F91:F103)</f>
        <v>541000</v>
      </c>
      <c r="G104" s="1">
        <f>SUM(G91:G103)</f>
        <v>211500</v>
      </c>
      <c r="H104" s="1">
        <f>SUM(H91:H103)</f>
        <v>329500</v>
      </c>
    </row>
    <row r="105" spans="1:8" x14ac:dyDescent="0.25">
      <c r="A105" t="s">
        <v>8</v>
      </c>
      <c r="B105" s="3">
        <v>44807</v>
      </c>
      <c r="C105" t="s">
        <v>20</v>
      </c>
      <c r="D105" t="s">
        <v>13</v>
      </c>
      <c r="E105">
        <v>5</v>
      </c>
      <c r="F105">
        <v>32500</v>
      </c>
      <c r="G105">
        <f>5*4500</f>
        <v>22500</v>
      </c>
      <c r="H105">
        <v>10000</v>
      </c>
    </row>
    <row r="106" spans="1:8" x14ac:dyDescent="0.25">
      <c r="D106" t="s">
        <v>14</v>
      </c>
      <c r="E106">
        <v>8</v>
      </c>
      <c r="F106">
        <v>80000</v>
      </c>
      <c r="G106">
        <f>8*5500</f>
        <v>44000</v>
      </c>
      <c r="H106">
        <f>8*4500</f>
        <v>36000</v>
      </c>
    </row>
    <row r="107" spans="1:8" x14ac:dyDescent="0.25">
      <c r="C107" t="s">
        <v>108</v>
      </c>
      <c r="D107" t="s">
        <v>11</v>
      </c>
      <c r="E107">
        <v>65</v>
      </c>
      <c r="F107">
        <v>97500</v>
      </c>
      <c r="G107">
        <f>65*500</f>
        <v>32500</v>
      </c>
      <c r="H107">
        <v>65000</v>
      </c>
    </row>
    <row r="108" spans="1:8" x14ac:dyDescent="0.25">
      <c r="C108" t="s">
        <v>105</v>
      </c>
      <c r="D108" t="s">
        <v>11</v>
      </c>
      <c r="E108">
        <v>40</v>
      </c>
      <c r="F108">
        <v>60000</v>
      </c>
      <c r="G108">
        <f>40*500</f>
        <v>20000</v>
      </c>
      <c r="H108">
        <v>40000</v>
      </c>
    </row>
    <row r="109" spans="1:8" x14ac:dyDescent="0.25">
      <c r="C109" t="s">
        <v>106</v>
      </c>
      <c r="D109" t="s">
        <v>11</v>
      </c>
      <c r="E109">
        <v>28</v>
      </c>
      <c r="F109">
        <v>42000</v>
      </c>
      <c r="G109">
        <f>28*500</f>
        <v>14000</v>
      </c>
      <c r="H109">
        <v>28000</v>
      </c>
    </row>
    <row r="110" spans="1:8" x14ac:dyDescent="0.25">
      <c r="C110" t="s">
        <v>133</v>
      </c>
      <c r="D110" t="s">
        <v>11</v>
      </c>
      <c r="E110">
        <v>30</v>
      </c>
      <c r="F110">
        <v>45000</v>
      </c>
      <c r="G110">
        <f>30*500</f>
        <v>15000</v>
      </c>
      <c r="H110">
        <v>30000</v>
      </c>
    </row>
    <row r="111" spans="1:8" x14ac:dyDescent="0.25">
      <c r="C111" t="s">
        <v>63</v>
      </c>
      <c r="D111" t="s">
        <v>25</v>
      </c>
      <c r="E111">
        <v>3</v>
      </c>
      <c r="F111">
        <v>39000</v>
      </c>
      <c r="G111">
        <v>30000</v>
      </c>
      <c r="H111">
        <v>9000</v>
      </c>
    </row>
    <row r="112" spans="1:8" x14ac:dyDescent="0.25">
      <c r="D112" t="s">
        <v>14</v>
      </c>
      <c r="E112">
        <v>2</v>
      </c>
      <c r="F112">
        <v>20000</v>
      </c>
      <c r="G112">
        <v>11000</v>
      </c>
      <c r="H112">
        <v>9000</v>
      </c>
    </row>
    <row r="113" spans="1:8" x14ac:dyDescent="0.25">
      <c r="C113" t="s">
        <v>16</v>
      </c>
      <c r="D113" t="s">
        <v>11</v>
      </c>
      <c r="E113">
        <v>26</v>
      </c>
      <c r="F113">
        <v>39000</v>
      </c>
      <c r="G113">
        <f>26*500</f>
        <v>13000</v>
      </c>
      <c r="H113">
        <v>26000</v>
      </c>
    </row>
    <row r="114" spans="1:8" x14ac:dyDescent="0.25">
      <c r="D114" t="s">
        <v>12</v>
      </c>
      <c r="E114">
        <v>3</v>
      </c>
      <c r="F114">
        <v>9000</v>
      </c>
      <c r="G114">
        <v>6000</v>
      </c>
      <c r="H114">
        <v>3000</v>
      </c>
    </row>
    <row r="115" spans="1:8" x14ac:dyDescent="0.25">
      <c r="D115" t="s">
        <v>13</v>
      </c>
      <c r="E115">
        <v>1</v>
      </c>
      <c r="F115">
        <v>6500</v>
      </c>
      <c r="G115">
        <v>4500</v>
      </c>
      <c r="H115">
        <v>2000</v>
      </c>
    </row>
    <row r="116" spans="1:8" x14ac:dyDescent="0.25">
      <c r="D116" t="s">
        <v>14</v>
      </c>
      <c r="E116">
        <v>2</v>
      </c>
      <c r="F116">
        <v>20000</v>
      </c>
      <c r="G116">
        <v>11000</v>
      </c>
      <c r="H116">
        <v>9000</v>
      </c>
    </row>
    <row r="117" spans="1:8" x14ac:dyDescent="0.25">
      <c r="D117" t="s">
        <v>21</v>
      </c>
      <c r="E117">
        <v>1</v>
      </c>
      <c r="F117">
        <v>15000</v>
      </c>
      <c r="G117">
        <v>11000</v>
      </c>
      <c r="H117">
        <v>5000</v>
      </c>
    </row>
    <row r="118" spans="1:8" x14ac:dyDescent="0.25">
      <c r="A118" s="111" t="s">
        <v>17</v>
      </c>
      <c r="B118" s="111"/>
      <c r="C118" s="111"/>
      <c r="D118" s="111"/>
      <c r="E118" s="111"/>
      <c r="F118" s="1">
        <f>SUM(F105:F117)</f>
        <v>505500</v>
      </c>
      <c r="G118" s="1">
        <f>SUM(G105:G117)</f>
        <v>234500</v>
      </c>
      <c r="H118" s="1">
        <f>SUM(H105:H117)</f>
        <v>272000</v>
      </c>
    </row>
    <row r="119" spans="1:8" x14ac:dyDescent="0.25">
      <c r="A119" t="s">
        <v>18</v>
      </c>
      <c r="B119" s="3">
        <v>44837</v>
      </c>
      <c r="C119" t="s">
        <v>10</v>
      </c>
      <c r="D119" t="s">
        <v>11</v>
      </c>
      <c r="E119">
        <v>17</v>
      </c>
      <c r="F119">
        <v>25500</v>
      </c>
      <c r="G119">
        <f>17*500</f>
        <v>8500</v>
      </c>
      <c r="H119">
        <v>17000</v>
      </c>
    </row>
    <row r="120" spans="1:8" x14ac:dyDescent="0.25">
      <c r="C120" t="s">
        <v>134</v>
      </c>
      <c r="D120" t="s">
        <v>12</v>
      </c>
      <c r="E120">
        <v>4</v>
      </c>
      <c r="F120">
        <v>12000</v>
      </c>
      <c r="G120">
        <v>8000</v>
      </c>
      <c r="H120">
        <v>4000</v>
      </c>
    </row>
    <row r="121" spans="1:8" x14ac:dyDescent="0.25">
      <c r="D121" t="s">
        <v>13</v>
      </c>
      <c r="E121">
        <v>1</v>
      </c>
      <c r="F121">
        <v>6500</v>
      </c>
      <c r="G121">
        <v>4500</v>
      </c>
      <c r="H121">
        <v>2000</v>
      </c>
    </row>
    <row r="122" spans="1:8" x14ac:dyDescent="0.25">
      <c r="D122" t="s">
        <v>14</v>
      </c>
      <c r="E122">
        <v>2</v>
      </c>
      <c r="F122">
        <v>16000</v>
      </c>
      <c r="G122">
        <v>11000</v>
      </c>
      <c r="H122">
        <v>5000</v>
      </c>
    </row>
    <row r="123" spans="1:8" x14ac:dyDescent="0.25">
      <c r="C123" t="s">
        <v>135</v>
      </c>
      <c r="D123" t="s">
        <v>12</v>
      </c>
      <c r="E123">
        <v>120</v>
      </c>
      <c r="F123">
        <v>360000</v>
      </c>
      <c r="G123">
        <f>120*2000</f>
        <v>240000</v>
      </c>
      <c r="H123">
        <v>120000</v>
      </c>
    </row>
    <row r="124" spans="1:8" x14ac:dyDescent="0.25">
      <c r="D124" t="s">
        <v>13</v>
      </c>
      <c r="E124">
        <v>10</v>
      </c>
      <c r="F124">
        <v>65000</v>
      </c>
      <c r="G124">
        <v>45000</v>
      </c>
      <c r="H124">
        <v>20000</v>
      </c>
    </row>
    <row r="125" spans="1:8" x14ac:dyDescent="0.25">
      <c r="C125" t="s">
        <v>108</v>
      </c>
      <c r="D125" t="s">
        <v>11</v>
      </c>
      <c r="E125">
        <v>70</v>
      </c>
      <c r="F125">
        <v>105000</v>
      </c>
      <c r="G125">
        <f>70*500</f>
        <v>35000</v>
      </c>
      <c r="H125">
        <v>70000</v>
      </c>
    </row>
    <row r="126" spans="1:8" x14ac:dyDescent="0.25">
      <c r="C126" t="s">
        <v>105</v>
      </c>
      <c r="D126" t="s">
        <v>11</v>
      </c>
      <c r="E126">
        <v>28</v>
      </c>
      <c r="F126">
        <v>42000</v>
      </c>
      <c r="G126">
        <f>28*500</f>
        <v>14000</v>
      </c>
      <c r="H126">
        <v>28000</v>
      </c>
    </row>
    <row r="127" spans="1:8" x14ac:dyDescent="0.25">
      <c r="C127" t="s">
        <v>106</v>
      </c>
      <c r="D127" t="s">
        <v>11</v>
      </c>
      <c r="E127">
        <v>24</v>
      </c>
      <c r="F127">
        <v>36000</v>
      </c>
      <c r="G127">
        <f>24*500</f>
        <v>12000</v>
      </c>
      <c r="H127">
        <v>24000</v>
      </c>
    </row>
    <row r="128" spans="1:8" x14ac:dyDescent="0.25">
      <c r="C128" t="s">
        <v>133</v>
      </c>
      <c r="D128" t="s">
        <v>11</v>
      </c>
      <c r="E128">
        <v>30</v>
      </c>
      <c r="F128">
        <v>45000</v>
      </c>
      <c r="G128">
        <f>30*500</f>
        <v>15000</v>
      </c>
      <c r="H128">
        <v>30000</v>
      </c>
    </row>
    <row r="129" spans="1:8" x14ac:dyDescent="0.25">
      <c r="C129" t="s">
        <v>16</v>
      </c>
      <c r="D129" t="s">
        <v>11</v>
      </c>
      <c r="E129">
        <v>47</v>
      </c>
      <c r="F129">
        <v>70500</v>
      </c>
      <c r="G129">
        <f>47*500</f>
        <v>23500</v>
      </c>
      <c r="H129">
        <v>47000</v>
      </c>
    </row>
    <row r="130" spans="1:8" x14ac:dyDescent="0.25">
      <c r="D130" t="s">
        <v>12</v>
      </c>
      <c r="E130">
        <v>7</v>
      </c>
      <c r="F130">
        <v>21000</v>
      </c>
      <c r="G130">
        <v>14000</v>
      </c>
      <c r="H130">
        <v>7000</v>
      </c>
    </row>
    <row r="131" spans="1:8" x14ac:dyDescent="0.25">
      <c r="D131" t="s">
        <v>14</v>
      </c>
      <c r="E131">
        <v>1</v>
      </c>
      <c r="F131">
        <v>10000</v>
      </c>
      <c r="G131">
        <v>5500</v>
      </c>
      <c r="H131">
        <v>4500</v>
      </c>
    </row>
    <row r="132" spans="1:8" x14ac:dyDescent="0.25">
      <c r="A132" s="111" t="s">
        <v>17</v>
      </c>
      <c r="B132" s="111"/>
      <c r="C132" s="111"/>
      <c r="D132" s="111"/>
      <c r="E132" s="111"/>
      <c r="F132" s="1">
        <f>SUM(F119:F131)</f>
        <v>814500</v>
      </c>
      <c r="G132" s="1">
        <f>SUM(G119:G131)</f>
        <v>436000</v>
      </c>
      <c r="H132" s="1">
        <f>SUM(H119:H131)</f>
        <v>378500</v>
      </c>
    </row>
    <row r="133" spans="1:8" x14ac:dyDescent="0.25">
      <c r="A133" t="s">
        <v>22</v>
      </c>
      <c r="B133" s="3">
        <v>44868</v>
      </c>
      <c r="C133" t="s">
        <v>108</v>
      </c>
      <c r="D133" t="s">
        <v>11</v>
      </c>
      <c r="E133">
        <v>60</v>
      </c>
      <c r="F133">
        <v>90000</v>
      </c>
      <c r="G133">
        <f>60*500</f>
        <v>30000</v>
      </c>
      <c r="H133">
        <v>60000</v>
      </c>
    </row>
    <row r="134" spans="1:8" x14ac:dyDescent="0.25">
      <c r="C134" t="s">
        <v>106</v>
      </c>
      <c r="D134" t="s">
        <v>11</v>
      </c>
      <c r="E134">
        <v>20</v>
      </c>
      <c r="F134">
        <v>30000</v>
      </c>
      <c r="G134">
        <f>20*500</f>
        <v>10000</v>
      </c>
      <c r="H134">
        <v>20000</v>
      </c>
    </row>
    <row r="135" spans="1:8" x14ac:dyDescent="0.25">
      <c r="C135" t="s">
        <v>10</v>
      </c>
      <c r="D135" t="s">
        <v>11</v>
      </c>
      <c r="E135">
        <v>15</v>
      </c>
      <c r="F135">
        <v>22500</v>
      </c>
      <c r="G135">
        <f>15*500</f>
        <v>7500</v>
      </c>
      <c r="H135">
        <v>15000</v>
      </c>
    </row>
    <row r="136" spans="1:8" x14ac:dyDescent="0.25">
      <c r="C136" t="s">
        <v>18</v>
      </c>
      <c r="D136" t="s">
        <v>12</v>
      </c>
      <c r="E136">
        <v>4</v>
      </c>
      <c r="F136">
        <v>12000</v>
      </c>
      <c r="G136">
        <v>8000</v>
      </c>
      <c r="H136">
        <v>4000</v>
      </c>
    </row>
    <row r="137" spans="1:8" x14ac:dyDescent="0.25">
      <c r="D137" t="s">
        <v>13</v>
      </c>
      <c r="E137">
        <v>2</v>
      </c>
      <c r="F137">
        <v>13000</v>
      </c>
      <c r="G137">
        <v>9000</v>
      </c>
      <c r="H137">
        <v>4000</v>
      </c>
    </row>
    <row r="138" spans="1:8" x14ac:dyDescent="0.25">
      <c r="C138" t="s">
        <v>16</v>
      </c>
      <c r="D138" t="s">
        <v>11</v>
      </c>
      <c r="E138">
        <v>42</v>
      </c>
      <c r="F138">
        <v>63000</v>
      </c>
      <c r="G138">
        <f>42*500</f>
        <v>21000</v>
      </c>
      <c r="H138">
        <v>42000</v>
      </c>
    </row>
    <row r="139" spans="1:8" x14ac:dyDescent="0.25">
      <c r="D139" t="s">
        <v>12</v>
      </c>
      <c r="E139">
        <v>6</v>
      </c>
      <c r="F139">
        <v>18000</v>
      </c>
      <c r="G139">
        <v>12000</v>
      </c>
      <c r="H139">
        <v>6000</v>
      </c>
    </row>
    <row r="140" spans="1:8" x14ac:dyDescent="0.25">
      <c r="D140" t="s">
        <v>13</v>
      </c>
      <c r="E140">
        <v>1</v>
      </c>
      <c r="F140">
        <v>6500</v>
      </c>
      <c r="G140">
        <v>4500</v>
      </c>
      <c r="H140">
        <v>2000</v>
      </c>
    </row>
    <row r="141" spans="1:8" x14ac:dyDescent="0.25">
      <c r="D141" t="s">
        <v>14</v>
      </c>
      <c r="E141">
        <v>2</v>
      </c>
      <c r="F141">
        <v>20000</v>
      </c>
      <c r="G141">
        <v>11000</v>
      </c>
      <c r="H141">
        <v>9000</v>
      </c>
    </row>
    <row r="142" spans="1:8" x14ac:dyDescent="0.25">
      <c r="A142" s="111" t="s">
        <v>17</v>
      </c>
      <c r="B142" s="111"/>
      <c r="C142" s="111"/>
      <c r="D142" s="111"/>
      <c r="E142" s="111"/>
      <c r="F142" s="1">
        <f>SUM(F133:F141)</f>
        <v>275000</v>
      </c>
      <c r="G142" s="1">
        <f>SUM(G133:G141)</f>
        <v>113000</v>
      </c>
      <c r="H142" s="1">
        <f>SUM(H133:H141)</f>
        <v>162000</v>
      </c>
    </row>
    <row r="143" spans="1:8" x14ac:dyDescent="0.25">
      <c r="A143" t="s">
        <v>26</v>
      </c>
      <c r="B143" s="3">
        <v>44898</v>
      </c>
      <c r="C143" t="s">
        <v>81</v>
      </c>
      <c r="D143" t="s">
        <v>11</v>
      </c>
      <c r="E143">
        <v>11</v>
      </c>
      <c r="F143">
        <f>11*1500</f>
        <v>16500</v>
      </c>
      <c r="G143">
        <f>11*500</f>
        <v>5500</v>
      </c>
      <c r="H143">
        <v>11000</v>
      </c>
    </row>
    <row r="144" spans="1:8" x14ac:dyDescent="0.25">
      <c r="D144" t="s">
        <v>12</v>
      </c>
      <c r="E144">
        <v>5</v>
      </c>
      <c r="F144">
        <v>15000</v>
      </c>
      <c r="G144">
        <v>10000</v>
      </c>
      <c r="H144">
        <v>5000</v>
      </c>
    </row>
    <row r="145" spans="3:8" x14ac:dyDescent="0.25">
      <c r="C145" s="8" t="s">
        <v>136</v>
      </c>
      <c r="D145" t="s">
        <v>13</v>
      </c>
      <c r="E145">
        <v>1</v>
      </c>
      <c r="F145">
        <v>6500</v>
      </c>
      <c r="G145">
        <v>4500</v>
      </c>
      <c r="H145">
        <v>2000</v>
      </c>
    </row>
    <row r="146" spans="3:8" x14ac:dyDescent="0.25">
      <c r="D146" t="s">
        <v>12</v>
      </c>
      <c r="E146">
        <v>4</v>
      </c>
      <c r="F146">
        <v>12000</v>
      </c>
      <c r="G146">
        <v>8000</v>
      </c>
      <c r="H146">
        <v>4000</v>
      </c>
    </row>
    <row r="147" spans="3:8" x14ac:dyDescent="0.25">
      <c r="D147" t="s">
        <v>11</v>
      </c>
      <c r="E147">
        <v>20</v>
      </c>
      <c r="F147">
        <v>30000</v>
      </c>
      <c r="G147">
        <f>20*500</f>
        <v>10000</v>
      </c>
      <c r="H147">
        <v>20000</v>
      </c>
    </row>
    <row r="148" spans="3:8" x14ac:dyDescent="0.25">
      <c r="C148" t="s">
        <v>105</v>
      </c>
      <c r="D148" t="s">
        <v>11</v>
      </c>
      <c r="E148">
        <v>30</v>
      </c>
      <c r="F148">
        <v>45000</v>
      </c>
      <c r="G148">
        <f>30*500</f>
        <v>15000</v>
      </c>
      <c r="H148">
        <v>30000</v>
      </c>
    </row>
    <row r="149" spans="3:8" x14ac:dyDescent="0.25">
      <c r="D149" t="s">
        <v>11</v>
      </c>
      <c r="E149">
        <v>18</v>
      </c>
      <c r="F149">
        <v>27000</v>
      </c>
      <c r="G149">
        <f>18*500</f>
        <v>9000</v>
      </c>
      <c r="H149">
        <v>18000</v>
      </c>
    </row>
    <row r="150" spans="3:8" x14ac:dyDescent="0.25">
      <c r="C150" t="s">
        <v>10</v>
      </c>
      <c r="D150" t="s">
        <v>11</v>
      </c>
      <c r="E150">
        <v>20</v>
      </c>
      <c r="F150">
        <v>30000</v>
      </c>
      <c r="G150">
        <f>20*500</f>
        <v>10000</v>
      </c>
      <c r="H150">
        <v>20000</v>
      </c>
    </row>
    <row r="151" spans="3:8" x14ac:dyDescent="0.25">
      <c r="D151" t="s">
        <v>12</v>
      </c>
      <c r="E151">
        <v>8</v>
      </c>
      <c r="F151">
        <v>24000</v>
      </c>
      <c r="G151">
        <v>16000</v>
      </c>
      <c r="H151">
        <v>8000</v>
      </c>
    </row>
    <row r="152" spans="3:8" x14ac:dyDescent="0.25">
      <c r="D152" t="s">
        <v>13</v>
      </c>
      <c r="E152">
        <v>4</v>
      </c>
      <c r="F152">
        <v>26000</v>
      </c>
      <c r="G152">
        <f>4*4500</f>
        <v>18000</v>
      </c>
      <c r="H152">
        <v>8000</v>
      </c>
    </row>
    <row r="153" spans="3:8" x14ac:dyDescent="0.25">
      <c r="D153" t="s">
        <v>14</v>
      </c>
      <c r="E153">
        <v>6</v>
      </c>
      <c r="F153">
        <v>48000</v>
      </c>
      <c r="G153">
        <f>6*5500</f>
        <v>33000</v>
      </c>
      <c r="H153">
        <f>6*2500</f>
        <v>15000</v>
      </c>
    </row>
    <row r="154" spans="3:8" x14ac:dyDescent="0.25">
      <c r="C154" t="s">
        <v>20</v>
      </c>
      <c r="D154" t="s">
        <v>14</v>
      </c>
      <c r="E154">
        <v>9</v>
      </c>
      <c r="F154">
        <v>90000</v>
      </c>
      <c r="G154">
        <f>9*5500</f>
        <v>49500</v>
      </c>
      <c r="H154">
        <f>9*4500</f>
        <v>40500</v>
      </c>
    </row>
    <row r="155" spans="3:8" x14ac:dyDescent="0.25">
      <c r="C155" t="s">
        <v>108</v>
      </c>
      <c r="D155" t="s">
        <v>11</v>
      </c>
      <c r="E155">
        <v>63</v>
      </c>
      <c r="F155">
        <v>94500</v>
      </c>
      <c r="G155">
        <f>63*500</f>
        <v>31500</v>
      </c>
      <c r="H155">
        <v>63000</v>
      </c>
    </row>
    <row r="156" spans="3:8" x14ac:dyDescent="0.25">
      <c r="C156" t="s">
        <v>106</v>
      </c>
      <c r="D156" t="s">
        <v>11</v>
      </c>
      <c r="E156">
        <v>22</v>
      </c>
      <c r="F156">
        <v>33000</v>
      </c>
      <c r="G156">
        <f>22*500</f>
        <v>11000</v>
      </c>
      <c r="H156">
        <v>22000</v>
      </c>
    </row>
    <row r="157" spans="3:8" x14ac:dyDescent="0.25">
      <c r="C157" t="s">
        <v>16</v>
      </c>
      <c r="D157" t="s">
        <v>11</v>
      </c>
      <c r="E157">
        <v>30</v>
      </c>
      <c r="F157">
        <v>45000</v>
      </c>
      <c r="G157">
        <f>30*500</f>
        <v>15000</v>
      </c>
      <c r="H157">
        <v>30000</v>
      </c>
    </row>
    <row r="158" spans="3:8" x14ac:dyDescent="0.25">
      <c r="D158" t="s">
        <v>12</v>
      </c>
      <c r="E158">
        <v>1</v>
      </c>
      <c r="F158">
        <v>3000</v>
      </c>
      <c r="G158">
        <v>2000</v>
      </c>
      <c r="H158">
        <v>1000</v>
      </c>
    </row>
    <row r="159" spans="3:8" x14ac:dyDescent="0.25">
      <c r="D159" t="s">
        <v>14</v>
      </c>
      <c r="E159">
        <v>1</v>
      </c>
      <c r="F159">
        <v>10000</v>
      </c>
      <c r="G159">
        <v>5500</v>
      </c>
      <c r="H159">
        <v>4500</v>
      </c>
    </row>
    <row r="160" spans="3:8" x14ac:dyDescent="0.25">
      <c r="D160" t="s">
        <v>21</v>
      </c>
      <c r="E160">
        <v>1</v>
      </c>
      <c r="F160">
        <v>15000</v>
      </c>
      <c r="G160">
        <v>11000</v>
      </c>
      <c r="H160">
        <v>4000</v>
      </c>
    </row>
    <row r="161" spans="1:8" x14ac:dyDescent="0.25">
      <c r="A161" s="111" t="s">
        <v>17</v>
      </c>
      <c r="B161" s="111"/>
      <c r="C161" s="111"/>
      <c r="D161" s="111"/>
      <c r="E161" s="111"/>
      <c r="F161" s="1">
        <f>SUM(F143:F160)</f>
        <v>570500</v>
      </c>
      <c r="G161" s="1">
        <f>SUM(G143:G160)</f>
        <v>264500</v>
      </c>
      <c r="H161" s="1">
        <f>SUM(H143:H160)</f>
        <v>306000</v>
      </c>
    </row>
    <row r="162" spans="1:8" x14ac:dyDescent="0.25">
      <c r="A162" t="s">
        <v>28</v>
      </c>
      <c r="B162" t="s">
        <v>137</v>
      </c>
      <c r="C162" t="s">
        <v>10</v>
      </c>
      <c r="D162" t="s">
        <v>11</v>
      </c>
      <c r="E162">
        <v>4</v>
      </c>
      <c r="F162">
        <v>6000</v>
      </c>
      <c r="G162">
        <v>2000</v>
      </c>
      <c r="H162">
        <v>4000</v>
      </c>
    </row>
    <row r="163" spans="1:8" x14ac:dyDescent="0.25">
      <c r="C163" t="s">
        <v>26</v>
      </c>
      <c r="D163" t="s">
        <v>12</v>
      </c>
      <c r="E163">
        <v>6</v>
      </c>
      <c r="F163">
        <v>18000</v>
      </c>
      <c r="G163">
        <v>12000</v>
      </c>
      <c r="H163">
        <v>6000</v>
      </c>
    </row>
    <row r="164" spans="1:8" x14ac:dyDescent="0.25">
      <c r="D164" t="s">
        <v>13</v>
      </c>
      <c r="E164">
        <v>4</v>
      </c>
      <c r="F164">
        <v>26000</v>
      </c>
      <c r="G164">
        <f>4*4500</f>
        <v>18000</v>
      </c>
      <c r="H164">
        <v>8000</v>
      </c>
    </row>
    <row r="165" spans="1:8" x14ac:dyDescent="0.25">
      <c r="D165" t="s">
        <v>14</v>
      </c>
      <c r="E165">
        <v>7</v>
      </c>
      <c r="F165">
        <v>56000</v>
      </c>
      <c r="G165">
        <f>7*5500</f>
        <v>38500</v>
      </c>
      <c r="H165">
        <f>7*2500</f>
        <v>17500</v>
      </c>
    </row>
    <row r="166" spans="1:8" x14ac:dyDescent="0.25">
      <c r="C166" t="s">
        <v>20</v>
      </c>
      <c r="D166" t="s">
        <v>13</v>
      </c>
      <c r="E166">
        <v>15</v>
      </c>
      <c r="F166">
        <f>15*6500</f>
        <v>97500</v>
      </c>
      <c r="G166">
        <f>15*4500</f>
        <v>67500</v>
      </c>
      <c r="H166">
        <f>15*2000</f>
        <v>30000</v>
      </c>
    </row>
    <row r="167" spans="1:8" x14ac:dyDescent="0.25">
      <c r="D167" t="s">
        <v>14</v>
      </c>
      <c r="E167">
        <v>35</v>
      </c>
      <c r="F167">
        <v>350000</v>
      </c>
      <c r="G167">
        <f>35*5500</f>
        <v>192500</v>
      </c>
      <c r="H167">
        <f>35*4500</f>
        <v>157500</v>
      </c>
    </row>
    <row r="168" spans="1:8" x14ac:dyDescent="0.25">
      <c r="D168" t="s">
        <v>21</v>
      </c>
      <c r="E168">
        <v>3</v>
      </c>
      <c r="F168">
        <v>45000</v>
      </c>
      <c r="G168">
        <v>33000</v>
      </c>
      <c r="H168">
        <f>3*4000</f>
        <v>12000</v>
      </c>
    </row>
    <row r="169" spans="1:8" x14ac:dyDescent="0.25">
      <c r="C169" t="s">
        <v>10</v>
      </c>
      <c r="D169" t="s">
        <v>13</v>
      </c>
      <c r="E169">
        <v>4</v>
      </c>
      <c r="F169">
        <v>26000</v>
      </c>
      <c r="G169">
        <f>4*4500</f>
        <v>18000</v>
      </c>
      <c r="H169">
        <v>8000</v>
      </c>
    </row>
    <row r="170" spans="1:8" x14ac:dyDescent="0.25">
      <c r="D170" t="s">
        <v>14</v>
      </c>
      <c r="E170">
        <v>11</v>
      </c>
      <c r="F170">
        <v>88000</v>
      </c>
      <c r="G170">
        <f>11*5500</f>
        <v>60500</v>
      </c>
      <c r="H170">
        <f>11*2500</f>
        <v>27500</v>
      </c>
    </row>
    <row r="171" spans="1:8" x14ac:dyDescent="0.25">
      <c r="C171" t="s">
        <v>15</v>
      </c>
      <c r="D171" t="s">
        <v>13</v>
      </c>
      <c r="E171">
        <v>26</v>
      </c>
      <c r="F171">
        <v>169000</v>
      </c>
      <c r="G171">
        <f>26*4500</f>
        <v>117000</v>
      </c>
      <c r="H171">
        <f>26*2000</f>
        <v>52000</v>
      </c>
    </row>
    <row r="172" spans="1:8" x14ac:dyDescent="0.25">
      <c r="D172" t="s">
        <v>14</v>
      </c>
      <c r="E172">
        <v>9</v>
      </c>
      <c r="F172">
        <v>72000</v>
      </c>
      <c r="G172">
        <f>9*5500</f>
        <v>49500</v>
      </c>
      <c r="H172">
        <f>9*2500</f>
        <v>22500</v>
      </c>
    </row>
    <row r="173" spans="1:8" x14ac:dyDescent="0.25">
      <c r="D173" t="s">
        <v>14</v>
      </c>
      <c r="E173">
        <v>3</v>
      </c>
      <c r="F173">
        <v>30000</v>
      </c>
      <c r="G173">
        <f>3*5500</f>
        <v>16500</v>
      </c>
      <c r="H173">
        <f>3*4500</f>
        <v>13500</v>
      </c>
    </row>
    <row r="174" spans="1:8" x14ac:dyDescent="0.25">
      <c r="A174" s="111" t="s">
        <v>17</v>
      </c>
      <c r="B174" s="111"/>
      <c r="C174" s="111"/>
      <c r="D174" s="111"/>
      <c r="E174" s="111"/>
      <c r="F174" s="1">
        <f>SUM(F162:F173)</f>
        <v>983500</v>
      </c>
      <c r="G174" s="1">
        <f>SUM(G162:G173)</f>
        <v>625000</v>
      </c>
      <c r="H174" s="1">
        <f>SUM(H162:H173)</f>
        <v>358500</v>
      </c>
    </row>
    <row r="175" spans="1:8" x14ac:dyDescent="0.25">
      <c r="A175" t="s">
        <v>30</v>
      </c>
      <c r="B175" t="s">
        <v>138</v>
      </c>
      <c r="C175" t="s">
        <v>108</v>
      </c>
      <c r="D175" t="s">
        <v>11</v>
      </c>
      <c r="E175">
        <v>30</v>
      </c>
      <c r="F175">
        <v>45000</v>
      </c>
      <c r="G175">
        <f>30*500</f>
        <v>15000</v>
      </c>
      <c r="H175">
        <v>30000</v>
      </c>
    </row>
    <row r="176" spans="1:8" x14ac:dyDescent="0.25">
      <c r="C176" t="s">
        <v>105</v>
      </c>
      <c r="D176" t="s">
        <v>11</v>
      </c>
      <c r="E176">
        <v>27</v>
      </c>
      <c r="F176">
        <v>40500</v>
      </c>
      <c r="G176">
        <f>27*500</f>
        <v>13500</v>
      </c>
      <c r="H176">
        <v>27000</v>
      </c>
    </row>
    <row r="177" spans="1:8" x14ac:dyDescent="0.25">
      <c r="C177" t="s">
        <v>106</v>
      </c>
      <c r="D177" t="s">
        <v>11</v>
      </c>
      <c r="E177">
        <v>21</v>
      </c>
      <c r="F177">
        <v>31500</v>
      </c>
      <c r="G177">
        <f>21*500</f>
        <v>10500</v>
      </c>
      <c r="H177">
        <v>21000</v>
      </c>
    </row>
    <row r="178" spans="1:8" x14ac:dyDescent="0.25">
      <c r="C178" t="s">
        <v>20</v>
      </c>
      <c r="D178" t="s">
        <v>13</v>
      </c>
      <c r="E178">
        <v>6</v>
      </c>
      <c r="F178">
        <v>39000</v>
      </c>
      <c r="G178">
        <f>6*4500</f>
        <v>27000</v>
      </c>
      <c r="H178">
        <v>12000</v>
      </c>
    </row>
    <row r="179" spans="1:8" x14ac:dyDescent="0.25">
      <c r="D179" t="s">
        <v>14</v>
      </c>
      <c r="E179">
        <v>3</v>
      </c>
      <c r="F179">
        <v>30000</v>
      </c>
      <c r="G179">
        <f>3*5500</f>
        <v>16500</v>
      </c>
      <c r="H179">
        <f>3*4500</f>
        <v>13500</v>
      </c>
    </row>
    <row r="180" spans="1:8" x14ac:dyDescent="0.25">
      <c r="D180" t="s">
        <v>21</v>
      </c>
      <c r="E180">
        <v>1</v>
      </c>
      <c r="F180">
        <v>15000</v>
      </c>
      <c r="G180">
        <v>11000</v>
      </c>
      <c r="H180">
        <v>4000</v>
      </c>
    </row>
    <row r="181" spans="1:8" x14ac:dyDescent="0.25">
      <c r="C181" t="s">
        <v>44</v>
      </c>
      <c r="D181" t="s">
        <v>13</v>
      </c>
      <c r="E181">
        <v>15</v>
      </c>
      <c r="F181">
        <f>15*6500</f>
        <v>97500</v>
      </c>
      <c r="G181">
        <f>15*4500</f>
        <v>67500</v>
      </c>
      <c r="H181">
        <v>30000</v>
      </c>
    </row>
    <row r="182" spans="1:8" x14ac:dyDescent="0.25">
      <c r="C182" t="s">
        <v>16</v>
      </c>
      <c r="D182" t="s">
        <v>11</v>
      </c>
      <c r="E182">
        <v>28</v>
      </c>
      <c r="F182">
        <v>42000</v>
      </c>
      <c r="G182">
        <f>28*500</f>
        <v>14000</v>
      </c>
      <c r="H182">
        <v>28000</v>
      </c>
    </row>
    <row r="183" spans="1:8" x14ac:dyDescent="0.25">
      <c r="D183" t="s">
        <v>12</v>
      </c>
      <c r="E183">
        <v>5</v>
      </c>
      <c r="F183">
        <v>15000</v>
      </c>
      <c r="G183">
        <v>10000</v>
      </c>
      <c r="H183">
        <v>5000</v>
      </c>
    </row>
    <row r="184" spans="1:8" x14ac:dyDescent="0.25">
      <c r="C184" t="s">
        <v>63</v>
      </c>
      <c r="D184" t="s">
        <v>25</v>
      </c>
      <c r="E184">
        <v>3</v>
      </c>
      <c r="F184">
        <v>39000</v>
      </c>
      <c r="G184">
        <v>30000</v>
      </c>
      <c r="H184">
        <v>9000</v>
      </c>
    </row>
    <row r="185" spans="1:8" x14ac:dyDescent="0.25">
      <c r="C185" t="s">
        <v>10</v>
      </c>
      <c r="D185" t="s">
        <v>11</v>
      </c>
      <c r="E185">
        <v>21</v>
      </c>
      <c r="F185">
        <v>31500</v>
      </c>
      <c r="G185">
        <f>21*500</f>
        <v>10500</v>
      </c>
      <c r="H185">
        <v>21000</v>
      </c>
    </row>
    <row r="186" spans="1:8" x14ac:dyDescent="0.25">
      <c r="D186" t="s">
        <v>12</v>
      </c>
      <c r="E186">
        <v>2</v>
      </c>
      <c r="F186">
        <v>6000</v>
      </c>
      <c r="G186">
        <v>4000</v>
      </c>
      <c r="H186">
        <v>2000</v>
      </c>
    </row>
    <row r="187" spans="1:8" x14ac:dyDescent="0.25">
      <c r="D187" t="s">
        <v>13</v>
      </c>
      <c r="E187">
        <v>4</v>
      </c>
      <c r="F187">
        <v>26000</v>
      </c>
      <c r="G187">
        <f>4*4500</f>
        <v>18000</v>
      </c>
      <c r="H187">
        <v>8000</v>
      </c>
    </row>
    <row r="188" spans="1:8" x14ac:dyDescent="0.25">
      <c r="D188" t="s">
        <v>14</v>
      </c>
      <c r="E188">
        <v>1</v>
      </c>
      <c r="F188">
        <v>8000</v>
      </c>
      <c r="G188">
        <v>5500</v>
      </c>
      <c r="H188">
        <v>2500</v>
      </c>
    </row>
    <row r="189" spans="1:8" x14ac:dyDescent="0.25">
      <c r="A189" s="111" t="s">
        <v>17</v>
      </c>
      <c r="B189" s="111"/>
      <c r="C189" s="111"/>
      <c r="D189" s="111"/>
      <c r="E189" s="111"/>
      <c r="F189" s="1">
        <f>SUM(F175:F188)</f>
        <v>466000</v>
      </c>
      <c r="G189" s="1">
        <f>SUM(G175:G188)</f>
        <v>253000</v>
      </c>
      <c r="H189" s="1">
        <f>SUM(H175:H188)</f>
        <v>213000</v>
      </c>
    </row>
    <row r="190" spans="1:8" x14ac:dyDescent="0.25">
      <c r="A190" t="s">
        <v>32</v>
      </c>
      <c r="B190" t="s">
        <v>139</v>
      </c>
      <c r="C190" t="s">
        <v>108</v>
      </c>
      <c r="D190" t="s">
        <v>11</v>
      </c>
      <c r="E190">
        <v>45</v>
      </c>
      <c r="F190">
        <v>67500</v>
      </c>
      <c r="G190">
        <f>45*500</f>
        <v>22500</v>
      </c>
      <c r="H190">
        <v>45000</v>
      </c>
    </row>
    <row r="191" spans="1:8" x14ac:dyDescent="0.25">
      <c r="C191" t="s">
        <v>105</v>
      </c>
      <c r="D191" t="s">
        <v>11</v>
      </c>
      <c r="E191">
        <v>40</v>
      </c>
      <c r="F191">
        <v>60000</v>
      </c>
      <c r="G191">
        <f>40*500</f>
        <v>20000</v>
      </c>
      <c r="H191">
        <v>40000</v>
      </c>
    </row>
    <row r="192" spans="1:8" x14ac:dyDescent="0.25">
      <c r="C192" t="s">
        <v>106</v>
      </c>
      <c r="D192" t="s">
        <v>11</v>
      </c>
      <c r="E192">
        <v>26</v>
      </c>
      <c r="F192">
        <v>39000</v>
      </c>
      <c r="G192">
        <f>26*500</f>
        <v>13000</v>
      </c>
      <c r="H192">
        <v>26000</v>
      </c>
    </row>
    <row r="193" spans="1:8" x14ac:dyDescent="0.25">
      <c r="C193" t="s">
        <v>81</v>
      </c>
      <c r="D193" t="s">
        <v>11</v>
      </c>
      <c r="E193">
        <v>30</v>
      </c>
      <c r="F193">
        <v>45000</v>
      </c>
      <c r="G193">
        <f>30*500</f>
        <v>15000</v>
      </c>
      <c r="H193">
        <v>30000</v>
      </c>
    </row>
    <row r="194" spans="1:8" x14ac:dyDescent="0.25">
      <c r="C194" t="s">
        <v>109</v>
      </c>
      <c r="D194" t="s">
        <v>11</v>
      </c>
      <c r="E194">
        <v>20</v>
      </c>
      <c r="F194">
        <v>30000</v>
      </c>
      <c r="G194">
        <f>20*500</f>
        <v>10000</v>
      </c>
      <c r="H194">
        <v>20000</v>
      </c>
    </row>
    <row r="195" spans="1:8" x14ac:dyDescent="0.25">
      <c r="C195" t="s">
        <v>20</v>
      </c>
      <c r="D195" t="s">
        <v>14</v>
      </c>
      <c r="E195">
        <v>6</v>
      </c>
      <c r="F195">
        <v>60000</v>
      </c>
      <c r="G195">
        <f>6*5500</f>
        <v>33000</v>
      </c>
      <c r="H195">
        <f>6*4500</f>
        <v>27000</v>
      </c>
    </row>
    <row r="196" spans="1:8" x14ac:dyDescent="0.25">
      <c r="C196" t="s">
        <v>16</v>
      </c>
      <c r="D196" t="s">
        <v>11</v>
      </c>
      <c r="E196">
        <v>69</v>
      </c>
      <c r="F196">
        <v>103500</v>
      </c>
      <c r="G196">
        <f>69*500</f>
        <v>34500</v>
      </c>
      <c r="H196">
        <v>69000</v>
      </c>
    </row>
    <row r="197" spans="1:8" x14ac:dyDescent="0.25">
      <c r="C197" t="s">
        <v>28</v>
      </c>
      <c r="D197" t="s">
        <v>12</v>
      </c>
      <c r="E197">
        <v>8</v>
      </c>
      <c r="F197">
        <v>24000</v>
      </c>
      <c r="G197">
        <v>16000</v>
      </c>
      <c r="H197">
        <v>8000</v>
      </c>
    </row>
    <row r="198" spans="1:8" x14ac:dyDescent="0.25">
      <c r="D198" t="s">
        <v>13</v>
      </c>
      <c r="E198">
        <v>1</v>
      </c>
      <c r="F198">
        <v>6500</v>
      </c>
      <c r="G198">
        <v>4500</v>
      </c>
      <c r="H198">
        <v>2000</v>
      </c>
    </row>
    <row r="199" spans="1:8" x14ac:dyDescent="0.25">
      <c r="D199" t="s">
        <v>14</v>
      </c>
      <c r="E199">
        <v>1</v>
      </c>
      <c r="F199">
        <v>10000</v>
      </c>
      <c r="G199">
        <v>5500</v>
      </c>
      <c r="H199">
        <v>4500</v>
      </c>
    </row>
    <row r="200" spans="1:8" x14ac:dyDescent="0.25">
      <c r="A200" s="111" t="s">
        <v>17</v>
      </c>
      <c r="B200" s="111"/>
      <c r="C200" s="111"/>
      <c r="D200" s="111"/>
      <c r="E200" s="111"/>
      <c r="F200" s="1">
        <f>SUM(F190:F199)</f>
        <v>445500</v>
      </c>
      <c r="G200" s="1">
        <f>SUM(G190:G199)</f>
        <v>174000</v>
      </c>
      <c r="H200" s="1">
        <f>SUM(H190:H199)</f>
        <v>271500</v>
      </c>
    </row>
    <row r="201" spans="1:8" x14ac:dyDescent="0.25">
      <c r="A201" t="s">
        <v>8</v>
      </c>
      <c r="B201" t="s">
        <v>140</v>
      </c>
      <c r="C201" t="s">
        <v>108</v>
      </c>
      <c r="D201" t="s">
        <v>11</v>
      </c>
      <c r="E201">
        <v>60</v>
      </c>
      <c r="F201">
        <v>90000</v>
      </c>
      <c r="G201">
        <f>60*500</f>
        <v>30000</v>
      </c>
      <c r="H201">
        <v>60000</v>
      </c>
    </row>
    <row r="202" spans="1:8" x14ac:dyDescent="0.25">
      <c r="C202" t="s">
        <v>105</v>
      </c>
      <c r="D202" t="s">
        <v>11</v>
      </c>
      <c r="E202">
        <v>46</v>
      </c>
      <c r="F202">
        <v>69000</v>
      </c>
      <c r="G202">
        <f>46*500</f>
        <v>23000</v>
      </c>
      <c r="H202">
        <v>46000</v>
      </c>
    </row>
    <row r="203" spans="1:8" x14ac:dyDescent="0.25">
      <c r="C203" t="s">
        <v>81</v>
      </c>
      <c r="D203" t="s">
        <v>11</v>
      </c>
      <c r="E203">
        <v>50</v>
      </c>
      <c r="F203">
        <v>75000</v>
      </c>
      <c r="G203">
        <f>50*500</f>
        <v>25000</v>
      </c>
      <c r="H203">
        <v>50000</v>
      </c>
    </row>
    <row r="204" spans="1:8" x14ac:dyDescent="0.25">
      <c r="C204" t="s">
        <v>141</v>
      </c>
      <c r="D204" t="s">
        <v>11</v>
      </c>
      <c r="E204">
        <v>10</v>
      </c>
      <c r="F204">
        <v>15000</v>
      </c>
      <c r="G204">
        <v>5000</v>
      </c>
      <c r="H204">
        <v>10000</v>
      </c>
    </row>
    <row r="205" spans="1:8" x14ac:dyDescent="0.25">
      <c r="C205" t="s">
        <v>106</v>
      </c>
      <c r="D205" t="s">
        <v>11</v>
      </c>
      <c r="E205">
        <v>26</v>
      </c>
      <c r="F205">
        <v>39000</v>
      </c>
      <c r="G205">
        <f>26*500</f>
        <v>13000</v>
      </c>
      <c r="H205">
        <v>26000</v>
      </c>
    </row>
    <row r="206" spans="1:8" x14ac:dyDescent="0.25">
      <c r="C206" t="s">
        <v>20</v>
      </c>
      <c r="D206" t="s">
        <v>14</v>
      </c>
      <c r="E206">
        <v>2</v>
      </c>
      <c r="F206">
        <v>20000</v>
      </c>
      <c r="G206">
        <v>11000</v>
      </c>
      <c r="H206">
        <v>9000</v>
      </c>
    </row>
    <row r="207" spans="1:8" x14ac:dyDescent="0.25">
      <c r="D207" t="s">
        <v>21</v>
      </c>
      <c r="E207">
        <v>1</v>
      </c>
      <c r="F207">
        <v>15000</v>
      </c>
      <c r="G207">
        <v>11000</v>
      </c>
      <c r="H207">
        <v>4000</v>
      </c>
    </row>
    <row r="208" spans="1:8" x14ac:dyDescent="0.25">
      <c r="C208" t="s">
        <v>16</v>
      </c>
      <c r="D208" t="s">
        <v>11</v>
      </c>
      <c r="E208">
        <v>40</v>
      </c>
      <c r="F208">
        <v>60000</v>
      </c>
      <c r="G208">
        <f>40*500</f>
        <v>20000</v>
      </c>
      <c r="H208">
        <v>40000</v>
      </c>
    </row>
    <row r="209" spans="1:8" x14ac:dyDescent="0.25">
      <c r="C209" t="s">
        <v>32</v>
      </c>
      <c r="D209" t="s">
        <v>12</v>
      </c>
      <c r="E209">
        <v>1</v>
      </c>
      <c r="F209">
        <v>3000</v>
      </c>
      <c r="G209">
        <v>2000</v>
      </c>
      <c r="H209">
        <v>1000</v>
      </c>
    </row>
    <row r="210" spans="1:8" x14ac:dyDescent="0.25">
      <c r="D210" t="s">
        <v>13</v>
      </c>
      <c r="E210">
        <v>1</v>
      </c>
      <c r="F210">
        <v>6500</v>
      </c>
      <c r="G210">
        <v>4500</v>
      </c>
      <c r="H210">
        <v>2000</v>
      </c>
    </row>
    <row r="211" spans="1:8" x14ac:dyDescent="0.25">
      <c r="D211" t="s">
        <v>14</v>
      </c>
      <c r="E211">
        <v>1</v>
      </c>
      <c r="F211">
        <v>10000</v>
      </c>
      <c r="G211">
        <v>5500</v>
      </c>
      <c r="H211">
        <v>4500</v>
      </c>
    </row>
    <row r="212" spans="1:8" x14ac:dyDescent="0.25">
      <c r="C212" t="s">
        <v>16</v>
      </c>
      <c r="D212" t="s">
        <v>11</v>
      </c>
      <c r="E212">
        <v>17</v>
      </c>
      <c r="F212">
        <v>25500</v>
      </c>
      <c r="G212">
        <f>17*500</f>
        <v>8500</v>
      </c>
      <c r="H212">
        <v>17000</v>
      </c>
    </row>
    <row r="213" spans="1:8" x14ac:dyDescent="0.25">
      <c r="D213" t="s">
        <v>12</v>
      </c>
      <c r="E213">
        <v>4</v>
      </c>
      <c r="F213">
        <v>12000</v>
      </c>
      <c r="G213">
        <v>8000</v>
      </c>
      <c r="H213">
        <v>4000</v>
      </c>
    </row>
    <row r="214" spans="1:8" x14ac:dyDescent="0.25">
      <c r="D214" t="s">
        <v>13</v>
      </c>
      <c r="E214">
        <v>1</v>
      </c>
      <c r="F214">
        <v>6500</v>
      </c>
      <c r="G214">
        <v>4500</v>
      </c>
      <c r="H214">
        <v>2000</v>
      </c>
    </row>
    <row r="215" spans="1:8" x14ac:dyDescent="0.25">
      <c r="D215" t="s">
        <v>21</v>
      </c>
      <c r="E215">
        <v>1</v>
      </c>
      <c r="F215">
        <v>15000</v>
      </c>
      <c r="G215">
        <v>11000</v>
      </c>
      <c r="H215">
        <v>4000</v>
      </c>
    </row>
    <row r="216" spans="1:8" x14ac:dyDescent="0.25">
      <c r="C216" t="s">
        <v>63</v>
      </c>
      <c r="D216" t="s">
        <v>25</v>
      </c>
      <c r="E216">
        <v>1</v>
      </c>
      <c r="F216">
        <v>15000</v>
      </c>
      <c r="G216">
        <v>10000</v>
      </c>
      <c r="H216">
        <v>5000</v>
      </c>
    </row>
    <row r="217" spans="1:8" x14ac:dyDescent="0.25">
      <c r="D217" t="s">
        <v>25</v>
      </c>
      <c r="E217">
        <v>2</v>
      </c>
      <c r="F217">
        <v>30000</v>
      </c>
      <c r="G217">
        <v>20000</v>
      </c>
      <c r="H217">
        <v>10000</v>
      </c>
    </row>
    <row r="218" spans="1:8" x14ac:dyDescent="0.25">
      <c r="A218" s="111" t="s">
        <v>17</v>
      </c>
      <c r="B218" s="111"/>
      <c r="C218" s="111"/>
      <c r="D218" s="111"/>
      <c r="E218" s="111"/>
      <c r="F218" s="1">
        <f>SUM(F201:F217)</f>
        <v>506500</v>
      </c>
      <c r="G218" s="1">
        <f>SUM(G201:G217)</f>
        <v>212000</v>
      </c>
      <c r="H218" s="1">
        <f>SUM(H201:H217)</f>
        <v>294500</v>
      </c>
    </row>
    <row r="219" spans="1:8" x14ac:dyDescent="0.25">
      <c r="A219" t="s">
        <v>18</v>
      </c>
      <c r="B219" t="s">
        <v>142</v>
      </c>
      <c r="C219" t="s">
        <v>81</v>
      </c>
      <c r="D219" t="s">
        <v>11</v>
      </c>
      <c r="E219">
        <v>50</v>
      </c>
      <c r="F219">
        <f>50*1500</f>
        <v>75000</v>
      </c>
      <c r="G219">
        <f>50*500</f>
        <v>25000</v>
      </c>
      <c r="H219">
        <v>50000</v>
      </c>
    </row>
    <row r="220" spans="1:8" x14ac:dyDescent="0.25">
      <c r="C220" t="s">
        <v>105</v>
      </c>
      <c r="D220" t="s">
        <v>11</v>
      </c>
      <c r="E220">
        <v>50</v>
      </c>
      <c r="F220">
        <v>75000</v>
      </c>
      <c r="G220">
        <f>50*500</f>
        <v>25000</v>
      </c>
      <c r="H220">
        <v>50000</v>
      </c>
    </row>
    <row r="221" spans="1:8" x14ac:dyDescent="0.25">
      <c r="C221" t="s">
        <v>106</v>
      </c>
      <c r="D221" t="s">
        <v>11</v>
      </c>
      <c r="E221">
        <v>29</v>
      </c>
      <c r="F221">
        <v>43500</v>
      </c>
      <c r="G221">
        <f>29*500</f>
        <v>14500</v>
      </c>
      <c r="H221">
        <v>29000</v>
      </c>
    </row>
    <row r="222" spans="1:8" x14ac:dyDescent="0.25">
      <c r="C222" t="s">
        <v>109</v>
      </c>
      <c r="D222" t="s">
        <v>11</v>
      </c>
      <c r="E222">
        <v>20</v>
      </c>
      <c r="F222">
        <v>30000</v>
      </c>
      <c r="G222">
        <f>20*500</f>
        <v>10000</v>
      </c>
      <c r="H222">
        <v>20000</v>
      </c>
    </row>
    <row r="223" spans="1:8" x14ac:dyDescent="0.25">
      <c r="C223" t="s">
        <v>81</v>
      </c>
      <c r="D223" t="s">
        <v>11</v>
      </c>
      <c r="E223">
        <v>40</v>
      </c>
      <c r="F223">
        <f>40*1500</f>
        <v>60000</v>
      </c>
      <c r="G223">
        <f>40*500</f>
        <v>20000</v>
      </c>
      <c r="H223">
        <v>40000</v>
      </c>
    </row>
    <row r="224" spans="1:8" x14ac:dyDescent="0.25">
      <c r="C224" t="s">
        <v>10</v>
      </c>
      <c r="D224" t="s">
        <v>11</v>
      </c>
      <c r="E224">
        <v>15</v>
      </c>
      <c r="F224">
        <v>22500</v>
      </c>
      <c r="G224">
        <f>15*500</f>
        <v>7500</v>
      </c>
      <c r="H224">
        <v>15000</v>
      </c>
    </row>
    <row r="225" spans="1:8" x14ac:dyDescent="0.25">
      <c r="C225" t="s">
        <v>32</v>
      </c>
      <c r="D225" t="s">
        <v>12</v>
      </c>
      <c r="E225">
        <v>5</v>
      </c>
      <c r="F225">
        <v>15000</v>
      </c>
      <c r="G225">
        <v>10000</v>
      </c>
      <c r="H225">
        <v>5000</v>
      </c>
    </row>
    <row r="226" spans="1:8" x14ac:dyDescent="0.25">
      <c r="D226" t="s">
        <v>13</v>
      </c>
      <c r="E226">
        <v>1</v>
      </c>
      <c r="F226">
        <v>6500</v>
      </c>
      <c r="G226">
        <v>4500</v>
      </c>
      <c r="H226">
        <v>2000</v>
      </c>
    </row>
    <row r="227" spans="1:8" x14ac:dyDescent="0.25">
      <c r="D227" t="s">
        <v>14</v>
      </c>
      <c r="E227">
        <v>3</v>
      </c>
      <c r="F227">
        <v>24000</v>
      </c>
      <c r="G227">
        <f>3*5500</f>
        <v>16500</v>
      </c>
      <c r="H227">
        <v>7500</v>
      </c>
    </row>
    <row r="228" spans="1:8" x14ac:dyDescent="0.25">
      <c r="C228" t="s">
        <v>10</v>
      </c>
      <c r="D228" t="s">
        <v>11</v>
      </c>
      <c r="E228">
        <v>30</v>
      </c>
      <c r="F228">
        <v>45000</v>
      </c>
      <c r="G228">
        <f>30*500</f>
        <v>15000</v>
      </c>
      <c r="H228">
        <v>30000</v>
      </c>
    </row>
    <row r="229" spans="1:8" x14ac:dyDescent="0.25">
      <c r="C229" t="s">
        <v>8</v>
      </c>
      <c r="D229" t="s">
        <v>12</v>
      </c>
      <c r="E229">
        <v>10</v>
      </c>
      <c r="F229">
        <v>30000</v>
      </c>
      <c r="G229">
        <v>20000</v>
      </c>
      <c r="H229">
        <v>10000</v>
      </c>
    </row>
    <row r="230" spans="1:8" x14ac:dyDescent="0.25">
      <c r="D230" t="s">
        <v>13</v>
      </c>
      <c r="E230">
        <v>2</v>
      </c>
      <c r="F230">
        <v>13000</v>
      </c>
      <c r="G230">
        <v>9000</v>
      </c>
      <c r="H230">
        <v>4000</v>
      </c>
    </row>
    <row r="231" spans="1:8" x14ac:dyDescent="0.25">
      <c r="D231" t="s">
        <v>14</v>
      </c>
      <c r="E231">
        <v>1</v>
      </c>
      <c r="F231">
        <v>8000</v>
      </c>
      <c r="G231">
        <v>5500</v>
      </c>
      <c r="H231">
        <v>2500</v>
      </c>
    </row>
    <row r="232" spans="1:8" x14ac:dyDescent="0.25">
      <c r="C232" t="s">
        <v>63</v>
      </c>
      <c r="D232" t="s">
        <v>21</v>
      </c>
      <c r="E232">
        <v>2</v>
      </c>
      <c r="F232">
        <v>30000</v>
      </c>
      <c r="G232">
        <v>22000</v>
      </c>
      <c r="H232">
        <v>8000</v>
      </c>
    </row>
    <row r="233" spans="1:8" x14ac:dyDescent="0.25">
      <c r="A233" s="111" t="s">
        <v>17</v>
      </c>
      <c r="B233" s="111"/>
      <c r="C233" s="111"/>
      <c r="D233" s="111"/>
      <c r="E233" s="111"/>
      <c r="F233" s="1">
        <f>SUM(F219:F232)</f>
        <v>477500</v>
      </c>
      <c r="G233" s="1">
        <f>SUM(G219:G232)</f>
        <v>204500</v>
      </c>
      <c r="H233" s="1">
        <f>SUM(H219:H232)</f>
        <v>273000</v>
      </c>
    </row>
    <row r="234" spans="1:8" x14ac:dyDescent="0.25">
      <c r="A234" t="s">
        <v>22</v>
      </c>
      <c r="B234" t="s">
        <v>143</v>
      </c>
      <c r="C234" t="s">
        <v>106</v>
      </c>
      <c r="D234" t="s">
        <v>11</v>
      </c>
      <c r="E234">
        <v>19</v>
      </c>
      <c r="F234">
        <v>28500</v>
      </c>
      <c r="G234">
        <f>19*500</f>
        <v>9500</v>
      </c>
      <c r="H234">
        <v>19000</v>
      </c>
    </row>
    <row r="235" spans="1:8" x14ac:dyDescent="0.25">
      <c r="C235" t="s">
        <v>109</v>
      </c>
      <c r="D235" t="s">
        <v>11</v>
      </c>
      <c r="E235">
        <v>60</v>
      </c>
      <c r="F235">
        <v>90000</v>
      </c>
      <c r="G235">
        <f>60*500</f>
        <v>30000</v>
      </c>
      <c r="H235">
        <v>60000</v>
      </c>
    </row>
    <row r="236" spans="1:8" x14ac:dyDescent="0.25">
      <c r="C236" t="s">
        <v>105</v>
      </c>
      <c r="D236" t="s">
        <v>11</v>
      </c>
      <c r="E236">
        <v>49</v>
      </c>
      <c r="F236">
        <v>73500</v>
      </c>
      <c r="G236">
        <f>49*500</f>
        <v>24500</v>
      </c>
      <c r="H236">
        <v>49000</v>
      </c>
    </row>
    <row r="237" spans="1:8" x14ac:dyDescent="0.25">
      <c r="C237" t="s">
        <v>20</v>
      </c>
      <c r="D237" t="s">
        <v>13</v>
      </c>
      <c r="E237">
        <v>2</v>
      </c>
      <c r="F237">
        <v>13000</v>
      </c>
      <c r="G237">
        <v>9000</v>
      </c>
      <c r="H237">
        <v>4000</v>
      </c>
    </row>
    <row r="238" spans="1:8" x14ac:dyDescent="0.25">
      <c r="D238" t="s">
        <v>14</v>
      </c>
      <c r="E238">
        <v>8</v>
      </c>
      <c r="F238">
        <v>80000</v>
      </c>
      <c r="G238">
        <f>8*5500</f>
        <v>44000</v>
      </c>
      <c r="H238">
        <f>8*4500</f>
        <v>36000</v>
      </c>
    </row>
    <row r="239" spans="1:8" x14ac:dyDescent="0.25">
      <c r="C239" t="s">
        <v>10</v>
      </c>
      <c r="D239" t="s">
        <v>11</v>
      </c>
      <c r="E239">
        <v>30</v>
      </c>
      <c r="F239">
        <v>45000</v>
      </c>
      <c r="G239">
        <f>30*500</f>
        <v>15000</v>
      </c>
      <c r="H239">
        <v>30000</v>
      </c>
    </row>
    <row r="240" spans="1:8" x14ac:dyDescent="0.25">
      <c r="D240" t="s">
        <v>12</v>
      </c>
      <c r="E240">
        <v>3</v>
      </c>
      <c r="F240">
        <v>9000</v>
      </c>
      <c r="G240">
        <v>6000</v>
      </c>
      <c r="H240">
        <v>3000</v>
      </c>
    </row>
    <row r="241" spans="1:8" x14ac:dyDescent="0.25">
      <c r="D241" t="s">
        <v>13</v>
      </c>
      <c r="E241">
        <v>1</v>
      </c>
      <c r="F241">
        <v>6500</v>
      </c>
      <c r="G241">
        <v>4500</v>
      </c>
      <c r="H241">
        <v>2000</v>
      </c>
    </row>
    <row r="242" spans="1:8" x14ac:dyDescent="0.25">
      <c r="D242" t="s">
        <v>14</v>
      </c>
      <c r="E242">
        <v>1</v>
      </c>
      <c r="F242">
        <v>8000</v>
      </c>
      <c r="G242">
        <v>5500</v>
      </c>
      <c r="H242">
        <v>2500</v>
      </c>
    </row>
    <row r="243" spans="1:8" x14ac:dyDescent="0.25">
      <c r="C243" t="s">
        <v>10</v>
      </c>
      <c r="D243" t="s">
        <v>11</v>
      </c>
      <c r="E243">
        <v>40</v>
      </c>
      <c r="F243">
        <v>60000</v>
      </c>
      <c r="G243">
        <f>40*500</f>
        <v>20000</v>
      </c>
      <c r="H243">
        <v>40000</v>
      </c>
    </row>
    <row r="244" spans="1:8" x14ac:dyDescent="0.25">
      <c r="C244" t="s">
        <v>18</v>
      </c>
      <c r="D244" t="s">
        <v>12</v>
      </c>
      <c r="E244">
        <v>5</v>
      </c>
      <c r="F244">
        <v>15000</v>
      </c>
      <c r="G244">
        <v>10000</v>
      </c>
      <c r="H244">
        <v>5000</v>
      </c>
    </row>
    <row r="245" spans="1:8" x14ac:dyDescent="0.25">
      <c r="D245" t="s">
        <v>13</v>
      </c>
      <c r="E245">
        <v>8</v>
      </c>
      <c r="F245">
        <v>52000</v>
      </c>
      <c r="G245">
        <f>8*4500</f>
        <v>36000</v>
      </c>
      <c r="H245">
        <v>16000</v>
      </c>
    </row>
    <row r="246" spans="1:8" x14ac:dyDescent="0.25">
      <c r="D246" t="s">
        <v>14</v>
      </c>
      <c r="E246">
        <v>5</v>
      </c>
      <c r="F246">
        <v>40000</v>
      </c>
      <c r="G246">
        <f>5*5500</f>
        <v>27500</v>
      </c>
      <c r="H246">
        <f>5*2500</f>
        <v>12500</v>
      </c>
    </row>
    <row r="247" spans="1:8" x14ac:dyDescent="0.25">
      <c r="A247" s="111" t="s">
        <v>17</v>
      </c>
      <c r="B247" s="111"/>
      <c r="C247" s="111"/>
      <c r="D247" s="111"/>
      <c r="E247" s="111"/>
      <c r="F247" s="1">
        <f>SUM(F234:F246)</f>
        <v>520500</v>
      </c>
      <c r="G247" s="1">
        <f>SUM(G234:G246)</f>
        <v>241500</v>
      </c>
      <c r="H247" s="1">
        <f>SUM(H234:H246)</f>
        <v>279000</v>
      </c>
    </row>
    <row r="248" spans="1:8" x14ac:dyDescent="0.25">
      <c r="A248" t="s">
        <v>26</v>
      </c>
      <c r="B248" t="s">
        <v>144</v>
      </c>
      <c r="C248" t="s">
        <v>81</v>
      </c>
      <c r="D248" t="s">
        <v>11</v>
      </c>
      <c r="E248">
        <f>45000/1500</f>
        <v>30</v>
      </c>
      <c r="F248">
        <v>45000</v>
      </c>
      <c r="G248">
        <f>30*500</f>
        <v>15000</v>
      </c>
      <c r="H248">
        <v>30000</v>
      </c>
    </row>
    <row r="249" spans="1:8" x14ac:dyDescent="0.25">
      <c r="C249" t="s">
        <v>108</v>
      </c>
      <c r="D249" t="s">
        <v>11</v>
      </c>
      <c r="E249">
        <v>60</v>
      </c>
      <c r="F249">
        <v>90000</v>
      </c>
      <c r="G249">
        <f>60*500</f>
        <v>30000</v>
      </c>
      <c r="H249">
        <v>60000</v>
      </c>
    </row>
    <row r="250" spans="1:8" x14ac:dyDescent="0.25">
      <c r="D250" t="s">
        <v>11</v>
      </c>
      <c r="E250">
        <v>33</v>
      </c>
      <c r="F250">
        <v>49500</v>
      </c>
      <c r="G250">
        <f>33*500</f>
        <v>16500</v>
      </c>
      <c r="H250">
        <v>33000</v>
      </c>
    </row>
    <row r="251" spans="1:8" x14ac:dyDescent="0.25">
      <c r="D251" t="s">
        <v>11</v>
      </c>
      <c r="E251">
        <v>44</v>
      </c>
      <c r="F251">
        <v>66000</v>
      </c>
      <c r="G251">
        <f>44*500</f>
        <v>22000</v>
      </c>
      <c r="H251">
        <v>44000</v>
      </c>
    </row>
    <row r="252" spans="1:8" x14ac:dyDescent="0.25">
      <c r="C252" t="s">
        <v>109</v>
      </c>
      <c r="D252" t="s">
        <v>11</v>
      </c>
      <c r="E252">
        <v>73</v>
      </c>
      <c r="F252">
        <v>109500</v>
      </c>
      <c r="G252">
        <f>73*500</f>
        <v>36500</v>
      </c>
      <c r="H252">
        <v>73000</v>
      </c>
    </row>
    <row r="253" spans="1:8" x14ac:dyDescent="0.25">
      <c r="C253" t="s">
        <v>106</v>
      </c>
      <c r="D253" t="s">
        <v>11</v>
      </c>
      <c r="E253">
        <v>15</v>
      </c>
      <c r="F253">
        <v>22500</v>
      </c>
      <c r="G253">
        <f>15*500</f>
        <v>7500</v>
      </c>
      <c r="H253">
        <v>15000</v>
      </c>
    </row>
    <row r="254" spans="1:8" x14ac:dyDescent="0.25">
      <c r="C254" t="s">
        <v>20</v>
      </c>
      <c r="D254" t="s">
        <v>13</v>
      </c>
      <c r="E254">
        <v>8</v>
      </c>
      <c r="F254">
        <v>52000</v>
      </c>
      <c r="G254">
        <f>8*4500</f>
        <v>36000</v>
      </c>
      <c r="H254">
        <v>16000</v>
      </c>
    </row>
    <row r="255" spans="1:8" x14ac:dyDescent="0.25">
      <c r="D255" t="s">
        <v>14</v>
      </c>
      <c r="E255">
        <v>10</v>
      </c>
      <c r="F255">
        <v>100000</v>
      </c>
      <c r="G255">
        <f>10*5500</f>
        <v>55000</v>
      </c>
      <c r="H255">
        <v>45000</v>
      </c>
    </row>
    <row r="256" spans="1:8" x14ac:dyDescent="0.25">
      <c r="C256" t="s">
        <v>16</v>
      </c>
      <c r="D256" t="s">
        <v>11</v>
      </c>
      <c r="E256">
        <v>20</v>
      </c>
      <c r="F256">
        <f>20*1500</f>
        <v>30000</v>
      </c>
      <c r="G256">
        <f>20*500</f>
        <v>10000</v>
      </c>
      <c r="H256">
        <v>20000</v>
      </c>
    </row>
    <row r="257" spans="1:8" x14ac:dyDescent="0.25">
      <c r="C257" t="s">
        <v>20</v>
      </c>
      <c r="D257" t="s">
        <v>13</v>
      </c>
      <c r="E257">
        <v>13</v>
      </c>
      <c r="F257">
        <v>84500</v>
      </c>
      <c r="G257">
        <f>13*4500</f>
        <v>58500</v>
      </c>
      <c r="H257">
        <f>13*2000</f>
        <v>26000</v>
      </c>
    </row>
    <row r="258" spans="1:8" x14ac:dyDescent="0.25">
      <c r="D258" t="s">
        <v>14</v>
      </c>
      <c r="E258">
        <v>16</v>
      </c>
      <c r="F258">
        <v>160000</v>
      </c>
      <c r="G258">
        <f>16*5500</f>
        <v>88000</v>
      </c>
      <c r="H258">
        <f>16*4500</f>
        <v>72000</v>
      </c>
    </row>
    <row r="259" spans="1:8" x14ac:dyDescent="0.25">
      <c r="C259" t="s">
        <v>10</v>
      </c>
      <c r="D259" t="s">
        <v>11</v>
      </c>
      <c r="E259">
        <v>12</v>
      </c>
      <c r="F259">
        <v>18000</v>
      </c>
      <c r="G259">
        <f>12*500</f>
        <v>6000</v>
      </c>
      <c r="H259">
        <v>12000</v>
      </c>
    </row>
    <row r="260" spans="1:8" x14ac:dyDescent="0.25">
      <c r="D260" t="s">
        <v>12</v>
      </c>
      <c r="E260">
        <v>4</v>
      </c>
      <c r="F260">
        <v>12000</v>
      </c>
      <c r="G260">
        <v>8000</v>
      </c>
      <c r="H260">
        <v>4000</v>
      </c>
    </row>
    <row r="261" spans="1:8" x14ac:dyDescent="0.25">
      <c r="D261" t="s">
        <v>13</v>
      </c>
      <c r="E261">
        <v>13</v>
      </c>
      <c r="F261">
        <v>84500</v>
      </c>
      <c r="G261">
        <f>13*4500</f>
        <v>58500</v>
      </c>
      <c r="H261">
        <f>13*2000</f>
        <v>26000</v>
      </c>
    </row>
    <row r="262" spans="1:8" x14ac:dyDescent="0.25">
      <c r="D262" t="s">
        <v>14</v>
      </c>
      <c r="E262">
        <v>11</v>
      </c>
      <c r="F262">
        <v>88000</v>
      </c>
      <c r="G262">
        <f>11*5500</f>
        <v>60500</v>
      </c>
      <c r="H262">
        <f>11*2500</f>
        <v>27500</v>
      </c>
    </row>
    <row r="263" spans="1:8" x14ac:dyDescent="0.25">
      <c r="A263" s="111" t="s">
        <v>17</v>
      </c>
      <c r="B263" s="111"/>
      <c r="C263" s="111"/>
      <c r="D263" s="111"/>
      <c r="E263" s="111"/>
      <c r="F263" s="1">
        <f>SUM(F248:F262)</f>
        <v>1011500</v>
      </c>
      <c r="G263" s="1">
        <f>SUM(G248:G262)</f>
        <v>508000</v>
      </c>
      <c r="H263" s="1">
        <f>SUM(H248:H262)</f>
        <v>503500</v>
      </c>
    </row>
    <row r="264" spans="1:8" x14ac:dyDescent="0.25">
      <c r="A264" t="s">
        <v>28</v>
      </c>
      <c r="B264" t="s">
        <v>145</v>
      </c>
      <c r="C264" t="s">
        <v>20</v>
      </c>
      <c r="D264" t="s">
        <v>13</v>
      </c>
      <c r="E264">
        <v>35</v>
      </c>
      <c r="F264">
        <v>227500</v>
      </c>
      <c r="G264">
        <f>35*4500</f>
        <v>157500</v>
      </c>
      <c r="H264">
        <f>35*2000</f>
        <v>70000</v>
      </c>
    </row>
    <row r="265" spans="1:8" x14ac:dyDescent="0.25">
      <c r="D265" t="s">
        <v>14</v>
      </c>
      <c r="E265">
        <v>30</v>
      </c>
      <c r="F265">
        <v>300000</v>
      </c>
      <c r="G265">
        <f>30*5500</f>
        <v>165000</v>
      </c>
      <c r="H265">
        <f>30*4500</f>
        <v>135000</v>
      </c>
    </row>
    <row r="266" spans="1:8" x14ac:dyDescent="0.25">
      <c r="D266" t="s">
        <v>21</v>
      </c>
      <c r="E266">
        <v>2</v>
      </c>
      <c r="F266">
        <v>30000</v>
      </c>
      <c r="G266">
        <v>22000</v>
      </c>
      <c r="H266">
        <v>8000</v>
      </c>
    </row>
    <row r="267" spans="1:8" x14ac:dyDescent="0.25">
      <c r="C267" t="s">
        <v>10</v>
      </c>
      <c r="D267" t="s">
        <v>13</v>
      </c>
      <c r="E267">
        <v>12</v>
      </c>
      <c r="F267">
        <v>78000</v>
      </c>
      <c r="G267">
        <f>12*4500</f>
        <v>54000</v>
      </c>
      <c r="H267">
        <v>24000</v>
      </c>
    </row>
    <row r="268" spans="1:8" x14ac:dyDescent="0.25">
      <c r="D268" t="s">
        <v>14</v>
      </c>
      <c r="E268">
        <v>8</v>
      </c>
      <c r="F268">
        <v>64000</v>
      </c>
      <c r="G268">
        <f>8*5500</f>
        <v>44000</v>
      </c>
      <c r="H268">
        <f>8*2500</f>
        <v>20000</v>
      </c>
    </row>
    <row r="269" spans="1:8" x14ac:dyDescent="0.25">
      <c r="C269" t="s">
        <v>15</v>
      </c>
      <c r="D269" t="s">
        <v>13</v>
      </c>
      <c r="E269">
        <v>15</v>
      </c>
      <c r="F269">
        <v>97500</v>
      </c>
      <c r="G269">
        <f>15*4500</f>
        <v>67500</v>
      </c>
      <c r="H269">
        <v>30000</v>
      </c>
    </row>
    <row r="270" spans="1:8" x14ac:dyDescent="0.25">
      <c r="D270" t="s">
        <v>14</v>
      </c>
      <c r="E270">
        <v>5</v>
      </c>
      <c r="F270">
        <v>50000</v>
      </c>
      <c r="G270">
        <f>5*5500</f>
        <v>27500</v>
      </c>
      <c r="H270">
        <f>5*4500</f>
        <v>22500</v>
      </c>
    </row>
    <row r="271" spans="1:8" x14ac:dyDescent="0.25">
      <c r="D271" t="s">
        <v>14</v>
      </c>
      <c r="E271">
        <v>8</v>
      </c>
      <c r="F271">
        <v>64000</v>
      </c>
      <c r="G271">
        <f>8*5500</f>
        <v>44000</v>
      </c>
      <c r="H271">
        <f>8*2500</f>
        <v>20000</v>
      </c>
    </row>
    <row r="272" spans="1:8" x14ac:dyDescent="0.25">
      <c r="A272" s="111" t="s">
        <v>17</v>
      </c>
      <c r="B272" s="111"/>
      <c r="C272" s="111"/>
      <c r="D272" s="111"/>
      <c r="E272" s="111"/>
      <c r="F272" s="1">
        <f>SUM(F264:F271)</f>
        <v>911000</v>
      </c>
      <c r="G272" s="1">
        <f>SUM(G264:G271)</f>
        <v>581500</v>
      </c>
      <c r="H272" s="1">
        <f>SUM(H264:H271)</f>
        <v>329500</v>
      </c>
    </row>
    <row r="273" spans="1:8" x14ac:dyDescent="0.25">
      <c r="A273" t="s">
        <v>30</v>
      </c>
      <c r="B273" t="s">
        <v>146</v>
      </c>
      <c r="C273" t="s">
        <v>16</v>
      </c>
      <c r="D273" t="s">
        <v>11</v>
      </c>
      <c r="E273">
        <v>55</v>
      </c>
      <c r="F273">
        <v>82500</v>
      </c>
      <c r="G273">
        <f>55*500</f>
        <v>27500</v>
      </c>
      <c r="H273">
        <v>55000</v>
      </c>
    </row>
    <row r="274" spans="1:8" x14ac:dyDescent="0.25">
      <c r="C274" t="s">
        <v>28</v>
      </c>
      <c r="D274" t="s">
        <v>12</v>
      </c>
      <c r="E274">
        <v>4</v>
      </c>
      <c r="F274">
        <v>12000</v>
      </c>
      <c r="G274">
        <v>8000</v>
      </c>
      <c r="H274">
        <v>4000</v>
      </c>
    </row>
    <row r="275" spans="1:8" x14ac:dyDescent="0.25">
      <c r="D275" t="s">
        <v>13</v>
      </c>
      <c r="E275">
        <v>1</v>
      </c>
      <c r="F275">
        <v>6500</v>
      </c>
      <c r="G275">
        <v>4500</v>
      </c>
      <c r="H275">
        <v>2000</v>
      </c>
    </row>
    <row r="276" spans="1:8" x14ac:dyDescent="0.25">
      <c r="C276" t="s">
        <v>81</v>
      </c>
      <c r="D276" t="s">
        <v>11</v>
      </c>
      <c r="E276">
        <v>50</v>
      </c>
      <c r="F276">
        <f>50*1500</f>
        <v>75000</v>
      </c>
      <c r="G276">
        <f>50*500</f>
        <v>25000</v>
      </c>
      <c r="H276">
        <v>50000</v>
      </c>
    </row>
    <row r="277" spans="1:8" x14ac:dyDescent="0.25">
      <c r="D277" t="s">
        <v>11</v>
      </c>
      <c r="E277">
        <v>50</v>
      </c>
      <c r="F277">
        <f>50*1500</f>
        <v>75000</v>
      </c>
      <c r="G277">
        <f>50*500</f>
        <v>25000</v>
      </c>
      <c r="H277">
        <v>50000</v>
      </c>
    </row>
    <row r="278" spans="1:8" x14ac:dyDescent="0.25">
      <c r="C278" t="s">
        <v>108</v>
      </c>
      <c r="D278" t="s">
        <v>11</v>
      </c>
      <c r="E278">
        <v>54</v>
      </c>
      <c r="F278">
        <v>81000</v>
      </c>
      <c r="G278">
        <f>54*500</f>
        <v>27000</v>
      </c>
      <c r="H278">
        <v>54000</v>
      </c>
    </row>
    <row r="279" spans="1:8" x14ac:dyDescent="0.25">
      <c r="C279" t="s">
        <v>106</v>
      </c>
      <c r="D279" t="s">
        <v>11</v>
      </c>
      <c r="E279">
        <v>20</v>
      </c>
      <c r="F279">
        <v>30000</v>
      </c>
      <c r="G279">
        <v>10000</v>
      </c>
      <c r="H279">
        <v>20000</v>
      </c>
    </row>
    <row r="280" spans="1:8" x14ac:dyDescent="0.25">
      <c r="C280" t="s">
        <v>109</v>
      </c>
      <c r="D280" t="s">
        <v>11</v>
      </c>
      <c r="E280">
        <v>20</v>
      </c>
      <c r="F280">
        <v>30000</v>
      </c>
      <c r="G280">
        <v>10000</v>
      </c>
      <c r="H280">
        <v>20000</v>
      </c>
    </row>
    <row r="281" spans="1:8" x14ac:dyDescent="0.25">
      <c r="C281" t="s">
        <v>147</v>
      </c>
      <c r="D281" t="s">
        <v>14</v>
      </c>
      <c r="E281">
        <v>5</v>
      </c>
      <c r="F281">
        <v>50000</v>
      </c>
      <c r="G281">
        <f>5*5500</f>
        <v>27500</v>
      </c>
      <c r="H281">
        <f>5*4500</f>
        <v>22500</v>
      </c>
    </row>
    <row r="282" spans="1:8" x14ac:dyDescent="0.25">
      <c r="C282" t="s">
        <v>63</v>
      </c>
      <c r="D282" t="s">
        <v>25</v>
      </c>
      <c r="E282">
        <v>3</v>
      </c>
      <c r="F282">
        <v>45000</v>
      </c>
      <c r="G282">
        <v>30000</v>
      </c>
      <c r="H282">
        <v>15000</v>
      </c>
    </row>
    <row r="283" spans="1:8" x14ac:dyDescent="0.25">
      <c r="C283" t="s">
        <v>63</v>
      </c>
      <c r="D283" t="s">
        <v>25</v>
      </c>
      <c r="E283">
        <v>5</v>
      </c>
      <c r="F283">
        <v>60000</v>
      </c>
      <c r="G283">
        <v>50000</v>
      </c>
      <c r="H283">
        <v>10000</v>
      </c>
    </row>
    <row r="284" spans="1:8" x14ac:dyDescent="0.25">
      <c r="C284" t="s">
        <v>10</v>
      </c>
      <c r="D284" t="s">
        <v>11</v>
      </c>
      <c r="E284">
        <v>7</v>
      </c>
      <c r="F284">
        <v>10500</v>
      </c>
      <c r="G284">
        <v>3500</v>
      </c>
      <c r="H284">
        <v>7000</v>
      </c>
    </row>
    <row r="285" spans="1:8" x14ac:dyDescent="0.25">
      <c r="D285" t="s">
        <v>13</v>
      </c>
      <c r="E285">
        <v>3</v>
      </c>
      <c r="F285">
        <v>19500</v>
      </c>
      <c r="G285">
        <f>3*4500</f>
        <v>13500</v>
      </c>
      <c r="H285">
        <v>6000</v>
      </c>
    </row>
    <row r="286" spans="1:8" x14ac:dyDescent="0.25">
      <c r="C286" t="s">
        <v>16</v>
      </c>
      <c r="D286" t="s">
        <v>11</v>
      </c>
      <c r="E286">
        <v>6</v>
      </c>
      <c r="F286">
        <f>6*1500</f>
        <v>9000</v>
      </c>
      <c r="G286">
        <f>6*500</f>
        <v>3000</v>
      </c>
      <c r="H286">
        <v>6000</v>
      </c>
    </row>
    <row r="287" spans="1:8" x14ac:dyDescent="0.25">
      <c r="D287" t="s">
        <v>12</v>
      </c>
      <c r="E287">
        <v>2</v>
      </c>
      <c r="F287">
        <v>6000</v>
      </c>
      <c r="G287">
        <v>4000</v>
      </c>
      <c r="H287">
        <v>2000</v>
      </c>
    </row>
    <row r="288" spans="1:8" x14ac:dyDescent="0.25">
      <c r="A288" s="111" t="s">
        <v>17</v>
      </c>
      <c r="B288" s="111"/>
      <c r="C288" s="111"/>
      <c r="D288" s="111"/>
      <c r="E288" s="111"/>
      <c r="F288" s="1">
        <f>SUM(F273:F287)</f>
        <v>592000</v>
      </c>
      <c r="G288" s="1">
        <f>SUM(G273:G287)</f>
        <v>268500</v>
      </c>
      <c r="H288" s="1">
        <f>SUM(H273:H287)</f>
        <v>323500</v>
      </c>
    </row>
    <row r="289" spans="1:8" x14ac:dyDescent="0.25">
      <c r="A289" t="s">
        <v>32</v>
      </c>
      <c r="B289" t="s">
        <v>148</v>
      </c>
      <c r="C289" t="s">
        <v>81</v>
      </c>
      <c r="D289" t="s">
        <v>11</v>
      </c>
      <c r="E289">
        <v>52</v>
      </c>
      <c r="F289">
        <f>52*1500</f>
        <v>78000</v>
      </c>
      <c r="G289">
        <f>52*500</f>
        <v>26000</v>
      </c>
      <c r="H289">
        <v>52000</v>
      </c>
    </row>
    <row r="290" spans="1:8" x14ac:dyDescent="0.25">
      <c r="C290" t="s">
        <v>105</v>
      </c>
      <c r="D290" t="s">
        <v>11</v>
      </c>
      <c r="E290">
        <f>F290/1500</f>
        <v>50</v>
      </c>
      <c r="F290">
        <v>75000</v>
      </c>
      <c r="G290">
        <f>50*500</f>
        <v>25000</v>
      </c>
      <c r="H290">
        <v>50000</v>
      </c>
    </row>
    <row r="291" spans="1:8" x14ac:dyDescent="0.25">
      <c r="D291" t="s">
        <v>11</v>
      </c>
      <c r="E291">
        <f>F291/1500</f>
        <v>32</v>
      </c>
      <c r="F291">
        <v>48000</v>
      </c>
      <c r="G291">
        <f>32*500</f>
        <v>16000</v>
      </c>
      <c r="H291">
        <v>32000</v>
      </c>
    </row>
    <row r="292" spans="1:8" x14ac:dyDescent="0.25">
      <c r="C292" t="s">
        <v>108</v>
      </c>
      <c r="D292" t="s">
        <v>11</v>
      </c>
      <c r="E292">
        <f>F292/1500</f>
        <v>60</v>
      </c>
      <c r="F292">
        <v>90000</v>
      </c>
      <c r="G292">
        <f>60*500</f>
        <v>30000</v>
      </c>
      <c r="H292">
        <v>60000</v>
      </c>
    </row>
    <row r="293" spans="1:8" x14ac:dyDescent="0.25">
      <c r="C293" t="s">
        <v>106</v>
      </c>
      <c r="D293" t="s">
        <v>11</v>
      </c>
      <c r="E293">
        <v>22</v>
      </c>
      <c r="F293">
        <v>33000</v>
      </c>
      <c r="G293">
        <f>22*500</f>
        <v>11000</v>
      </c>
      <c r="H293">
        <v>22000</v>
      </c>
    </row>
    <row r="294" spans="1:8" x14ac:dyDescent="0.25">
      <c r="C294" t="s">
        <v>20</v>
      </c>
      <c r="D294" t="s">
        <v>13</v>
      </c>
      <c r="E294">
        <v>5</v>
      </c>
      <c r="F294">
        <v>32500</v>
      </c>
      <c r="G294">
        <f>5*4500</f>
        <v>22500</v>
      </c>
      <c r="H294">
        <v>10000</v>
      </c>
    </row>
    <row r="295" spans="1:8" x14ac:dyDescent="0.25">
      <c r="D295" t="s">
        <v>14</v>
      </c>
      <c r="E295">
        <v>2</v>
      </c>
      <c r="F295">
        <v>20000</v>
      </c>
      <c r="G295">
        <v>11000</v>
      </c>
      <c r="H295">
        <v>9000</v>
      </c>
    </row>
    <row r="296" spans="1:8" x14ac:dyDescent="0.25">
      <c r="C296" t="s">
        <v>63</v>
      </c>
      <c r="D296" t="s">
        <v>25</v>
      </c>
      <c r="E296">
        <v>3</v>
      </c>
      <c r="F296">
        <v>39000</v>
      </c>
      <c r="G296">
        <v>30000</v>
      </c>
      <c r="H296">
        <v>9000</v>
      </c>
    </row>
    <row r="297" spans="1:8" x14ac:dyDescent="0.25">
      <c r="A297" s="111" t="s">
        <v>17</v>
      </c>
      <c r="B297" s="111"/>
      <c r="C297" s="111"/>
      <c r="D297" s="111"/>
      <c r="E297" s="111"/>
      <c r="F297" s="1">
        <f>SUM(F289:F296)</f>
        <v>415500</v>
      </c>
      <c r="G297" s="1">
        <f>SUM(G289:G296)</f>
        <v>171500</v>
      </c>
      <c r="H297" s="1">
        <f>SUM(H289:H296)</f>
        <v>244000</v>
      </c>
    </row>
    <row r="298" spans="1:8" x14ac:dyDescent="0.25">
      <c r="A298" t="s">
        <v>8</v>
      </c>
      <c r="B298" t="s">
        <v>149</v>
      </c>
      <c r="C298" t="s">
        <v>106</v>
      </c>
      <c r="D298" t="s">
        <v>11</v>
      </c>
      <c r="E298">
        <v>23</v>
      </c>
      <c r="F298">
        <v>34500</v>
      </c>
      <c r="G298">
        <f>23*500</f>
        <v>11500</v>
      </c>
      <c r="H298">
        <v>23000</v>
      </c>
    </row>
    <row r="299" spans="1:8" x14ac:dyDescent="0.25">
      <c r="C299" t="s">
        <v>81</v>
      </c>
      <c r="D299" t="s">
        <v>11</v>
      </c>
      <c r="E299">
        <v>60</v>
      </c>
      <c r="F299">
        <f>60*1500</f>
        <v>90000</v>
      </c>
      <c r="G299">
        <f>60*500</f>
        <v>30000</v>
      </c>
      <c r="H299">
        <v>60000</v>
      </c>
    </row>
    <row r="300" spans="1:8" x14ac:dyDescent="0.25">
      <c r="C300" t="s">
        <v>105</v>
      </c>
      <c r="D300" t="s">
        <v>11</v>
      </c>
      <c r="E300">
        <v>55</v>
      </c>
      <c r="F300">
        <v>82500</v>
      </c>
      <c r="G300">
        <f>55*500</f>
        <v>27500</v>
      </c>
      <c r="H300">
        <v>55000</v>
      </c>
    </row>
    <row r="301" spans="1:8" x14ac:dyDescent="0.25">
      <c r="C301" t="s">
        <v>20</v>
      </c>
      <c r="D301" t="s">
        <v>13</v>
      </c>
      <c r="E301">
        <v>2</v>
      </c>
      <c r="F301">
        <v>13000</v>
      </c>
      <c r="G301">
        <v>9000</v>
      </c>
      <c r="H301">
        <v>4000</v>
      </c>
    </row>
    <row r="302" spans="1:8" x14ac:dyDescent="0.25">
      <c r="D302" t="s">
        <v>14</v>
      </c>
      <c r="E302">
        <v>3</v>
      </c>
      <c r="F302">
        <v>30000</v>
      </c>
      <c r="G302">
        <f>3*5500</f>
        <v>16500</v>
      </c>
      <c r="H302">
        <f>3*4500</f>
        <v>13500</v>
      </c>
    </row>
    <row r="303" spans="1:8" x14ac:dyDescent="0.25">
      <c r="C303" t="s">
        <v>16</v>
      </c>
      <c r="D303" t="s">
        <v>11</v>
      </c>
      <c r="E303">
        <v>15</v>
      </c>
      <c r="F303">
        <v>22500</v>
      </c>
      <c r="G303">
        <f>15*500</f>
        <v>7500</v>
      </c>
      <c r="H303">
        <v>15000</v>
      </c>
    </row>
    <row r="304" spans="1:8" x14ac:dyDescent="0.25">
      <c r="D304" t="s">
        <v>12</v>
      </c>
      <c r="E304">
        <v>5</v>
      </c>
      <c r="F304">
        <v>15000</v>
      </c>
      <c r="G304">
        <v>10000</v>
      </c>
      <c r="H304">
        <v>5000</v>
      </c>
    </row>
    <row r="305" spans="1:8" x14ac:dyDescent="0.25">
      <c r="C305" t="s">
        <v>10</v>
      </c>
      <c r="D305" t="s">
        <v>11</v>
      </c>
      <c r="E305">
        <v>29</v>
      </c>
      <c r="F305">
        <v>43500</v>
      </c>
      <c r="G305">
        <f>29*500</f>
        <v>14500</v>
      </c>
      <c r="H305">
        <v>29000</v>
      </c>
    </row>
    <row r="306" spans="1:8" x14ac:dyDescent="0.25">
      <c r="D306" t="s">
        <v>12</v>
      </c>
      <c r="E306">
        <v>4</v>
      </c>
      <c r="F306">
        <v>12000</v>
      </c>
      <c r="G306">
        <v>8000</v>
      </c>
      <c r="H306">
        <v>4000</v>
      </c>
    </row>
    <row r="307" spans="1:8" x14ac:dyDescent="0.25">
      <c r="D307" t="s">
        <v>14</v>
      </c>
      <c r="E307">
        <v>1</v>
      </c>
      <c r="F307">
        <v>8000</v>
      </c>
      <c r="G307">
        <v>5500</v>
      </c>
      <c r="H307">
        <v>2500</v>
      </c>
    </row>
    <row r="308" spans="1:8" x14ac:dyDescent="0.25">
      <c r="B308" t="s">
        <v>32</v>
      </c>
      <c r="C308" t="s">
        <v>10</v>
      </c>
      <c r="D308" t="s">
        <v>11</v>
      </c>
      <c r="E308">
        <v>30</v>
      </c>
      <c r="F308">
        <v>45000</v>
      </c>
      <c r="G308">
        <f>30*500</f>
        <v>15000</v>
      </c>
      <c r="H308">
        <v>30000</v>
      </c>
    </row>
    <row r="309" spans="1:8" x14ac:dyDescent="0.25">
      <c r="D309" t="s">
        <v>12</v>
      </c>
      <c r="E309">
        <v>5</v>
      </c>
      <c r="F309">
        <v>15000</v>
      </c>
      <c r="G309">
        <v>10000</v>
      </c>
      <c r="H309">
        <v>5000</v>
      </c>
    </row>
    <row r="310" spans="1:8" x14ac:dyDescent="0.25">
      <c r="D310" t="s">
        <v>13</v>
      </c>
      <c r="E310">
        <v>3</v>
      </c>
      <c r="F310">
        <v>19500</v>
      </c>
      <c r="G310">
        <f>3*4500</f>
        <v>13500</v>
      </c>
      <c r="H310">
        <v>6000</v>
      </c>
    </row>
    <row r="311" spans="1:8" x14ac:dyDescent="0.25">
      <c r="D311" t="s">
        <v>14</v>
      </c>
      <c r="E311">
        <v>3</v>
      </c>
      <c r="F311">
        <v>24000</v>
      </c>
      <c r="G311">
        <f>3*5500</f>
        <v>16500</v>
      </c>
      <c r="H311">
        <v>7500</v>
      </c>
    </row>
    <row r="312" spans="1:8" x14ac:dyDescent="0.25">
      <c r="C312" t="s">
        <v>16</v>
      </c>
      <c r="D312" t="s">
        <v>11</v>
      </c>
      <c r="E312">
        <v>31</v>
      </c>
      <c r="F312">
        <v>46500</v>
      </c>
      <c r="G312">
        <f>31*500</f>
        <v>15500</v>
      </c>
      <c r="H312">
        <v>31000</v>
      </c>
    </row>
    <row r="313" spans="1:8" x14ac:dyDescent="0.25">
      <c r="D313" t="s">
        <v>12</v>
      </c>
      <c r="E313">
        <v>4</v>
      </c>
      <c r="F313">
        <v>12000</v>
      </c>
      <c r="G313">
        <v>8000</v>
      </c>
      <c r="H313">
        <v>4000</v>
      </c>
    </row>
    <row r="314" spans="1:8" x14ac:dyDescent="0.25">
      <c r="D314" t="s">
        <v>13</v>
      </c>
      <c r="E314">
        <v>2</v>
      </c>
      <c r="F314">
        <v>13000</v>
      </c>
      <c r="G314">
        <v>9000</v>
      </c>
      <c r="H314">
        <v>4000</v>
      </c>
    </row>
    <row r="315" spans="1:8" x14ac:dyDescent="0.25">
      <c r="A315" s="111" t="s">
        <v>17</v>
      </c>
      <c r="B315" s="111"/>
      <c r="C315" s="111"/>
      <c r="D315" s="111"/>
      <c r="E315" s="111"/>
      <c r="F315" s="1">
        <f>SUM(F298:F314)</f>
        <v>526000</v>
      </c>
      <c r="G315" s="1">
        <f>SUM(G298:G314)</f>
        <v>227500</v>
      </c>
      <c r="H315" s="1">
        <f>SUM(H298:H314)</f>
        <v>298500</v>
      </c>
    </row>
    <row r="316" spans="1:8" x14ac:dyDescent="0.25">
      <c r="A316" t="s">
        <v>18</v>
      </c>
      <c r="B316" t="s">
        <v>150</v>
      </c>
      <c r="C316" t="s">
        <v>108</v>
      </c>
      <c r="D316" t="s">
        <v>11</v>
      </c>
      <c r="E316">
        <v>60</v>
      </c>
      <c r="F316">
        <v>90000</v>
      </c>
      <c r="G316">
        <f>60*500</f>
        <v>30000</v>
      </c>
      <c r="H316">
        <v>60000</v>
      </c>
    </row>
    <row r="317" spans="1:8" x14ac:dyDescent="0.25">
      <c r="D317" t="s">
        <v>11</v>
      </c>
      <c r="E317">
        <v>60</v>
      </c>
      <c r="F317">
        <v>90000</v>
      </c>
      <c r="G317">
        <f>60*500</f>
        <v>30000</v>
      </c>
      <c r="H317">
        <v>60000</v>
      </c>
    </row>
    <row r="318" spans="1:8" x14ac:dyDescent="0.25">
      <c r="C318" t="s">
        <v>81</v>
      </c>
      <c r="D318" t="s">
        <v>11</v>
      </c>
      <c r="E318">
        <v>65</v>
      </c>
      <c r="F318">
        <f>65*1500</f>
        <v>97500</v>
      </c>
      <c r="G318">
        <f>65*500</f>
        <v>32500</v>
      </c>
      <c r="H318">
        <v>65000</v>
      </c>
    </row>
    <row r="319" spans="1:8" x14ac:dyDescent="0.25">
      <c r="C319" t="s">
        <v>105</v>
      </c>
      <c r="D319" t="s">
        <v>11</v>
      </c>
      <c r="E319">
        <v>28</v>
      </c>
      <c r="F319">
        <v>42000</v>
      </c>
      <c r="G319">
        <f>28*500</f>
        <v>14000</v>
      </c>
      <c r="H319">
        <v>28000</v>
      </c>
    </row>
    <row r="320" spans="1:8" x14ac:dyDescent="0.25">
      <c r="C320" t="s">
        <v>106</v>
      </c>
      <c r="D320" t="s">
        <v>11</v>
      </c>
      <c r="E320">
        <v>25</v>
      </c>
      <c r="F320">
        <v>37500</v>
      </c>
      <c r="G320">
        <f>25*500</f>
        <v>12500</v>
      </c>
      <c r="H320">
        <v>25000</v>
      </c>
    </row>
    <row r="321" spans="1:8" x14ac:dyDescent="0.25">
      <c r="C321" t="s">
        <v>109</v>
      </c>
      <c r="D321" t="s">
        <v>11</v>
      </c>
      <c r="E321">
        <v>10</v>
      </c>
      <c r="F321">
        <v>15000</v>
      </c>
      <c r="G321">
        <v>5000</v>
      </c>
      <c r="H321">
        <v>10000</v>
      </c>
    </row>
    <row r="322" spans="1:8" x14ac:dyDescent="0.25">
      <c r="C322" t="s">
        <v>20</v>
      </c>
      <c r="D322" t="s">
        <v>13</v>
      </c>
      <c r="E322">
        <v>4</v>
      </c>
      <c r="F322">
        <v>26000</v>
      </c>
      <c r="G322">
        <f>4*4500</f>
        <v>18000</v>
      </c>
      <c r="H322">
        <v>8000</v>
      </c>
    </row>
    <row r="323" spans="1:8" x14ac:dyDescent="0.25">
      <c r="D323" t="s">
        <v>14</v>
      </c>
      <c r="E323">
        <v>3</v>
      </c>
      <c r="F323">
        <v>30000</v>
      </c>
      <c r="G323">
        <f>3*5500</f>
        <v>16500</v>
      </c>
      <c r="H323">
        <f>3*4500</f>
        <v>13500</v>
      </c>
    </row>
    <row r="324" spans="1:8" x14ac:dyDescent="0.25">
      <c r="C324" t="s">
        <v>16</v>
      </c>
      <c r="D324" t="s">
        <v>11</v>
      </c>
      <c r="E324">
        <v>41</v>
      </c>
      <c r="F324">
        <v>61500</v>
      </c>
      <c r="G324">
        <f>41*500</f>
        <v>20500</v>
      </c>
      <c r="H324">
        <v>41000</v>
      </c>
    </row>
    <row r="325" spans="1:8" x14ac:dyDescent="0.25">
      <c r="D325" t="s">
        <v>12</v>
      </c>
      <c r="E325">
        <v>2</v>
      </c>
      <c r="F325">
        <v>6000</v>
      </c>
      <c r="G325">
        <v>4000</v>
      </c>
      <c r="H325">
        <v>2000</v>
      </c>
    </row>
    <row r="326" spans="1:8" x14ac:dyDescent="0.25">
      <c r="A326" s="111" t="s">
        <v>17</v>
      </c>
      <c r="B326" s="111"/>
      <c r="C326" s="111"/>
      <c r="D326" s="111"/>
      <c r="E326" s="111"/>
      <c r="F326" s="1">
        <f>SUM(F316:F325)</f>
        <v>495500</v>
      </c>
      <c r="G326" s="1">
        <f>SUM(G316:G325)</f>
        <v>183000</v>
      </c>
      <c r="H326" s="1">
        <f>SUM(H316:H325)</f>
        <v>312500</v>
      </c>
    </row>
    <row r="327" spans="1:8" x14ac:dyDescent="0.25">
      <c r="A327" t="s">
        <v>22</v>
      </c>
      <c r="B327" t="s">
        <v>151</v>
      </c>
      <c r="C327" t="s">
        <v>105</v>
      </c>
      <c r="D327" t="s">
        <v>11</v>
      </c>
      <c r="E327">
        <v>60</v>
      </c>
      <c r="F327">
        <v>90000</v>
      </c>
      <c r="G327">
        <f>60*500</f>
        <v>30000</v>
      </c>
      <c r="H327">
        <v>60000</v>
      </c>
    </row>
    <row r="328" spans="1:8" x14ac:dyDescent="0.25">
      <c r="C328" t="s">
        <v>81</v>
      </c>
      <c r="D328" t="s">
        <v>11</v>
      </c>
      <c r="E328">
        <v>65</v>
      </c>
      <c r="F328">
        <f>65*1500</f>
        <v>97500</v>
      </c>
      <c r="G328">
        <f>65*500</f>
        <v>32500</v>
      </c>
      <c r="H328">
        <v>65000</v>
      </c>
    </row>
    <row r="329" spans="1:8" x14ac:dyDescent="0.25">
      <c r="C329" t="s">
        <v>105</v>
      </c>
      <c r="D329" t="s">
        <v>11</v>
      </c>
      <c r="E329">
        <v>45</v>
      </c>
      <c r="F329">
        <v>67500</v>
      </c>
      <c r="G329">
        <f>45*500</f>
        <v>22500</v>
      </c>
      <c r="H329">
        <v>45000</v>
      </c>
    </row>
    <row r="330" spans="1:8" x14ac:dyDescent="0.25">
      <c r="C330" t="s">
        <v>106</v>
      </c>
      <c r="D330" t="s">
        <v>11</v>
      </c>
      <c r="E330">
        <v>15</v>
      </c>
      <c r="F330">
        <v>22500</v>
      </c>
      <c r="G330">
        <f>15*500</f>
        <v>7500</v>
      </c>
      <c r="H330">
        <v>15000</v>
      </c>
    </row>
    <row r="331" spans="1:8" x14ac:dyDescent="0.25">
      <c r="C331" t="s">
        <v>20</v>
      </c>
      <c r="D331" t="s">
        <v>13</v>
      </c>
      <c r="E331">
        <v>2</v>
      </c>
      <c r="F331">
        <v>13000</v>
      </c>
      <c r="G331">
        <v>9000</v>
      </c>
      <c r="H331">
        <v>4000</v>
      </c>
    </row>
    <row r="332" spans="1:8" x14ac:dyDescent="0.25">
      <c r="D332" t="s">
        <v>14</v>
      </c>
      <c r="E332">
        <v>5</v>
      </c>
      <c r="F332">
        <v>50000</v>
      </c>
      <c r="G332">
        <f>5*5500</f>
        <v>27500</v>
      </c>
      <c r="H332">
        <f>5*4500</f>
        <v>22500</v>
      </c>
    </row>
    <row r="333" spans="1:8" x14ac:dyDescent="0.25">
      <c r="C333" t="s">
        <v>10</v>
      </c>
      <c r="D333" t="s">
        <v>11</v>
      </c>
      <c r="E333">
        <v>27</v>
      </c>
      <c r="F333">
        <v>40500</v>
      </c>
      <c r="G333">
        <f>27*500</f>
        <v>13500</v>
      </c>
      <c r="H333">
        <v>27000</v>
      </c>
    </row>
    <row r="334" spans="1:8" x14ac:dyDescent="0.25">
      <c r="C334" t="s">
        <v>18</v>
      </c>
      <c r="D334" t="s">
        <v>12</v>
      </c>
      <c r="E334">
        <v>2</v>
      </c>
      <c r="F334">
        <v>6000</v>
      </c>
      <c r="G334">
        <v>4000</v>
      </c>
      <c r="H334">
        <v>2000</v>
      </c>
    </row>
    <row r="335" spans="1:8" x14ac:dyDescent="0.25">
      <c r="D335" t="s">
        <v>14</v>
      </c>
      <c r="E335">
        <v>1</v>
      </c>
      <c r="F335">
        <v>8000</v>
      </c>
      <c r="G335">
        <v>5500</v>
      </c>
      <c r="H335">
        <v>2500</v>
      </c>
    </row>
    <row r="336" spans="1:8" x14ac:dyDescent="0.25">
      <c r="C336" t="s">
        <v>16</v>
      </c>
      <c r="D336" t="s">
        <v>11</v>
      </c>
      <c r="E336">
        <v>20</v>
      </c>
      <c r="F336">
        <v>30000</v>
      </c>
      <c r="G336">
        <v>10000</v>
      </c>
      <c r="H336">
        <v>20000</v>
      </c>
    </row>
    <row r="337" spans="1:8" x14ac:dyDescent="0.25">
      <c r="C337" t="s">
        <v>152</v>
      </c>
      <c r="D337" t="s">
        <v>25</v>
      </c>
      <c r="E337">
        <v>16</v>
      </c>
      <c r="F337">
        <v>176000</v>
      </c>
      <c r="G337">
        <v>160000</v>
      </c>
      <c r="H337">
        <v>16000</v>
      </c>
    </row>
    <row r="338" spans="1:8" x14ac:dyDescent="0.25">
      <c r="A338" s="111" t="s">
        <v>17</v>
      </c>
      <c r="B338" s="111"/>
      <c r="C338" s="111"/>
      <c r="D338" s="111"/>
      <c r="E338" s="111"/>
      <c r="F338" s="1">
        <f>SUM(F327:F337)</f>
        <v>601000</v>
      </c>
      <c r="G338" s="1">
        <f>SUM(G327:G337)</f>
        <v>322000</v>
      </c>
      <c r="H338" s="1">
        <f>SUM(H327:H337)</f>
        <v>279000</v>
      </c>
    </row>
    <row r="339" spans="1:8" x14ac:dyDescent="0.25">
      <c r="A339" t="s">
        <v>26</v>
      </c>
      <c r="B339" t="s">
        <v>153</v>
      </c>
      <c r="C339" t="s">
        <v>105</v>
      </c>
      <c r="D339" t="s">
        <v>11</v>
      </c>
      <c r="E339">
        <v>43</v>
      </c>
      <c r="F339">
        <f>43*1500</f>
        <v>64500</v>
      </c>
      <c r="G339">
        <f>43*500</f>
        <v>21500</v>
      </c>
      <c r="H339">
        <v>43000</v>
      </c>
    </row>
    <row r="340" spans="1:8" x14ac:dyDescent="0.25">
      <c r="C340" t="s">
        <v>81</v>
      </c>
      <c r="D340" t="s">
        <v>11</v>
      </c>
      <c r="E340">
        <v>70</v>
      </c>
      <c r="F340">
        <f>70*1500</f>
        <v>105000</v>
      </c>
      <c r="G340">
        <f>70*500</f>
        <v>35000</v>
      </c>
      <c r="H340">
        <v>70000</v>
      </c>
    </row>
    <row r="341" spans="1:8" x14ac:dyDescent="0.25">
      <c r="C341" t="s">
        <v>108</v>
      </c>
      <c r="D341" t="s">
        <v>11</v>
      </c>
      <c r="E341">
        <v>55</v>
      </c>
      <c r="F341">
        <v>82500</v>
      </c>
      <c r="G341">
        <f>55*500</f>
        <v>27500</v>
      </c>
      <c r="H341">
        <v>55000</v>
      </c>
    </row>
    <row r="342" spans="1:8" x14ac:dyDescent="0.25">
      <c r="C342" t="s">
        <v>106</v>
      </c>
      <c r="D342" t="s">
        <v>11</v>
      </c>
      <c r="E342">
        <v>25</v>
      </c>
      <c r="F342">
        <v>37500</v>
      </c>
      <c r="G342">
        <f>25*500</f>
        <v>12500</v>
      </c>
      <c r="H342">
        <v>25000</v>
      </c>
    </row>
    <row r="343" spans="1:8" x14ac:dyDescent="0.25">
      <c r="C343" t="s">
        <v>20</v>
      </c>
      <c r="D343" t="s">
        <v>13</v>
      </c>
      <c r="E343">
        <v>9</v>
      </c>
      <c r="F343">
        <v>58500</v>
      </c>
      <c r="G343">
        <f>9*4500</f>
        <v>40500</v>
      </c>
      <c r="H343">
        <v>18000</v>
      </c>
    </row>
    <row r="344" spans="1:8" x14ac:dyDescent="0.25">
      <c r="D344" t="s">
        <v>14</v>
      </c>
      <c r="E344">
        <v>10</v>
      </c>
      <c r="F344">
        <v>100000</v>
      </c>
      <c r="G344">
        <f>10*5500</f>
        <v>55000</v>
      </c>
      <c r="H344">
        <v>45000</v>
      </c>
    </row>
    <row r="345" spans="1:8" x14ac:dyDescent="0.25">
      <c r="D345" t="s">
        <v>21</v>
      </c>
      <c r="E345">
        <v>1</v>
      </c>
      <c r="F345">
        <v>15000</v>
      </c>
      <c r="G345">
        <v>11000</v>
      </c>
      <c r="H345">
        <v>4000</v>
      </c>
    </row>
    <row r="346" spans="1:8" x14ac:dyDescent="0.25">
      <c r="C346" t="s">
        <v>10</v>
      </c>
      <c r="D346" t="s">
        <v>11</v>
      </c>
      <c r="E346">
        <v>20</v>
      </c>
      <c r="F346">
        <v>30000</v>
      </c>
      <c r="G346">
        <f>20*500</f>
        <v>10000</v>
      </c>
      <c r="H346">
        <v>20000</v>
      </c>
    </row>
    <row r="347" spans="1:8" x14ac:dyDescent="0.25">
      <c r="D347" t="s">
        <v>12</v>
      </c>
      <c r="E347">
        <v>6</v>
      </c>
      <c r="F347">
        <v>18000</v>
      </c>
      <c r="G347">
        <v>12000</v>
      </c>
      <c r="H347">
        <v>6000</v>
      </c>
    </row>
    <row r="348" spans="1:8" x14ac:dyDescent="0.25">
      <c r="D348" t="s">
        <v>13</v>
      </c>
      <c r="E348">
        <v>9</v>
      </c>
      <c r="F348">
        <v>58500</v>
      </c>
      <c r="G348">
        <f>9*4500</f>
        <v>40500</v>
      </c>
      <c r="H348">
        <v>18000</v>
      </c>
    </row>
    <row r="349" spans="1:8" x14ac:dyDescent="0.25">
      <c r="D349" t="s">
        <v>14</v>
      </c>
      <c r="E349">
        <v>3</v>
      </c>
      <c r="F349">
        <v>24000</v>
      </c>
      <c r="G349">
        <f>3*5500</f>
        <v>16500</v>
      </c>
      <c r="H349">
        <v>7500</v>
      </c>
    </row>
    <row r="350" spans="1:8" x14ac:dyDescent="0.25">
      <c r="C350" t="s">
        <v>16</v>
      </c>
      <c r="D350" t="s">
        <v>11</v>
      </c>
      <c r="E350">
        <v>52</v>
      </c>
      <c r="F350">
        <v>78000</v>
      </c>
      <c r="G350">
        <f>52*500</f>
        <v>26000</v>
      </c>
      <c r="H350">
        <v>52000</v>
      </c>
    </row>
    <row r="351" spans="1:8" x14ac:dyDescent="0.25">
      <c r="D351" t="s">
        <v>12</v>
      </c>
      <c r="E351">
        <v>6</v>
      </c>
      <c r="F351">
        <v>18000</v>
      </c>
      <c r="G351">
        <v>12000</v>
      </c>
      <c r="H351">
        <v>6000</v>
      </c>
    </row>
    <row r="352" spans="1:8" x14ac:dyDescent="0.25">
      <c r="D352" t="s">
        <v>14</v>
      </c>
      <c r="E352">
        <v>1</v>
      </c>
      <c r="F352">
        <v>10000</v>
      </c>
      <c r="G352">
        <v>5500</v>
      </c>
      <c r="H352">
        <v>4500</v>
      </c>
    </row>
    <row r="353" spans="1:8" x14ac:dyDescent="0.25">
      <c r="A353" s="111" t="s">
        <v>17</v>
      </c>
      <c r="B353" s="111"/>
      <c r="C353" s="111"/>
      <c r="D353" s="111"/>
      <c r="E353" s="111"/>
      <c r="F353" s="1">
        <f>SUM(F339:F352)</f>
        <v>699500</v>
      </c>
      <c r="G353" s="1">
        <f>SUM(G339:G352)</f>
        <v>325500</v>
      </c>
      <c r="H353" s="1">
        <f>SUM(H339:H352)</f>
        <v>374000</v>
      </c>
    </row>
    <row r="354" spans="1:8" x14ac:dyDescent="0.25">
      <c r="A354" t="s">
        <v>28</v>
      </c>
      <c r="B354" t="s">
        <v>154</v>
      </c>
      <c r="C354" t="s">
        <v>20</v>
      </c>
      <c r="D354" t="s">
        <v>13</v>
      </c>
      <c r="E354">
        <v>34</v>
      </c>
      <c r="F354">
        <v>221000</v>
      </c>
      <c r="G354">
        <f>34*4500</f>
        <v>153000</v>
      </c>
      <c r="H354">
        <f>34*2000</f>
        <v>68000</v>
      </c>
    </row>
    <row r="355" spans="1:8" x14ac:dyDescent="0.25">
      <c r="D355" t="s">
        <v>14</v>
      </c>
      <c r="E355">
        <v>34</v>
      </c>
      <c r="F355">
        <v>340000</v>
      </c>
      <c r="G355">
        <f>34*5500</f>
        <v>187000</v>
      </c>
      <c r="H355">
        <f>34*4500</f>
        <v>153000</v>
      </c>
    </row>
    <row r="356" spans="1:8" x14ac:dyDescent="0.25">
      <c r="C356" t="s">
        <v>10</v>
      </c>
      <c r="D356" t="s">
        <v>13</v>
      </c>
      <c r="E356">
        <v>12</v>
      </c>
      <c r="F356">
        <v>78000</v>
      </c>
      <c r="G356">
        <f>12*4500</f>
        <v>54000</v>
      </c>
      <c r="H356">
        <v>24000</v>
      </c>
    </row>
    <row r="357" spans="1:8" x14ac:dyDescent="0.25">
      <c r="D357" t="s">
        <v>14</v>
      </c>
      <c r="E357">
        <v>16</v>
      </c>
      <c r="F357">
        <v>128000</v>
      </c>
      <c r="G357">
        <f>16*5500</f>
        <v>88000</v>
      </c>
      <c r="H357">
        <f>16*2500</f>
        <v>40000</v>
      </c>
    </row>
    <row r="358" spans="1:8" x14ac:dyDescent="0.25">
      <c r="C358" t="s">
        <v>15</v>
      </c>
      <c r="D358" t="s">
        <v>13</v>
      </c>
      <c r="E358">
        <v>6</v>
      </c>
      <c r="F358">
        <v>39000</v>
      </c>
      <c r="G358">
        <f>6*4500</f>
        <v>27000</v>
      </c>
      <c r="H358">
        <v>12000</v>
      </c>
    </row>
    <row r="359" spans="1:8" x14ac:dyDescent="0.25">
      <c r="D359" t="s">
        <v>14</v>
      </c>
      <c r="E359">
        <v>6</v>
      </c>
      <c r="F359">
        <v>48000</v>
      </c>
      <c r="G359">
        <f>6*5500</f>
        <v>33000</v>
      </c>
      <c r="H359">
        <f>6*2500</f>
        <v>15000</v>
      </c>
    </row>
    <row r="360" spans="1:8" x14ac:dyDescent="0.25">
      <c r="C360" t="s">
        <v>63</v>
      </c>
      <c r="D360" t="s">
        <v>25</v>
      </c>
      <c r="E360">
        <v>3</v>
      </c>
      <c r="F360">
        <v>36000</v>
      </c>
      <c r="G360">
        <v>30000</v>
      </c>
      <c r="H360">
        <v>6000</v>
      </c>
    </row>
    <row r="361" spans="1:8" x14ac:dyDescent="0.25">
      <c r="A361" s="111" t="s">
        <v>17</v>
      </c>
      <c r="B361" s="111"/>
      <c r="C361" s="111"/>
      <c r="D361" s="111"/>
      <c r="E361" s="111"/>
      <c r="F361" s="1">
        <f>SUM(F354:F360)</f>
        <v>890000</v>
      </c>
      <c r="G361" s="1">
        <f>SUM(G354:G360)</f>
        <v>572000</v>
      </c>
      <c r="H361" s="1">
        <f>SUM(H354:H360)</f>
        <v>318000</v>
      </c>
    </row>
    <row r="362" spans="1:8" x14ac:dyDescent="0.25">
      <c r="C362" t="s">
        <v>16</v>
      </c>
      <c r="D362" t="s">
        <v>11</v>
      </c>
      <c r="E362">
        <v>30</v>
      </c>
      <c r="F362">
        <v>45000</v>
      </c>
      <c r="G362">
        <f>30*500</f>
        <v>15000</v>
      </c>
      <c r="H362">
        <v>30000</v>
      </c>
    </row>
    <row r="363" spans="1:8" x14ac:dyDescent="0.25">
      <c r="D363" t="s">
        <v>12</v>
      </c>
      <c r="E363">
        <v>5</v>
      </c>
      <c r="F363">
        <v>15000</v>
      </c>
      <c r="G363">
        <v>10000</v>
      </c>
      <c r="H363">
        <v>5000</v>
      </c>
    </row>
    <row r="364" spans="1:8" x14ac:dyDescent="0.25">
      <c r="D364" t="s">
        <v>13</v>
      </c>
      <c r="E364">
        <v>1</v>
      </c>
      <c r="F364">
        <v>6500</v>
      </c>
      <c r="G364">
        <v>4500</v>
      </c>
      <c r="H364">
        <v>2000</v>
      </c>
    </row>
    <row r="365" spans="1:8" x14ac:dyDescent="0.25">
      <c r="D365" t="s">
        <v>14</v>
      </c>
      <c r="E365">
        <v>1</v>
      </c>
      <c r="F365">
        <v>10000</v>
      </c>
      <c r="G365">
        <v>5500</v>
      </c>
      <c r="H365">
        <v>4500</v>
      </c>
    </row>
    <row r="366" spans="1:8" x14ac:dyDescent="0.25">
      <c r="D366" t="s">
        <v>21</v>
      </c>
      <c r="E366">
        <v>1</v>
      </c>
      <c r="F366">
        <v>15000</v>
      </c>
      <c r="G366">
        <v>11000</v>
      </c>
      <c r="H366">
        <v>4000</v>
      </c>
    </row>
    <row r="367" spans="1:8" x14ac:dyDescent="0.25">
      <c r="C367" t="s">
        <v>10</v>
      </c>
      <c r="D367" t="s">
        <v>13</v>
      </c>
      <c r="E367">
        <v>10</v>
      </c>
      <c r="F367">
        <v>65000</v>
      </c>
      <c r="G367">
        <v>45000</v>
      </c>
      <c r="H367">
        <v>20000</v>
      </c>
    </row>
    <row r="368" spans="1:8" x14ac:dyDescent="0.25">
      <c r="D368" t="s">
        <v>14</v>
      </c>
      <c r="E368">
        <v>6</v>
      </c>
      <c r="F368">
        <v>48000</v>
      </c>
      <c r="G368">
        <f>6*5500</f>
        <v>33000</v>
      </c>
      <c r="H368">
        <f>6*2500</f>
        <v>15000</v>
      </c>
    </row>
    <row r="369" spans="1:8" x14ac:dyDescent="0.25">
      <c r="A369" s="111" t="s">
        <v>17</v>
      </c>
      <c r="B369" s="111"/>
      <c r="C369" s="111"/>
      <c r="D369" s="111"/>
      <c r="E369" s="111"/>
      <c r="F369" s="1">
        <f>SUM(F362:F368)</f>
        <v>204500</v>
      </c>
      <c r="G369" s="1">
        <f>SUM(G362:G368)</f>
        <v>124000</v>
      </c>
      <c r="H369" s="1">
        <f>SUM(H362:H368)</f>
        <v>80500</v>
      </c>
    </row>
    <row r="370" spans="1:8" x14ac:dyDescent="0.25">
      <c r="A370" t="s">
        <v>30</v>
      </c>
      <c r="B370" t="s">
        <v>155</v>
      </c>
      <c r="C370" t="s">
        <v>108</v>
      </c>
      <c r="D370" t="s">
        <v>11</v>
      </c>
      <c r="E370">
        <v>60</v>
      </c>
      <c r="F370">
        <f>60*1500</f>
        <v>90000</v>
      </c>
      <c r="G370">
        <f>60*500</f>
        <v>30000</v>
      </c>
      <c r="H370">
        <v>60000</v>
      </c>
    </row>
    <row r="371" spans="1:8" x14ac:dyDescent="0.25">
      <c r="C371" t="s">
        <v>106</v>
      </c>
      <c r="D371" t="s">
        <v>11</v>
      </c>
      <c r="E371">
        <v>20</v>
      </c>
      <c r="F371">
        <f>20*1500</f>
        <v>30000</v>
      </c>
      <c r="G371">
        <f>20*500</f>
        <v>10000</v>
      </c>
      <c r="H371">
        <v>20000</v>
      </c>
    </row>
    <row r="372" spans="1:8" x14ac:dyDescent="0.25">
      <c r="C372" t="s">
        <v>156</v>
      </c>
      <c r="D372" t="s">
        <v>25</v>
      </c>
      <c r="E372">
        <v>19</v>
      </c>
      <c r="F372">
        <f>19*12000</f>
        <v>228000</v>
      </c>
      <c r="G372">
        <v>190000</v>
      </c>
      <c r="H372">
        <f>19*2000</f>
        <v>38000</v>
      </c>
    </row>
    <row r="373" spans="1:8" x14ac:dyDescent="0.25">
      <c r="A373" s="111" t="s">
        <v>17</v>
      </c>
      <c r="B373" s="111"/>
      <c r="C373" s="111"/>
      <c r="D373" s="111"/>
      <c r="E373" s="111"/>
      <c r="F373" s="1">
        <f>SUM(F370:F372)</f>
        <v>348000</v>
      </c>
      <c r="G373" s="1">
        <f>SUM(G370:G372)</f>
        <v>230000</v>
      </c>
      <c r="H373" s="1">
        <f>SUM(H370:H372)</f>
        <v>118000</v>
      </c>
    </row>
    <row r="374" spans="1:8" x14ac:dyDescent="0.25">
      <c r="A374" t="s">
        <v>32</v>
      </c>
      <c r="B374" t="s">
        <v>157</v>
      </c>
      <c r="C374" t="s">
        <v>10</v>
      </c>
      <c r="D374" t="s">
        <v>11</v>
      </c>
      <c r="E374">
        <v>40</v>
      </c>
      <c r="F374">
        <v>60000</v>
      </c>
      <c r="G374">
        <f>40*500</f>
        <v>20000</v>
      </c>
      <c r="H374">
        <v>40000</v>
      </c>
    </row>
    <row r="375" spans="1:8" x14ac:dyDescent="0.25">
      <c r="C375" t="s">
        <v>30</v>
      </c>
      <c r="D375" t="s">
        <v>13</v>
      </c>
      <c r="E375">
        <v>6</v>
      </c>
      <c r="F375">
        <v>39000</v>
      </c>
      <c r="G375">
        <f>6*4500</f>
        <v>27000</v>
      </c>
      <c r="H375">
        <v>12000</v>
      </c>
    </row>
    <row r="376" spans="1:8" x14ac:dyDescent="0.25">
      <c r="D376" t="s">
        <v>14</v>
      </c>
      <c r="E376">
        <v>2</v>
      </c>
      <c r="F376">
        <v>16000</v>
      </c>
      <c r="G376">
        <v>11000</v>
      </c>
      <c r="H376">
        <v>5000</v>
      </c>
    </row>
    <row r="377" spans="1:8" x14ac:dyDescent="0.25">
      <c r="C377" t="s">
        <v>16</v>
      </c>
      <c r="D377" t="s">
        <v>11</v>
      </c>
      <c r="E377">
        <v>10</v>
      </c>
      <c r="F377">
        <v>15000</v>
      </c>
      <c r="G377">
        <v>5000</v>
      </c>
      <c r="H377">
        <v>10000</v>
      </c>
    </row>
    <row r="378" spans="1:8" x14ac:dyDescent="0.25">
      <c r="C378" t="s">
        <v>30</v>
      </c>
      <c r="D378" t="s">
        <v>12</v>
      </c>
      <c r="E378">
        <v>3</v>
      </c>
      <c r="F378">
        <v>9000</v>
      </c>
      <c r="G378">
        <v>6000</v>
      </c>
      <c r="H378">
        <v>3000</v>
      </c>
    </row>
    <row r="379" spans="1:8" x14ac:dyDescent="0.25">
      <c r="D379" t="s">
        <v>13</v>
      </c>
      <c r="E379">
        <v>1</v>
      </c>
      <c r="F379">
        <v>6500</v>
      </c>
      <c r="G379">
        <v>4500</v>
      </c>
      <c r="H379">
        <v>2000</v>
      </c>
    </row>
    <row r="380" spans="1:8" x14ac:dyDescent="0.25">
      <c r="D380" t="s">
        <v>21</v>
      </c>
      <c r="E380">
        <v>1</v>
      </c>
      <c r="F380">
        <v>15000</v>
      </c>
      <c r="G380">
        <v>11000</v>
      </c>
      <c r="H380">
        <v>4000</v>
      </c>
    </row>
    <row r="381" spans="1:8" x14ac:dyDescent="0.25">
      <c r="C381" t="s">
        <v>81</v>
      </c>
      <c r="D381" t="s">
        <v>11</v>
      </c>
      <c r="E381">
        <v>73</v>
      </c>
      <c r="F381">
        <f>73*1500</f>
        <v>109500</v>
      </c>
      <c r="G381">
        <f>73*500</f>
        <v>36500</v>
      </c>
      <c r="H381">
        <v>73000</v>
      </c>
    </row>
    <row r="382" spans="1:8" x14ac:dyDescent="0.25">
      <c r="D382" t="s">
        <v>11</v>
      </c>
      <c r="E382">
        <v>80</v>
      </c>
      <c r="F382">
        <f>80*1500</f>
        <v>120000</v>
      </c>
      <c r="G382">
        <f>80*500</f>
        <v>40000</v>
      </c>
      <c r="H382">
        <v>80000</v>
      </c>
    </row>
    <row r="383" spans="1:8" x14ac:dyDescent="0.25">
      <c r="C383" t="s">
        <v>105</v>
      </c>
      <c r="D383" t="s">
        <v>11</v>
      </c>
      <c r="E383">
        <v>44</v>
      </c>
      <c r="F383">
        <v>66000</v>
      </c>
      <c r="G383">
        <f>44*500</f>
        <v>22000</v>
      </c>
      <c r="H383">
        <v>44000</v>
      </c>
    </row>
    <row r="384" spans="1:8" x14ac:dyDescent="0.25">
      <c r="D384" t="s">
        <v>11</v>
      </c>
      <c r="E384">
        <v>50</v>
      </c>
      <c r="F384">
        <v>75000</v>
      </c>
      <c r="G384">
        <f>50*500</f>
        <v>25000</v>
      </c>
      <c r="H384">
        <v>50000</v>
      </c>
    </row>
    <row r="385" spans="1:8" x14ac:dyDescent="0.25">
      <c r="C385" t="s">
        <v>109</v>
      </c>
      <c r="D385" t="s">
        <v>11</v>
      </c>
      <c r="E385">
        <v>30</v>
      </c>
      <c r="F385">
        <v>45000</v>
      </c>
      <c r="G385">
        <f>30*500</f>
        <v>15000</v>
      </c>
      <c r="H385">
        <v>30000</v>
      </c>
    </row>
    <row r="386" spans="1:8" x14ac:dyDescent="0.25">
      <c r="C386" t="s">
        <v>106</v>
      </c>
      <c r="D386" t="s">
        <v>11</v>
      </c>
      <c r="E386">
        <v>28</v>
      </c>
      <c r="F386">
        <v>42000</v>
      </c>
      <c r="G386">
        <f>28*500</f>
        <v>14000</v>
      </c>
      <c r="H386">
        <v>28000</v>
      </c>
    </row>
    <row r="387" spans="1:8" x14ac:dyDescent="0.25">
      <c r="C387" t="s">
        <v>10</v>
      </c>
      <c r="D387" t="s">
        <v>11</v>
      </c>
      <c r="E387">
        <v>37</v>
      </c>
      <c r="F387">
        <v>55500</v>
      </c>
      <c r="G387">
        <f>37*500</f>
        <v>18500</v>
      </c>
      <c r="H387">
        <v>37000</v>
      </c>
    </row>
    <row r="388" spans="1:8" x14ac:dyDescent="0.25">
      <c r="D388" t="s">
        <v>12</v>
      </c>
      <c r="E388">
        <v>4</v>
      </c>
      <c r="F388">
        <v>12000</v>
      </c>
      <c r="G388">
        <v>8000</v>
      </c>
      <c r="H388">
        <v>4000</v>
      </c>
    </row>
    <row r="389" spans="1:8" x14ac:dyDescent="0.25">
      <c r="D389" t="s">
        <v>14</v>
      </c>
      <c r="E389">
        <v>2</v>
      </c>
      <c r="F389">
        <v>16000</v>
      </c>
      <c r="G389">
        <v>11000</v>
      </c>
      <c r="H389">
        <v>5000</v>
      </c>
    </row>
    <row r="390" spans="1:8" x14ac:dyDescent="0.25">
      <c r="C390" t="s">
        <v>16</v>
      </c>
      <c r="D390" t="s">
        <v>11</v>
      </c>
      <c r="E390">
        <v>29</v>
      </c>
      <c r="F390">
        <v>43500</v>
      </c>
      <c r="G390">
        <f>29*500</f>
        <v>14500</v>
      </c>
      <c r="H390">
        <v>29000</v>
      </c>
    </row>
    <row r="391" spans="1:8" x14ac:dyDescent="0.25">
      <c r="D391" t="s">
        <v>12</v>
      </c>
      <c r="E391">
        <v>1</v>
      </c>
      <c r="F391">
        <v>3000</v>
      </c>
      <c r="G391">
        <v>2000</v>
      </c>
      <c r="H391">
        <v>1000</v>
      </c>
    </row>
    <row r="392" spans="1:8" x14ac:dyDescent="0.25">
      <c r="D392" t="s">
        <v>21</v>
      </c>
      <c r="E392">
        <v>1</v>
      </c>
      <c r="F392">
        <v>15000</v>
      </c>
      <c r="G392">
        <v>11000</v>
      </c>
      <c r="H392">
        <v>4000</v>
      </c>
    </row>
    <row r="393" spans="1:8" x14ac:dyDescent="0.25">
      <c r="A393" s="111" t="s">
        <v>17</v>
      </c>
      <c r="B393" s="111"/>
      <c r="C393" s="111"/>
      <c r="D393" s="111"/>
      <c r="E393" s="111"/>
      <c r="F393" s="1">
        <f>SUM(F374:F392)</f>
        <v>763000</v>
      </c>
      <c r="G393" s="1">
        <f>SUM(G374:G392)</f>
        <v>302000</v>
      </c>
      <c r="H393" s="1">
        <f>SUM(H374:H392)</f>
        <v>461000</v>
      </c>
    </row>
    <row r="394" spans="1:8" x14ac:dyDescent="0.25">
      <c r="A394" t="s">
        <v>8</v>
      </c>
      <c r="B394" t="s">
        <v>158</v>
      </c>
      <c r="C394" t="s">
        <v>81</v>
      </c>
      <c r="D394" t="s">
        <v>11</v>
      </c>
      <c r="E394">
        <v>85</v>
      </c>
      <c r="F394">
        <f>85*1500</f>
        <v>127500</v>
      </c>
      <c r="G394">
        <f>85*500</f>
        <v>42500</v>
      </c>
      <c r="H394">
        <v>85000</v>
      </c>
    </row>
    <row r="395" spans="1:8" x14ac:dyDescent="0.25">
      <c r="C395" t="s">
        <v>108</v>
      </c>
      <c r="D395" t="s">
        <v>11</v>
      </c>
      <c r="E395">
        <v>60</v>
      </c>
      <c r="F395">
        <v>90000</v>
      </c>
      <c r="G395">
        <f>60*500</f>
        <v>30000</v>
      </c>
      <c r="H395">
        <v>60000</v>
      </c>
    </row>
    <row r="396" spans="1:8" x14ac:dyDescent="0.25">
      <c r="D396" t="s">
        <v>11</v>
      </c>
      <c r="E396">
        <v>65</v>
      </c>
      <c r="F396">
        <v>97500</v>
      </c>
      <c r="G396">
        <f>65*500</f>
        <v>32500</v>
      </c>
      <c r="H396">
        <v>65000</v>
      </c>
    </row>
    <row r="397" spans="1:8" x14ac:dyDescent="0.25">
      <c r="C397" t="s">
        <v>106</v>
      </c>
      <c r="D397" t="s">
        <v>11</v>
      </c>
      <c r="E397">
        <v>30</v>
      </c>
      <c r="F397">
        <v>45000</v>
      </c>
      <c r="G397">
        <f>30*500</f>
        <v>15000</v>
      </c>
      <c r="H397">
        <v>30000</v>
      </c>
    </row>
    <row r="398" spans="1:8" x14ac:dyDescent="0.25">
      <c r="C398" t="s">
        <v>105</v>
      </c>
      <c r="D398" t="s">
        <v>11</v>
      </c>
      <c r="E398">
        <v>46</v>
      </c>
      <c r="F398">
        <v>69000</v>
      </c>
      <c r="G398">
        <f>46*500</f>
        <v>23000</v>
      </c>
      <c r="H398">
        <v>46000</v>
      </c>
    </row>
    <row r="399" spans="1:8" x14ac:dyDescent="0.25">
      <c r="C399" t="s">
        <v>16</v>
      </c>
      <c r="D399" t="s">
        <v>11</v>
      </c>
      <c r="E399">
        <v>39</v>
      </c>
      <c r="F399">
        <v>58500</v>
      </c>
      <c r="G399">
        <f>39*500</f>
        <v>19500</v>
      </c>
      <c r="H399">
        <v>39000</v>
      </c>
    </row>
    <row r="400" spans="1:8" x14ac:dyDescent="0.25">
      <c r="D400" t="s">
        <v>12</v>
      </c>
      <c r="E400">
        <v>4</v>
      </c>
      <c r="F400">
        <v>12000</v>
      </c>
      <c r="G400">
        <v>8000</v>
      </c>
      <c r="H400">
        <v>4000</v>
      </c>
    </row>
    <row r="401" spans="1:12" x14ac:dyDescent="0.25">
      <c r="D401" t="s">
        <v>13</v>
      </c>
      <c r="E401">
        <v>1</v>
      </c>
      <c r="F401">
        <v>6500</v>
      </c>
      <c r="G401">
        <v>4500</v>
      </c>
      <c r="H401">
        <v>2000</v>
      </c>
    </row>
    <row r="402" spans="1:12" x14ac:dyDescent="0.25">
      <c r="C402" t="s">
        <v>10</v>
      </c>
      <c r="D402" t="s">
        <v>11</v>
      </c>
      <c r="E402">
        <v>20</v>
      </c>
      <c r="F402">
        <v>30000</v>
      </c>
      <c r="G402">
        <f>20*500</f>
        <v>10000</v>
      </c>
      <c r="H402">
        <v>20000</v>
      </c>
    </row>
    <row r="403" spans="1:12" x14ac:dyDescent="0.25">
      <c r="D403" t="s">
        <v>12</v>
      </c>
      <c r="E403">
        <v>1</v>
      </c>
      <c r="F403">
        <v>3000</v>
      </c>
      <c r="G403">
        <v>2000</v>
      </c>
      <c r="H403">
        <v>1000</v>
      </c>
    </row>
    <row r="404" spans="1:12" x14ac:dyDescent="0.25">
      <c r="D404" t="s">
        <v>13</v>
      </c>
      <c r="E404">
        <v>2</v>
      </c>
      <c r="F404">
        <v>13000</v>
      </c>
      <c r="G404">
        <v>9000</v>
      </c>
      <c r="H404">
        <v>4000</v>
      </c>
    </row>
    <row r="405" spans="1:12" x14ac:dyDescent="0.25">
      <c r="A405" s="111" t="s">
        <v>17</v>
      </c>
      <c r="B405" s="111"/>
      <c r="C405" s="111"/>
      <c r="D405" s="111"/>
      <c r="E405" s="111"/>
      <c r="F405" s="1">
        <f>SUM(F394:F404)</f>
        <v>552000</v>
      </c>
      <c r="G405" s="1">
        <f>SUM(G394:G404)</f>
        <v>196000</v>
      </c>
      <c r="H405" s="1">
        <f>SUM(H394:H404)</f>
        <v>356000</v>
      </c>
    </row>
    <row r="406" spans="1:12" x14ac:dyDescent="0.25">
      <c r="A406" t="s">
        <v>18</v>
      </c>
      <c r="B406" t="s">
        <v>159</v>
      </c>
      <c r="C406" t="s">
        <v>81</v>
      </c>
      <c r="D406" t="s">
        <v>11</v>
      </c>
      <c r="E406">
        <v>100</v>
      </c>
      <c r="F406">
        <v>150000</v>
      </c>
      <c r="G406">
        <v>50000</v>
      </c>
      <c r="H406">
        <v>100000</v>
      </c>
    </row>
    <row r="407" spans="1:12" x14ac:dyDescent="0.25">
      <c r="C407" t="s">
        <v>108</v>
      </c>
      <c r="D407" t="s">
        <v>11</v>
      </c>
      <c r="E407">
        <v>75</v>
      </c>
      <c r="F407">
        <f>75*1500</f>
        <v>112500</v>
      </c>
      <c r="G407">
        <f>75*500</f>
        <v>37500</v>
      </c>
      <c r="H407">
        <v>75000</v>
      </c>
    </row>
    <row r="408" spans="1:12" x14ac:dyDescent="0.25">
      <c r="C408" t="s">
        <v>105</v>
      </c>
      <c r="D408" t="s">
        <v>11</v>
      </c>
      <c r="E408">
        <v>45</v>
      </c>
      <c r="F408">
        <f>45*1500</f>
        <v>67500</v>
      </c>
      <c r="G408">
        <f>45*500</f>
        <v>22500</v>
      </c>
      <c r="H408">
        <v>45000</v>
      </c>
    </row>
    <row r="409" spans="1:12" x14ac:dyDescent="0.25">
      <c r="A409" s="111" t="s">
        <v>17</v>
      </c>
      <c r="B409" s="111"/>
      <c r="C409" s="111"/>
      <c r="D409" s="111"/>
      <c r="E409" s="111"/>
      <c r="F409" s="1">
        <f>SUM(F406:F408)</f>
        <v>330000</v>
      </c>
      <c r="G409" s="1">
        <f>SUM(G406:G408)</f>
        <v>110000</v>
      </c>
      <c r="H409" s="1">
        <f>SUM(H406:H408)</f>
        <v>220000</v>
      </c>
    </row>
    <row r="411" spans="1:12" x14ac:dyDescent="0.25">
      <c r="J411" s="4"/>
      <c r="K411" s="4"/>
      <c r="L411" s="4"/>
    </row>
    <row r="412" spans="1:12" x14ac:dyDescent="0.25">
      <c r="D412" s="113" t="s">
        <v>250</v>
      </c>
      <c r="E412" s="114"/>
      <c r="F412" s="114"/>
      <c r="G412" s="114"/>
      <c r="H412" s="115"/>
    </row>
    <row r="413" spans="1:12" x14ac:dyDescent="0.25">
      <c r="D413" s="7" t="s">
        <v>251</v>
      </c>
      <c r="E413" s="7" t="s">
        <v>252</v>
      </c>
      <c r="F413" s="7" t="s">
        <v>253</v>
      </c>
      <c r="G413" s="7" t="s">
        <v>254</v>
      </c>
      <c r="H413" s="7" t="s">
        <v>255</v>
      </c>
    </row>
    <row r="414" spans="1:12" x14ac:dyDescent="0.25">
      <c r="D414" s="27" t="s">
        <v>11</v>
      </c>
      <c r="E414" s="27">
        <v>4159</v>
      </c>
      <c r="F414" s="22">
        <f>E414*3000</f>
        <v>12477000</v>
      </c>
      <c r="G414" s="22">
        <f>E414*500</f>
        <v>2079500</v>
      </c>
      <c r="H414" s="22">
        <f>E414*1000</f>
        <v>4159000</v>
      </c>
    </row>
    <row r="415" spans="1:12" x14ac:dyDescent="0.25">
      <c r="D415" s="27" t="s">
        <v>12</v>
      </c>
      <c r="E415" s="27">
        <v>263</v>
      </c>
      <c r="F415" s="22">
        <f>E415*5000</f>
        <v>1315000</v>
      </c>
      <c r="G415" s="22">
        <f>E415*2000</f>
        <v>526000</v>
      </c>
      <c r="H415" s="22">
        <f>E415*1000</f>
        <v>263000</v>
      </c>
    </row>
    <row r="416" spans="1:12" x14ac:dyDescent="0.25">
      <c r="D416" s="27" t="s">
        <v>247</v>
      </c>
      <c r="E416" s="27">
        <v>450</v>
      </c>
      <c r="F416" s="22">
        <f>E416*6500</f>
        <v>2925000</v>
      </c>
      <c r="G416" s="22">
        <f>E416*4500</f>
        <v>2025000</v>
      </c>
      <c r="H416" s="22">
        <f>E416*1500</f>
        <v>675000</v>
      </c>
    </row>
    <row r="417" spans="4:8" x14ac:dyDescent="0.25">
      <c r="D417" s="27" t="s">
        <v>248</v>
      </c>
      <c r="E417" s="27">
        <v>465</v>
      </c>
      <c r="F417" s="22">
        <f>E417*10000</f>
        <v>4650000</v>
      </c>
      <c r="G417" s="22">
        <f>E417*5500</f>
        <v>2557500</v>
      </c>
      <c r="H417" s="22">
        <f>E417*4500</f>
        <v>2092500</v>
      </c>
    </row>
    <row r="418" spans="4:8" x14ac:dyDescent="0.25">
      <c r="D418" s="27" t="s">
        <v>243</v>
      </c>
      <c r="E418" s="27">
        <v>66</v>
      </c>
      <c r="F418" s="22">
        <f>E418*15000</f>
        <v>990000</v>
      </c>
      <c r="G418" s="22">
        <f>E418*10000</f>
        <v>660000</v>
      </c>
      <c r="H418" s="22">
        <f>E418*5000</f>
        <v>330000</v>
      </c>
    </row>
    <row r="419" spans="4:8" x14ac:dyDescent="0.25">
      <c r="D419" s="27" t="s">
        <v>245</v>
      </c>
      <c r="E419" s="27">
        <v>12</v>
      </c>
      <c r="F419" s="22">
        <f>E419*18000</f>
        <v>216000</v>
      </c>
      <c r="G419" s="22">
        <f>E419*13000</f>
        <v>156000</v>
      </c>
      <c r="H419" s="22">
        <f>E419*5000</f>
        <v>60000</v>
      </c>
    </row>
    <row r="420" spans="4:8" x14ac:dyDescent="0.25">
      <c r="D420" s="27" t="s">
        <v>200</v>
      </c>
      <c r="E420" s="27"/>
      <c r="F420" s="22">
        <f>E420*18000</f>
        <v>0</v>
      </c>
      <c r="G420" s="22">
        <f>E420*13000</f>
        <v>0</v>
      </c>
      <c r="H420" s="22">
        <f>E420*5000</f>
        <v>0</v>
      </c>
    </row>
    <row r="421" spans="4:8" x14ac:dyDescent="0.25">
      <c r="D421" s="31" t="s">
        <v>249</v>
      </c>
      <c r="E421" s="32">
        <f>SUM(E414:E420)</f>
        <v>5415</v>
      </c>
      <c r="F421" s="32">
        <f>SUM(F414:F420)</f>
        <v>22573000</v>
      </c>
      <c r="G421" s="32">
        <f>SUM(G414:G420)</f>
        <v>8004000</v>
      </c>
      <c r="H421" s="32">
        <f>SUM(H414:H420)</f>
        <v>7579500</v>
      </c>
    </row>
  </sheetData>
  <mergeCells count="35">
    <mergeCell ref="A218:E218"/>
    <mergeCell ref="A272:E272"/>
    <mergeCell ref="A297:E297"/>
    <mergeCell ref="A288:E288"/>
    <mergeCell ref="A263:E263"/>
    <mergeCell ref="K27:O27"/>
    <mergeCell ref="A65:E65"/>
    <mergeCell ref="A42:E42"/>
    <mergeCell ref="A25:E25"/>
    <mergeCell ref="A200:E200"/>
    <mergeCell ref="A189:E189"/>
    <mergeCell ref="A174:E174"/>
    <mergeCell ref="A161:E161"/>
    <mergeCell ref="A11:E11"/>
    <mergeCell ref="A32:E32"/>
    <mergeCell ref="A52:E52"/>
    <mergeCell ref="A90:E90"/>
    <mergeCell ref="A142:E142"/>
    <mergeCell ref="A118:E118"/>
    <mergeCell ref="A104:E104"/>
    <mergeCell ref="A132:E132"/>
    <mergeCell ref="A81:E81"/>
    <mergeCell ref="D412:H412"/>
    <mergeCell ref="A233:E233"/>
    <mergeCell ref="A405:E405"/>
    <mergeCell ref="A369:E369"/>
    <mergeCell ref="A373:E373"/>
    <mergeCell ref="A353:E353"/>
    <mergeCell ref="A361:E361"/>
    <mergeCell ref="A393:E393"/>
    <mergeCell ref="A247:E247"/>
    <mergeCell ref="A338:E338"/>
    <mergeCell ref="A409:E409"/>
    <mergeCell ref="A315:E315"/>
    <mergeCell ref="A326:E326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99"/>
  <sheetViews>
    <sheetView topLeftCell="A381" workbookViewId="0">
      <selection activeCell="J400" sqref="J400"/>
    </sheetView>
  </sheetViews>
  <sheetFormatPr defaultRowHeight="15" x14ac:dyDescent="0.25"/>
  <cols>
    <col min="1" max="1" width="8.5703125" bestFit="1" customWidth="1"/>
    <col min="2" max="2" width="9.7109375" bestFit="1" customWidth="1"/>
    <col min="3" max="3" width="15.42578125" bestFit="1" customWidth="1"/>
    <col min="4" max="4" width="8.5703125" bestFit="1" customWidth="1"/>
    <col min="5" max="5" width="6" bestFit="1" customWidth="1"/>
    <col min="6" max="6" width="14.28515625" bestFit="1" customWidth="1"/>
    <col min="7" max="7" width="11" customWidth="1"/>
    <col min="8" max="8" width="12.855468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L1" t="s">
        <v>171</v>
      </c>
    </row>
    <row r="2" spans="1:12" x14ac:dyDescent="0.25">
      <c r="A2" t="s">
        <v>22</v>
      </c>
      <c r="B2" s="3">
        <v>44564</v>
      </c>
      <c r="C2" t="s">
        <v>10</v>
      </c>
      <c r="D2" t="s">
        <v>11</v>
      </c>
      <c r="E2">
        <v>30</v>
      </c>
      <c r="F2">
        <v>45000</v>
      </c>
      <c r="G2">
        <f>30*500</f>
        <v>15000</v>
      </c>
      <c r="H2">
        <v>30000</v>
      </c>
      <c r="L2">
        <f>E4+E5+E14+E15+E26+E27+E34+E35+E48+E49+E56+E57+E71+E72+E84+E85+E99+E100+E109+E110+E119+E120+E128+E129+E141+E142+E170+E171</f>
        <v>337</v>
      </c>
    </row>
    <row r="3" spans="1:12" x14ac:dyDescent="0.25">
      <c r="C3" t="s">
        <v>18</v>
      </c>
      <c r="D3" t="s">
        <v>12</v>
      </c>
      <c r="E3">
        <v>3</v>
      </c>
      <c r="F3">
        <v>9000</v>
      </c>
      <c r="G3">
        <v>6000</v>
      </c>
      <c r="H3">
        <v>3000</v>
      </c>
    </row>
    <row r="4" spans="1:12" x14ac:dyDescent="0.25">
      <c r="D4" t="s">
        <v>13</v>
      </c>
      <c r="E4">
        <v>7</v>
      </c>
      <c r="F4">
        <v>45500</v>
      </c>
      <c r="G4">
        <f>7*4500</f>
        <v>31500</v>
      </c>
      <c r="H4">
        <v>14000</v>
      </c>
    </row>
    <row r="5" spans="1:12" x14ac:dyDescent="0.25">
      <c r="D5" t="s">
        <v>14</v>
      </c>
      <c r="E5">
        <v>5</v>
      </c>
      <c r="F5">
        <v>40000</v>
      </c>
      <c r="G5">
        <f>5*5500</f>
        <v>27500</v>
      </c>
      <c r="H5">
        <v>12500</v>
      </c>
    </row>
    <row r="6" spans="1:12" x14ac:dyDescent="0.25">
      <c r="C6" t="s">
        <v>16</v>
      </c>
      <c r="D6" t="s">
        <v>11</v>
      </c>
      <c r="E6">
        <v>36</v>
      </c>
      <c r="F6">
        <v>54000</v>
      </c>
      <c r="G6">
        <f>36*500</f>
        <v>18000</v>
      </c>
      <c r="H6">
        <v>36000</v>
      </c>
    </row>
    <row r="7" spans="1:12" x14ac:dyDescent="0.25">
      <c r="C7" t="s">
        <v>18</v>
      </c>
      <c r="D7" t="s">
        <v>21</v>
      </c>
      <c r="E7">
        <v>1</v>
      </c>
      <c r="F7">
        <v>15000</v>
      </c>
      <c r="G7">
        <v>11000</v>
      </c>
      <c r="H7">
        <v>4000</v>
      </c>
    </row>
    <row r="8" spans="1:12" x14ac:dyDescent="0.25">
      <c r="C8" t="s">
        <v>81</v>
      </c>
      <c r="D8" t="s">
        <v>11</v>
      </c>
      <c r="E8">
        <v>80</v>
      </c>
      <c r="F8">
        <v>144000</v>
      </c>
      <c r="G8">
        <f>80*500</f>
        <v>40000</v>
      </c>
      <c r="H8">
        <v>80000</v>
      </c>
    </row>
    <row r="9" spans="1:12" x14ac:dyDescent="0.25">
      <c r="C9" t="s">
        <v>108</v>
      </c>
      <c r="D9" t="s">
        <v>11</v>
      </c>
      <c r="E9">
        <v>60</v>
      </c>
      <c r="F9">
        <f>60*1500</f>
        <v>90000</v>
      </c>
      <c r="G9">
        <f>60*500</f>
        <v>30000</v>
      </c>
      <c r="H9">
        <v>60000</v>
      </c>
    </row>
    <row r="10" spans="1:12" x14ac:dyDescent="0.25">
      <c r="C10" t="s">
        <v>105</v>
      </c>
      <c r="D10" t="s">
        <v>11</v>
      </c>
      <c r="E10">
        <v>30</v>
      </c>
      <c r="F10">
        <v>45000</v>
      </c>
      <c r="G10">
        <f>30*500</f>
        <v>15000</v>
      </c>
      <c r="H10">
        <v>30000</v>
      </c>
    </row>
    <row r="11" spans="1:12" x14ac:dyDescent="0.25">
      <c r="A11" s="111" t="s">
        <v>17</v>
      </c>
      <c r="B11" s="111"/>
      <c r="C11" s="111"/>
      <c r="D11" s="111"/>
      <c r="E11" s="111"/>
      <c r="F11" s="1">
        <f>SUM(F2:F10)</f>
        <v>487500</v>
      </c>
      <c r="G11" s="1">
        <f>SUM(G2:G10)</f>
        <v>194000</v>
      </c>
      <c r="H11" s="1">
        <f>SUM(H2:H10)</f>
        <v>269500</v>
      </c>
    </row>
    <row r="12" spans="1:12" x14ac:dyDescent="0.25">
      <c r="B12" s="3"/>
      <c r="C12" t="s">
        <v>10</v>
      </c>
      <c r="D12" t="s">
        <v>11</v>
      </c>
      <c r="E12">
        <v>3</v>
      </c>
      <c r="F12">
        <v>4500</v>
      </c>
      <c r="G12">
        <v>1500</v>
      </c>
      <c r="H12">
        <v>3000</v>
      </c>
    </row>
    <row r="13" spans="1:12" x14ac:dyDescent="0.25">
      <c r="D13" t="s">
        <v>12</v>
      </c>
      <c r="E13">
        <v>7</v>
      </c>
      <c r="F13">
        <v>21000</v>
      </c>
      <c r="G13">
        <v>14000</v>
      </c>
      <c r="H13">
        <v>7000</v>
      </c>
    </row>
    <row r="14" spans="1:12" x14ac:dyDescent="0.25">
      <c r="D14" t="s">
        <v>13</v>
      </c>
      <c r="E14">
        <v>7</v>
      </c>
      <c r="F14">
        <v>45500</v>
      </c>
      <c r="G14">
        <f>7*4500</f>
        <v>31500</v>
      </c>
      <c r="H14">
        <v>14000</v>
      </c>
    </row>
    <row r="15" spans="1:12" x14ac:dyDescent="0.25">
      <c r="D15" t="s">
        <v>14</v>
      </c>
      <c r="E15">
        <v>4</v>
      </c>
      <c r="F15">
        <v>32000</v>
      </c>
      <c r="G15">
        <f>4*5500</f>
        <v>22000</v>
      </c>
      <c r="H15">
        <v>10000</v>
      </c>
    </row>
    <row r="16" spans="1:12" x14ac:dyDescent="0.25">
      <c r="C16" t="s">
        <v>16</v>
      </c>
      <c r="D16" t="s">
        <v>11</v>
      </c>
      <c r="E16">
        <v>37</v>
      </c>
      <c r="F16">
        <v>55500</v>
      </c>
      <c r="G16">
        <f>37*500</f>
        <v>18500</v>
      </c>
      <c r="H16">
        <v>37000</v>
      </c>
    </row>
    <row r="17" spans="1:8" x14ac:dyDescent="0.25">
      <c r="D17" t="s">
        <v>12</v>
      </c>
      <c r="E17">
        <v>9</v>
      </c>
      <c r="F17">
        <v>27000</v>
      </c>
      <c r="G17">
        <v>18000</v>
      </c>
      <c r="H17">
        <v>9000</v>
      </c>
    </row>
    <row r="18" spans="1:8" x14ac:dyDescent="0.25">
      <c r="D18" t="s">
        <v>13</v>
      </c>
      <c r="E18">
        <v>1</v>
      </c>
      <c r="F18">
        <v>6500</v>
      </c>
      <c r="G18">
        <v>4500</v>
      </c>
      <c r="H18">
        <v>2000</v>
      </c>
    </row>
    <row r="19" spans="1:8" x14ac:dyDescent="0.25">
      <c r="C19" t="s">
        <v>160</v>
      </c>
      <c r="D19" t="s">
        <v>21</v>
      </c>
      <c r="E19">
        <v>3</v>
      </c>
      <c r="F19">
        <v>45000</v>
      </c>
      <c r="G19">
        <v>33000</v>
      </c>
      <c r="H19">
        <v>12000</v>
      </c>
    </row>
    <row r="20" spans="1:8" x14ac:dyDescent="0.25">
      <c r="D20" t="s">
        <v>14</v>
      </c>
      <c r="E20">
        <v>1</v>
      </c>
      <c r="F20">
        <v>10000</v>
      </c>
      <c r="G20">
        <v>5500</v>
      </c>
      <c r="H20">
        <v>4500</v>
      </c>
    </row>
    <row r="21" spans="1:8" x14ac:dyDescent="0.25">
      <c r="A21" s="111" t="s">
        <v>17</v>
      </c>
      <c r="B21" s="111"/>
      <c r="C21" s="111"/>
      <c r="D21" s="111"/>
      <c r="E21" s="111"/>
      <c r="F21" s="1">
        <f>SUM(F12:F20)</f>
        <v>247000</v>
      </c>
      <c r="G21" s="1">
        <f>SUM(G12:G20)</f>
        <v>148500</v>
      </c>
      <c r="H21" s="1">
        <f>SUM(H12:H20)</f>
        <v>98500</v>
      </c>
    </row>
    <row r="22" spans="1:8" x14ac:dyDescent="0.25">
      <c r="A22" t="s">
        <v>26</v>
      </c>
      <c r="B22" s="3">
        <v>44595</v>
      </c>
      <c r="C22" t="s">
        <v>20</v>
      </c>
      <c r="D22" t="s">
        <v>13</v>
      </c>
      <c r="E22">
        <v>5</v>
      </c>
      <c r="F22">
        <v>32500</v>
      </c>
      <c r="G22">
        <f>5*4500</f>
        <v>22500</v>
      </c>
      <c r="H22">
        <f>5*2000</f>
        <v>10000</v>
      </c>
    </row>
    <row r="23" spans="1:8" x14ac:dyDescent="0.25">
      <c r="D23" t="s">
        <v>14</v>
      </c>
      <c r="E23">
        <v>10</v>
      </c>
      <c r="F23">
        <v>100000</v>
      </c>
      <c r="G23">
        <f>10*5500</f>
        <v>55000</v>
      </c>
      <c r="H23">
        <v>45000</v>
      </c>
    </row>
    <row r="24" spans="1:8" x14ac:dyDescent="0.25">
      <c r="D24" t="s">
        <v>21</v>
      </c>
      <c r="E24">
        <v>2</v>
      </c>
      <c r="F24">
        <v>30000</v>
      </c>
      <c r="G24">
        <v>22000</v>
      </c>
      <c r="H24">
        <v>8000</v>
      </c>
    </row>
    <row r="25" spans="1:8" x14ac:dyDescent="0.25">
      <c r="C25" t="s">
        <v>10</v>
      </c>
      <c r="D25" t="s">
        <v>12</v>
      </c>
      <c r="E25">
        <v>2</v>
      </c>
      <c r="F25">
        <v>6000</v>
      </c>
      <c r="G25">
        <v>4000</v>
      </c>
      <c r="H25">
        <v>2000</v>
      </c>
    </row>
    <row r="26" spans="1:8" x14ac:dyDescent="0.25">
      <c r="D26" t="s">
        <v>13</v>
      </c>
      <c r="E26">
        <v>24</v>
      </c>
      <c r="F26">
        <v>156000</v>
      </c>
      <c r="G26">
        <f>24*4500</f>
        <v>108000</v>
      </c>
      <c r="H26">
        <f>24*2000</f>
        <v>48000</v>
      </c>
    </row>
    <row r="27" spans="1:8" x14ac:dyDescent="0.25">
      <c r="D27" t="s">
        <v>14</v>
      </c>
      <c r="E27">
        <v>10</v>
      </c>
      <c r="F27">
        <v>80000</v>
      </c>
      <c r="G27">
        <f>10*5500</f>
        <v>55000</v>
      </c>
      <c r="H27">
        <v>25000</v>
      </c>
    </row>
    <row r="28" spans="1:8" x14ac:dyDescent="0.25">
      <c r="C28" t="s">
        <v>16</v>
      </c>
      <c r="D28" t="s">
        <v>11</v>
      </c>
      <c r="E28">
        <v>35</v>
      </c>
      <c r="F28">
        <v>52500</v>
      </c>
      <c r="G28">
        <f>35*500</f>
        <v>17500</v>
      </c>
      <c r="H28">
        <v>35000</v>
      </c>
    </row>
    <row r="29" spans="1:8" x14ac:dyDescent="0.25">
      <c r="D29" t="s">
        <v>12</v>
      </c>
      <c r="E29">
        <v>5</v>
      </c>
      <c r="F29">
        <v>15000</v>
      </c>
      <c r="G29">
        <v>10000</v>
      </c>
      <c r="H29">
        <v>5000</v>
      </c>
    </row>
    <row r="30" spans="1:8" x14ac:dyDescent="0.25">
      <c r="D30" t="s">
        <v>14</v>
      </c>
      <c r="E30">
        <v>1</v>
      </c>
      <c r="F30">
        <v>10000</v>
      </c>
      <c r="G30">
        <v>5500</v>
      </c>
      <c r="H30">
        <v>4500</v>
      </c>
    </row>
    <row r="31" spans="1:8" x14ac:dyDescent="0.25">
      <c r="A31" s="111" t="s">
        <v>17</v>
      </c>
      <c r="B31" s="111"/>
      <c r="C31" s="111"/>
      <c r="D31" s="111"/>
      <c r="E31" s="111"/>
      <c r="F31" s="1">
        <f>SUM(F22:F30)</f>
        <v>482000</v>
      </c>
      <c r="G31" s="1">
        <f>SUM(G22:G30)</f>
        <v>299500</v>
      </c>
      <c r="H31" s="1">
        <f>SUM(H22:H30)</f>
        <v>182500</v>
      </c>
    </row>
    <row r="32" spans="1:8" x14ac:dyDescent="0.25">
      <c r="A32" t="s">
        <v>28</v>
      </c>
      <c r="B32" s="3">
        <v>44623</v>
      </c>
      <c r="C32" t="s">
        <v>20</v>
      </c>
      <c r="D32" t="s">
        <v>13</v>
      </c>
      <c r="E32">
        <v>25</v>
      </c>
      <c r="F32">
        <v>162500</v>
      </c>
      <c r="G32">
        <f>25*4500</f>
        <v>112500</v>
      </c>
      <c r="H32">
        <v>50000</v>
      </c>
    </row>
    <row r="33" spans="1:8" x14ac:dyDescent="0.25">
      <c r="D33" t="s">
        <v>14</v>
      </c>
      <c r="E33">
        <v>30</v>
      </c>
      <c r="F33">
        <v>300000</v>
      </c>
      <c r="G33">
        <f>30*5500</f>
        <v>165000</v>
      </c>
      <c r="H33">
        <f>30*4500</f>
        <v>135000</v>
      </c>
    </row>
    <row r="34" spans="1:8" x14ac:dyDescent="0.25">
      <c r="C34" t="s">
        <v>10</v>
      </c>
      <c r="D34" t="s">
        <v>13</v>
      </c>
      <c r="E34">
        <v>20</v>
      </c>
      <c r="F34">
        <v>130000</v>
      </c>
      <c r="G34">
        <f>20*4500</f>
        <v>90000</v>
      </c>
      <c r="H34">
        <v>40000</v>
      </c>
    </row>
    <row r="35" spans="1:8" x14ac:dyDescent="0.25">
      <c r="D35" t="s">
        <v>14</v>
      </c>
      <c r="E35">
        <v>12</v>
      </c>
      <c r="F35">
        <v>96000</v>
      </c>
      <c r="G35">
        <f>12*5500</f>
        <v>66000</v>
      </c>
      <c r="H35">
        <f>12*2500</f>
        <v>30000</v>
      </c>
    </row>
    <row r="36" spans="1:8" x14ac:dyDescent="0.25">
      <c r="C36" t="s">
        <v>161</v>
      </c>
      <c r="D36" t="s">
        <v>13</v>
      </c>
      <c r="E36">
        <v>15</v>
      </c>
      <c r="F36">
        <v>97500</v>
      </c>
      <c r="G36">
        <f>15*4500</f>
        <v>67500</v>
      </c>
      <c r="H36">
        <v>30000</v>
      </c>
    </row>
    <row r="37" spans="1:8" x14ac:dyDescent="0.25">
      <c r="D37" t="s">
        <v>14</v>
      </c>
      <c r="E37">
        <v>6</v>
      </c>
      <c r="F37">
        <v>60000</v>
      </c>
      <c r="G37">
        <v>33000</v>
      </c>
      <c r="H37">
        <f>6*4500</f>
        <v>27000</v>
      </c>
    </row>
    <row r="38" spans="1:8" x14ac:dyDescent="0.25">
      <c r="C38" t="s">
        <v>162</v>
      </c>
      <c r="D38" t="s">
        <v>13</v>
      </c>
      <c r="E38">
        <v>5</v>
      </c>
      <c r="F38">
        <f>5*6500</f>
        <v>32500</v>
      </c>
      <c r="G38">
        <f>5*4500</f>
        <v>22500</v>
      </c>
      <c r="H38">
        <v>10000</v>
      </c>
    </row>
    <row r="39" spans="1:8" x14ac:dyDescent="0.25">
      <c r="D39" t="s">
        <v>14</v>
      </c>
      <c r="E39">
        <v>5</v>
      </c>
      <c r="F39">
        <v>50000</v>
      </c>
      <c r="G39">
        <f>5*5500</f>
        <v>27500</v>
      </c>
      <c r="H39">
        <f>5*4500</f>
        <v>22500</v>
      </c>
    </row>
    <row r="40" spans="1:8" x14ac:dyDescent="0.25">
      <c r="C40" t="s">
        <v>163</v>
      </c>
      <c r="D40" t="s">
        <v>11</v>
      </c>
      <c r="E40">
        <v>9</v>
      </c>
      <c r="F40">
        <f>9*1500</f>
        <v>13500</v>
      </c>
      <c r="G40">
        <v>4500</v>
      </c>
      <c r="H40">
        <v>9000</v>
      </c>
    </row>
    <row r="41" spans="1:8" x14ac:dyDescent="0.25">
      <c r="C41" t="s">
        <v>164</v>
      </c>
      <c r="D41" t="s">
        <v>25</v>
      </c>
      <c r="E41">
        <v>6</v>
      </c>
      <c r="F41">
        <f>6*12000</f>
        <v>72000</v>
      </c>
      <c r="G41">
        <v>60000</v>
      </c>
      <c r="H41">
        <v>12000</v>
      </c>
    </row>
    <row r="42" spans="1:8" x14ac:dyDescent="0.25">
      <c r="A42" s="111" t="s">
        <v>17</v>
      </c>
      <c r="B42" s="111"/>
      <c r="C42" s="111"/>
      <c r="D42" s="111"/>
      <c r="E42" s="111"/>
      <c r="F42" s="1">
        <f>SUM(F32:F41)</f>
        <v>1014000</v>
      </c>
      <c r="G42" s="1">
        <f>SUM(G32:G41)</f>
        <v>648500</v>
      </c>
      <c r="H42" s="1">
        <f>SUM(H32:H41)</f>
        <v>365500</v>
      </c>
    </row>
    <row r="43" spans="1:8" x14ac:dyDescent="0.25">
      <c r="A43" t="s">
        <v>30</v>
      </c>
      <c r="B43" s="3">
        <v>44654</v>
      </c>
      <c r="C43" t="s">
        <v>20</v>
      </c>
      <c r="D43" t="s">
        <v>13</v>
      </c>
      <c r="E43">
        <v>15</v>
      </c>
      <c r="F43">
        <v>97500</v>
      </c>
      <c r="G43">
        <f>15*4500</f>
        <v>67500</v>
      </c>
      <c r="H43">
        <f>15*2000</f>
        <v>30000</v>
      </c>
    </row>
    <row r="44" spans="1:8" x14ac:dyDescent="0.25">
      <c r="D44" t="s">
        <v>14</v>
      </c>
      <c r="E44">
        <v>5</v>
      </c>
      <c r="F44">
        <v>50000</v>
      </c>
      <c r="G44">
        <f>5*5500</f>
        <v>27500</v>
      </c>
      <c r="H44">
        <f>5*4500</f>
        <v>22500</v>
      </c>
    </row>
    <row r="45" spans="1:8" x14ac:dyDescent="0.25">
      <c r="D45" t="s">
        <v>14</v>
      </c>
      <c r="E45">
        <v>5</v>
      </c>
      <c r="F45">
        <v>40000</v>
      </c>
      <c r="G45">
        <f>5*5500</f>
        <v>27500</v>
      </c>
      <c r="H45">
        <f>5*2500</f>
        <v>12500</v>
      </c>
    </row>
    <row r="46" spans="1:8" x14ac:dyDescent="0.25">
      <c r="C46" t="s">
        <v>16</v>
      </c>
      <c r="D46" t="s">
        <v>11</v>
      </c>
      <c r="E46">
        <v>8</v>
      </c>
      <c r="F46">
        <f>8*1500</f>
        <v>12000</v>
      </c>
      <c r="G46">
        <v>4000</v>
      </c>
      <c r="H46">
        <v>8000</v>
      </c>
    </row>
    <row r="47" spans="1:8" x14ac:dyDescent="0.25">
      <c r="C47" t="s">
        <v>10</v>
      </c>
      <c r="D47" t="s">
        <v>11</v>
      </c>
      <c r="E47">
        <v>12</v>
      </c>
      <c r="F47">
        <v>18000</v>
      </c>
      <c r="G47">
        <f>12*500</f>
        <v>6000</v>
      </c>
      <c r="H47">
        <v>12000</v>
      </c>
    </row>
    <row r="48" spans="1:8" x14ac:dyDescent="0.25">
      <c r="D48" t="s">
        <v>13</v>
      </c>
      <c r="E48">
        <v>18</v>
      </c>
      <c r="F48">
        <v>117000</v>
      </c>
      <c r="G48">
        <f>18*4500</f>
        <v>81000</v>
      </c>
      <c r="H48">
        <f>18*2000</f>
        <v>36000</v>
      </c>
    </row>
    <row r="49" spans="1:9" x14ac:dyDescent="0.25">
      <c r="D49" t="s">
        <v>14</v>
      </c>
      <c r="E49">
        <v>10</v>
      </c>
      <c r="F49">
        <v>80000</v>
      </c>
      <c r="G49">
        <v>55000</v>
      </c>
      <c r="H49">
        <v>25000</v>
      </c>
    </row>
    <row r="50" spans="1:9" x14ac:dyDescent="0.25">
      <c r="D50" t="s">
        <v>14</v>
      </c>
      <c r="E50">
        <v>1</v>
      </c>
      <c r="F50">
        <v>10000</v>
      </c>
      <c r="G50">
        <v>5500</v>
      </c>
      <c r="H50">
        <v>4500</v>
      </c>
    </row>
    <row r="51" spans="1:9" x14ac:dyDescent="0.25">
      <c r="C51" t="s">
        <v>161</v>
      </c>
      <c r="D51" t="s">
        <v>13</v>
      </c>
      <c r="E51">
        <v>2</v>
      </c>
      <c r="F51">
        <v>13000</v>
      </c>
      <c r="G51">
        <f>2*4500</f>
        <v>9000</v>
      </c>
      <c r="H51">
        <v>4000</v>
      </c>
    </row>
    <row r="52" spans="1:9" x14ac:dyDescent="0.25">
      <c r="D52" t="s">
        <v>14</v>
      </c>
      <c r="E52">
        <v>1</v>
      </c>
      <c r="F52">
        <v>10000</v>
      </c>
      <c r="G52">
        <v>5500</v>
      </c>
      <c r="H52">
        <v>4500</v>
      </c>
    </row>
    <row r="53" spans="1:9" x14ac:dyDescent="0.25">
      <c r="C53" t="s">
        <v>163</v>
      </c>
      <c r="D53" t="s">
        <v>11</v>
      </c>
      <c r="E53">
        <v>10</v>
      </c>
      <c r="F53">
        <v>15000</v>
      </c>
      <c r="G53">
        <v>5000</v>
      </c>
      <c r="H53">
        <v>10000</v>
      </c>
    </row>
    <row r="54" spans="1:9" x14ac:dyDescent="0.25">
      <c r="A54" s="111" t="s">
        <v>17</v>
      </c>
      <c r="B54" s="111"/>
      <c r="C54" s="111"/>
      <c r="D54" s="111"/>
      <c r="E54" s="111"/>
      <c r="F54" s="1">
        <f>SUM(F43:F53)</f>
        <v>462500</v>
      </c>
      <c r="G54" s="1">
        <f>SUM(G43:G53)</f>
        <v>293500</v>
      </c>
      <c r="H54" s="1">
        <f>SUM(H43:H53)</f>
        <v>169000</v>
      </c>
    </row>
    <row r="55" spans="1:9" x14ac:dyDescent="0.25">
      <c r="A55" t="s">
        <v>32</v>
      </c>
      <c r="B55" s="3">
        <v>44684</v>
      </c>
      <c r="C55" t="s">
        <v>10</v>
      </c>
      <c r="D55" t="s">
        <v>11</v>
      </c>
      <c r="E55">
        <v>12</v>
      </c>
      <c r="F55">
        <v>18000</v>
      </c>
      <c r="G55">
        <f>12*500</f>
        <v>6000</v>
      </c>
      <c r="H55">
        <v>12000</v>
      </c>
    </row>
    <row r="56" spans="1:9" x14ac:dyDescent="0.25">
      <c r="D56" t="s">
        <v>13</v>
      </c>
      <c r="E56">
        <v>18</v>
      </c>
      <c r="F56">
        <v>117000</v>
      </c>
      <c r="G56">
        <f>18*4500</f>
        <v>81000</v>
      </c>
      <c r="H56">
        <f>18*2000</f>
        <v>36000</v>
      </c>
      <c r="I56" s="9"/>
    </row>
    <row r="57" spans="1:9" x14ac:dyDescent="0.25">
      <c r="D57" t="s">
        <v>14</v>
      </c>
      <c r="E57">
        <v>13</v>
      </c>
      <c r="F57">
        <v>104000</v>
      </c>
      <c r="G57">
        <f>13*5500</f>
        <v>71500</v>
      </c>
      <c r="H57">
        <f>13*2500</f>
        <v>32500</v>
      </c>
      <c r="I57" s="9"/>
    </row>
    <row r="58" spans="1:9" x14ac:dyDescent="0.25">
      <c r="C58" t="s">
        <v>162</v>
      </c>
      <c r="D58" t="s">
        <v>13</v>
      </c>
      <c r="E58">
        <v>6</v>
      </c>
      <c r="F58">
        <f>6*6500</f>
        <v>39000</v>
      </c>
      <c r="G58">
        <f>6*4500</f>
        <v>27000</v>
      </c>
      <c r="H58">
        <v>12000</v>
      </c>
      <c r="I58" s="9"/>
    </row>
    <row r="59" spans="1:9" x14ac:dyDescent="0.25">
      <c r="D59" t="s">
        <v>14</v>
      </c>
      <c r="E59">
        <v>3</v>
      </c>
      <c r="F59">
        <v>30000</v>
      </c>
      <c r="G59">
        <f>3*5500</f>
        <v>16500</v>
      </c>
      <c r="H59">
        <f>3*4500</f>
        <v>13500</v>
      </c>
    </row>
    <row r="60" spans="1:9" x14ac:dyDescent="0.25">
      <c r="C60" t="s">
        <v>161</v>
      </c>
      <c r="D60" t="s">
        <v>13</v>
      </c>
      <c r="E60">
        <v>12</v>
      </c>
      <c r="F60">
        <v>78000</v>
      </c>
      <c r="G60">
        <f>12*4500</f>
        <v>54000</v>
      </c>
      <c r="H60">
        <v>24000</v>
      </c>
    </row>
    <row r="61" spans="1:9" x14ac:dyDescent="0.25">
      <c r="D61" t="s">
        <v>14</v>
      </c>
      <c r="E61">
        <v>7</v>
      </c>
      <c r="F61">
        <v>70000</v>
      </c>
      <c r="G61">
        <f>7*5500</f>
        <v>38500</v>
      </c>
      <c r="H61">
        <f>7*4500</f>
        <v>31500</v>
      </c>
    </row>
    <row r="62" spans="1:9" x14ac:dyDescent="0.25">
      <c r="C62" t="s">
        <v>165</v>
      </c>
      <c r="D62" t="s">
        <v>13</v>
      </c>
      <c r="E62">
        <v>12</v>
      </c>
      <c r="F62">
        <v>78000</v>
      </c>
      <c r="G62">
        <f>12*4500</f>
        <v>54000</v>
      </c>
      <c r="H62">
        <v>24000</v>
      </c>
    </row>
    <row r="63" spans="1:9" x14ac:dyDescent="0.25">
      <c r="D63" t="s">
        <v>14</v>
      </c>
      <c r="E63">
        <v>7</v>
      </c>
      <c r="F63">
        <v>70000</v>
      </c>
      <c r="G63">
        <f>7*5500</f>
        <v>38500</v>
      </c>
      <c r="H63">
        <f>7*4500</f>
        <v>31500</v>
      </c>
    </row>
    <row r="64" spans="1:9" x14ac:dyDescent="0.25">
      <c r="D64" t="s">
        <v>14</v>
      </c>
      <c r="E64">
        <v>2</v>
      </c>
      <c r="F64">
        <v>16000</v>
      </c>
      <c r="G64">
        <v>11000</v>
      </c>
      <c r="H64">
        <v>5000</v>
      </c>
    </row>
    <row r="65" spans="1:8" x14ac:dyDescent="0.25">
      <c r="C65" t="s">
        <v>16</v>
      </c>
      <c r="D65" t="s">
        <v>11</v>
      </c>
      <c r="E65">
        <v>29</v>
      </c>
      <c r="F65">
        <v>43500</v>
      </c>
      <c r="G65">
        <f>29*500</f>
        <v>14500</v>
      </c>
      <c r="H65">
        <v>29000</v>
      </c>
    </row>
    <row r="66" spans="1:8" x14ac:dyDescent="0.25">
      <c r="D66" t="s">
        <v>12</v>
      </c>
      <c r="E66">
        <v>2</v>
      </c>
      <c r="F66">
        <v>6000</v>
      </c>
      <c r="G66">
        <v>4000</v>
      </c>
      <c r="H66">
        <v>2000</v>
      </c>
    </row>
    <row r="67" spans="1:8" x14ac:dyDescent="0.25">
      <c r="A67" s="111" t="s">
        <v>17</v>
      </c>
      <c r="B67" s="111"/>
      <c r="C67" s="111"/>
      <c r="D67" s="111"/>
      <c r="E67" s="111"/>
      <c r="F67" s="1">
        <f>SUM(F55:F66)</f>
        <v>669500</v>
      </c>
      <c r="G67" s="1">
        <f>SUM(G55:G66)</f>
        <v>416500</v>
      </c>
      <c r="H67" s="1">
        <f>SUM(H55:H66)</f>
        <v>253000</v>
      </c>
    </row>
    <row r="68" spans="1:8" x14ac:dyDescent="0.25">
      <c r="A68" t="s">
        <v>8</v>
      </c>
      <c r="B68" s="3">
        <v>44715</v>
      </c>
      <c r="C68" t="s">
        <v>20</v>
      </c>
      <c r="D68" t="s">
        <v>13</v>
      </c>
      <c r="E68">
        <v>9</v>
      </c>
      <c r="F68">
        <v>58500</v>
      </c>
      <c r="G68">
        <f>9*4500</f>
        <v>40500</v>
      </c>
      <c r="H68">
        <v>18000</v>
      </c>
    </row>
    <row r="69" spans="1:8" x14ac:dyDescent="0.25">
      <c r="D69" t="s">
        <v>14</v>
      </c>
      <c r="E69">
        <v>10</v>
      </c>
      <c r="F69">
        <v>100000</v>
      </c>
      <c r="G69">
        <v>55000</v>
      </c>
      <c r="H69">
        <v>45000</v>
      </c>
    </row>
    <row r="70" spans="1:8" x14ac:dyDescent="0.25">
      <c r="C70" t="s">
        <v>10</v>
      </c>
      <c r="D70" t="s">
        <v>11</v>
      </c>
      <c r="E70">
        <v>26</v>
      </c>
      <c r="F70">
        <v>39000</v>
      </c>
      <c r="G70">
        <f>26*500</f>
        <v>13000</v>
      </c>
      <c r="H70">
        <v>26000</v>
      </c>
    </row>
    <row r="71" spans="1:8" x14ac:dyDescent="0.25">
      <c r="D71" t="s">
        <v>13</v>
      </c>
      <c r="E71">
        <v>15</v>
      </c>
      <c r="F71">
        <v>97500</v>
      </c>
      <c r="G71">
        <f>15*4500</f>
        <v>67500</v>
      </c>
      <c r="H71">
        <v>30000</v>
      </c>
    </row>
    <row r="72" spans="1:8" x14ac:dyDescent="0.25">
      <c r="D72" t="s">
        <v>14</v>
      </c>
      <c r="E72">
        <v>14</v>
      </c>
      <c r="F72">
        <v>112000</v>
      </c>
      <c r="G72">
        <f>14*5500</f>
        <v>77000</v>
      </c>
      <c r="H72">
        <f>14*2500</f>
        <v>35000</v>
      </c>
    </row>
    <row r="73" spans="1:8" x14ac:dyDescent="0.25">
      <c r="C73" t="s">
        <v>165</v>
      </c>
      <c r="D73" t="s">
        <v>13</v>
      </c>
      <c r="E73">
        <v>12</v>
      </c>
      <c r="F73">
        <f>12*6500</f>
        <v>78000</v>
      </c>
      <c r="G73">
        <f>12*4500</f>
        <v>54000</v>
      </c>
      <c r="H73">
        <f>12*2000</f>
        <v>24000</v>
      </c>
    </row>
    <row r="74" spans="1:8" x14ac:dyDescent="0.25">
      <c r="D74" t="s">
        <v>14</v>
      </c>
      <c r="E74">
        <v>7</v>
      </c>
      <c r="F74">
        <v>70000</v>
      </c>
      <c r="G74">
        <f>7*5500</f>
        <v>38500</v>
      </c>
      <c r="H74">
        <f>7*4500</f>
        <v>31500</v>
      </c>
    </row>
    <row r="75" spans="1:8" x14ac:dyDescent="0.25">
      <c r="D75" t="s">
        <v>14</v>
      </c>
      <c r="E75">
        <v>3</v>
      </c>
      <c r="F75">
        <v>24000</v>
      </c>
      <c r="G75">
        <f>3*5500</f>
        <v>16500</v>
      </c>
      <c r="H75">
        <f>3*2500</f>
        <v>7500</v>
      </c>
    </row>
    <row r="76" spans="1:8" x14ac:dyDescent="0.25">
      <c r="C76" t="s">
        <v>162</v>
      </c>
      <c r="D76" t="s">
        <v>13</v>
      </c>
      <c r="E76">
        <v>4</v>
      </c>
      <c r="F76">
        <v>26000</v>
      </c>
      <c r="G76">
        <v>18000</v>
      </c>
      <c r="H76">
        <v>8000</v>
      </c>
    </row>
    <row r="77" spans="1:8" x14ac:dyDescent="0.25">
      <c r="D77" t="s">
        <v>14</v>
      </c>
      <c r="E77">
        <v>2</v>
      </c>
      <c r="F77">
        <v>20000</v>
      </c>
      <c r="G77">
        <v>11000</v>
      </c>
      <c r="H77">
        <v>9000</v>
      </c>
    </row>
    <row r="78" spans="1:8" x14ac:dyDescent="0.25">
      <c r="C78" t="s">
        <v>163</v>
      </c>
      <c r="D78" t="s">
        <v>11</v>
      </c>
      <c r="E78">
        <v>15</v>
      </c>
      <c r="F78">
        <v>22500</v>
      </c>
      <c r="G78">
        <f>15*500</f>
        <v>7500</v>
      </c>
      <c r="H78">
        <v>15000</v>
      </c>
    </row>
    <row r="79" spans="1:8" x14ac:dyDescent="0.25">
      <c r="C79" t="s">
        <v>166</v>
      </c>
      <c r="D79" t="s">
        <v>13</v>
      </c>
      <c r="E79">
        <v>2</v>
      </c>
      <c r="F79">
        <v>13000</v>
      </c>
      <c r="G79">
        <v>9000</v>
      </c>
      <c r="H79">
        <v>4000</v>
      </c>
    </row>
    <row r="80" spans="1:8" x14ac:dyDescent="0.25">
      <c r="A80" s="111" t="s">
        <v>17</v>
      </c>
      <c r="B80" s="111"/>
      <c r="C80" s="111"/>
      <c r="D80" s="111"/>
      <c r="E80" s="111"/>
      <c r="F80" s="1">
        <f>SUM(F68:F79)</f>
        <v>660500</v>
      </c>
      <c r="G80" s="1">
        <f>SUM(G68:G79)</f>
        <v>407500</v>
      </c>
      <c r="H80" s="1">
        <f>SUM(H68:H79)</f>
        <v>253000</v>
      </c>
    </row>
    <row r="81" spans="1:8" x14ac:dyDescent="0.25">
      <c r="A81" t="s">
        <v>18</v>
      </c>
      <c r="B81" s="3">
        <v>44745</v>
      </c>
      <c r="C81" t="s">
        <v>165</v>
      </c>
      <c r="D81" t="s">
        <v>13</v>
      </c>
      <c r="E81">
        <v>5</v>
      </c>
      <c r="F81">
        <v>32500</v>
      </c>
      <c r="G81">
        <f>5*4500</f>
        <v>22500</v>
      </c>
      <c r="H81">
        <v>10000</v>
      </c>
    </row>
    <row r="82" spans="1:8" x14ac:dyDescent="0.25">
      <c r="D82" t="s">
        <v>14</v>
      </c>
      <c r="E82">
        <v>5</v>
      </c>
      <c r="F82">
        <v>40000</v>
      </c>
      <c r="G82">
        <f>5*5500</f>
        <v>27500</v>
      </c>
      <c r="H82">
        <f>5*2500</f>
        <v>12500</v>
      </c>
    </row>
    <row r="83" spans="1:8" x14ac:dyDescent="0.25">
      <c r="D83" t="s">
        <v>14</v>
      </c>
      <c r="E83">
        <v>4</v>
      </c>
      <c r="F83">
        <v>40000</v>
      </c>
      <c r="G83">
        <f>4*5500</f>
        <v>22000</v>
      </c>
      <c r="H83">
        <f>4*4500</f>
        <v>18000</v>
      </c>
    </row>
    <row r="84" spans="1:8" x14ac:dyDescent="0.25">
      <c r="C84" t="s">
        <v>10</v>
      </c>
      <c r="D84" t="s">
        <v>13</v>
      </c>
      <c r="E84">
        <v>13</v>
      </c>
      <c r="F84">
        <v>84500</v>
      </c>
      <c r="G84">
        <f>13*4500</f>
        <v>58500</v>
      </c>
      <c r="H84">
        <f>13*2000</f>
        <v>26000</v>
      </c>
    </row>
    <row r="85" spans="1:8" x14ac:dyDescent="0.25">
      <c r="D85" t="s">
        <v>14</v>
      </c>
      <c r="E85">
        <v>11</v>
      </c>
      <c r="F85">
        <v>88000</v>
      </c>
      <c r="G85">
        <f>11*5500</f>
        <v>60500</v>
      </c>
      <c r="H85">
        <f>11*2500</f>
        <v>27500</v>
      </c>
    </row>
    <row r="86" spans="1:8" x14ac:dyDescent="0.25">
      <c r="D86" t="s">
        <v>11</v>
      </c>
      <c r="E86">
        <v>19</v>
      </c>
      <c r="F86">
        <v>28500</v>
      </c>
      <c r="G86">
        <f>19*500</f>
        <v>9500</v>
      </c>
      <c r="H86">
        <v>19000</v>
      </c>
    </row>
    <row r="87" spans="1:8" x14ac:dyDescent="0.25">
      <c r="C87" t="s">
        <v>161</v>
      </c>
      <c r="D87" t="s">
        <v>14</v>
      </c>
      <c r="E87">
        <v>2</v>
      </c>
      <c r="F87">
        <v>20000</v>
      </c>
      <c r="G87">
        <v>11000</v>
      </c>
      <c r="H87">
        <v>9000</v>
      </c>
    </row>
    <row r="88" spans="1:8" x14ac:dyDescent="0.25">
      <c r="D88" t="s">
        <v>13</v>
      </c>
      <c r="E88">
        <v>6</v>
      </c>
      <c r="F88">
        <v>39000</v>
      </c>
      <c r="G88">
        <f>6*4500</f>
        <v>27000</v>
      </c>
      <c r="H88">
        <v>12000</v>
      </c>
    </row>
    <row r="89" spans="1:8" x14ac:dyDescent="0.25">
      <c r="C89" t="s">
        <v>16</v>
      </c>
      <c r="D89" t="s">
        <v>11</v>
      </c>
      <c r="E89">
        <v>12</v>
      </c>
      <c r="F89">
        <v>18000</v>
      </c>
      <c r="G89">
        <f>12*500</f>
        <v>6000</v>
      </c>
      <c r="H89">
        <v>12000</v>
      </c>
    </row>
    <row r="90" spans="1:8" x14ac:dyDescent="0.25">
      <c r="D90" t="s">
        <v>12</v>
      </c>
      <c r="E90">
        <v>1</v>
      </c>
      <c r="F90">
        <v>3000</v>
      </c>
      <c r="G90">
        <v>2000</v>
      </c>
      <c r="H90">
        <v>1000</v>
      </c>
    </row>
    <row r="91" spans="1:8" x14ac:dyDescent="0.25">
      <c r="C91" t="s">
        <v>162</v>
      </c>
      <c r="D91" t="s">
        <v>13</v>
      </c>
      <c r="E91">
        <v>2</v>
      </c>
      <c r="F91">
        <v>13000</v>
      </c>
      <c r="G91">
        <v>9000</v>
      </c>
      <c r="H91">
        <v>4000</v>
      </c>
    </row>
    <row r="92" spans="1:8" x14ac:dyDescent="0.25">
      <c r="C92" t="s">
        <v>166</v>
      </c>
      <c r="D92" t="s">
        <v>13</v>
      </c>
      <c r="E92">
        <v>5</v>
      </c>
      <c r="F92">
        <v>35000</v>
      </c>
      <c r="G92">
        <f>5*4500</f>
        <v>22500</v>
      </c>
      <c r="H92">
        <f>35000-22500</f>
        <v>12500</v>
      </c>
    </row>
    <row r="93" spans="1:8" x14ac:dyDescent="0.25">
      <c r="C93" t="s">
        <v>164</v>
      </c>
      <c r="D93" t="s">
        <v>25</v>
      </c>
      <c r="E93">
        <v>5</v>
      </c>
      <c r="F93">
        <v>72000</v>
      </c>
      <c r="G93">
        <v>50000</v>
      </c>
      <c r="H93">
        <v>22000</v>
      </c>
    </row>
    <row r="94" spans="1:8" x14ac:dyDescent="0.25">
      <c r="A94" s="111" t="s">
        <v>17</v>
      </c>
      <c r="B94" s="111"/>
      <c r="C94" s="111"/>
      <c r="D94" s="111"/>
      <c r="E94" s="111"/>
      <c r="F94" s="1">
        <f>SUM(F81:F93)</f>
        <v>513500</v>
      </c>
      <c r="G94" s="1">
        <f>SUM(G81:G93)</f>
        <v>328000</v>
      </c>
      <c r="H94" s="1">
        <f>SUM(H81:H93)</f>
        <v>185500</v>
      </c>
    </row>
    <row r="95" spans="1:8" x14ac:dyDescent="0.25">
      <c r="A95" t="s">
        <v>22</v>
      </c>
      <c r="B95" s="3">
        <v>44776</v>
      </c>
      <c r="C95" t="s">
        <v>167</v>
      </c>
      <c r="D95" t="s">
        <v>13</v>
      </c>
      <c r="E95">
        <v>8</v>
      </c>
      <c r="F95">
        <v>52000</v>
      </c>
      <c r="G95">
        <f>8*4500</f>
        <v>36000</v>
      </c>
      <c r="H95">
        <v>16000</v>
      </c>
    </row>
    <row r="96" spans="1:8" x14ac:dyDescent="0.25">
      <c r="D96" t="s">
        <v>14</v>
      </c>
      <c r="E96">
        <v>6</v>
      </c>
      <c r="F96">
        <v>60000</v>
      </c>
      <c r="G96">
        <f>6*5500</f>
        <v>33000</v>
      </c>
      <c r="H96">
        <f>6*4500</f>
        <v>27000</v>
      </c>
    </row>
    <row r="97" spans="1:8" x14ac:dyDescent="0.25">
      <c r="C97" t="s">
        <v>168</v>
      </c>
      <c r="D97" t="s">
        <v>13</v>
      </c>
      <c r="E97">
        <v>13</v>
      </c>
      <c r="F97">
        <v>84500</v>
      </c>
      <c r="G97">
        <f>13*4500</f>
        <v>58500</v>
      </c>
      <c r="H97">
        <f>13*2000</f>
        <v>26000</v>
      </c>
    </row>
    <row r="98" spans="1:8" x14ac:dyDescent="0.25">
      <c r="D98" t="s">
        <v>14</v>
      </c>
      <c r="E98">
        <v>13</v>
      </c>
      <c r="F98">
        <v>104000</v>
      </c>
      <c r="G98">
        <f>13*5500</f>
        <v>71500</v>
      </c>
      <c r="H98">
        <f>13*2500</f>
        <v>32500</v>
      </c>
    </row>
    <row r="99" spans="1:8" x14ac:dyDescent="0.25">
      <c r="C99" t="s">
        <v>10</v>
      </c>
      <c r="D99" t="s">
        <v>13</v>
      </c>
      <c r="E99">
        <v>12</v>
      </c>
      <c r="F99">
        <v>78000</v>
      </c>
      <c r="G99">
        <f>12*4500</f>
        <v>54000</v>
      </c>
      <c r="H99">
        <v>24000</v>
      </c>
    </row>
    <row r="100" spans="1:8" x14ac:dyDescent="0.25">
      <c r="D100" t="s">
        <v>14</v>
      </c>
      <c r="E100">
        <v>9</v>
      </c>
      <c r="F100">
        <v>72000</v>
      </c>
      <c r="G100">
        <f>9*5500</f>
        <v>49500</v>
      </c>
      <c r="H100">
        <f>9*2500</f>
        <v>22500</v>
      </c>
    </row>
    <row r="101" spans="1:8" x14ac:dyDescent="0.25">
      <c r="C101" t="s">
        <v>161</v>
      </c>
      <c r="D101" t="s">
        <v>13</v>
      </c>
      <c r="E101">
        <v>1</v>
      </c>
      <c r="F101">
        <v>6500</v>
      </c>
      <c r="G101">
        <v>4500</v>
      </c>
      <c r="H101">
        <v>2000</v>
      </c>
    </row>
    <row r="102" spans="1:8" x14ac:dyDescent="0.25">
      <c r="D102" t="s">
        <v>14</v>
      </c>
      <c r="E102">
        <v>4</v>
      </c>
      <c r="F102">
        <v>40000</v>
      </c>
      <c r="G102">
        <f>4*5500</f>
        <v>22000</v>
      </c>
      <c r="H102">
        <f>4*4500</f>
        <v>18000</v>
      </c>
    </row>
    <row r="103" spans="1:8" x14ac:dyDescent="0.25">
      <c r="C103" t="s">
        <v>162</v>
      </c>
      <c r="D103" t="s">
        <v>13</v>
      </c>
      <c r="E103">
        <v>3</v>
      </c>
      <c r="F103">
        <f>3*6500</f>
        <v>19500</v>
      </c>
      <c r="G103">
        <f>3*4500</f>
        <v>13500</v>
      </c>
      <c r="H103">
        <v>6000</v>
      </c>
    </row>
    <row r="104" spans="1:8" x14ac:dyDescent="0.25">
      <c r="D104" t="s">
        <v>14</v>
      </c>
      <c r="E104">
        <v>2</v>
      </c>
      <c r="F104">
        <v>20000</v>
      </c>
      <c r="G104">
        <f>2*5500</f>
        <v>11000</v>
      </c>
      <c r="H104">
        <v>9000</v>
      </c>
    </row>
    <row r="105" spans="1:8" x14ac:dyDescent="0.25">
      <c r="C105" t="s">
        <v>163</v>
      </c>
      <c r="D105" t="s">
        <v>11</v>
      </c>
      <c r="E105">
        <v>14</v>
      </c>
      <c r="F105">
        <f>14*1500</f>
        <v>21000</v>
      </c>
      <c r="G105">
        <f>14*500</f>
        <v>7000</v>
      </c>
      <c r="H105">
        <v>14000</v>
      </c>
    </row>
    <row r="106" spans="1:8" x14ac:dyDescent="0.25">
      <c r="A106" s="111" t="s">
        <v>17</v>
      </c>
      <c r="B106" s="111"/>
      <c r="C106" s="111"/>
      <c r="D106" s="111"/>
      <c r="E106" s="111"/>
      <c r="F106" s="1">
        <f>SUM(F95:F105)</f>
        <v>557500</v>
      </c>
      <c r="G106" s="1">
        <f>SUM(G95:G105)</f>
        <v>360500</v>
      </c>
      <c r="H106" s="1">
        <f>SUM(H95:H105)</f>
        <v>197000</v>
      </c>
    </row>
    <row r="107" spans="1:8" x14ac:dyDescent="0.25">
      <c r="A107" t="s">
        <v>26</v>
      </c>
      <c r="B107" s="3">
        <v>44807</v>
      </c>
      <c r="C107" t="s">
        <v>20</v>
      </c>
      <c r="D107" t="s">
        <v>13</v>
      </c>
      <c r="E107">
        <v>9</v>
      </c>
      <c r="F107">
        <v>58500</v>
      </c>
      <c r="G107">
        <f>9*4500</f>
        <v>40500</v>
      </c>
      <c r="H107">
        <v>18000</v>
      </c>
    </row>
    <row r="108" spans="1:8" x14ac:dyDescent="0.25">
      <c r="D108" t="s">
        <v>14</v>
      </c>
      <c r="E108">
        <v>13</v>
      </c>
      <c r="F108">
        <v>130000</v>
      </c>
      <c r="G108">
        <f>13*5500</f>
        <v>71500</v>
      </c>
      <c r="H108">
        <f>13*4500</f>
        <v>58500</v>
      </c>
    </row>
    <row r="109" spans="1:8" x14ac:dyDescent="0.25">
      <c r="C109" t="s">
        <v>10</v>
      </c>
      <c r="D109" t="s">
        <v>13</v>
      </c>
      <c r="E109">
        <v>17</v>
      </c>
      <c r="F109">
        <v>110500</v>
      </c>
      <c r="G109">
        <f>17*4500</f>
        <v>76500</v>
      </c>
      <c r="H109">
        <f>17*2000</f>
        <v>34000</v>
      </c>
    </row>
    <row r="110" spans="1:8" x14ac:dyDescent="0.25">
      <c r="D110" t="s">
        <v>14</v>
      </c>
      <c r="E110">
        <v>16</v>
      </c>
      <c r="F110">
        <v>128000</v>
      </c>
      <c r="G110">
        <f>16*5500</f>
        <v>88000</v>
      </c>
      <c r="H110">
        <f>16*2500</f>
        <v>40000</v>
      </c>
    </row>
    <row r="111" spans="1:8" x14ac:dyDescent="0.25">
      <c r="C111" t="s">
        <v>168</v>
      </c>
      <c r="D111" t="s">
        <v>13</v>
      </c>
      <c r="E111">
        <v>18</v>
      </c>
      <c r="F111">
        <v>117000</v>
      </c>
      <c r="G111">
        <f>18*4500</f>
        <v>81000</v>
      </c>
      <c r="H111">
        <f>18*2000</f>
        <v>36000</v>
      </c>
    </row>
    <row r="112" spans="1:8" x14ac:dyDescent="0.25">
      <c r="D112" t="s">
        <v>14</v>
      </c>
      <c r="E112">
        <v>5</v>
      </c>
      <c r="F112">
        <v>40000</v>
      </c>
      <c r="G112">
        <f>5*5500</f>
        <v>27500</v>
      </c>
      <c r="H112">
        <v>12500</v>
      </c>
    </row>
    <row r="113" spans="1:8" x14ac:dyDescent="0.25">
      <c r="D113" t="s">
        <v>14</v>
      </c>
      <c r="E113">
        <v>6</v>
      </c>
      <c r="F113">
        <v>60000</v>
      </c>
      <c r="G113">
        <f>6*5500</f>
        <v>33000</v>
      </c>
      <c r="H113">
        <f>6*4500</f>
        <v>27000</v>
      </c>
    </row>
    <row r="114" spans="1:8" x14ac:dyDescent="0.25">
      <c r="C114" t="s">
        <v>167</v>
      </c>
      <c r="D114" t="s">
        <v>13</v>
      </c>
      <c r="E114">
        <v>4</v>
      </c>
      <c r="F114">
        <v>26000</v>
      </c>
      <c r="G114">
        <f>4*4500</f>
        <v>18000</v>
      </c>
      <c r="H114">
        <v>8000</v>
      </c>
    </row>
    <row r="115" spans="1:8" x14ac:dyDescent="0.25">
      <c r="D115" t="s">
        <v>14</v>
      </c>
      <c r="E115">
        <v>2</v>
      </c>
      <c r="F115">
        <v>20000</v>
      </c>
      <c r="G115">
        <v>11000</v>
      </c>
      <c r="H115">
        <v>9000</v>
      </c>
    </row>
    <row r="116" spans="1:8" x14ac:dyDescent="0.25">
      <c r="C116" t="s">
        <v>164</v>
      </c>
      <c r="D116" t="s">
        <v>25</v>
      </c>
      <c r="E116">
        <v>4</v>
      </c>
      <c r="F116">
        <v>48000</v>
      </c>
      <c r="G116">
        <v>40000</v>
      </c>
      <c r="H116">
        <v>8000</v>
      </c>
    </row>
    <row r="117" spans="1:8" x14ac:dyDescent="0.25">
      <c r="C117" t="s">
        <v>162</v>
      </c>
      <c r="D117" t="s">
        <v>13</v>
      </c>
      <c r="E117">
        <v>3</v>
      </c>
      <c r="F117">
        <v>19500</v>
      </c>
      <c r="G117">
        <f>3*4500</f>
        <v>13500</v>
      </c>
      <c r="H117">
        <v>6000</v>
      </c>
    </row>
    <row r="118" spans="1:8" x14ac:dyDescent="0.25">
      <c r="D118" t="s">
        <v>14</v>
      </c>
      <c r="E118">
        <v>4</v>
      </c>
      <c r="F118">
        <v>40000</v>
      </c>
      <c r="G118">
        <v>22000</v>
      </c>
      <c r="H118">
        <v>18000</v>
      </c>
    </row>
    <row r="119" spans="1:8" x14ac:dyDescent="0.25">
      <c r="C119" t="s">
        <v>10</v>
      </c>
      <c r="D119" t="s">
        <v>13</v>
      </c>
      <c r="E119">
        <v>7</v>
      </c>
      <c r="F119">
        <v>45500</v>
      </c>
      <c r="G119">
        <f>7*4500</f>
        <v>31500</v>
      </c>
      <c r="H119">
        <v>14000</v>
      </c>
    </row>
    <row r="120" spans="1:8" x14ac:dyDescent="0.25">
      <c r="D120" t="s">
        <v>14</v>
      </c>
      <c r="E120">
        <v>6</v>
      </c>
      <c r="F120">
        <v>48000</v>
      </c>
      <c r="G120">
        <f>6*5500</f>
        <v>33000</v>
      </c>
      <c r="H120">
        <f>6*2500</f>
        <v>15000</v>
      </c>
    </row>
    <row r="121" spans="1:8" x14ac:dyDescent="0.25">
      <c r="C121" t="s">
        <v>163</v>
      </c>
      <c r="D121" t="s">
        <v>11</v>
      </c>
      <c r="E121">
        <f>F121/1500</f>
        <v>14</v>
      </c>
      <c r="F121">
        <v>21000</v>
      </c>
      <c r="G121">
        <f>14*500</f>
        <v>7000</v>
      </c>
      <c r="H121">
        <v>14000</v>
      </c>
    </row>
    <row r="122" spans="1:8" x14ac:dyDescent="0.25">
      <c r="C122" t="s">
        <v>16</v>
      </c>
      <c r="D122" t="s">
        <v>11</v>
      </c>
      <c r="E122">
        <v>28</v>
      </c>
      <c r="F122">
        <v>42000</v>
      </c>
      <c r="G122">
        <f>28*500</f>
        <v>14000</v>
      </c>
      <c r="H122">
        <v>28000</v>
      </c>
    </row>
    <row r="123" spans="1:8" x14ac:dyDescent="0.25">
      <c r="D123" t="s">
        <v>12</v>
      </c>
      <c r="E123">
        <v>3</v>
      </c>
      <c r="F123">
        <v>9000</v>
      </c>
      <c r="G123">
        <v>6000</v>
      </c>
      <c r="H123">
        <v>3000</v>
      </c>
    </row>
    <row r="124" spans="1:8" x14ac:dyDescent="0.25">
      <c r="D124" t="s">
        <v>13</v>
      </c>
      <c r="E124">
        <v>1</v>
      </c>
      <c r="F124">
        <v>6500</v>
      </c>
      <c r="G124">
        <v>4500</v>
      </c>
      <c r="H124">
        <v>2000</v>
      </c>
    </row>
    <row r="125" spans="1:8" x14ac:dyDescent="0.25">
      <c r="A125" s="111" t="s">
        <v>17</v>
      </c>
      <c r="B125" s="111"/>
      <c r="C125" s="111"/>
      <c r="D125" s="111"/>
      <c r="E125" s="111"/>
      <c r="F125" s="1">
        <f>SUM(F107:F124)</f>
        <v>969500</v>
      </c>
      <c r="G125" s="1">
        <f>SUM(G107:G124)</f>
        <v>618500</v>
      </c>
      <c r="H125" s="1">
        <f>SUM(H107:H124)</f>
        <v>351000</v>
      </c>
    </row>
    <row r="126" spans="1:8" x14ac:dyDescent="0.25">
      <c r="A126" t="s">
        <v>28</v>
      </c>
      <c r="B126" s="3">
        <v>44837</v>
      </c>
      <c r="C126" t="s">
        <v>169</v>
      </c>
      <c r="D126" t="s">
        <v>14</v>
      </c>
      <c r="E126">
        <v>13</v>
      </c>
      <c r="F126">
        <v>130000</v>
      </c>
      <c r="G126">
        <f>13*5500</f>
        <v>71500</v>
      </c>
      <c r="H126">
        <f>13*4500</f>
        <v>58500</v>
      </c>
    </row>
    <row r="127" spans="1:8" x14ac:dyDescent="0.25">
      <c r="D127" t="s">
        <v>13</v>
      </c>
      <c r="E127">
        <v>8</v>
      </c>
      <c r="F127">
        <v>52000</v>
      </c>
      <c r="G127">
        <f>8*4500</f>
        <v>36000</v>
      </c>
      <c r="H127">
        <v>16000</v>
      </c>
    </row>
    <row r="128" spans="1:8" x14ac:dyDescent="0.25">
      <c r="C128" t="s">
        <v>10</v>
      </c>
      <c r="D128" t="s">
        <v>13</v>
      </c>
      <c r="E128">
        <v>10</v>
      </c>
      <c r="F128">
        <v>65000</v>
      </c>
      <c r="G128">
        <v>45000</v>
      </c>
      <c r="H128">
        <v>20000</v>
      </c>
    </row>
    <row r="129" spans="1:8" x14ac:dyDescent="0.25">
      <c r="D129" t="s">
        <v>14</v>
      </c>
      <c r="E129">
        <v>3</v>
      </c>
      <c r="F129">
        <v>30000</v>
      </c>
      <c r="G129">
        <f>3*5500</f>
        <v>16500</v>
      </c>
      <c r="H129">
        <f>3*4500</f>
        <v>13500</v>
      </c>
    </row>
    <row r="130" spans="1:8" x14ac:dyDescent="0.25">
      <c r="D130" t="s">
        <v>14</v>
      </c>
      <c r="E130">
        <v>11</v>
      </c>
      <c r="F130">
        <v>88000</v>
      </c>
      <c r="G130">
        <f>11*5500</f>
        <v>60500</v>
      </c>
      <c r="H130">
        <f>11*2500</f>
        <v>27500</v>
      </c>
    </row>
    <row r="131" spans="1:8" x14ac:dyDescent="0.25">
      <c r="C131" t="s">
        <v>164</v>
      </c>
      <c r="D131" t="s">
        <v>25</v>
      </c>
      <c r="E131">
        <v>6</v>
      </c>
      <c r="F131">
        <f>6*12000</f>
        <v>72000</v>
      </c>
      <c r="G131">
        <v>60000</v>
      </c>
      <c r="H131">
        <v>12000</v>
      </c>
    </row>
    <row r="132" spans="1:8" x14ac:dyDescent="0.25">
      <c r="C132" t="s">
        <v>166</v>
      </c>
      <c r="D132" t="s">
        <v>13</v>
      </c>
      <c r="E132">
        <v>10</v>
      </c>
      <c r="F132">
        <v>70000</v>
      </c>
      <c r="G132">
        <v>45000</v>
      </c>
      <c r="H132">
        <v>25000</v>
      </c>
    </row>
    <row r="133" spans="1:8" x14ac:dyDescent="0.25">
      <c r="C133" t="s">
        <v>16</v>
      </c>
      <c r="D133" t="s">
        <v>11</v>
      </c>
      <c r="E133">
        <v>15</v>
      </c>
      <c r="F133">
        <v>22500</v>
      </c>
      <c r="G133">
        <f>15*500</f>
        <v>7500</v>
      </c>
      <c r="H133">
        <v>15000</v>
      </c>
    </row>
    <row r="134" spans="1:8" x14ac:dyDescent="0.25">
      <c r="D134" t="s">
        <v>12</v>
      </c>
      <c r="E134">
        <v>3</v>
      </c>
      <c r="F134">
        <v>9000</v>
      </c>
      <c r="G134">
        <v>6000</v>
      </c>
      <c r="H134">
        <v>3000</v>
      </c>
    </row>
    <row r="135" spans="1:8" x14ac:dyDescent="0.25">
      <c r="D135" t="s">
        <v>14</v>
      </c>
      <c r="E135">
        <v>1</v>
      </c>
      <c r="F135">
        <v>10000</v>
      </c>
      <c r="G135">
        <v>5500</v>
      </c>
      <c r="H135">
        <v>4500</v>
      </c>
    </row>
    <row r="136" spans="1:8" x14ac:dyDescent="0.25">
      <c r="C136" t="s">
        <v>162</v>
      </c>
      <c r="D136" t="s">
        <v>13</v>
      </c>
      <c r="E136">
        <v>3</v>
      </c>
      <c r="F136">
        <v>19500</v>
      </c>
      <c r="G136">
        <f>3*4500</f>
        <v>13500</v>
      </c>
      <c r="H136">
        <v>6000</v>
      </c>
    </row>
    <row r="137" spans="1:8" x14ac:dyDescent="0.25">
      <c r="D137" t="s">
        <v>14</v>
      </c>
      <c r="E137">
        <v>1</v>
      </c>
      <c r="F137">
        <v>10000</v>
      </c>
      <c r="G137">
        <v>5500</v>
      </c>
      <c r="H137">
        <v>4500</v>
      </c>
    </row>
    <row r="138" spans="1:8" x14ac:dyDescent="0.25">
      <c r="A138" s="111" t="s">
        <v>17</v>
      </c>
      <c r="B138" s="111"/>
      <c r="C138" s="111"/>
      <c r="D138" s="111"/>
      <c r="E138" s="111"/>
      <c r="F138" s="1">
        <f>SUM(F126:F137)</f>
        <v>578000</v>
      </c>
      <c r="G138" s="1">
        <f>SUM(G126:G137)</f>
        <v>372500</v>
      </c>
      <c r="H138" s="1">
        <f>SUM(H126:H137)</f>
        <v>205500</v>
      </c>
    </row>
    <row r="139" spans="1:8" x14ac:dyDescent="0.25">
      <c r="A139" t="s">
        <v>30</v>
      </c>
      <c r="B139" s="3">
        <v>44868</v>
      </c>
      <c r="C139" t="s">
        <v>10</v>
      </c>
      <c r="D139" t="s">
        <v>11</v>
      </c>
      <c r="E139">
        <v>19</v>
      </c>
      <c r="F139">
        <v>28500</v>
      </c>
      <c r="G139">
        <f>19*500</f>
        <v>9500</v>
      </c>
      <c r="H139">
        <v>19000</v>
      </c>
    </row>
    <row r="140" spans="1:8" x14ac:dyDescent="0.25">
      <c r="D140" t="s">
        <v>12</v>
      </c>
      <c r="E140">
        <v>1</v>
      </c>
      <c r="F140">
        <v>3000</v>
      </c>
      <c r="G140">
        <v>2000</v>
      </c>
      <c r="H140">
        <v>1000</v>
      </c>
    </row>
    <row r="141" spans="1:8" x14ac:dyDescent="0.25">
      <c r="D141" t="s">
        <v>13</v>
      </c>
      <c r="E141">
        <v>6</v>
      </c>
      <c r="F141">
        <v>39000</v>
      </c>
      <c r="G141">
        <f>6*4500</f>
        <v>27000</v>
      </c>
      <c r="H141">
        <v>12000</v>
      </c>
    </row>
    <row r="142" spans="1:8" x14ac:dyDescent="0.25">
      <c r="D142" t="s">
        <v>14</v>
      </c>
      <c r="E142">
        <v>14</v>
      </c>
      <c r="F142">
        <v>112000</v>
      </c>
      <c r="G142">
        <f>14*5500</f>
        <v>77000</v>
      </c>
      <c r="H142">
        <f>14*2500</f>
        <v>35000</v>
      </c>
    </row>
    <row r="143" spans="1:8" x14ac:dyDescent="0.25">
      <c r="C143" t="s">
        <v>161</v>
      </c>
      <c r="D143" t="s">
        <v>13</v>
      </c>
      <c r="E143">
        <v>5</v>
      </c>
      <c r="F143">
        <v>32500</v>
      </c>
      <c r="G143">
        <f>5*4500</f>
        <v>22500</v>
      </c>
      <c r="H143">
        <v>10000</v>
      </c>
    </row>
    <row r="144" spans="1:8" x14ac:dyDescent="0.25">
      <c r="D144" t="s">
        <v>14</v>
      </c>
      <c r="E144">
        <v>1</v>
      </c>
      <c r="F144">
        <v>10000</v>
      </c>
      <c r="G144">
        <v>5500</v>
      </c>
      <c r="H144">
        <v>4500</v>
      </c>
    </row>
    <row r="145" spans="1:8" x14ac:dyDescent="0.25">
      <c r="C145" t="s">
        <v>168</v>
      </c>
      <c r="D145" t="s">
        <v>13</v>
      </c>
      <c r="E145">
        <v>6</v>
      </c>
      <c r="F145">
        <v>39000</v>
      </c>
      <c r="G145">
        <f>6*4500</f>
        <v>27000</v>
      </c>
      <c r="H145">
        <v>12000</v>
      </c>
    </row>
    <row r="146" spans="1:8" x14ac:dyDescent="0.25">
      <c r="D146" t="s">
        <v>14</v>
      </c>
      <c r="E146">
        <v>3</v>
      </c>
      <c r="F146">
        <v>24000</v>
      </c>
      <c r="G146">
        <f>3*5500</f>
        <v>16500</v>
      </c>
      <c r="H146">
        <v>7500</v>
      </c>
    </row>
    <row r="147" spans="1:8" x14ac:dyDescent="0.25">
      <c r="D147" t="s">
        <v>14</v>
      </c>
      <c r="E147">
        <v>4</v>
      </c>
      <c r="F147">
        <v>40000</v>
      </c>
      <c r="G147">
        <f>4*5500</f>
        <v>22000</v>
      </c>
      <c r="H147">
        <v>18000</v>
      </c>
    </row>
    <row r="148" spans="1:8" x14ac:dyDescent="0.25">
      <c r="C148" t="s">
        <v>167</v>
      </c>
      <c r="D148" t="s">
        <v>13</v>
      </c>
      <c r="E148">
        <v>2</v>
      </c>
      <c r="F148">
        <v>13000</v>
      </c>
      <c r="G148">
        <v>9000</v>
      </c>
      <c r="H148">
        <v>4000</v>
      </c>
    </row>
    <row r="149" spans="1:8" x14ac:dyDescent="0.25">
      <c r="D149" t="s">
        <v>14</v>
      </c>
      <c r="E149">
        <v>1</v>
      </c>
      <c r="F149">
        <v>10000</v>
      </c>
      <c r="G149">
        <v>5500</v>
      </c>
      <c r="H149">
        <v>4500</v>
      </c>
    </row>
    <row r="150" spans="1:8" x14ac:dyDescent="0.25">
      <c r="C150" t="s">
        <v>170</v>
      </c>
      <c r="D150" t="s">
        <v>13</v>
      </c>
      <c r="E150">
        <v>4</v>
      </c>
      <c r="F150">
        <v>26000</v>
      </c>
      <c r="G150">
        <f>4*4500</f>
        <v>18000</v>
      </c>
      <c r="H150">
        <v>8000</v>
      </c>
    </row>
    <row r="151" spans="1:8" x14ac:dyDescent="0.25">
      <c r="D151" t="s">
        <v>14</v>
      </c>
      <c r="E151">
        <v>7</v>
      </c>
      <c r="F151">
        <v>70000</v>
      </c>
      <c r="G151">
        <f>7*5500</f>
        <v>38500</v>
      </c>
      <c r="H151">
        <f>7*4500</f>
        <v>31500</v>
      </c>
    </row>
    <row r="152" spans="1:8" x14ac:dyDescent="0.25">
      <c r="C152" t="s">
        <v>162</v>
      </c>
      <c r="D152" t="s">
        <v>13</v>
      </c>
      <c r="E152">
        <v>3</v>
      </c>
      <c r="F152">
        <v>19500</v>
      </c>
      <c r="G152">
        <f>3*4500</f>
        <v>13500</v>
      </c>
      <c r="H152">
        <v>6000</v>
      </c>
    </row>
    <row r="153" spans="1:8" x14ac:dyDescent="0.25">
      <c r="D153" t="s">
        <v>14</v>
      </c>
      <c r="E153">
        <v>1</v>
      </c>
      <c r="F153">
        <v>10000</v>
      </c>
      <c r="G153">
        <v>5500</v>
      </c>
      <c r="H153">
        <v>4500</v>
      </c>
    </row>
    <row r="154" spans="1:8" x14ac:dyDescent="0.25">
      <c r="C154" t="s">
        <v>166</v>
      </c>
      <c r="D154" t="s">
        <v>13</v>
      </c>
      <c r="E154">
        <v>2</v>
      </c>
      <c r="F154">
        <v>13000</v>
      </c>
      <c r="G154">
        <v>9000</v>
      </c>
      <c r="H154">
        <v>4000</v>
      </c>
    </row>
    <row r="155" spans="1:8" x14ac:dyDescent="0.25">
      <c r="C155" t="s">
        <v>168</v>
      </c>
      <c r="D155" t="s">
        <v>14</v>
      </c>
      <c r="E155">
        <v>5</v>
      </c>
      <c r="F155">
        <v>40000</v>
      </c>
      <c r="G155">
        <f>5*5500</f>
        <v>27500</v>
      </c>
      <c r="H155">
        <f>5*2500</f>
        <v>12500</v>
      </c>
    </row>
    <row r="156" spans="1:8" x14ac:dyDescent="0.25">
      <c r="C156" t="s">
        <v>170</v>
      </c>
      <c r="D156" t="s">
        <v>13</v>
      </c>
      <c r="E156">
        <v>7</v>
      </c>
      <c r="F156">
        <v>45500</v>
      </c>
      <c r="G156">
        <f>7*4500</f>
        <v>31500</v>
      </c>
      <c r="H156">
        <v>14000</v>
      </c>
    </row>
    <row r="157" spans="1:8" x14ac:dyDescent="0.25">
      <c r="C157" t="s">
        <v>16</v>
      </c>
      <c r="D157" t="s">
        <v>11</v>
      </c>
      <c r="E157">
        <v>8</v>
      </c>
      <c r="F157">
        <v>12000</v>
      </c>
      <c r="G157">
        <f>8*500</f>
        <v>4000</v>
      </c>
      <c r="H157">
        <v>8000</v>
      </c>
    </row>
    <row r="158" spans="1:8" x14ac:dyDescent="0.25">
      <c r="C158" t="s">
        <v>163</v>
      </c>
      <c r="D158" t="s">
        <v>11</v>
      </c>
      <c r="E158">
        <v>19</v>
      </c>
      <c r="F158">
        <f>19*1500</f>
        <v>28500</v>
      </c>
      <c r="G158">
        <f>19*500</f>
        <v>9500</v>
      </c>
      <c r="H158">
        <v>19000</v>
      </c>
    </row>
    <row r="159" spans="1:8" x14ac:dyDescent="0.25">
      <c r="A159" s="111" t="s">
        <v>17</v>
      </c>
      <c r="B159" s="111"/>
      <c r="C159" s="111"/>
      <c r="D159" s="111"/>
      <c r="E159" s="111"/>
      <c r="F159" s="1">
        <f>SUM(F139:F158)</f>
        <v>615500</v>
      </c>
      <c r="G159" s="1">
        <f>SUM(G139:G158)</f>
        <v>380500</v>
      </c>
      <c r="H159" s="1">
        <f>SUM(H139:H158)</f>
        <v>235000</v>
      </c>
    </row>
    <row r="160" spans="1:8" x14ac:dyDescent="0.25">
      <c r="A160" t="s">
        <v>32</v>
      </c>
      <c r="B160" s="3">
        <v>44899</v>
      </c>
      <c r="C160" t="s">
        <v>167</v>
      </c>
      <c r="D160" t="s">
        <v>13</v>
      </c>
      <c r="E160">
        <v>6</v>
      </c>
      <c r="F160">
        <v>39000</v>
      </c>
      <c r="G160">
        <f>6*4500</f>
        <v>27000</v>
      </c>
      <c r="H160">
        <v>12000</v>
      </c>
    </row>
    <row r="161" spans="1:8" x14ac:dyDescent="0.25">
      <c r="D161" t="s">
        <v>14</v>
      </c>
      <c r="E161">
        <v>6</v>
      </c>
      <c r="F161">
        <v>60000</v>
      </c>
      <c r="G161">
        <f>6*5500</f>
        <v>33000</v>
      </c>
      <c r="H161">
        <f>6*4500</f>
        <v>27000</v>
      </c>
    </row>
    <row r="162" spans="1:8" x14ac:dyDescent="0.25">
      <c r="C162" t="s">
        <v>20</v>
      </c>
      <c r="D162" t="s">
        <v>13</v>
      </c>
      <c r="E162">
        <v>6</v>
      </c>
      <c r="F162">
        <v>39000</v>
      </c>
      <c r="G162">
        <f>6*4500</f>
        <v>27000</v>
      </c>
      <c r="H162">
        <v>12000</v>
      </c>
    </row>
    <row r="163" spans="1:8" x14ac:dyDescent="0.25">
      <c r="D163" t="s">
        <v>14</v>
      </c>
      <c r="E163">
        <v>12</v>
      </c>
      <c r="F163">
        <v>120000</v>
      </c>
      <c r="G163">
        <f>12*5500</f>
        <v>66000</v>
      </c>
      <c r="H163">
        <f>12*4500</f>
        <v>54000</v>
      </c>
    </row>
    <row r="164" spans="1:8" x14ac:dyDescent="0.25">
      <c r="C164" t="s">
        <v>162</v>
      </c>
      <c r="D164" t="s">
        <v>13</v>
      </c>
      <c r="E164">
        <v>4</v>
      </c>
      <c r="F164">
        <f>4*6500</f>
        <v>26000</v>
      </c>
      <c r="G164">
        <f>4*4500</f>
        <v>18000</v>
      </c>
      <c r="H164">
        <v>8000</v>
      </c>
    </row>
    <row r="165" spans="1:8" x14ac:dyDescent="0.25">
      <c r="D165" t="s">
        <v>14</v>
      </c>
      <c r="E165">
        <v>2</v>
      </c>
      <c r="F165">
        <v>20000</v>
      </c>
      <c r="G165">
        <v>11000</v>
      </c>
      <c r="H165">
        <v>9000</v>
      </c>
    </row>
    <row r="166" spans="1:8" x14ac:dyDescent="0.25">
      <c r="C166" t="s">
        <v>163</v>
      </c>
      <c r="D166" t="s">
        <v>11</v>
      </c>
      <c r="E166">
        <v>11</v>
      </c>
      <c r="F166">
        <f>11*1500</f>
        <v>16500</v>
      </c>
      <c r="G166">
        <f>11*500</f>
        <v>5500</v>
      </c>
      <c r="H166">
        <v>11000</v>
      </c>
    </row>
    <row r="167" spans="1:8" x14ac:dyDescent="0.25">
      <c r="C167" t="s">
        <v>16</v>
      </c>
      <c r="D167" t="s">
        <v>11</v>
      </c>
      <c r="E167">
        <v>16</v>
      </c>
      <c r="F167">
        <f>16*1500</f>
        <v>24000</v>
      </c>
      <c r="G167">
        <f>16*500</f>
        <v>8000</v>
      </c>
      <c r="H167">
        <v>16000</v>
      </c>
    </row>
    <row r="168" spans="1:8" x14ac:dyDescent="0.25">
      <c r="D168" t="s">
        <v>12</v>
      </c>
      <c r="E168">
        <v>3</v>
      </c>
      <c r="F168">
        <v>9000</v>
      </c>
      <c r="G168">
        <v>6000</v>
      </c>
      <c r="H168">
        <v>3000</v>
      </c>
    </row>
    <row r="169" spans="1:8" x14ac:dyDescent="0.25">
      <c r="D169" t="s">
        <v>13</v>
      </c>
      <c r="E169">
        <v>1</v>
      </c>
      <c r="F169">
        <v>6500</v>
      </c>
      <c r="G169">
        <v>4500</v>
      </c>
      <c r="H169">
        <v>2000</v>
      </c>
    </row>
    <row r="170" spans="1:8" x14ac:dyDescent="0.25">
      <c r="C170" t="s">
        <v>10</v>
      </c>
      <c r="D170" t="s">
        <v>11</v>
      </c>
      <c r="E170">
        <v>30</v>
      </c>
      <c r="F170">
        <v>45000</v>
      </c>
      <c r="G170">
        <f>30*500</f>
        <v>15000</v>
      </c>
      <c r="H170">
        <v>30000</v>
      </c>
    </row>
    <row r="171" spans="1:8" x14ac:dyDescent="0.25">
      <c r="D171" t="s">
        <v>13</v>
      </c>
      <c r="E171">
        <v>6</v>
      </c>
      <c r="F171">
        <v>39000</v>
      </c>
      <c r="G171">
        <f>6*4500</f>
        <v>27000</v>
      </c>
      <c r="H171">
        <v>12000</v>
      </c>
    </row>
    <row r="172" spans="1:8" x14ac:dyDescent="0.25">
      <c r="D172" t="s">
        <v>14</v>
      </c>
      <c r="E172">
        <v>11</v>
      </c>
      <c r="F172">
        <v>88000</v>
      </c>
      <c r="G172">
        <f>11*5500</f>
        <v>60500</v>
      </c>
      <c r="H172">
        <f>11*2500</f>
        <v>27500</v>
      </c>
    </row>
    <row r="173" spans="1:8" x14ac:dyDescent="0.25">
      <c r="A173" s="111" t="s">
        <v>17</v>
      </c>
      <c r="B173" s="111"/>
      <c r="C173" s="111"/>
      <c r="D173" s="111"/>
      <c r="E173" s="111"/>
      <c r="F173" s="1">
        <f>SUM(F160:F172)</f>
        <v>532000</v>
      </c>
      <c r="G173" s="1">
        <f>SUM(G160:G172)</f>
        <v>308500</v>
      </c>
      <c r="H173" s="1">
        <f>SUM(H160:H172)</f>
        <v>223500</v>
      </c>
    </row>
    <row r="174" spans="1:8" x14ac:dyDescent="0.25">
      <c r="A174" t="s">
        <v>8</v>
      </c>
      <c r="B174" t="s">
        <v>172</v>
      </c>
      <c r="C174" t="s">
        <v>20</v>
      </c>
      <c r="D174" t="s">
        <v>13</v>
      </c>
      <c r="E174">
        <v>13</v>
      </c>
      <c r="F174">
        <v>84500</v>
      </c>
      <c r="G174">
        <f>13*4500</f>
        <v>58500</v>
      </c>
      <c r="H174">
        <f>13*2000</f>
        <v>26000</v>
      </c>
    </row>
    <row r="175" spans="1:8" x14ac:dyDescent="0.25">
      <c r="D175" t="s">
        <v>14</v>
      </c>
      <c r="E175">
        <v>14</v>
      </c>
      <c r="F175">
        <v>140000</v>
      </c>
      <c r="G175">
        <f>14*5500</f>
        <v>77000</v>
      </c>
      <c r="H175">
        <f>14*4500</f>
        <v>63000</v>
      </c>
    </row>
    <row r="176" spans="1:8" x14ac:dyDescent="0.25">
      <c r="C176" t="s">
        <v>167</v>
      </c>
      <c r="D176" t="s">
        <v>13</v>
      </c>
      <c r="E176">
        <v>4</v>
      </c>
      <c r="F176">
        <v>26000</v>
      </c>
      <c r="G176">
        <f>4*4500</f>
        <v>18000</v>
      </c>
      <c r="H176">
        <v>8000</v>
      </c>
    </row>
    <row r="177" spans="1:8" x14ac:dyDescent="0.25">
      <c r="D177" t="s">
        <v>14</v>
      </c>
      <c r="E177">
        <v>1</v>
      </c>
      <c r="F177">
        <v>10000</v>
      </c>
      <c r="G177">
        <v>5500</v>
      </c>
      <c r="H177">
        <v>4500</v>
      </c>
    </row>
    <row r="178" spans="1:8" x14ac:dyDescent="0.25">
      <c r="C178" t="s">
        <v>162</v>
      </c>
      <c r="D178" t="s">
        <v>13</v>
      </c>
      <c r="E178">
        <v>1</v>
      </c>
      <c r="F178">
        <v>6500</v>
      </c>
      <c r="G178">
        <v>4500</v>
      </c>
      <c r="H178">
        <v>2000</v>
      </c>
    </row>
    <row r="179" spans="1:8" x14ac:dyDescent="0.25">
      <c r="D179" t="s">
        <v>14</v>
      </c>
      <c r="E179">
        <v>2</v>
      </c>
      <c r="F179">
        <v>20000</v>
      </c>
      <c r="G179">
        <v>11000</v>
      </c>
      <c r="H179">
        <v>9000</v>
      </c>
    </row>
    <row r="180" spans="1:8" x14ac:dyDescent="0.25">
      <c r="C180" t="s">
        <v>163</v>
      </c>
      <c r="D180" t="s">
        <v>11</v>
      </c>
      <c r="E180">
        <v>12</v>
      </c>
      <c r="F180">
        <v>18000</v>
      </c>
      <c r="G180">
        <f>12*500</f>
        <v>6000</v>
      </c>
      <c r="H180">
        <v>12000</v>
      </c>
    </row>
    <row r="181" spans="1:8" x14ac:dyDescent="0.25">
      <c r="C181" t="s">
        <v>10</v>
      </c>
      <c r="D181" t="s">
        <v>11</v>
      </c>
      <c r="E181">
        <v>25</v>
      </c>
      <c r="F181">
        <v>37500</v>
      </c>
      <c r="G181">
        <f>25*500</f>
        <v>12500</v>
      </c>
      <c r="H181">
        <v>25000</v>
      </c>
    </row>
    <row r="182" spans="1:8" x14ac:dyDescent="0.25">
      <c r="D182" t="s">
        <v>13</v>
      </c>
      <c r="E182">
        <v>4</v>
      </c>
      <c r="F182">
        <v>26000</v>
      </c>
      <c r="G182">
        <f>4*4500</f>
        <v>18000</v>
      </c>
      <c r="H182">
        <v>8000</v>
      </c>
    </row>
    <row r="183" spans="1:8" x14ac:dyDescent="0.25">
      <c r="D183" t="s">
        <v>14</v>
      </c>
      <c r="E183">
        <v>4</v>
      </c>
      <c r="F183">
        <v>32000</v>
      </c>
      <c r="G183">
        <f>4*5500</f>
        <v>22000</v>
      </c>
      <c r="H183">
        <v>10000</v>
      </c>
    </row>
    <row r="184" spans="1:8" x14ac:dyDescent="0.25">
      <c r="C184" t="s">
        <v>39</v>
      </c>
      <c r="D184" t="s">
        <v>13</v>
      </c>
      <c r="E184">
        <v>5</v>
      </c>
      <c r="F184">
        <v>32500</v>
      </c>
      <c r="G184">
        <f>5*4500</f>
        <v>22500</v>
      </c>
      <c r="H184">
        <v>10000</v>
      </c>
    </row>
    <row r="185" spans="1:8" x14ac:dyDescent="0.25">
      <c r="D185" t="s">
        <v>14</v>
      </c>
      <c r="E185">
        <v>5</v>
      </c>
      <c r="F185">
        <v>40000</v>
      </c>
      <c r="G185">
        <f>5*5500</f>
        <v>27500</v>
      </c>
      <c r="H185">
        <v>12500</v>
      </c>
    </row>
    <row r="186" spans="1:8" x14ac:dyDescent="0.25">
      <c r="C186" t="s">
        <v>15</v>
      </c>
      <c r="D186" t="s">
        <v>14</v>
      </c>
      <c r="E186">
        <v>1</v>
      </c>
      <c r="F186">
        <v>10000</v>
      </c>
      <c r="G186">
        <v>5500</v>
      </c>
      <c r="H186">
        <v>4500</v>
      </c>
    </row>
    <row r="187" spans="1:8" x14ac:dyDescent="0.25">
      <c r="A187" s="111" t="s">
        <v>17</v>
      </c>
      <c r="B187" s="111"/>
      <c r="C187" s="111"/>
      <c r="D187" s="111"/>
      <c r="E187" s="111"/>
      <c r="F187" s="1">
        <f>SUM(F174:F186)</f>
        <v>483000</v>
      </c>
      <c r="G187" s="1">
        <f>SUM(G174:G186)</f>
        <v>288500</v>
      </c>
      <c r="H187" s="1">
        <f>SUM(H174:H186)</f>
        <v>194500</v>
      </c>
    </row>
    <row r="188" spans="1:8" x14ac:dyDescent="0.25">
      <c r="A188" t="s">
        <v>18</v>
      </c>
      <c r="B188" t="s">
        <v>173</v>
      </c>
      <c r="C188" t="s">
        <v>20</v>
      </c>
      <c r="D188" t="s">
        <v>13</v>
      </c>
      <c r="E188">
        <v>2</v>
      </c>
      <c r="F188">
        <v>13000</v>
      </c>
      <c r="G188">
        <f>2*4500</f>
        <v>9000</v>
      </c>
      <c r="H188">
        <v>4000</v>
      </c>
    </row>
    <row r="189" spans="1:8" x14ac:dyDescent="0.25">
      <c r="D189" t="s">
        <v>14</v>
      </c>
      <c r="E189">
        <v>3</v>
      </c>
      <c r="F189">
        <v>30000</v>
      </c>
      <c r="G189">
        <f>3*5500</f>
        <v>16500</v>
      </c>
      <c r="H189">
        <f>3*4500</f>
        <v>13500</v>
      </c>
    </row>
    <row r="190" spans="1:8" x14ac:dyDescent="0.25">
      <c r="C190" t="s">
        <v>163</v>
      </c>
      <c r="D190" t="s">
        <v>11</v>
      </c>
      <c r="E190">
        <v>9</v>
      </c>
      <c r="F190">
        <v>13500</v>
      </c>
      <c r="G190">
        <f>9*500</f>
        <v>4500</v>
      </c>
      <c r="H190">
        <v>9000</v>
      </c>
    </row>
    <row r="191" spans="1:8" x14ac:dyDescent="0.25">
      <c r="C191" t="s">
        <v>10</v>
      </c>
      <c r="D191" t="s">
        <v>11</v>
      </c>
      <c r="E191">
        <v>25</v>
      </c>
      <c r="F191">
        <v>37500</v>
      </c>
      <c r="G191">
        <f>25*500</f>
        <v>12500</v>
      </c>
      <c r="H191">
        <v>25000</v>
      </c>
    </row>
    <row r="192" spans="1:8" x14ac:dyDescent="0.25">
      <c r="D192" t="s">
        <v>12</v>
      </c>
      <c r="E192">
        <v>4</v>
      </c>
      <c r="F192">
        <v>12000</v>
      </c>
      <c r="G192">
        <v>8000</v>
      </c>
      <c r="H192">
        <v>4000</v>
      </c>
    </row>
    <row r="193" spans="1:8" x14ac:dyDescent="0.25">
      <c r="D193" t="s">
        <v>13</v>
      </c>
      <c r="E193">
        <v>7</v>
      </c>
      <c r="F193">
        <v>45500</v>
      </c>
      <c r="G193">
        <f>7*4500</f>
        <v>31500</v>
      </c>
      <c r="H193">
        <v>14000</v>
      </c>
    </row>
    <row r="194" spans="1:8" x14ac:dyDescent="0.25">
      <c r="D194" t="s">
        <v>14</v>
      </c>
      <c r="E194">
        <v>11</v>
      </c>
      <c r="F194">
        <v>88000</v>
      </c>
      <c r="G194">
        <f>11*5500</f>
        <v>60500</v>
      </c>
      <c r="H194">
        <f>11*2500</f>
        <v>27500</v>
      </c>
    </row>
    <row r="195" spans="1:8" x14ac:dyDescent="0.25">
      <c r="C195" t="s">
        <v>63</v>
      </c>
      <c r="D195" t="s">
        <v>25</v>
      </c>
      <c r="E195">
        <v>3</v>
      </c>
      <c r="F195">
        <v>39000</v>
      </c>
      <c r="G195">
        <v>30000</v>
      </c>
      <c r="H195">
        <v>9000</v>
      </c>
    </row>
    <row r="196" spans="1:8" x14ac:dyDescent="0.25">
      <c r="C196" t="s">
        <v>164</v>
      </c>
      <c r="D196" t="s">
        <v>25</v>
      </c>
      <c r="E196">
        <v>2</v>
      </c>
      <c r="F196">
        <v>24000</v>
      </c>
      <c r="G196">
        <v>20000</v>
      </c>
      <c r="H196">
        <v>4000</v>
      </c>
    </row>
    <row r="197" spans="1:8" x14ac:dyDescent="0.25">
      <c r="A197" s="111" t="s">
        <v>17</v>
      </c>
      <c r="B197" s="111"/>
      <c r="C197" s="111"/>
      <c r="D197" s="111"/>
      <c r="E197" s="111"/>
      <c r="F197" s="1">
        <f>SUM(F188:F196)</f>
        <v>302500</v>
      </c>
      <c r="G197" s="1">
        <f>SUM(G188:G196)</f>
        <v>192500</v>
      </c>
      <c r="H197" s="1">
        <f>SUM(H188:H196)</f>
        <v>110000</v>
      </c>
    </row>
    <row r="198" spans="1:8" x14ac:dyDescent="0.25">
      <c r="A198" t="s">
        <v>22</v>
      </c>
      <c r="B198" t="s">
        <v>174</v>
      </c>
      <c r="C198" t="s">
        <v>175</v>
      </c>
      <c r="D198" t="s">
        <v>13</v>
      </c>
      <c r="E198">
        <v>5</v>
      </c>
      <c r="F198">
        <v>32500</v>
      </c>
      <c r="G198">
        <f>5*4500</f>
        <v>22500</v>
      </c>
      <c r="H198">
        <v>10000</v>
      </c>
    </row>
    <row r="199" spans="1:8" x14ac:dyDescent="0.25">
      <c r="D199" t="s">
        <v>14</v>
      </c>
      <c r="E199">
        <v>12</v>
      </c>
      <c r="F199">
        <v>120000</v>
      </c>
      <c r="G199">
        <f>12*5500</f>
        <v>66000</v>
      </c>
      <c r="H199">
        <f>12*4500</f>
        <v>54000</v>
      </c>
    </row>
    <row r="200" spans="1:8" x14ac:dyDescent="0.25">
      <c r="C200" t="s">
        <v>167</v>
      </c>
      <c r="D200" t="s">
        <v>13</v>
      </c>
      <c r="E200">
        <v>7</v>
      </c>
      <c r="F200">
        <v>45500</v>
      </c>
      <c r="G200">
        <f>7*4500</f>
        <v>31500</v>
      </c>
      <c r="H200">
        <v>14000</v>
      </c>
    </row>
    <row r="201" spans="1:8" x14ac:dyDescent="0.25">
      <c r="D201" t="s">
        <v>14</v>
      </c>
      <c r="E201">
        <v>2</v>
      </c>
      <c r="F201">
        <v>20000</v>
      </c>
      <c r="G201">
        <v>11000</v>
      </c>
      <c r="H201">
        <v>9000</v>
      </c>
    </row>
    <row r="202" spans="1:8" x14ac:dyDescent="0.25">
      <c r="C202" t="s">
        <v>170</v>
      </c>
      <c r="D202" t="s">
        <v>13</v>
      </c>
      <c r="E202">
        <v>4</v>
      </c>
      <c r="F202">
        <v>26000</v>
      </c>
      <c r="G202">
        <f>4*4500</f>
        <v>18000</v>
      </c>
      <c r="H202">
        <f>4*2000</f>
        <v>8000</v>
      </c>
    </row>
    <row r="203" spans="1:8" x14ac:dyDescent="0.25">
      <c r="D203" t="s">
        <v>14</v>
      </c>
      <c r="E203">
        <v>3</v>
      </c>
      <c r="F203">
        <v>30000</v>
      </c>
      <c r="G203">
        <f>3*5500</f>
        <v>16500</v>
      </c>
      <c r="H203">
        <f>3*4500</f>
        <v>13500</v>
      </c>
    </row>
    <row r="204" spans="1:8" x14ac:dyDescent="0.25">
      <c r="C204" t="s">
        <v>162</v>
      </c>
      <c r="D204" t="s">
        <v>13</v>
      </c>
      <c r="E204">
        <v>4</v>
      </c>
      <c r="F204">
        <v>26000</v>
      </c>
      <c r="G204">
        <f>4*4500</f>
        <v>18000</v>
      </c>
      <c r="H204">
        <v>8000</v>
      </c>
    </row>
    <row r="205" spans="1:8" x14ac:dyDescent="0.25">
      <c r="D205" t="s">
        <v>14</v>
      </c>
      <c r="E205">
        <v>3</v>
      </c>
      <c r="F205">
        <v>30000</v>
      </c>
      <c r="G205">
        <f>3*5500</f>
        <v>16500</v>
      </c>
      <c r="H205">
        <f>3*4500</f>
        <v>13500</v>
      </c>
    </row>
    <row r="206" spans="1:8" x14ac:dyDescent="0.25">
      <c r="C206" t="s">
        <v>170</v>
      </c>
      <c r="D206" t="s">
        <v>13</v>
      </c>
      <c r="E206">
        <v>4</v>
      </c>
      <c r="F206">
        <v>26000</v>
      </c>
      <c r="G206">
        <f>4*4500</f>
        <v>18000</v>
      </c>
      <c r="H206">
        <v>8000</v>
      </c>
    </row>
    <row r="207" spans="1:8" x14ac:dyDescent="0.25">
      <c r="D207" t="s">
        <v>14</v>
      </c>
      <c r="E207">
        <v>4</v>
      </c>
      <c r="F207">
        <v>40000</v>
      </c>
      <c r="G207">
        <f>4*5500</f>
        <v>22000</v>
      </c>
      <c r="H207">
        <f>4*4500</f>
        <v>18000</v>
      </c>
    </row>
    <row r="208" spans="1:8" x14ac:dyDescent="0.25">
      <c r="C208" t="s">
        <v>163</v>
      </c>
      <c r="D208" t="s">
        <v>11</v>
      </c>
      <c r="E208">
        <v>16</v>
      </c>
      <c r="F208">
        <v>24000</v>
      </c>
      <c r="G208">
        <f>16*500</f>
        <v>8000</v>
      </c>
      <c r="H208">
        <v>16000</v>
      </c>
    </row>
    <row r="209" spans="1:8" x14ac:dyDescent="0.25">
      <c r="C209" t="s">
        <v>164</v>
      </c>
      <c r="D209" t="s">
        <v>25</v>
      </c>
      <c r="E209">
        <v>4</v>
      </c>
      <c r="F209">
        <v>48000</v>
      </c>
      <c r="G209">
        <v>40000</v>
      </c>
      <c r="H209">
        <v>8000</v>
      </c>
    </row>
    <row r="210" spans="1:8" x14ac:dyDescent="0.25">
      <c r="A210" s="111" t="s">
        <v>17</v>
      </c>
      <c r="B210" s="111"/>
      <c r="C210" s="111"/>
      <c r="D210" s="111"/>
      <c r="E210" s="111"/>
      <c r="F210" s="1">
        <f>SUM(F198:F209)</f>
        <v>468000</v>
      </c>
      <c r="G210" s="1">
        <f>SUM(G198:G209)</f>
        <v>288000</v>
      </c>
      <c r="H210" s="1">
        <f>SUM(H198:H209)</f>
        <v>180000</v>
      </c>
    </row>
    <row r="211" spans="1:8" x14ac:dyDescent="0.25">
      <c r="A211" t="s">
        <v>26</v>
      </c>
      <c r="B211" t="s">
        <v>176</v>
      </c>
      <c r="C211" t="s">
        <v>177</v>
      </c>
      <c r="D211" t="s">
        <v>13</v>
      </c>
      <c r="E211">
        <v>1</v>
      </c>
      <c r="F211">
        <v>6500</v>
      </c>
      <c r="G211">
        <v>4500</v>
      </c>
      <c r="H211">
        <v>2000</v>
      </c>
    </row>
    <row r="212" spans="1:8" x14ac:dyDescent="0.25">
      <c r="D212" t="s">
        <v>14</v>
      </c>
      <c r="E212">
        <v>7</v>
      </c>
      <c r="F212">
        <v>70000</v>
      </c>
      <c r="G212">
        <f>7*5500</f>
        <v>38500</v>
      </c>
      <c r="H212">
        <f>7*4500</f>
        <v>31500</v>
      </c>
    </row>
    <row r="213" spans="1:8" x14ac:dyDescent="0.25">
      <c r="C213" t="s">
        <v>177</v>
      </c>
      <c r="D213" t="s">
        <v>13</v>
      </c>
      <c r="E213">
        <v>2</v>
      </c>
      <c r="F213">
        <v>13000</v>
      </c>
      <c r="G213">
        <v>9000</v>
      </c>
      <c r="H213">
        <v>4000</v>
      </c>
    </row>
    <row r="214" spans="1:8" x14ac:dyDescent="0.25">
      <c r="C214" t="s">
        <v>10</v>
      </c>
      <c r="D214" t="s">
        <v>13</v>
      </c>
      <c r="E214">
        <v>10</v>
      </c>
      <c r="F214">
        <v>65000</v>
      </c>
      <c r="G214">
        <v>45000</v>
      </c>
      <c r="H214">
        <v>20000</v>
      </c>
    </row>
    <row r="215" spans="1:8" x14ac:dyDescent="0.25">
      <c r="C215" t="s">
        <v>22</v>
      </c>
      <c r="D215" t="s">
        <v>14</v>
      </c>
      <c r="E215">
        <v>11</v>
      </c>
      <c r="F215">
        <v>88000</v>
      </c>
      <c r="G215">
        <f>11*5500</f>
        <v>60500</v>
      </c>
      <c r="H215">
        <f>11*2500</f>
        <v>27500</v>
      </c>
    </row>
    <row r="216" spans="1:8" x14ac:dyDescent="0.25">
      <c r="C216" t="s">
        <v>161</v>
      </c>
      <c r="D216" t="s">
        <v>13</v>
      </c>
      <c r="E216">
        <v>3</v>
      </c>
      <c r="F216">
        <v>19500</v>
      </c>
      <c r="G216">
        <f>3*4500</f>
        <v>13500</v>
      </c>
      <c r="H216">
        <v>6000</v>
      </c>
    </row>
    <row r="217" spans="1:8" x14ac:dyDescent="0.25">
      <c r="D217" t="s">
        <v>14</v>
      </c>
      <c r="E217">
        <v>2</v>
      </c>
      <c r="F217">
        <v>20000</v>
      </c>
      <c r="G217">
        <f>2*5500</f>
        <v>11000</v>
      </c>
      <c r="H217">
        <v>9000</v>
      </c>
    </row>
    <row r="218" spans="1:8" x14ac:dyDescent="0.25">
      <c r="C218" t="s">
        <v>162</v>
      </c>
      <c r="D218" t="s">
        <v>14</v>
      </c>
      <c r="E218">
        <v>2</v>
      </c>
      <c r="F218">
        <v>20000</v>
      </c>
      <c r="G218">
        <f>2*5500</f>
        <v>11000</v>
      </c>
      <c r="H218">
        <v>9000</v>
      </c>
    </row>
    <row r="219" spans="1:8" x14ac:dyDescent="0.25">
      <c r="D219" t="s">
        <v>13</v>
      </c>
      <c r="E219">
        <v>4</v>
      </c>
      <c r="F219">
        <v>26000</v>
      </c>
      <c r="G219">
        <f>4*4500</f>
        <v>18000</v>
      </c>
      <c r="H219">
        <v>8000</v>
      </c>
    </row>
    <row r="220" spans="1:8" x14ac:dyDescent="0.25">
      <c r="C220" t="s">
        <v>10</v>
      </c>
      <c r="D220" t="s">
        <v>13</v>
      </c>
      <c r="E220">
        <v>9</v>
      </c>
      <c r="F220">
        <v>58500</v>
      </c>
      <c r="G220">
        <f>9*4500</f>
        <v>40500</v>
      </c>
      <c r="H220">
        <v>18000</v>
      </c>
    </row>
    <row r="221" spans="1:8" x14ac:dyDescent="0.25">
      <c r="D221" t="s">
        <v>14</v>
      </c>
      <c r="E221">
        <v>7</v>
      </c>
      <c r="F221">
        <v>56000</v>
      </c>
      <c r="G221">
        <f>7*5500</f>
        <v>38500</v>
      </c>
      <c r="H221">
        <f>7*2500</f>
        <v>17500</v>
      </c>
    </row>
    <row r="222" spans="1:8" x14ac:dyDescent="0.25">
      <c r="A222" s="111" t="s">
        <v>17</v>
      </c>
      <c r="B222" s="111"/>
      <c r="C222" s="111"/>
      <c r="D222" s="111"/>
      <c r="E222" s="111"/>
      <c r="F222" s="1">
        <f>SUM(F211:F221)</f>
        <v>442500</v>
      </c>
      <c r="G222" s="1">
        <f>SUM(G211:G221)</f>
        <v>290000</v>
      </c>
      <c r="H222" s="1">
        <f>SUM(H211:H221)</f>
        <v>152500</v>
      </c>
    </row>
    <row r="223" spans="1:8" x14ac:dyDescent="0.25">
      <c r="A223" t="s">
        <v>28</v>
      </c>
      <c r="B223" t="s">
        <v>178</v>
      </c>
      <c r="C223" t="s">
        <v>162</v>
      </c>
      <c r="D223" t="s">
        <v>13</v>
      </c>
      <c r="E223">
        <v>1</v>
      </c>
      <c r="F223">
        <v>6500</v>
      </c>
      <c r="G223">
        <v>4500</v>
      </c>
      <c r="H223">
        <v>2000</v>
      </c>
    </row>
    <row r="224" spans="1:8" x14ac:dyDescent="0.25">
      <c r="D224" t="s">
        <v>14</v>
      </c>
      <c r="E224">
        <v>2</v>
      </c>
      <c r="F224">
        <v>20000</v>
      </c>
      <c r="G224">
        <v>11000</v>
      </c>
      <c r="H224">
        <v>9000</v>
      </c>
    </row>
    <row r="225" spans="1:8" x14ac:dyDescent="0.25">
      <c r="C225" t="s">
        <v>20</v>
      </c>
      <c r="D225" t="s">
        <v>14</v>
      </c>
      <c r="E225">
        <v>7</v>
      </c>
      <c r="F225">
        <v>70000</v>
      </c>
      <c r="G225">
        <f>7*5500</f>
        <v>38500</v>
      </c>
      <c r="H225">
        <f>7*4500</f>
        <v>31500</v>
      </c>
    </row>
    <row r="226" spans="1:8" x14ac:dyDescent="0.25">
      <c r="C226" t="s">
        <v>10</v>
      </c>
      <c r="D226" t="s">
        <v>13</v>
      </c>
      <c r="E226">
        <v>12</v>
      </c>
      <c r="F226">
        <v>78000</v>
      </c>
      <c r="G226">
        <f>12*4500</f>
        <v>54000</v>
      </c>
      <c r="H226">
        <v>24000</v>
      </c>
    </row>
    <row r="227" spans="1:8" x14ac:dyDescent="0.25">
      <c r="D227" t="s">
        <v>14</v>
      </c>
      <c r="E227">
        <v>12</v>
      </c>
      <c r="F227">
        <v>96000</v>
      </c>
      <c r="G227">
        <f>12*5500</f>
        <v>66000</v>
      </c>
      <c r="H227">
        <f>12*2500</f>
        <v>30000</v>
      </c>
    </row>
    <row r="228" spans="1:8" x14ac:dyDescent="0.25">
      <c r="C228" t="s">
        <v>161</v>
      </c>
      <c r="D228" t="s">
        <v>13</v>
      </c>
      <c r="E228">
        <v>2</v>
      </c>
      <c r="F228">
        <v>13000</v>
      </c>
      <c r="G228">
        <v>9000</v>
      </c>
      <c r="H228">
        <v>4000</v>
      </c>
    </row>
    <row r="229" spans="1:8" x14ac:dyDescent="0.25">
      <c r="A229" s="111" t="s">
        <v>17</v>
      </c>
      <c r="B229" s="111"/>
      <c r="C229" s="111"/>
      <c r="D229" s="111"/>
      <c r="E229" s="111"/>
      <c r="F229" s="1">
        <f>SUM(F223:F228)</f>
        <v>283500</v>
      </c>
      <c r="G229" s="1">
        <f>SUM(G223:G228)</f>
        <v>183000</v>
      </c>
      <c r="H229" s="1">
        <f>SUM(H223:H228)</f>
        <v>100500</v>
      </c>
    </row>
    <row r="230" spans="1:8" x14ac:dyDescent="0.25">
      <c r="A230" t="s">
        <v>30</v>
      </c>
      <c r="B230" t="s">
        <v>179</v>
      </c>
      <c r="C230" t="s">
        <v>20</v>
      </c>
      <c r="D230" t="s">
        <v>13</v>
      </c>
      <c r="E230">
        <v>2</v>
      </c>
      <c r="F230">
        <v>13000</v>
      </c>
      <c r="G230">
        <v>9000</v>
      </c>
      <c r="H230">
        <v>4000</v>
      </c>
    </row>
    <row r="231" spans="1:8" x14ac:dyDescent="0.25">
      <c r="D231" t="s">
        <v>14</v>
      </c>
      <c r="E231">
        <v>16</v>
      </c>
      <c r="F231">
        <v>160000</v>
      </c>
      <c r="G231">
        <f>16*5500</f>
        <v>88000</v>
      </c>
      <c r="H231">
        <f>16*4500</f>
        <v>72000</v>
      </c>
    </row>
    <row r="232" spans="1:8" x14ac:dyDescent="0.25">
      <c r="C232" t="s">
        <v>177</v>
      </c>
      <c r="D232" t="s">
        <v>13</v>
      </c>
      <c r="E232">
        <v>3</v>
      </c>
      <c r="F232">
        <v>19500</v>
      </c>
      <c r="G232">
        <f>3*4500</f>
        <v>13500</v>
      </c>
      <c r="H232">
        <v>6000</v>
      </c>
    </row>
    <row r="233" spans="1:8" x14ac:dyDescent="0.25">
      <c r="C233" t="s">
        <v>170</v>
      </c>
      <c r="D233" t="s">
        <v>13</v>
      </c>
      <c r="E233">
        <v>5</v>
      </c>
      <c r="F233">
        <v>32500</v>
      </c>
      <c r="G233">
        <f>5*4500</f>
        <v>22500</v>
      </c>
      <c r="H233">
        <v>10000</v>
      </c>
    </row>
    <row r="234" spans="1:8" x14ac:dyDescent="0.25">
      <c r="D234" t="s">
        <v>14</v>
      </c>
      <c r="E234">
        <v>6</v>
      </c>
      <c r="F234">
        <v>60000</v>
      </c>
      <c r="G234">
        <f>6*5500</f>
        <v>33000</v>
      </c>
      <c r="H234">
        <f>6*4500</f>
        <v>27000</v>
      </c>
    </row>
    <row r="235" spans="1:8" x14ac:dyDescent="0.25">
      <c r="C235" t="s">
        <v>162</v>
      </c>
      <c r="D235" t="s">
        <v>13</v>
      </c>
      <c r="E235">
        <v>3</v>
      </c>
      <c r="F235">
        <v>19500</v>
      </c>
      <c r="G235">
        <v>13500</v>
      </c>
      <c r="H235">
        <v>6000</v>
      </c>
    </row>
    <row r="236" spans="1:8" x14ac:dyDescent="0.25">
      <c r="C236" t="s">
        <v>170</v>
      </c>
      <c r="D236" t="s">
        <v>13</v>
      </c>
      <c r="E236">
        <v>1</v>
      </c>
      <c r="F236">
        <v>6500</v>
      </c>
      <c r="G236">
        <v>4500</v>
      </c>
      <c r="H236">
        <v>2000</v>
      </c>
    </row>
    <row r="237" spans="1:8" x14ac:dyDescent="0.25">
      <c r="D237" t="s">
        <v>14</v>
      </c>
      <c r="E237">
        <v>2</v>
      </c>
      <c r="F237">
        <v>20000</v>
      </c>
      <c r="G237">
        <v>11000</v>
      </c>
      <c r="H237">
        <v>9000</v>
      </c>
    </row>
    <row r="238" spans="1:8" x14ac:dyDescent="0.25">
      <c r="C238" t="s">
        <v>163</v>
      </c>
      <c r="D238" t="s">
        <v>11</v>
      </c>
      <c r="E238">
        <f>F238/1500</f>
        <v>8</v>
      </c>
      <c r="F238">
        <v>12000</v>
      </c>
      <c r="G238">
        <v>4000</v>
      </c>
      <c r="H238">
        <v>8000</v>
      </c>
    </row>
    <row r="239" spans="1:8" x14ac:dyDescent="0.25">
      <c r="C239" t="s">
        <v>16</v>
      </c>
      <c r="D239" t="s">
        <v>11</v>
      </c>
      <c r="E239">
        <v>12</v>
      </c>
      <c r="F239">
        <v>18000</v>
      </c>
      <c r="G239">
        <f>12*500</f>
        <v>6000</v>
      </c>
      <c r="H239">
        <v>12000</v>
      </c>
    </row>
    <row r="240" spans="1:8" x14ac:dyDescent="0.25">
      <c r="D240" t="s">
        <v>14</v>
      </c>
      <c r="E240">
        <v>1</v>
      </c>
      <c r="F240">
        <v>10000</v>
      </c>
      <c r="G240">
        <v>5500</v>
      </c>
      <c r="H240">
        <v>4500</v>
      </c>
    </row>
    <row r="241" spans="1:8" x14ac:dyDescent="0.25">
      <c r="A241" s="111" t="s">
        <v>17</v>
      </c>
      <c r="B241" s="111"/>
      <c r="C241" s="111"/>
      <c r="D241" s="111"/>
      <c r="E241" s="111"/>
      <c r="F241" s="1">
        <f>SUM(F230:F240)</f>
        <v>371000</v>
      </c>
      <c r="G241" s="1">
        <f>SUM(G230:G240)</f>
        <v>210500</v>
      </c>
      <c r="H241" s="1">
        <f>SUM(H230:H240)</f>
        <v>160500</v>
      </c>
    </row>
    <row r="242" spans="1:8" x14ac:dyDescent="0.25">
      <c r="A242" t="s">
        <v>32</v>
      </c>
      <c r="B242" t="s">
        <v>180</v>
      </c>
      <c r="C242" t="s">
        <v>20</v>
      </c>
      <c r="D242" t="s">
        <v>14</v>
      </c>
      <c r="E242">
        <v>1</v>
      </c>
      <c r="F242">
        <v>10000</v>
      </c>
      <c r="G242">
        <v>5500</v>
      </c>
      <c r="H242">
        <v>4500</v>
      </c>
    </row>
    <row r="243" spans="1:8" x14ac:dyDescent="0.25">
      <c r="C243" t="s">
        <v>10</v>
      </c>
      <c r="D243" t="s">
        <v>11</v>
      </c>
      <c r="E243">
        <v>7</v>
      </c>
      <c r="F243">
        <v>10500</v>
      </c>
      <c r="G243">
        <f>7*500</f>
        <v>3500</v>
      </c>
      <c r="H243">
        <v>7000</v>
      </c>
    </row>
    <row r="244" spans="1:8" x14ac:dyDescent="0.25">
      <c r="D244" t="s">
        <v>13</v>
      </c>
      <c r="E244">
        <v>2</v>
      </c>
      <c r="F244">
        <v>13000</v>
      </c>
      <c r="G244">
        <v>9000</v>
      </c>
      <c r="H244">
        <v>4000</v>
      </c>
    </row>
    <row r="245" spans="1:8" x14ac:dyDescent="0.25">
      <c r="D245" t="s">
        <v>14</v>
      </c>
      <c r="E245">
        <v>3</v>
      </c>
      <c r="F245">
        <v>24000</v>
      </c>
      <c r="G245">
        <f>3*5500</f>
        <v>16500</v>
      </c>
      <c r="H245">
        <v>7500</v>
      </c>
    </row>
    <row r="246" spans="1:8" x14ac:dyDescent="0.25">
      <c r="C246" t="s">
        <v>164</v>
      </c>
      <c r="D246" t="s">
        <v>25</v>
      </c>
      <c r="E246">
        <v>8</v>
      </c>
      <c r="F246">
        <f>8*12000</f>
        <v>96000</v>
      </c>
      <c r="G246">
        <v>80000</v>
      </c>
      <c r="H246">
        <v>16000</v>
      </c>
    </row>
    <row r="247" spans="1:8" x14ac:dyDescent="0.25">
      <c r="C247" t="s">
        <v>63</v>
      </c>
      <c r="D247" t="s">
        <v>25</v>
      </c>
      <c r="E247">
        <v>3</v>
      </c>
      <c r="F247">
        <v>39000</v>
      </c>
      <c r="G247">
        <v>30000</v>
      </c>
      <c r="H247">
        <v>9000</v>
      </c>
    </row>
    <row r="248" spans="1:8" x14ac:dyDescent="0.25">
      <c r="A248" s="111" t="s">
        <v>17</v>
      </c>
      <c r="B248" s="111"/>
      <c r="C248" s="111"/>
      <c r="D248" s="111"/>
      <c r="E248" s="111"/>
      <c r="F248" s="1">
        <f>SUM(F242:F247)</f>
        <v>192500</v>
      </c>
      <c r="G248" s="1">
        <f>SUM(G242:G247)</f>
        <v>144500</v>
      </c>
      <c r="H248" s="1">
        <f>SUM(H242:H247)</f>
        <v>48000</v>
      </c>
    </row>
    <row r="249" spans="1:8" x14ac:dyDescent="0.25">
      <c r="A249" t="s">
        <v>8</v>
      </c>
      <c r="B249" t="s">
        <v>181</v>
      </c>
      <c r="C249" t="s">
        <v>182</v>
      </c>
      <c r="D249" t="s">
        <v>21</v>
      </c>
      <c r="E249">
        <v>8</v>
      </c>
      <c r="F249">
        <f>8*15000</f>
        <v>120000</v>
      </c>
      <c r="G249">
        <v>88000</v>
      </c>
      <c r="H249">
        <f>F249-G249</f>
        <v>32000</v>
      </c>
    </row>
    <row r="250" spans="1:8" x14ac:dyDescent="0.25">
      <c r="C250" t="s">
        <v>164</v>
      </c>
      <c r="D250" t="s">
        <v>25</v>
      </c>
      <c r="E250">
        <v>4</v>
      </c>
      <c r="F250">
        <v>48000</v>
      </c>
      <c r="G250">
        <v>40000</v>
      </c>
      <c r="H250">
        <v>8000</v>
      </c>
    </row>
    <row r="251" spans="1:8" x14ac:dyDescent="0.25">
      <c r="C251" t="s">
        <v>20</v>
      </c>
      <c r="D251" t="s">
        <v>13</v>
      </c>
      <c r="E251">
        <v>4</v>
      </c>
      <c r="F251">
        <f>4*6500</f>
        <v>26000</v>
      </c>
      <c r="G251">
        <f>4*4500</f>
        <v>18000</v>
      </c>
      <c r="H251">
        <v>8000</v>
      </c>
    </row>
    <row r="252" spans="1:8" x14ac:dyDescent="0.25">
      <c r="D252" t="s">
        <v>14</v>
      </c>
      <c r="E252">
        <v>1</v>
      </c>
      <c r="F252">
        <v>10000</v>
      </c>
      <c r="G252">
        <v>5500</v>
      </c>
      <c r="H252">
        <v>4500</v>
      </c>
    </row>
    <row r="253" spans="1:8" x14ac:dyDescent="0.25">
      <c r="C253" t="s">
        <v>162</v>
      </c>
      <c r="D253" t="s">
        <v>13</v>
      </c>
      <c r="E253">
        <v>4</v>
      </c>
      <c r="F253">
        <f>4*6500</f>
        <v>26000</v>
      </c>
      <c r="G253">
        <f>4*4500</f>
        <v>18000</v>
      </c>
      <c r="H253">
        <v>8000</v>
      </c>
    </row>
    <row r="254" spans="1:8" x14ac:dyDescent="0.25">
      <c r="D254" t="s">
        <v>14</v>
      </c>
      <c r="E254">
        <v>3</v>
      </c>
      <c r="F254">
        <v>30000</v>
      </c>
      <c r="G254">
        <f>3*5500</f>
        <v>16500</v>
      </c>
      <c r="H254">
        <f>3*4500</f>
        <v>13500</v>
      </c>
    </row>
    <row r="255" spans="1:8" x14ac:dyDescent="0.25">
      <c r="C255" t="s">
        <v>16</v>
      </c>
      <c r="D255" t="s">
        <v>11</v>
      </c>
      <c r="E255">
        <v>3</v>
      </c>
      <c r="F255">
        <v>4500</v>
      </c>
      <c r="G255">
        <v>1500</v>
      </c>
      <c r="H255">
        <v>3000</v>
      </c>
    </row>
    <row r="256" spans="1:8" x14ac:dyDescent="0.25">
      <c r="D256" t="s">
        <v>12</v>
      </c>
      <c r="E256">
        <v>3</v>
      </c>
      <c r="F256">
        <v>9000</v>
      </c>
      <c r="G256">
        <v>6000</v>
      </c>
      <c r="H256">
        <v>3000</v>
      </c>
    </row>
    <row r="257" spans="1:8" x14ac:dyDescent="0.25">
      <c r="D257" t="s">
        <v>14</v>
      </c>
      <c r="E257">
        <v>1</v>
      </c>
      <c r="F257">
        <v>10000</v>
      </c>
      <c r="G257">
        <v>5500</v>
      </c>
      <c r="H257">
        <v>4500</v>
      </c>
    </row>
    <row r="258" spans="1:8" x14ac:dyDescent="0.25">
      <c r="C258" t="s">
        <v>163</v>
      </c>
      <c r="D258" t="s">
        <v>11</v>
      </c>
      <c r="E258">
        <v>8</v>
      </c>
      <c r="F258">
        <f>8*1500</f>
        <v>12000</v>
      </c>
      <c r="G258">
        <v>4000</v>
      </c>
      <c r="H258">
        <v>8000</v>
      </c>
    </row>
    <row r="259" spans="1:8" x14ac:dyDescent="0.25">
      <c r="A259" s="111" t="s">
        <v>17</v>
      </c>
      <c r="B259" s="111"/>
      <c r="C259" s="111"/>
      <c r="D259" s="111"/>
      <c r="E259" s="111"/>
      <c r="F259" s="1">
        <f>SUM(F249:F258)</f>
        <v>295500</v>
      </c>
      <c r="G259" s="1">
        <f>SUM(G249:G258)</f>
        <v>203000</v>
      </c>
      <c r="H259" s="1">
        <f>SUM(H249:H258)</f>
        <v>92500</v>
      </c>
    </row>
    <row r="260" spans="1:8" x14ac:dyDescent="0.25">
      <c r="A260" t="s">
        <v>18</v>
      </c>
      <c r="B260" t="s">
        <v>183</v>
      </c>
      <c r="C260" t="s">
        <v>10</v>
      </c>
      <c r="D260" t="s">
        <v>11</v>
      </c>
      <c r="E260">
        <v>14</v>
      </c>
      <c r="F260">
        <v>21000</v>
      </c>
      <c r="G260">
        <f>14*500</f>
        <v>7000</v>
      </c>
      <c r="H260">
        <v>14000</v>
      </c>
    </row>
    <row r="261" spans="1:8" x14ac:dyDescent="0.25">
      <c r="D261" t="s">
        <v>12</v>
      </c>
      <c r="E261">
        <v>3</v>
      </c>
      <c r="F261">
        <v>9000</v>
      </c>
      <c r="G261">
        <v>6000</v>
      </c>
      <c r="H261">
        <v>3000</v>
      </c>
    </row>
    <row r="262" spans="1:8" x14ac:dyDescent="0.25">
      <c r="D262" t="s">
        <v>13</v>
      </c>
      <c r="E262">
        <v>4</v>
      </c>
      <c r="F262">
        <v>26000</v>
      </c>
      <c r="G262">
        <f>4*4500</f>
        <v>18000</v>
      </c>
      <c r="H262">
        <v>8000</v>
      </c>
    </row>
    <row r="263" spans="1:8" x14ac:dyDescent="0.25">
      <c r="D263" t="s">
        <v>14</v>
      </c>
      <c r="E263">
        <v>9</v>
      </c>
      <c r="F263">
        <v>72000</v>
      </c>
      <c r="G263">
        <f>9*5500</f>
        <v>49500</v>
      </c>
      <c r="H263">
        <f>9*2500</f>
        <v>22500</v>
      </c>
    </row>
    <row r="264" spans="1:8" x14ac:dyDescent="0.25">
      <c r="C264" t="s">
        <v>177</v>
      </c>
      <c r="D264" t="s">
        <v>13</v>
      </c>
      <c r="E264">
        <v>1</v>
      </c>
      <c r="F264">
        <v>6500</v>
      </c>
      <c r="G264">
        <v>4500</v>
      </c>
      <c r="H264">
        <v>2000</v>
      </c>
    </row>
    <row r="265" spans="1:8" x14ac:dyDescent="0.25">
      <c r="C265" t="s">
        <v>163</v>
      </c>
      <c r="D265" t="s">
        <v>11</v>
      </c>
      <c r="E265">
        <v>4</v>
      </c>
      <c r="F265">
        <v>6000</v>
      </c>
      <c r="G265">
        <v>2000</v>
      </c>
      <c r="H265">
        <v>4000</v>
      </c>
    </row>
    <row r="266" spans="1:8" x14ac:dyDescent="0.25">
      <c r="C266" t="s">
        <v>16</v>
      </c>
      <c r="D266" t="s">
        <v>11</v>
      </c>
      <c r="E266">
        <v>11</v>
      </c>
      <c r="F266">
        <v>16500</v>
      </c>
      <c r="G266">
        <f>11*500</f>
        <v>5500</v>
      </c>
      <c r="H266">
        <v>11000</v>
      </c>
    </row>
    <row r="267" spans="1:8" x14ac:dyDescent="0.25">
      <c r="D267" t="s">
        <v>12</v>
      </c>
      <c r="E267">
        <v>1</v>
      </c>
      <c r="F267">
        <v>3000</v>
      </c>
      <c r="G267">
        <v>2000</v>
      </c>
      <c r="H267">
        <v>1000</v>
      </c>
    </row>
    <row r="268" spans="1:8" x14ac:dyDescent="0.25">
      <c r="D268" t="s">
        <v>25</v>
      </c>
      <c r="E268">
        <v>1</v>
      </c>
      <c r="F268">
        <v>13000</v>
      </c>
      <c r="G268">
        <v>10000</v>
      </c>
      <c r="H268">
        <v>3000</v>
      </c>
    </row>
    <row r="269" spans="1:8" x14ac:dyDescent="0.25">
      <c r="C269" t="s">
        <v>20</v>
      </c>
      <c r="D269" t="s">
        <v>13</v>
      </c>
      <c r="E269">
        <v>12</v>
      </c>
      <c r="F269">
        <v>78000</v>
      </c>
      <c r="G269">
        <f>12*4500</f>
        <v>54000</v>
      </c>
      <c r="H269">
        <f>12*2000</f>
        <v>24000</v>
      </c>
    </row>
    <row r="270" spans="1:8" x14ac:dyDescent="0.25">
      <c r="D270" t="s">
        <v>14</v>
      </c>
      <c r="E270">
        <v>13</v>
      </c>
      <c r="F270">
        <v>130000</v>
      </c>
      <c r="G270">
        <f>13*5500</f>
        <v>71500</v>
      </c>
      <c r="H270">
        <f>13*4500</f>
        <v>58500</v>
      </c>
    </row>
    <row r="271" spans="1:8" x14ac:dyDescent="0.25">
      <c r="A271" s="111" t="s">
        <v>17</v>
      </c>
      <c r="B271" s="111"/>
      <c r="C271" s="111"/>
      <c r="D271" s="111"/>
      <c r="E271" s="111"/>
      <c r="F271" s="1">
        <f>SUM(F260:F270)</f>
        <v>381000</v>
      </c>
      <c r="G271" s="1">
        <f>SUM(G260:G270)</f>
        <v>230000</v>
      </c>
      <c r="H271" s="1">
        <f>SUM(H260:H270)</f>
        <v>151000</v>
      </c>
    </row>
    <row r="272" spans="1:8" x14ac:dyDescent="0.25">
      <c r="A272" t="s">
        <v>22</v>
      </c>
      <c r="B272" t="s">
        <v>185</v>
      </c>
      <c r="C272" t="s">
        <v>184</v>
      </c>
      <c r="D272" t="s">
        <v>13</v>
      </c>
      <c r="E272">
        <v>5</v>
      </c>
      <c r="F272">
        <f>5*6500</f>
        <v>32500</v>
      </c>
      <c r="G272">
        <f>5*4500</f>
        <v>22500</v>
      </c>
      <c r="H272">
        <v>10000</v>
      </c>
    </row>
    <row r="273" spans="1:8" x14ac:dyDescent="0.25">
      <c r="C273" t="s">
        <v>164</v>
      </c>
      <c r="D273" t="s">
        <v>25</v>
      </c>
      <c r="E273">
        <v>4</v>
      </c>
      <c r="F273">
        <v>48000</v>
      </c>
      <c r="G273">
        <v>40000</v>
      </c>
      <c r="H273">
        <v>8000</v>
      </c>
    </row>
    <row r="274" spans="1:8" x14ac:dyDescent="0.25">
      <c r="C274" t="s">
        <v>10</v>
      </c>
      <c r="D274" t="s">
        <v>11</v>
      </c>
      <c r="E274">
        <v>16</v>
      </c>
      <c r="F274">
        <v>24000</v>
      </c>
      <c r="G274">
        <f>16*500</f>
        <v>8000</v>
      </c>
      <c r="H274">
        <v>16000</v>
      </c>
    </row>
    <row r="275" spans="1:8" x14ac:dyDescent="0.25">
      <c r="D275" t="s">
        <v>12</v>
      </c>
      <c r="E275">
        <v>1</v>
      </c>
      <c r="F275">
        <v>3000</v>
      </c>
      <c r="G275">
        <v>2000</v>
      </c>
      <c r="H275">
        <v>1000</v>
      </c>
    </row>
    <row r="276" spans="1:8" x14ac:dyDescent="0.25">
      <c r="D276" t="s">
        <v>13</v>
      </c>
      <c r="E276">
        <v>4</v>
      </c>
      <c r="F276">
        <v>26000</v>
      </c>
      <c r="G276">
        <v>18000</v>
      </c>
      <c r="H276">
        <v>8000</v>
      </c>
    </row>
    <row r="277" spans="1:8" x14ac:dyDescent="0.25">
      <c r="D277" t="s">
        <v>14</v>
      </c>
      <c r="E277">
        <v>8</v>
      </c>
      <c r="F277">
        <v>64000</v>
      </c>
      <c r="G277">
        <f>8*5500</f>
        <v>44000</v>
      </c>
      <c r="H277">
        <f>8*2500</f>
        <v>20000</v>
      </c>
    </row>
    <row r="278" spans="1:8" x14ac:dyDescent="0.25">
      <c r="C278" t="s">
        <v>16</v>
      </c>
      <c r="D278" t="s">
        <v>11</v>
      </c>
      <c r="E278">
        <v>28</v>
      </c>
      <c r="F278">
        <v>42000</v>
      </c>
      <c r="G278">
        <f>28*500</f>
        <v>14000</v>
      </c>
      <c r="H278">
        <v>28000</v>
      </c>
    </row>
    <row r="279" spans="1:8" x14ac:dyDescent="0.25">
      <c r="D279" t="s">
        <v>12</v>
      </c>
      <c r="E279">
        <v>2</v>
      </c>
      <c r="F279">
        <v>6000</v>
      </c>
      <c r="G279">
        <v>4000</v>
      </c>
      <c r="H279">
        <v>2000</v>
      </c>
    </row>
    <row r="280" spans="1:8" x14ac:dyDescent="0.25">
      <c r="D280" t="s">
        <v>13</v>
      </c>
      <c r="E280">
        <v>2</v>
      </c>
      <c r="F280">
        <v>13000</v>
      </c>
      <c r="G280">
        <v>9000</v>
      </c>
      <c r="H280">
        <v>4000</v>
      </c>
    </row>
    <row r="281" spans="1:8" x14ac:dyDescent="0.25">
      <c r="D281" t="s">
        <v>25</v>
      </c>
      <c r="E281">
        <v>1</v>
      </c>
      <c r="F281">
        <v>13000</v>
      </c>
      <c r="G281">
        <v>10000</v>
      </c>
      <c r="H281">
        <v>3000</v>
      </c>
    </row>
    <row r="282" spans="1:8" x14ac:dyDescent="0.25">
      <c r="C282" t="s">
        <v>63</v>
      </c>
      <c r="D282" t="s">
        <v>25</v>
      </c>
      <c r="E282">
        <v>3</v>
      </c>
      <c r="F282">
        <v>39000</v>
      </c>
      <c r="G282">
        <v>30000</v>
      </c>
      <c r="H282">
        <v>9000</v>
      </c>
    </row>
    <row r="283" spans="1:8" x14ac:dyDescent="0.25">
      <c r="C283" t="s">
        <v>20</v>
      </c>
      <c r="D283" t="s">
        <v>13</v>
      </c>
      <c r="E283">
        <v>5</v>
      </c>
      <c r="F283">
        <v>32500</v>
      </c>
      <c r="G283">
        <f>5*4500</f>
        <v>22500</v>
      </c>
      <c r="H283">
        <v>10000</v>
      </c>
    </row>
    <row r="284" spans="1:8" x14ac:dyDescent="0.25">
      <c r="D284" t="s">
        <v>14</v>
      </c>
      <c r="E284">
        <v>8</v>
      </c>
      <c r="F284">
        <v>80000</v>
      </c>
      <c r="G284">
        <f>8*5500</f>
        <v>44000</v>
      </c>
      <c r="H284">
        <f>8*4500</f>
        <v>36000</v>
      </c>
    </row>
    <row r="285" spans="1:8" x14ac:dyDescent="0.25">
      <c r="C285" t="s">
        <v>162</v>
      </c>
      <c r="D285" t="s">
        <v>13</v>
      </c>
      <c r="E285">
        <v>6</v>
      </c>
      <c r="F285">
        <v>39000</v>
      </c>
      <c r="G285">
        <f>6*4500</f>
        <v>27000</v>
      </c>
      <c r="H285">
        <v>12000</v>
      </c>
    </row>
    <row r="286" spans="1:8" x14ac:dyDescent="0.25">
      <c r="C286" t="s">
        <v>163</v>
      </c>
      <c r="D286" t="s">
        <v>11</v>
      </c>
      <c r="E286">
        <v>3</v>
      </c>
      <c r="F286">
        <v>4500</v>
      </c>
      <c r="G286">
        <v>1500</v>
      </c>
      <c r="H286">
        <v>3000</v>
      </c>
    </row>
    <row r="287" spans="1:8" x14ac:dyDescent="0.25">
      <c r="A287" s="111" t="s">
        <v>17</v>
      </c>
      <c r="B287" s="111"/>
      <c r="C287" s="111"/>
      <c r="D287" s="111"/>
      <c r="E287" s="111"/>
      <c r="F287" s="1">
        <f>SUM(F272:F286)</f>
        <v>466500</v>
      </c>
      <c r="G287" s="1">
        <f>SUM(G272:G286)</f>
        <v>296500</v>
      </c>
      <c r="H287" s="1">
        <f>SUM(H272:H286)</f>
        <v>170000</v>
      </c>
    </row>
    <row r="288" spans="1:8" x14ac:dyDescent="0.25">
      <c r="A288" t="s">
        <v>26</v>
      </c>
      <c r="B288" t="s">
        <v>186</v>
      </c>
      <c r="C288" t="s">
        <v>177</v>
      </c>
      <c r="D288" t="s">
        <v>13</v>
      </c>
      <c r="E288">
        <v>3</v>
      </c>
      <c r="F288">
        <v>19500</v>
      </c>
      <c r="G288">
        <f>3*4500</f>
        <v>13500</v>
      </c>
      <c r="H288">
        <v>6000</v>
      </c>
    </row>
    <row r="289" spans="1:8" x14ac:dyDescent="0.25">
      <c r="D289" t="s">
        <v>14</v>
      </c>
      <c r="E289">
        <v>5</v>
      </c>
      <c r="F289">
        <v>50000</v>
      </c>
      <c r="G289">
        <f>5*5500</f>
        <v>27500</v>
      </c>
      <c r="H289">
        <f>5*4500</f>
        <v>22500</v>
      </c>
    </row>
    <row r="290" spans="1:8" x14ac:dyDescent="0.25">
      <c r="C290" t="s">
        <v>20</v>
      </c>
      <c r="D290" t="s">
        <v>13</v>
      </c>
      <c r="E290">
        <v>3</v>
      </c>
      <c r="F290">
        <v>19500</v>
      </c>
      <c r="G290">
        <f>3*4500</f>
        <v>13500</v>
      </c>
      <c r="H290">
        <v>6000</v>
      </c>
    </row>
    <row r="291" spans="1:8" x14ac:dyDescent="0.25">
      <c r="D291" t="s">
        <v>14</v>
      </c>
      <c r="E291">
        <v>14</v>
      </c>
      <c r="F291">
        <v>140000</v>
      </c>
      <c r="G291">
        <f>14*5500</f>
        <v>77000</v>
      </c>
      <c r="H291">
        <f>14*4500</f>
        <v>63000</v>
      </c>
    </row>
    <row r="292" spans="1:8" x14ac:dyDescent="0.25">
      <c r="C292" t="s">
        <v>162</v>
      </c>
      <c r="D292" t="s">
        <v>14</v>
      </c>
      <c r="E292">
        <v>1</v>
      </c>
      <c r="F292">
        <v>10000</v>
      </c>
      <c r="G292">
        <v>5500</v>
      </c>
      <c r="H292">
        <v>4500</v>
      </c>
    </row>
    <row r="293" spans="1:8" x14ac:dyDescent="0.25">
      <c r="D293" t="s">
        <v>13</v>
      </c>
      <c r="E293">
        <v>2</v>
      </c>
      <c r="F293">
        <v>13000</v>
      </c>
      <c r="G293">
        <v>9000</v>
      </c>
      <c r="H293">
        <v>4000</v>
      </c>
    </row>
    <row r="294" spans="1:8" x14ac:dyDescent="0.25">
      <c r="C294" t="s">
        <v>10</v>
      </c>
      <c r="D294" t="s">
        <v>11</v>
      </c>
      <c r="E294">
        <v>20</v>
      </c>
      <c r="F294">
        <v>30000</v>
      </c>
      <c r="G294">
        <f>20*500</f>
        <v>10000</v>
      </c>
      <c r="H294">
        <v>20000</v>
      </c>
    </row>
    <row r="295" spans="1:8" x14ac:dyDescent="0.25">
      <c r="D295" t="s">
        <v>13</v>
      </c>
      <c r="E295">
        <v>7</v>
      </c>
      <c r="F295">
        <v>45500</v>
      </c>
      <c r="G295">
        <f>7*4500</f>
        <v>31500</v>
      </c>
      <c r="H295">
        <v>14000</v>
      </c>
    </row>
    <row r="296" spans="1:8" x14ac:dyDescent="0.25">
      <c r="D296" t="s">
        <v>14</v>
      </c>
      <c r="E296">
        <v>17</v>
      </c>
      <c r="F296">
        <v>136000</v>
      </c>
      <c r="G296">
        <f>17*5500</f>
        <v>93500</v>
      </c>
      <c r="H296">
        <f>17*2500</f>
        <v>42500</v>
      </c>
    </row>
    <row r="297" spans="1:8" x14ac:dyDescent="0.25">
      <c r="C297" t="s">
        <v>16</v>
      </c>
      <c r="D297" t="s">
        <v>11</v>
      </c>
      <c r="E297">
        <v>4</v>
      </c>
      <c r="F297">
        <v>6000</v>
      </c>
      <c r="G297">
        <v>2000</v>
      </c>
      <c r="H297">
        <v>4000</v>
      </c>
    </row>
    <row r="298" spans="1:8" x14ac:dyDescent="0.25">
      <c r="D298" t="s">
        <v>14</v>
      </c>
      <c r="E298">
        <v>2</v>
      </c>
      <c r="F298">
        <v>20000</v>
      </c>
      <c r="G298">
        <v>11000</v>
      </c>
      <c r="H298">
        <v>9000</v>
      </c>
    </row>
    <row r="299" spans="1:8" x14ac:dyDescent="0.25">
      <c r="A299" s="111" t="s">
        <v>17</v>
      </c>
      <c r="B299" s="111"/>
      <c r="C299" s="111"/>
      <c r="D299" s="111"/>
      <c r="E299" s="111"/>
      <c r="F299" s="1">
        <f>SUM(F288:F298)</f>
        <v>489500</v>
      </c>
      <c r="G299" s="1">
        <f>SUM(G288:G298)</f>
        <v>294000</v>
      </c>
      <c r="H299" s="1">
        <f>SUM(H288:H298)</f>
        <v>195500</v>
      </c>
    </row>
    <row r="300" spans="1:8" x14ac:dyDescent="0.25">
      <c r="A300" t="s">
        <v>28</v>
      </c>
      <c r="B300" t="s">
        <v>187</v>
      </c>
      <c r="C300" t="s">
        <v>164</v>
      </c>
      <c r="D300" t="s">
        <v>25</v>
      </c>
      <c r="E300">
        <v>4</v>
      </c>
      <c r="F300">
        <v>48000</v>
      </c>
      <c r="G300">
        <v>40000</v>
      </c>
      <c r="H300">
        <v>8000</v>
      </c>
    </row>
    <row r="301" spans="1:8" x14ac:dyDescent="0.25">
      <c r="C301" t="s">
        <v>16</v>
      </c>
      <c r="D301" t="s">
        <v>11</v>
      </c>
      <c r="E301">
        <v>12</v>
      </c>
      <c r="F301">
        <v>18000</v>
      </c>
      <c r="G301">
        <f>12*500</f>
        <v>6000</v>
      </c>
      <c r="H301">
        <v>12000</v>
      </c>
    </row>
    <row r="302" spans="1:8" x14ac:dyDescent="0.25">
      <c r="D302" t="s">
        <v>12</v>
      </c>
      <c r="E302">
        <v>2</v>
      </c>
      <c r="F302">
        <v>6000</v>
      </c>
      <c r="G302">
        <v>4000</v>
      </c>
      <c r="H302">
        <v>2000</v>
      </c>
    </row>
    <row r="303" spans="1:8" x14ac:dyDescent="0.25">
      <c r="C303" t="s">
        <v>20</v>
      </c>
      <c r="D303" t="s">
        <v>13</v>
      </c>
      <c r="E303">
        <v>1</v>
      </c>
      <c r="F303">
        <v>6500</v>
      </c>
      <c r="G303">
        <v>4500</v>
      </c>
      <c r="H303">
        <v>2000</v>
      </c>
    </row>
    <row r="304" spans="1:8" x14ac:dyDescent="0.25">
      <c r="D304" t="s">
        <v>14</v>
      </c>
      <c r="E304">
        <v>8</v>
      </c>
      <c r="F304">
        <v>80000</v>
      </c>
      <c r="G304">
        <f>8*5500</f>
        <v>44000</v>
      </c>
      <c r="H304">
        <f>8*4500</f>
        <v>36000</v>
      </c>
    </row>
    <row r="305" spans="1:8" x14ac:dyDescent="0.25">
      <c r="C305" t="s">
        <v>177</v>
      </c>
      <c r="D305" t="s">
        <v>13</v>
      </c>
      <c r="E305">
        <v>5</v>
      </c>
      <c r="F305">
        <v>32500</v>
      </c>
      <c r="G305">
        <f>5*4500</f>
        <v>22500</v>
      </c>
      <c r="H305">
        <v>10000</v>
      </c>
    </row>
    <row r="306" spans="1:8" x14ac:dyDescent="0.25">
      <c r="D306" t="s">
        <v>14</v>
      </c>
      <c r="E306">
        <v>3</v>
      </c>
      <c r="F306">
        <v>30000</v>
      </c>
      <c r="G306">
        <f>3*5500</f>
        <v>16500</v>
      </c>
      <c r="H306">
        <f>3*4500</f>
        <v>13500</v>
      </c>
    </row>
    <row r="307" spans="1:8" x14ac:dyDescent="0.25">
      <c r="C307" t="s">
        <v>162</v>
      </c>
      <c r="D307" t="s">
        <v>13</v>
      </c>
      <c r="E307">
        <v>1</v>
      </c>
      <c r="F307">
        <v>6500</v>
      </c>
      <c r="G307">
        <v>4500</v>
      </c>
      <c r="H307">
        <v>2000</v>
      </c>
    </row>
    <row r="308" spans="1:8" x14ac:dyDescent="0.25">
      <c r="D308" t="s">
        <v>14</v>
      </c>
      <c r="E308">
        <v>2</v>
      </c>
      <c r="F308">
        <v>20000</v>
      </c>
      <c r="G308">
        <v>11000</v>
      </c>
      <c r="H308">
        <v>9000</v>
      </c>
    </row>
    <row r="309" spans="1:8" x14ac:dyDescent="0.25">
      <c r="C309" t="s">
        <v>10</v>
      </c>
      <c r="D309" t="s">
        <v>13</v>
      </c>
      <c r="E309">
        <v>8</v>
      </c>
      <c r="F309">
        <v>52000</v>
      </c>
      <c r="G309">
        <f>8*4500</f>
        <v>36000</v>
      </c>
      <c r="H309">
        <v>16000</v>
      </c>
    </row>
    <row r="310" spans="1:8" x14ac:dyDescent="0.25">
      <c r="D310" t="s">
        <v>14</v>
      </c>
      <c r="E310">
        <v>7</v>
      </c>
      <c r="F310">
        <v>56000</v>
      </c>
      <c r="G310">
        <f>7*5500</f>
        <v>38500</v>
      </c>
      <c r="H310">
        <f>7*2500</f>
        <v>17500</v>
      </c>
    </row>
    <row r="311" spans="1:8" x14ac:dyDescent="0.25">
      <c r="A311" s="111" t="s">
        <v>17</v>
      </c>
      <c r="B311" s="111"/>
      <c r="C311" s="111"/>
      <c r="D311" s="111"/>
      <c r="E311" s="111"/>
      <c r="F311" s="1">
        <f>SUM(F300:F310)</f>
        <v>355500</v>
      </c>
      <c r="G311" s="1">
        <f>SUM(G300:G310)</f>
        <v>227500</v>
      </c>
      <c r="H311" s="1">
        <f>SUM(H300:H310)</f>
        <v>128000</v>
      </c>
    </row>
    <row r="312" spans="1:8" x14ac:dyDescent="0.25">
      <c r="A312" t="s">
        <v>30</v>
      </c>
      <c r="B312" t="s">
        <v>188</v>
      </c>
      <c r="C312" t="s">
        <v>20</v>
      </c>
      <c r="D312" t="s">
        <v>13</v>
      </c>
      <c r="E312">
        <v>4</v>
      </c>
      <c r="F312">
        <v>26000</v>
      </c>
      <c r="G312">
        <f>4*4500</f>
        <v>18000</v>
      </c>
      <c r="H312">
        <v>8000</v>
      </c>
    </row>
    <row r="313" spans="1:8" x14ac:dyDescent="0.25">
      <c r="D313" t="s">
        <v>14</v>
      </c>
      <c r="E313">
        <v>1</v>
      </c>
      <c r="F313">
        <v>10000</v>
      </c>
      <c r="G313">
        <v>5500</v>
      </c>
      <c r="H313">
        <v>4500</v>
      </c>
    </row>
    <row r="314" spans="1:8" x14ac:dyDescent="0.25">
      <c r="C314" t="s">
        <v>10</v>
      </c>
      <c r="D314" t="s">
        <v>11</v>
      </c>
      <c r="E314">
        <v>8</v>
      </c>
      <c r="F314">
        <v>12000</v>
      </c>
      <c r="G314">
        <f>8*500</f>
        <v>4000</v>
      </c>
      <c r="H314">
        <v>8000</v>
      </c>
    </row>
    <row r="315" spans="1:8" x14ac:dyDescent="0.25">
      <c r="D315" t="s">
        <v>12</v>
      </c>
      <c r="E315">
        <v>1</v>
      </c>
      <c r="F315">
        <v>3000</v>
      </c>
      <c r="G315">
        <v>2000</v>
      </c>
      <c r="H315">
        <v>1000</v>
      </c>
    </row>
    <row r="316" spans="1:8" x14ac:dyDescent="0.25">
      <c r="D316" t="s">
        <v>13</v>
      </c>
      <c r="E316">
        <v>5</v>
      </c>
      <c r="F316">
        <v>32500</v>
      </c>
      <c r="G316">
        <f>5*4500</f>
        <v>22500</v>
      </c>
      <c r="H316">
        <v>10000</v>
      </c>
    </row>
    <row r="317" spans="1:8" x14ac:dyDescent="0.25">
      <c r="D317" t="s">
        <v>14</v>
      </c>
      <c r="E317">
        <v>8</v>
      </c>
      <c r="F317">
        <v>64000</v>
      </c>
      <c r="G317">
        <f>8*5500</f>
        <v>44000</v>
      </c>
      <c r="H317">
        <f>8*2500</f>
        <v>20000</v>
      </c>
    </row>
    <row r="318" spans="1:8" x14ac:dyDescent="0.25">
      <c r="C318" t="s">
        <v>16</v>
      </c>
      <c r="D318" t="s">
        <v>11</v>
      </c>
      <c r="E318">
        <v>22</v>
      </c>
      <c r="F318">
        <f>22*1500</f>
        <v>33000</v>
      </c>
      <c r="G318">
        <f>22*500</f>
        <v>11000</v>
      </c>
      <c r="H318">
        <v>22000</v>
      </c>
    </row>
    <row r="319" spans="1:8" x14ac:dyDescent="0.25">
      <c r="D319" t="s">
        <v>12</v>
      </c>
      <c r="E319">
        <v>5</v>
      </c>
      <c r="F319">
        <v>15000</v>
      </c>
      <c r="G319">
        <v>10000</v>
      </c>
      <c r="H319">
        <v>5000</v>
      </c>
    </row>
    <row r="320" spans="1:8" x14ac:dyDescent="0.25">
      <c r="D320" t="s">
        <v>14</v>
      </c>
      <c r="E320">
        <v>1</v>
      </c>
      <c r="F320">
        <v>10000</v>
      </c>
      <c r="G320">
        <v>5500</v>
      </c>
      <c r="H320">
        <v>4500</v>
      </c>
    </row>
    <row r="321" spans="1:8" x14ac:dyDescent="0.25">
      <c r="C321" t="s">
        <v>182</v>
      </c>
      <c r="D321" t="s">
        <v>21</v>
      </c>
      <c r="E321">
        <v>4</v>
      </c>
      <c r="F321">
        <v>60000</v>
      </c>
      <c r="G321">
        <v>44000</v>
      </c>
      <c r="H321">
        <f>F321-G321</f>
        <v>16000</v>
      </c>
    </row>
    <row r="322" spans="1:8" x14ac:dyDescent="0.25">
      <c r="C322" t="s">
        <v>164</v>
      </c>
      <c r="D322" t="s">
        <v>25</v>
      </c>
      <c r="E322">
        <v>4</v>
      </c>
      <c r="F322">
        <v>48000</v>
      </c>
      <c r="G322">
        <v>40000</v>
      </c>
      <c r="H322">
        <v>8000</v>
      </c>
    </row>
    <row r="323" spans="1:8" x14ac:dyDescent="0.25">
      <c r="A323" s="111" t="s">
        <v>17</v>
      </c>
      <c r="B323" s="111"/>
      <c r="C323" s="111"/>
      <c r="D323" s="111"/>
      <c r="E323" s="111"/>
      <c r="F323" s="1">
        <f>SUM(F312:F322)</f>
        <v>313500</v>
      </c>
      <c r="G323" s="1">
        <f>SUM(G312:G322)</f>
        <v>206500</v>
      </c>
      <c r="H323" s="1">
        <f>SUM(H312:H322)</f>
        <v>107000</v>
      </c>
    </row>
    <row r="324" spans="1:8" x14ac:dyDescent="0.25">
      <c r="A324" t="s">
        <v>32</v>
      </c>
      <c r="B324" t="s">
        <v>189</v>
      </c>
      <c r="C324" t="s">
        <v>20</v>
      </c>
      <c r="D324" t="s">
        <v>13</v>
      </c>
      <c r="E324">
        <v>2</v>
      </c>
      <c r="F324">
        <v>13000</v>
      </c>
      <c r="G324">
        <v>9000</v>
      </c>
      <c r="H324">
        <v>4000</v>
      </c>
    </row>
    <row r="325" spans="1:8" x14ac:dyDescent="0.25">
      <c r="D325" t="s">
        <v>14</v>
      </c>
      <c r="E325">
        <v>4</v>
      </c>
      <c r="F325">
        <v>40000</v>
      </c>
      <c r="G325">
        <f>4*5500</f>
        <v>22000</v>
      </c>
      <c r="H325">
        <f>4*4500</f>
        <v>18000</v>
      </c>
    </row>
    <row r="326" spans="1:8" x14ac:dyDescent="0.25">
      <c r="C326" t="s">
        <v>63</v>
      </c>
      <c r="D326" t="s">
        <v>25</v>
      </c>
      <c r="E326">
        <v>4</v>
      </c>
      <c r="F326">
        <f>4*13000</f>
        <v>52000</v>
      </c>
      <c r="G326">
        <v>40000</v>
      </c>
      <c r="H326">
        <v>12000</v>
      </c>
    </row>
    <row r="327" spans="1:8" x14ac:dyDescent="0.25">
      <c r="C327" t="s">
        <v>177</v>
      </c>
      <c r="D327" t="s">
        <v>13</v>
      </c>
      <c r="E327">
        <v>2</v>
      </c>
      <c r="F327">
        <v>13000</v>
      </c>
      <c r="G327">
        <v>9000</v>
      </c>
      <c r="H327">
        <v>4000</v>
      </c>
    </row>
    <row r="328" spans="1:8" x14ac:dyDescent="0.25">
      <c r="C328" t="s">
        <v>162</v>
      </c>
      <c r="D328" t="s">
        <v>13</v>
      </c>
      <c r="E328">
        <v>1</v>
      </c>
      <c r="F328">
        <v>6500</v>
      </c>
      <c r="G328">
        <v>4500</v>
      </c>
      <c r="H328">
        <v>2000</v>
      </c>
    </row>
    <row r="329" spans="1:8" x14ac:dyDescent="0.25">
      <c r="D329" t="s">
        <v>14</v>
      </c>
      <c r="E329">
        <v>3</v>
      </c>
      <c r="F329">
        <v>30000</v>
      </c>
      <c r="G329">
        <f>3*5500</f>
        <v>16500</v>
      </c>
      <c r="H329">
        <f>3*4500</f>
        <v>13500</v>
      </c>
    </row>
    <row r="330" spans="1:8" x14ac:dyDescent="0.25">
      <c r="D330" t="s">
        <v>13</v>
      </c>
      <c r="E330">
        <v>3</v>
      </c>
      <c r="F330">
        <v>19500</v>
      </c>
      <c r="G330">
        <f>3*4500</f>
        <v>13500</v>
      </c>
      <c r="H330">
        <v>6000</v>
      </c>
    </row>
    <row r="331" spans="1:8" x14ac:dyDescent="0.25">
      <c r="D331" t="s">
        <v>14</v>
      </c>
      <c r="E331">
        <v>1</v>
      </c>
      <c r="F331">
        <v>10000</v>
      </c>
      <c r="G331">
        <v>5500</v>
      </c>
      <c r="H331">
        <v>4500</v>
      </c>
    </row>
    <row r="332" spans="1:8" x14ac:dyDescent="0.25">
      <c r="C332" t="s">
        <v>164</v>
      </c>
      <c r="D332" t="s">
        <v>25</v>
      </c>
      <c r="E332">
        <v>2</v>
      </c>
      <c r="F332">
        <v>24000</v>
      </c>
      <c r="G332">
        <v>20000</v>
      </c>
      <c r="H332">
        <v>4000</v>
      </c>
    </row>
    <row r="333" spans="1:8" x14ac:dyDescent="0.25">
      <c r="C333" t="s">
        <v>16</v>
      </c>
      <c r="D333" t="s">
        <v>11</v>
      </c>
      <c r="E333">
        <v>6</v>
      </c>
      <c r="F333">
        <v>9000</v>
      </c>
      <c r="G333">
        <v>3000</v>
      </c>
      <c r="H333">
        <v>6000</v>
      </c>
    </row>
    <row r="334" spans="1:8" x14ac:dyDescent="0.25">
      <c r="D334" t="s">
        <v>25</v>
      </c>
      <c r="E334">
        <v>1</v>
      </c>
      <c r="F334">
        <v>13000</v>
      </c>
      <c r="G334">
        <v>10000</v>
      </c>
      <c r="H334">
        <v>3000</v>
      </c>
    </row>
    <row r="335" spans="1:8" x14ac:dyDescent="0.25">
      <c r="C335" t="s">
        <v>10</v>
      </c>
      <c r="D335" t="s">
        <v>11</v>
      </c>
      <c r="E335">
        <v>15</v>
      </c>
      <c r="F335">
        <v>22500</v>
      </c>
      <c r="G335">
        <f>15*500</f>
        <v>7500</v>
      </c>
      <c r="H335">
        <v>15000</v>
      </c>
    </row>
    <row r="336" spans="1:8" x14ac:dyDescent="0.25">
      <c r="D336" t="s">
        <v>12</v>
      </c>
      <c r="E336">
        <v>1</v>
      </c>
      <c r="F336">
        <v>3000</v>
      </c>
      <c r="G336">
        <v>2000</v>
      </c>
      <c r="H336">
        <v>1000</v>
      </c>
    </row>
    <row r="337" spans="1:8" x14ac:dyDescent="0.25">
      <c r="D337" t="s">
        <v>13</v>
      </c>
      <c r="E337">
        <v>10</v>
      </c>
      <c r="F337">
        <v>65000</v>
      </c>
      <c r="G337">
        <v>45000</v>
      </c>
      <c r="H337">
        <v>20000</v>
      </c>
    </row>
    <row r="338" spans="1:8" x14ac:dyDescent="0.25">
      <c r="D338" t="s">
        <v>14</v>
      </c>
      <c r="E338">
        <v>12</v>
      </c>
      <c r="F338">
        <v>96000</v>
      </c>
      <c r="G338">
        <f>12*5500</f>
        <v>66000</v>
      </c>
      <c r="H338">
        <f>12*2500</f>
        <v>30000</v>
      </c>
    </row>
    <row r="339" spans="1:8" x14ac:dyDescent="0.25">
      <c r="A339" s="111" t="s">
        <v>17</v>
      </c>
      <c r="B339" s="111"/>
      <c r="C339" s="111"/>
      <c r="D339" s="111"/>
      <c r="E339" s="111"/>
      <c r="F339" s="1">
        <f>SUM(F324:F338)</f>
        <v>416500</v>
      </c>
      <c r="G339" s="1">
        <f>SUM(G324:G338)</f>
        <v>273500</v>
      </c>
      <c r="H339" s="1">
        <f>SUM(H324:H338)</f>
        <v>143000</v>
      </c>
    </row>
    <row r="340" spans="1:8" x14ac:dyDescent="0.25">
      <c r="A340" t="s">
        <v>8</v>
      </c>
      <c r="B340" t="s">
        <v>190</v>
      </c>
      <c r="C340" t="s">
        <v>63</v>
      </c>
      <c r="D340" t="s">
        <v>25</v>
      </c>
      <c r="E340">
        <v>4</v>
      </c>
      <c r="F340">
        <v>52000</v>
      </c>
      <c r="G340">
        <v>40000</v>
      </c>
      <c r="H340">
        <v>12000</v>
      </c>
    </row>
    <row r="341" spans="1:8" x14ac:dyDescent="0.25">
      <c r="C341" t="s">
        <v>63</v>
      </c>
      <c r="D341" t="s">
        <v>25</v>
      </c>
      <c r="E341">
        <v>2</v>
      </c>
      <c r="F341">
        <v>30000</v>
      </c>
      <c r="G341">
        <v>20000</v>
      </c>
      <c r="H341">
        <v>10000</v>
      </c>
    </row>
    <row r="342" spans="1:8" x14ac:dyDescent="0.25">
      <c r="C342" t="s">
        <v>16</v>
      </c>
      <c r="D342" t="s">
        <v>11</v>
      </c>
      <c r="E342">
        <v>5</v>
      </c>
      <c r="F342">
        <v>7500</v>
      </c>
      <c r="G342">
        <v>2500</v>
      </c>
      <c r="H342">
        <v>5000</v>
      </c>
    </row>
    <row r="343" spans="1:8" x14ac:dyDescent="0.25">
      <c r="D343" t="s">
        <v>12</v>
      </c>
      <c r="E343">
        <v>2</v>
      </c>
      <c r="F343">
        <v>6000</v>
      </c>
      <c r="G343">
        <v>4000</v>
      </c>
      <c r="H343">
        <v>2000</v>
      </c>
    </row>
    <row r="344" spans="1:8" x14ac:dyDescent="0.25">
      <c r="D344" t="s">
        <v>13</v>
      </c>
      <c r="E344">
        <v>1</v>
      </c>
      <c r="F344">
        <v>6500</v>
      </c>
      <c r="G344">
        <v>4500</v>
      </c>
      <c r="H344">
        <v>2000</v>
      </c>
    </row>
    <row r="345" spans="1:8" x14ac:dyDescent="0.25">
      <c r="D345" t="s">
        <v>14</v>
      </c>
      <c r="E345">
        <v>1</v>
      </c>
      <c r="F345">
        <v>10000</v>
      </c>
      <c r="G345">
        <v>5500</v>
      </c>
      <c r="H345">
        <v>4500</v>
      </c>
    </row>
    <row r="346" spans="1:8" x14ac:dyDescent="0.25">
      <c r="C346" t="s">
        <v>164</v>
      </c>
      <c r="D346" t="s">
        <v>25</v>
      </c>
      <c r="E346">
        <v>2</v>
      </c>
      <c r="F346">
        <v>24000</v>
      </c>
      <c r="G346">
        <v>20000</v>
      </c>
      <c r="H346">
        <v>4000</v>
      </c>
    </row>
    <row r="347" spans="1:8" x14ac:dyDescent="0.25">
      <c r="C347" t="s">
        <v>10</v>
      </c>
      <c r="D347" t="s">
        <v>11</v>
      </c>
      <c r="E347">
        <v>21</v>
      </c>
      <c r="F347">
        <v>31500</v>
      </c>
      <c r="G347">
        <f>21*500</f>
        <v>10500</v>
      </c>
      <c r="H347">
        <v>21000</v>
      </c>
    </row>
    <row r="348" spans="1:8" x14ac:dyDescent="0.25">
      <c r="D348" t="s">
        <v>13</v>
      </c>
      <c r="E348">
        <v>1</v>
      </c>
      <c r="F348">
        <v>6500</v>
      </c>
      <c r="G348">
        <v>4500</v>
      </c>
      <c r="H348">
        <v>2000</v>
      </c>
    </row>
    <row r="349" spans="1:8" x14ac:dyDescent="0.25">
      <c r="D349" t="s">
        <v>14</v>
      </c>
      <c r="E349">
        <v>6</v>
      </c>
      <c r="F349">
        <v>48000</v>
      </c>
      <c r="G349">
        <f>6*5500</f>
        <v>33000</v>
      </c>
      <c r="H349">
        <f>6*2500</f>
        <v>15000</v>
      </c>
    </row>
    <row r="350" spans="1:8" x14ac:dyDescent="0.25">
      <c r="C350" t="s">
        <v>162</v>
      </c>
      <c r="D350" t="s">
        <v>14</v>
      </c>
      <c r="E350">
        <v>2</v>
      </c>
      <c r="F350">
        <v>20000</v>
      </c>
      <c r="G350">
        <v>11000</v>
      </c>
      <c r="H350">
        <v>9000</v>
      </c>
    </row>
    <row r="351" spans="1:8" x14ac:dyDescent="0.25">
      <c r="D351" t="s">
        <v>13</v>
      </c>
      <c r="E351">
        <v>1</v>
      </c>
      <c r="F351">
        <v>6500</v>
      </c>
      <c r="G351">
        <v>4500</v>
      </c>
      <c r="H351">
        <v>2000</v>
      </c>
    </row>
    <row r="352" spans="1:8" x14ac:dyDescent="0.25">
      <c r="A352" s="111" t="s">
        <v>17</v>
      </c>
      <c r="B352" s="111"/>
      <c r="C352" s="111"/>
      <c r="D352" s="111"/>
      <c r="E352" s="111"/>
      <c r="F352" s="1">
        <f>SUM(F340:F351)</f>
        <v>248500</v>
      </c>
      <c r="G352" s="1">
        <f>SUM(G340:G351)</f>
        <v>160000</v>
      </c>
      <c r="H352" s="1">
        <f>SUM(H340:H351)</f>
        <v>88500</v>
      </c>
    </row>
    <row r="353" spans="1:8" x14ac:dyDescent="0.25">
      <c r="A353" t="s">
        <v>18</v>
      </c>
      <c r="B353" t="s">
        <v>191</v>
      </c>
      <c r="C353" t="s">
        <v>10</v>
      </c>
      <c r="D353" t="s">
        <v>11</v>
      </c>
      <c r="E353">
        <v>7</v>
      </c>
      <c r="F353">
        <v>10500</v>
      </c>
      <c r="G353">
        <f>7*500</f>
        <v>3500</v>
      </c>
      <c r="H353">
        <v>7000</v>
      </c>
    </row>
    <row r="354" spans="1:8" x14ac:dyDescent="0.25">
      <c r="D354" t="s">
        <v>12</v>
      </c>
      <c r="E354">
        <v>4</v>
      </c>
      <c r="F354">
        <v>12000</v>
      </c>
      <c r="G354">
        <v>8000</v>
      </c>
      <c r="H354">
        <v>4000</v>
      </c>
    </row>
    <row r="355" spans="1:8" x14ac:dyDescent="0.25">
      <c r="D355" t="s">
        <v>13</v>
      </c>
      <c r="E355">
        <v>9</v>
      </c>
      <c r="F355">
        <v>58500</v>
      </c>
      <c r="G355">
        <f>9*4500</f>
        <v>40500</v>
      </c>
      <c r="H355">
        <v>18000</v>
      </c>
    </row>
    <row r="356" spans="1:8" x14ac:dyDescent="0.25">
      <c r="D356" t="s">
        <v>14</v>
      </c>
      <c r="E356">
        <v>11</v>
      </c>
      <c r="F356">
        <v>88000</v>
      </c>
      <c r="G356">
        <f>11*5500</f>
        <v>60500</v>
      </c>
      <c r="H356">
        <f>11*2500</f>
        <v>27500</v>
      </c>
    </row>
    <row r="357" spans="1:8" x14ac:dyDescent="0.25">
      <c r="C357" t="s">
        <v>63</v>
      </c>
      <c r="D357" t="s">
        <v>25</v>
      </c>
      <c r="E357">
        <v>2</v>
      </c>
      <c r="F357">
        <v>30000</v>
      </c>
      <c r="G357">
        <v>20000</v>
      </c>
      <c r="H357">
        <v>10000</v>
      </c>
    </row>
    <row r="358" spans="1:8" x14ac:dyDescent="0.25">
      <c r="C358" t="s">
        <v>164</v>
      </c>
      <c r="D358" t="s">
        <v>25</v>
      </c>
      <c r="E358">
        <v>2</v>
      </c>
      <c r="F358">
        <v>24000</v>
      </c>
      <c r="G358">
        <v>20000</v>
      </c>
      <c r="H358">
        <v>4000</v>
      </c>
    </row>
    <row r="359" spans="1:8" x14ac:dyDescent="0.25">
      <c r="C359" t="s">
        <v>63</v>
      </c>
      <c r="D359" t="s">
        <v>25</v>
      </c>
      <c r="E359">
        <v>3</v>
      </c>
      <c r="F359">
        <v>39000</v>
      </c>
      <c r="G359">
        <v>30000</v>
      </c>
      <c r="H359">
        <v>9000</v>
      </c>
    </row>
    <row r="360" spans="1:8" x14ac:dyDescent="0.25">
      <c r="C360" t="s">
        <v>20</v>
      </c>
      <c r="D360" t="s">
        <v>14</v>
      </c>
      <c r="E360">
        <v>2</v>
      </c>
      <c r="F360">
        <v>20000</v>
      </c>
      <c r="G360">
        <v>11000</v>
      </c>
      <c r="H360">
        <v>9000</v>
      </c>
    </row>
    <row r="361" spans="1:8" x14ac:dyDescent="0.25">
      <c r="C361" t="s">
        <v>16</v>
      </c>
      <c r="D361" t="s">
        <v>11</v>
      </c>
      <c r="E361">
        <v>28</v>
      </c>
      <c r="F361">
        <v>42000</v>
      </c>
      <c r="G361">
        <f>28*500</f>
        <v>14000</v>
      </c>
      <c r="H361">
        <v>28000</v>
      </c>
    </row>
    <row r="362" spans="1:8" x14ac:dyDescent="0.25">
      <c r="D362" t="s">
        <v>12</v>
      </c>
      <c r="E362">
        <v>5</v>
      </c>
      <c r="F362">
        <v>15000</v>
      </c>
      <c r="G362">
        <v>10000</v>
      </c>
      <c r="H362">
        <v>5000</v>
      </c>
    </row>
    <row r="363" spans="1:8" x14ac:dyDescent="0.25">
      <c r="A363" s="111" t="s">
        <v>17</v>
      </c>
      <c r="B363" s="111"/>
      <c r="C363" s="111"/>
      <c r="D363" s="111"/>
      <c r="E363" s="111"/>
      <c r="F363" s="1">
        <f>SUM(F353:F362)</f>
        <v>339000</v>
      </c>
      <c r="G363" s="1">
        <f>SUM(G353:G362)</f>
        <v>217500</v>
      </c>
      <c r="H363" s="1">
        <f>SUM(H353:H362)</f>
        <v>121500</v>
      </c>
    </row>
    <row r="364" spans="1:8" x14ac:dyDescent="0.25">
      <c r="A364" t="s">
        <v>22</v>
      </c>
      <c r="B364" t="s">
        <v>192</v>
      </c>
      <c r="C364" t="s">
        <v>63</v>
      </c>
      <c r="D364" t="s">
        <v>25</v>
      </c>
      <c r="E364">
        <v>2</v>
      </c>
      <c r="F364">
        <v>30000</v>
      </c>
      <c r="G364">
        <v>20000</v>
      </c>
      <c r="H364">
        <v>10000</v>
      </c>
    </row>
    <row r="365" spans="1:8" x14ac:dyDescent="0.25">
      <c r="C365" t="s">
        <v>63</v>
      </c>
      <c r="D365" t="s">
        <v>25</v>
      </c>
      <c r="E365">
        <v>1</v>
      </c>
      <c r="F365">
        <v>15000</v>
      </c>
      <c r="G365">
        <v>10000</v>
      </c>
      <c r="H365">
        <v>5000</v>
      </c>
    </row>
    <row r="366" spans="1:8" x14ac:dyDescent="0.25">
      <c r="C366" t="s">
        <v>164</v>
      </c>
      <c r="D366" t="s">
        <v>25</v>
      </c>
      <c r="E366">
        <v>2</v>
      </c>
      <c r="F366">
        <v>24000</v>
      </c>
      <c r="G366">
        <v>20000</v>
      </c>
      <c r="H366">
        <v>4000</v>
      </c>
    </row>
    <row r="367" spans="1:8" x14ac:dyDescent="0.25">
      <c r="C367" t="s">
        <v>63</v>
      </c>
      <c r="D367" t="s">
        <v>11</v>
      </c>
      <c r="E367">
        <v>40</v>
      </c>
      <c r="F367">
        <f>40*1500</f>
        <v>60000</v>
      </c>
      <c r="G367">
        <f>40*500</f>
        <v>20000</v>
      </c>
      <c r="H367">
        <v>40000</v>
      </c>
    </row>
    <row r="368" spans="1:8" x14ac:dyDescent="0.25">
      <c r="D368" t="s">
        <v>12</v>
      </c>
      <c r="E368">
        <v>15</v>
      </c>
      <c r="F368">
        <f>15*3000</f>
        <v>45000</v>
      </c>
      <c r="G368">
        <f>15*2000</f>
        <v>30000</v>
      </c>
      <c r="H368">
        <v>15000</v>
      </c>
    </row>
    <row r="369" spans="1:9" x14ac:dyDescent="0.25">
      <c r="C369" t="s">
        <v>47</v>
      </c>
      <c r="D369" t="s">
        <v>25</v>
      </c>
      <c r="E369">
        <v>10</v>
      </c>
      <c r="F369">
        <v>150000</v>
      </c>
      <c r="G369">
        <v>100000</v>
      </c>
      <c r="H369">
        <v>50000</v>
      </c>
    </row>
    <row r="370" spans="1:9" x14ac:dyDescent="0.25">
      <c r="C370" t="s">
        <v>162</v>
      </c>
      <c r="D370" t="s">
        <v>13</v>
      </c>
      <c r="E370">
        <v>5</v>
      </c>
      <c r="F370">
        <f>5*6500</f>
        <v>32500</v>
      </c>
      <c r="G370">
        <f>5*4500</f>
        <v>22500</v>
      </c>
      <c r="H370">
        <v>10000</v>
      </c>
    </row>
    <row r="371" spans="1:9" x14ac:dyDescent="0.25">
      <c r="D371" t="s">
        <v>14</v>
      </c>
      <c r="E371">
        <v>3</v>
      </c>
      <c r="F371">
        <v>30000</v>
      </c>
      <c r="G371">
        <f>3*5500</f>
        <v>16500</v>
      </c>
      <c r="H371">
        <f>3*4500</f>
        <v>13500</v>
      </c>
    </row>
    <row r="372" spans="1:9" x14ac:dyDescent="0.25">
      <c r="C372" t="s">
        <v>10</v>
      </c>
      <c r="D372" t="s">
        <v>11</v>
      </c>
      <c r="E372">
        <v>8</v>
      </c>
      <c r="F372">
        <v>12000</v>
      </c>
      <c r="G372">
        <v>4000</v>
      </c>
      <c r="H372">
        <v>8000</v>
      </c>
    </row>
    <row r="373" spans="1:9" x14ac:dyDescent="0.25">
      <c r="D373" t="s">
        <v>13</v>
      </c>
      <c r="E373">
        <v>7</v>
      </c>
      <c r="F373">
        <v>45500</v>
      </c>
      <c r="G373">
        <f>7*4500</f>
        <v>31500</v>
      </c>
      <c r="H373">
        <v>14000</v>
      </c>
    </row>
    <row r="374" spans="1:9" x14ac:dyDescent="0.25">
      <c r="D374" t="s">
        <v>14</v>
      </c>
      <c r="E374">
        <v>8</v>
      </c>
      <c r="F374">
        <v>64000</v>
      </c>
      <c r="G374">
        <f>8*5500</f>
        <v>44000</v>
      </c>
      <c r="H374">
        <f>8*2500</f>
        <v>20000</v>
      </c>
    </row>
    <row r="375" spans="1:9" x14ac:dyDescent="0.25">
      <c r="C375" t="s">
        <v>16</v>
      </c>
      <c r="D375" t="s">
        <v>11</v>
      </c>
      <c r="E375">
        <v>20</v>
      </c>
      <c r="F375">
        <v>30000</v>
      </c>
      <c r="G375">
        <f>20*500</f>
        <v>10000</v>
      </c>
      <c r="H375">
        <v>20000</v>
      </c>
    </row>
    <row r="376" spans="1:9" x14ac:dyDescent="0.25">
      <c r="D376" t="s">
        <v>12</v>
      </c>
      <c r="E376">
        <v>3</v>
      </c>
      <c r="F376">
        <v>9000</v>
      </c>
      <c r="G376">
        <v>6000</v>
      </c>
      <c r="H376">
        <v>3000</v>
      </c>
    </row>
    <row r="377" spans="1:9" x14ac:dyDescent="0.25">
      <c r="A377" s="111" t="s">
        <v>17</v>
      </c>
      <c r="B377" s="111"/>
      <c r="C377" s="111"/>
      <c r="D377" s="111"/>
      <c r="E377" s="111"/>
      <c r="F377" s="1">
        <f>SUM(F364:F376)</f>
        <v>547000</v>
      </c>
      <c r="G377" s="1">
        <f>SUM(G364:G376)</f>
        <v>334500</v>
      </c>
      <c r="H377" s="1">
        <f>SUM(H364:H376)</f>
        <v>212500</v>
      </c>
    </row>
    <row r="378" spans="1:9" x14ac:dyDescent="0.25">
      <c r="A378" t="s">
        <v>26</v>
      </c>
      <c r="B378" t="s">
        <v>193</v>
      </c>
      <c r="C378" t="s">
        <v>63</v>
      </c>
      <c r="D378" t="s">
        <v>25</v>
      </c>
      <c r="E378">
        <v>2</v>
      </c>
      <c r="F378">
        <v>30000</v>
      </c>
      <c r="G378">
        <v>20000</v>
      </c>
      <c r="H378">
        <v>0</v>
      </c>
      <c r="I378" t="s">
        <v>194</v>
      </c>
    </row>
    <row r="379" spans="1:9" x14ac:dyDescent="0.25">
      <c r="C379" t="s">
        <v>10</v>
      </c>
      <c r="D379" t="s">
        <v>11</v>
      </c>
      <c r="E379">
        <v>10</v>
      </c>
      <c r="F379">
        <v>15000</v>
      </c>
      <c r="G379">
        <v>5000</v>
      </c>
      <c r="H379">
        <v>10000</v>
      </c>
    </row>
    <row r="380" spans="1:9" x14ac:dyDescent="0.25">
      <c r="D380" t="s">
        <v>13</v>
      </c>
      <c r="E380">
        <v>11</v>
      </c>
      <c r="F380">
        <v>71500</v>
      </c>
      <c r="G380">
        <f>11*4500</f>
        <v>49500</v>
      </c>
      <c r="H380">
        <f>11*2000</f>
        <v>22000</v>
      </c>
    </row>
    <row r="381" spans="1:9" x14ac:dyDescent="0.25">
      <c r="D381" t="s">
        <v>14</v>
      </c>
      <c r="E381">
        <v>15</v>
      </c>
      <c r="F381">
        <v>120000</v>
      </c>
      <c r="G381">
        <f>15*5500</f>
        <v>82500</v>
      </c>
      <c r="H381">
        <f>15*2500</f>
        <v>37500</v>
      </c>
    </row>
    <row r="382" spans="1:9" x14ac:dyDescent="0.25">
      <c r="C382" t="s">
        <v>16</v>
      </c>
      <c r="D382" t="s">
        <v>11</v>
      </c>
      <c r="E382">
        <v>7</v>
      </c>
      <c r="F382">
        <v>10500</v>
      </c>
      <c r="G382">
        <v>3500</v>
      </c>
      <c r="H382">
        <v>7000</v>
      </c>
    </row>
    <row r="383" spans="1:9" x14ac:dyDescent="0.25">
      <c r="D383" t="s">
        <v>12</v>
      </c>
      <c r="E383">
        <v>2</v>
      </c>
      <c r="F383">
        <v>6000</v>
      </c>
      <c r="G383">
        <v>4000</v>
      </c>
      <c r="H383">
        <v>2000</v>
      </c>
    </row>
    <row r="384" spans="1:9" x14ac:dyDescent="0.25">
      <c r="D384" t="s">
        <v>13</v>
      </c>
      <c r="E384">
        <v>1</v>
      </c>
      <c r="F384">
        <v>6500</v>
      </c>
      <c r="G384">
        <v>4500</v>
      </c>
      <c r="H384">
        <v>2000</v>
      </c>
    </row>
    <row r="385" spans="1:10" x14ac:dyDescent="0.25">
      <c r="D385" t="s">
        <v>14</v>
      </c>
      <c r="E385">
        <v>1</v>
      </c>
      <c r="F385">
        <v>10000</v>
      </c>
      <c r="G385">
        <v>5500</v>
      </c>
      <c r="H385">
        <v>4500</v>
      </c>
    </row>
    <row r="386" spans="1:10" x14ac:dyDescent="0.25">
      <c r="A386" s="111" t="s">
        <v>17</v>
      </c>
      <c r="B386" s="111"/>
      <c r="C386" s="111"/>
      <c r="D386" s="111"/>
      <c r="E386" s="111"/>
      <c r="F386" s="1">
        <f>SUM(F378:F385)</f>
        <v>269500</v>
      </c>
      <c r="G386" s="1">
        <f>SUM(G378:G385)</f>
        <v>174500</v>
      </c>
      <c r="H386" s="1">
        <f>SUM(H378:H385)</f>
        <v>85000</v>
      </c>
    </row>
    <row r="389" spans="1:10" x14ac:dyDescent="0.25">
      <c r="C389" s="117" t="s">
        <v>244</v>
      </c>
      <c r="D389" s="118"/>
      <c r="E389" s="118"/>
      <c r="F389" s="118"/>
      <c r="G389" s="118"/>
      <c r="H389" s="119"/>
      <c r="J389" s="12"/>
    </row>
    <row r="390" spans="1:10" x14ac:dyDescent="0.25">
      <c r="C390" s="120" t="s">
        <v>246</v>
      </c>
      <c r="D390" s="121"/>
      <c r="E390" s="121"/>
      <c r="F390" s="20" t="s">
        <v>242</v>
      </c>
      <c r="G390" s="20" t="s">
        <v>6</v>
      </c>
      <c r="H390" s="21" t="s">
        <v>7</v>
      </c>
    </row>
    <row r="391" spans="1:10" x14ac:dyDescent="0.25">
      <c r="C391" s="122"/>
      <c r="D391" s="123"/>
      <c r="E391" s="123"/>
      <c r="F391" s="18"/>
      <c r="G391" s="18"/>
      <c r="H391" s="19"/>
    </row>
    <row r="392" spans="1:10" x14ac:dyDescent="0.25">
      <c r="C392" s="16"/>
      <c r="D392" s="28" t="s">
        <v>11</v>
      </c>
      <c r="E392" s="28">
        <v>1071</v>
      </c>
      <c r="F392" s="23">
        <f>E392*3000</f>
        <v>3213000</v>
      </c>
      <c r="G392" s="23">
        <f>E392*500</f>
        <v>535500</v>
      </c>
      <c r="H392" s="23">
        <f>E392*1000</f>
        <v>1071000</v>
      </c>
    </row>
    <row r="393" spans="1:10" x14ac:dyDescent="0.25">
      <c r="C393" s="16"/>
      <c r="D393" s="28" t="s">
        <v>12</v>
      </c>
      <c r="E393" s="28">
        <v>93</v>
      </c>
      <c r="F393" s="23">
        <f>E393*5000</f>
        <v>465000</v>
      </c>
      <c r="G393" s="23">
        <f>E393*2000</f>
        <v>186000</v>
      </c>
      <c r="H393" s="23">
        <f>E393*1000</f>
        <v>93000</v>
      </c>
    </row>
    <row r="394" spans="1:10" x14ac:dyDescent="0.25">
      <c r="C394" s="16"/>
      <c r="D394" s="28" t="s">
        <v>247</v>
      </c>
      <c r="E394" s="28">
        <v>712</v>
      </c>
      <c r="F394" s="23">
        <f>E394*6500</f>
        <v>4628000</v>
      </c>
      <c r="G394" s="23">
        <f>E394*4500</f>
        <v>3204000</v>
      </c>
      <c r="H394" s="23">
        <f>E394*1500</f>
        <v>1068000</v>
      </c>
    </row>
    <row r="395" spans="1:10" x14ac:dyDescent="0.25">
      <c r="C395" s="16"/>
      <c r="D395" s="28" t="s">
        <v>248</v>
      </c>
      <c r="E395" s="28">
        <v>702</v>
      </c>
      <c r="F395" s="23">
        <f>E395*10000</f>
        <v>7020000</v>
      </c>
      <c r="G395" s="23">
        <f>E395*5500</f>
        <v>3861000</v>
      </c>
      <c r="H395" s="23">
        <f>E395*4500</f>
        <v>3159000</v>
      </c>
    </row>
    <row r="396" spans="1:10" x14ac:dyDescent="0.25">
      <c r="C396" s="16"/>
      <c r="D396" s="28" t="s">
        <v>243</v>
      </c>
      <c r="E396" s="28">
        <v>101</v>
      </c>
      <c r="F396" s="23">
        <f>E396*15000</f>
        <v>1515000</v>
      </c>
      <c r="G396" s="23">
        <f>E396*10000</f>
        <v>1010000</v>
      </c>
      <c r="H396" s="23">
        <f>E396*5000</f>
        <v>505000</v>
      </c>
    </row>
    <row r="397" spans="1:10" x14ac:dyDescent="0.25">
      <c r="C397" s="16"/>
      <c r="D397" s="28" t="s">
        <v>245</v>
      </c>
      <c r="E397" s="28">
        <v>18</v>
      </c>
      <c r="F397" s="23">
        <f>E397*18000</f>
        <v>324000</v>
      </c>
      <c r="G397" s="23">
        <f>E397*13000</f>
        <v>234000</v>
      </c>
      <c r="H397" s="23">
        <f>E397*5000</f>
        <v>90000</v>
      </c>
    </row>
    <row r="398" spans="1:10" x14ac:dyDescent="0.25">
      <c r="C398" s="16"/>
      <c r="D398" s="28" t="s">
        <v>200</v>
      </c>
      <c r="E398" s="28">
        <v>2</v>
      </c>
      <c r="F398" s="23">
        <f>E398*18000</f>
        <v>36000</v>
      </c>
      <c r="G398" s="23">
        <f>E398*13000</f>
        <v>26000</v>
      </c>
      <c r="H398" s="23">
        <f>E398*5000</f>
        <v>10000</v>
      </c>
    </row>
    <row r="399" spans="1:10" x14ac:dyDescent="0.25">
      <c r="C399" s="16"/>
      <c r="D399" s="6" t="s">
        <v>249</v>
      </c>
      <c r="E399" s="33">
        <f>SUM(E392:E398)</f>
        <v>2699</v>
      </c>
      <c r="F399" s="33">
        <f>SUM(F392:F398)</f>
        <v>17201000</v>
      </c>
      <c r="G399" s="33">
        <f>SUM(G392:G398)</f>
        <v>9056500</v>
      </c>
      <c r="H399" s="33">
        <f>SUM(H392:H398)</f>
        <v>5996000</v>
      </c>
    </row>
  </sheetData>
  <mergeCells count="33">
    <mergeCell ref="A125:E125"/>
    <mergeCell ref="A106:E106"/>
    <mergeCell ref="A94:E94"/>
    <mergeCell ref="A248:E248"/>
    <mergeCell ref="A259:E259"/>
    <mergeCell ref="A173:E173"/>
    <mergeCell ref="A138:E138"/>
    <mergeCell ref="A159:E159"/>
    <mergeCell ref="A229:E229"/>
    <mergeCell ref="A241:E241"/>
    <mergeCell ref="A222:E222"/>
    <mergeCell ref="A210:E210"/>
    <mergeCell ref="A187:E187"/>
    <mergeCell ref="A197:E197"/>
    <mergeCell ref="A67:E67"/>
    <mergeCell ref="A80:E80"/>
    <mergeCell ref="A11:E11"/>
    <mergeCell ref="A21:E21"/>
    <mergeCell ref="A31:E31"/>
    <mergeCell ref="A42:E42"/>
    <mergeCell ref="A54:E54"/>
    <mergeCell ref="C389:H389"/>
    <mergeCell ref="C390:E391"/>
    <mergeCell ref="A386:E386"/>
    <mergeCell ref="A377:E377"/>
    <mergeCell ref="A271:E271"/>
    <mergeCell ref="A363:E363"/>
    <mergeCell ref="A323:E323"/>
    <mergeCell ref="A311:E311"/>
    <mergeCell ref="A299:E299"/>
    <mergeCell ref="A287:E287"/>
    <mergeCell ref="A352:E352"/>
    <mergeCell ref="A339:E33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92"/>
  <sheetViews>
    <sheetView topLeftCell="A368" workbookViewId="0">
      <selection activeCell="C382" sqref="C382:H392"/>
    </sheetView>
  </sheetViews>
  <sheetFormatPr defaultRowHeight="15" x14ac:dyDescent="0.25"/>
  <cols>
    <col min="2" max="2" width="9.7109375" bestFit="1" customWidth="1"/>
    <col min="3" max="3" width="15.42578125" bestFit="1" customWidth="1"/>
    <col min="5" max="5" width="9.28515625" bestFit="1" customWidth="1"/>
    <col min="6" max="8" width="11.5703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28</v>
      </c>
      <c r="B2" s="3">
        <v>44566</v>
      </c>
      <c r="C2" t="s">
        <v>195</v>
      </c>
      <c r="D2" t="s">
        <v>25</v>
      </c>
      <c r="E2">
        <v>6</v>
      </c>
      <c r="F2">
        <v>65000</v>
      </c>
      <c r="G2">
        <v>60000</v>
      </c>
      <c r="H2">
        <v>5000</v>
      </c>
    </row>
    <row r="3" spans="1:8" x14ac:dyDescent="0.25">
      <c r="C3" t="s">
        <v>196</v>
      </c>
      <c r="D3" t="s">
        <v>25</v>
      </c>
      <c r="E3">
        <v>4</v>
      </c>
      <c r="F3">
        <v>48000</v>
      </c>
      <c r="G3">
        <v>40000</v>
      </c>
      <c r="H3">
        <v>8000</v>
      </c>
    </row>
    <row r="4" spans="1:8" x14ac:dyDescent="0.25">
      <c r="C4" t="s">
        <v>197</v>
      </c>
      <c r="D4" t="s">
        <v>25</v>
      </c>
      <c r="E4">
        <v>5</v>
      </c>
      <c r="F4">
        <v>55000</v>
      </c>
      <c r="G4">
        <v>50000</v>
      </c>
      <c r="H4">
        <v>5000</v>
      </c>
    </row>
    <row r="5" spans="1:8" x14ac:dyDescent="0.25">
      <c r="C5" t="s">
        <v>198</v>
      </c>
      <c r="D5" t="s">
        <v>25</v>
      </c>
      <c r="E5">
        <v>4</v>
      </c>
      <c r="F5">
        <v>44000</v>
      </c>
      <c r="G5">
        <v>40000</v>
      </c>
      <c r="H5">
        <v>4000</v>
      </c>
    </row>
    <row r="6" spans="1:8" x14ac:dyDescent="0.25">
      <c r="C6" t="s">
        <v>199</v>
      </c>
      <c r="D6" t="s">
        <v>200</v>
      </c>
      <c r="E6">
        <v>2</v>
      </c>
      <c r="F6">
        <v>35000</v>
      </c>
      <c r="G6">
        <v>30000</v>
      </c>
      <c r="H6">
        <v>5000</v>
      </c>
    </row>
    <row r="7" spans="1:8" x14ac:dyDescent="0.25">
      <c r="C7" t="s">
        <v>201</v>
      </c>
      <c r="D7" t="s">
        <v>25</v>
      </c>
      <c r="E7">
        <v>5</v>
      </c>
      <c r="F7">
        <v>55000</v>
      </c>
      <c r="G7">
        <v>50000</v>
      </c>
      <c r="H7">
        <v>5000</v>
      </c>
    </row>
    <row r="8" spans="1:8" x14ac:dyDescent="0.25">
      <c r="C8" t="s">
        <v>202</v>
      </c>
      <c r="D8" t="s">
        <v>25</v>
      </c>
      <c r="E8">
        <v>2</v>
      </c>
      <c r="F8">
        <v>24000</v>
      </c>
      <c r="G8">
        <v>20000</v>
      </c>
      <c r="H8">
        <v>4000</v>
      </c>
    </row>
    <row r="9" spans="1:8" x14ac:dyDescent="0.25">
      <c r="C9" t="s">
        <v>203</v>
      </c>
      <c r="D9" t="s">
        <v>25</v>
      </c>
      <c r="E9">
        <v>4</v>
      </c>
      <c r="F9">
        <v>45000</v>
      </c>
      <c r="G9">
        <v>40000</v>
      </c>
      <c r="H9">
        <v>5000</v>
      </c>
    </row>
    <row r="10" spans="1:8" x14ac:dyDescent="0.25">
      <c r="C10" t="s">
        <v>10</v>
      </c>
      <c r="D10" t="s">
        <v>11</v>
      </c>
      <c r="E10">
        <v>3</v>
      </c>
      <c r="F10">
        <v>4500</v>
      </c>
      <c r="G10">
        <v>1500</v>
      </c>
      <c r="H10">
        <v>3000</v>
      </c>
    </row>
    <row r="11" spans="1:8" x14ac:dyDescent="0.25">
      <c r="D11" t="s">
        <v>13</v>
      </c>
      <c r="E11">
        <v>9</v>
      </c>
      <c r="F11">
        <v>58500</v>
      </c>
      <c r="G11">
        <f>9*4500</f>
        <v>40500</v>
      </c>
      <c r="H11">
        <v>18000</v>
      </c>
    </row>
    <row r="12" spans="1:8" x14ac:dyDescent="0.25">
      <c r="D12" t="s">
        <v>14</v>
      </c>
      <c r="E12">
        <v>10</v>
      </c>
      <c r="F12">
        <v>80000</v>
      </c>
      <c r="G12">
        <f>10*5500</f>
        <v>55000</v>
      </c>
      <c r="H12">
        <v>25000</v>
      </c>
    </row>
    <row r="13" spans="1:8" x14ac:dyDescent="0.25">
      <c r="C13" t="s">
        <v>16</v>
      </c>
      <c r="D13" t="s">
        <v>11</v>
      </c>
      <c r="E13">
        <v>19</v>
      </c>
      <c r="F13">
        <v>28500</v>
      </c>
      <c r="G13">
        <f>19*500</f>
        <v>9500</v>
      </c>
      <c r="H13">
        <v>19000</v>
      </c>
    </row>
    <row r="14" spans="1:8" x14ac:dyDescent="0.25">
      <c r="D14" t="s">
        <v>12</v>
      </c>
      <c r="E14">
        <v>4</v>
      </c>
      <c r="F14">
        <v>12000</v>
      </c>
      <c r="G14">
        <v>8000</v>
      </c>
      <c r="H14">
        <v>4000</v>
      </c>
    </row>
    <row r="15" spans="1:8" x14ac:dyDescent="0.25">
      <c r="D15" t="s">
        <v>13</v>
      </c>
      <c r="E15">
        <v>2</v>
      </c>
      <c r="F15">
        <v>13000</v>
      </c>
      <c r="G15">
        <v>9000</v>
      </c>
      <c r="H15">
        <v>4000</v>
      </c>
    </row>
    <row r="16" spans="1:8" x14ac:dyDescent="0.25">
      <c r="D16" t="s">
        <v>14</v>
      </c>
      <c r="E16">
        <v>2</v>
      </c>
      <c r="F16">
        <v>20000</v>
      </c>
      <c r="G16">
        <v>11000</v>
      </c>
      <c r="H16">
        <v>9000</v>
      </c>
    </row>
    <row r="17" spans="1:8" x14ac:dyDescent="0.25">
      <c r="D17" t="s">
        <v>25</v>
      </c>
      <c r="E17">
        <v>1</v>
      </c>
      <c r="F17">
        <v>13000</v>
      </c>
      <c r="G17">
        <v>10000</v>
      </c>
      <c r="H17">
        <v>3000</v>
      </c>
    </row>
    <row r="18" spans="1:8" x14ac:dyDescent="0.25">
      <c r="C18" t="s">
        <v>204</v>
      </c>
      <c r="D18" t="s">
        <v>25</v>
      </c>
      <c r="E18">
        <v>3</v>
      </c>
      <c r="F18">
        <v>36000</v>
      </c>
      <c r="G18">
        <v>30000</v>
      </c>
      <c r="H18">
        <v>6000</v>
      </c>
    </row>
    <row r="19" spans="1:8" x14ac:dyDescent="0.25">
      <c r="C19" t="s">
        <v>205</v>
      </c>
      <c r="D19" t="s">
        <v>25</v>
      </c>
      <c r="E19">
        <v>3</v>
      </c>
      <c r="F19">
        <v>36000</v>
      </c>
      <c r="G19">
        <v>30000</v>
      </c>
      <c r="H19">
        <v>6000</v>
      </c>
    </row>
    <row r="20" spans="1:8" x14ac:dyDescent="0.25">
      <c r="C20" t="s">
        <v>206</v>
      </c>
      <c r="D20" t="s">
        <v>25</v>
      </c>
      <c r="E20">
        <v>2</v>
      </c>
      <c r="F20">
        <v>24000</v>
      </c>
      <c r="G20">
        <v>20000</v>
      </c>
      <c r="H20">
        <v>4000</v>
      </c>
    </row>
    <row r="21" spans="1:8" x14ac:dyDescent="0.25">
      <c r="A21" s="111" t="s">
        <v>17</v>
      </c>
      <c r="B21" s="111"/>
      <c r="C21" s="111"/>
      <c r="D21" s="111"/>
      <c r="E21" s="111"/>
      <c r="F21" s="1">
        <f>SUM(F2:F20)</f>
        <v>696500</v>
      </c>
      <c r="G21" s="1">
        <f>SUM(G2:G20)</f>
        <v>554500</v>
      </c>
      <c r="H21" s="1">
        <f>SUM(H2:H20)</f>
        <v>142000</v>
      </c>
    </row>
    <row r="22" spans="1:8" x14ac:dyDescent="0.25">
      <c r="A22" s="10" t="s">
        <v>30</v>
      </c>
      <c r="B22" s="11">
        <v>44597</v>
      </c>
      <c r="C22" s="124" t="s">
        <v>75</v>
      </c>
      <c r="D22" s="124"/>
      <c r="E22" s="124"/>
      <c r="F22" s="124"/>
      <c r="G22" s="124"/>
      <c r="H22" s="124"/>
    </row>
    <row r="23" spans="1:8" x14ac:dyDescent="0.25">
      <c r="A23" t="s">
        <v>32</v>
      </c>
      <c r="B23" s="3">
        <v>44625</v>
      </c>
      <c r="C23" t="s">
        <v>10</v>
      </c>
      <c r="D23" t="s">
        <v>11</v>
      </c>
      <c r="E23">
        <v>10</v>
      </c>
      <c r="F23">
        <v>15000</v>
      </c>
      <c r="G23">
        <v>5000</v>
      </c>
      <c r="H23">
        <v>10000</v>
      </c>
    </row>
    <row r="24" spans="1:8" x14ac:dyDescent="0.25">
      <c r="D24" t="s">
        <v>12</v>
      </c>
      <c r="E24">
        <v>5</v>
      </c>
      <c r="F24">
        <v>15000</v>
      </c>
      <c r="G24">
        <v>10000</v>
      </c>
      <c r="H24">
        <v>5000</v>
      </c>
    </row>
    <row r="25" spans="1:8" x14ac:dyDescent="0.25">
      <c r="D25" t="s">
        <v>13</v>
      </c>
      <c r="E25">
        <v>9</v>
      </c>
      <c r="F25">
        <v>58500</v>
      </c>
      <c r="G25">
        <f>9*4500</f>
        <v>40500</v>
      </c>
      <c r="H25">
        <v>18000</v>
      </c>
    </row>
    <row r="26" spans="1:8" x14ac:dyDescent="0.25">
      <c r="D26" t="s">
        <v>14</v>
      </c>
      <c r="E26">
        <v>5</v>
      </c>
      <c r="F26">
        <v>40000</v>
      </c>
      <c r="G26">
        <f>5*5500</f>
        <v>27500</v>
      </c>
      <c r="H26">
        <f>5*2500</f>
        <v>12500</v>
      </c>
    </row>
    <row r="27" spans="1:8" x14ac:dyDescent="0.25">
      <c r="C27" t="s">
        <v>10</v>
      </c>
      <c r="D27" t="s">
        <v>12</v>
      </c>
      <c r="E27">
        <v>3</v>
      </c>
      <c r="F27">
        <v>9000</v>
      </c>
      <c r="G27">
        <v>6000</v>
      </c>
      <c r="H27">
        <v>3000</v>
      </c>
    </row>
    <row r="28" spans="1:8" x14ac:dyDescent="0.25">
      <c r="D28" t="s">
        <v>13</v>
      </c>
      <c r="E28">
        <v>7</v>
      </c>
      <c r="F28">
        <v>45500</v>
      </c>
      <c r="G28">
        <f>7*4500</f>
        <v>31500</v>
      </c>
      <c r="H28">
        <v>14000</v>
      </c>
    </row>
    <row r="29" spans="1:8" x14ac:dyDescent="0.25">
      <c r="D29" t="s">
        <v>14</v>
      </c>
      <c r="E29">
        <v>9</v>
      </c>
      <c r="F29">
        <v>72000</v>
      </c>
      <c r="G29">
        <f>9*5500</f>
        <v>49500</v>
      </c>
      <c r="H29">
        <f>9*2500</f>
        <v>22500</v>
      </c>
    </row>
    <row r="30" spans="1:8" x14ac:dyDescent="0.25">
      <c r="C30" t="s">
        <v>16</v>
      </c>
      <c r="D30" t="s">
        <v>11</v>
      </c>
      <c r="E30">
        <v>98</v>
      </c>
      <c r="F30">
        <f>98*1500</f>
        <v>147000</v>
      </c>
      <c r="G30">
        <f>98*500</f>
        <v>49000</v>
      </c>
      <c r="H30">
        <v>98000</v>
      </c>
    </row>
    <row r="31" spans="1:8" x14ac:dyDescent="0.25">
      <c r="D31" t="s">
        <v>12</v>
      </c>
      <c r="E31">
        <v>20</v>
      </c>
      <c r="F31">
        <v>60000</v>
      </c>
      <c r="G31">
        <v>40000</v>
      </c>
      <c r="H31">
        <v>20000</v>
      </c>
    </row>
    <row r="32" spans="1:8" x14ac:dyDescent="0.25">
      <c r="D32" t="s">
        <v>13</v>
      </c>
      <c r="E32">
        <v>3</v>
      </c>
      <c r="F32">
        <v>19500</v>
      </c>
      <c r="G32">
        <f>3*4500</f>
        <v>13500</v>
      </c>
      <c r="H32">
        <v>6000</v>
      </c>
    </row>
    <row r="33" spans="1:8" x14ac:dyDescent="0.25">
      <c r="D33" t="s">
        <v>14</v>
      </c>
      <c r="E33">
        <v>3</v>
      </c>
      <c r="F33">
        <v>30000</v>
      </c>
      <c r="G33">
        <f>3*5500</f>
        <v>16500</v>
      </c>
      <c r="H33">
        <f>3*4500</f>
        <v>13500</v>
      </c>
    </row>
    <row r="34" spans="1:8" x14ac:dyDescent="0.25">
      <c r="D34" t="s">
        <v>25</v>
      </c>
      <c r="E34">
        <v>1</v>
      </c>
      <c r="F34">
        <v>13000</v>
      </c>
      <c r="G34">
        <v>10000</v>
      </c>
      <c r="H34">
        <v>3000</v>
      </c>
    </row>
    <row r="35" spans="1:8" x14ac:dyDescent="0.25">
      <c r="A35" s="111" t="s">
        <v>17</v>
      </c>
      <c r="B35" s="111"/>
      <c r="C35" s="111"/>
      <c r="D35" s="111"/>
      <c r="E35" s="111"/>
      <c r="F35" s="1">
        <f>SUM(F23:F34)</f>
        <v>524500</v>
      </c>
      <c r="G35" s="1">
        <f>SUM(G23:G34)</f>
        <v>299000</v>
      </c>
      <c r="H35" s="1">
        <f>SUM(H23:H34)</f>
        <v>225500</v>
      </c>
    </row>
    <row r="36" spans="1:8" x14ac:dyDescent="0.25">
      <c r="A36" t="s">
        <v>8</v>
      </c>
      <c r="B36" s="3">
        <v>44656</v>
      </c>
      <c r="C36" t="s">
        <v>15</v>
      </c>
      <c r="D36" t="s">
        <v>13</v>
      </c>
      <c r="E36">
        <v>52</v>
      </c>
      <c r="F36">
        <v>338000</v>
      </c>
      <c r="G36">
        <f>52*4500</f>
        <v>234000</v>
      </c>
      <c r="H36">
        <f>52*2000</f>
        <v>104000</v>
      </c>
    </row>
    <row r="37" spans="1:8" x14ac:dyDescent="0.25">
      <c r="D37" t="s">
        <v>14</v>
      </c>
      <c r="E37">
        <v>7</v>
      </c>
      <c r="F37">
        <v>56000</v>
      </c>
      <c r="G37">
        <f>7*5500</f>
        <v>38500</v>
      </c>
      <c r="H37">
        <f>7*2500</f>
        <v>17500</v>
      </c>
    </row>
    <row r="38" spans="1:8" x14ac:dyDescent="0.25">
      <c r="D38" t="s">
        <v>14</v>
      </c>
      <c r="E38">
        <v>14</v>
      </c>
      <c r="F38">
        <v>140000</v>
      </c>
      <c r="G38">
        <f>14*5500</f>
        <v>77000</v>
      </c>
      <c r="H38">
        <f>14*4500</f>
        <v>63000</v>
      </c>
    </row>
    <row r="39" spans="1:8" x14ac:dyDescent="0.25">
      <c r="C39" t="s">
        <v>10</v>
      </c>
      <c r="D39" t="s">
        <v>11</v>
      </c>
      <c r="E39">
        <v>10</v>
      </c>
      <c r="F39">
        <v>15000</v>
      </c>
      <c r="G39">
        <v>5000</v>
      </c>
      <c r="H39">
        <v>10000</v>
      </c>
    </row>
    <row r="40" spans="1:8" x14ac:dyDescent="0.25">
      <c r="D40" t="s">
        <v>12</v>
      </c>
      <c r="E40">
        <v>4</v>
      </c>
      <c r="F40">
        <v>12000</v>
      </c>
      <c r="G40">
        <v>8000</v>
      </c>
      <c r="H40">
        <v>4000</v>
      </c>
    </row>
    <row r="41" spans="1:8" x14ac:dyDescent="0.25">
      <c r="D41" t="s">
        <v>13</v>
      </c>
      <c r="E41">
        <v>15</v>
      </c>
      <c r="F41">
        <v>97500</v>
      </c>
      <c r="G41">
        <f>15*4500</f>
        <v>67500</v>
      </c>
      <c r="H41">
        <v>30000</v>
      </c>
    </row>
    <row r="42" spans="1:8" x14ac:dyDescent="0.25">
      <c r="D42" t="s">
        <v>14</v>
      </c>
      <c r="E42">
        <v>15</v>
      </c>
      <c r="F42">
        <v>120000</v>
      </c>
      <c r="G42">
        <f>15*5500</f>
        <v>82500</v>
      </c>
      <c r="H42">
        <f>15*2500</f>
        <v>37500</v>
      </c>
    </row>
    <row r="43" spans="1:8" x14ac:dyDescent="0.25">
      <c r="C43" t="s">
        <v>16</v>
      </c>
      <c r="D43" t="s">
        <v>11</v>
      </c>
      <c r="E43">
        <v>72</v>
      </c>
      <c r="F43">
        <v>108000</v>
      </c>
      <c r="G43">
        <f>72*500</f>
        <v>36000</v>
      </c>
      <c r="H43">
        <v>72000</v>
      </c>
    </row>
    <row r="44" spans="1:8" x14ac:dyDescent="0.25">
      <c r="D44" t="s">
        <v>12</v>
      </c>
      <c r="E44">
        <v>17</v>
      </c>
      <c r="F44">
        <v>51000</v>
      </c>
      <c r="G44">
        <f>17*2000</f>
        <v>34000</v>
      </c>
      <c r="H44">
        <v>17000</v>
      </c>
    </row>
    <row r="45" spans="1:8" x14ac:dyDescent="0.25">
      <c r="D45" t="s">
        <v>13</v>
      </c>
      <c r="E45">
        <v>4</v>
      </c>
      <c r="F45">
        <v>26000</v>
      </c>
      <c r="G45">
        <f>4*4500</f>
        <v>18000</v>
      </c>
      <c r="H45">
        <v>8000</v>
      </c>
    </row>
    <row r="46" spans="1:8" x14ac:dyDescent="0.25">
      <c r="D46" t="s">
        <v>14</v>
      </c>
      <c r="E46">
        <v>3</v>
      </c>
      <c r="F46">
        <v>30000</v>
      </c>
      <c r="G46">
        <f>3*5500</f>
        <v>16500</v>
      </c>
      <c r="H46">
        <f>3*4500</f>
        <v>13500</v>
      </c>
    </row>
    <row r="47" spans="1:8" x14ac:dyDescent="0.25">
      <c r="D47" t="s">
        <v>25</v>
      </c>
      <c r="E47">
        <v>1</v>
      </c>
      <c r="F47">
        <v>13000</v>
      </c>
      <c r="G47">
        <v>10000</v>
      </c>
      <c r="H47">
        <v>3000</v>
      </c>
    </row>
    <row r="48" spans="1:8" x14ac:dyDescent="0.25">
      <c r="C48" t="s">
        <v>207</v>
      </c>
      <c r="D48" t="s">
        <v>21</v>
      </c>
      <c r="E48">
        <v>3</v>
      </c>
      <c r="F48">
        <v>45000</v>
      </c>
      <c r="G48">
        <v>33000</v>
      </c>
      <c r="H48">
        <v>12000</v>
      </c>
    </row>
    <row r="49" spans="1:8" x14ac:dyDescent="0.25">
      <c r="C49" t="s">
        <v>208</v>
      </c>
      <c r="D49" t="s">
        <v>25</v>
      </c>
      <c r="E49">
        <v>3</v>
      </c>
      <c r="F49">
        <v>45000</v>
      </c>
      <c r="G49">
        <v>30000</v>
      </c>
      <c r="H49">
        <v>15000</v>
      </c>
    </row>
    <row r="50" spans="1:8" x14ac:dyDescent="0.25">
      <c r="A50" s="111" t="s">
        <v>17</v>
      </c>
      <c r="B50" s="111"/>
      <c r="C50" s="111"/>
      <c r="D50" s="111"/>
      <c r="E50" s="111"/>
      <c r="F50" s="1">
        <f>SUM(F36:F49)</f>
        <v>1096500</v>
      </c>
      <c r="G50" s="1">
        <f>SUM(G36:G49)</f>
        <v>690000</v>
      </c>
      <c r="H50" s="1">
        <f>SUM(H36:H49)</f>
        <v>406500</v>
      </c>
    </row>
    <row r="51" spans="1:8" x14ac:dyDescent="0.25">
      <c r="A51" t="s">
        <v>18</v>
      </c>
      <c r="B51" s="3">
        <v>44686</v>
      </c>
      <c r="C51" t="s">
        <v>63</v>
      </c>
      <c r="D51" t="s">
        <v>25</v>
      </c>
      <c r="E51">
        <v>4</v>
      </c>
      <c r="F51">
        <v>52000</v>
      </c>
      <c r="G51">
        <v>40000</v>
      </c>
      <c r="H51">
        <v>12000</v>
      </c>
    </row>
    <row r="52" spans="1:8" x14ac:dyDescent="0.25">
      <c r="C52" t="s">
        <v>16</v>
      </c>
      <c r="D52" t="s">
        <v>11</v>
      </c>
      <c r="E52">
        <v>80</v>
      </c>
      <c r="F52">
        <v>120000</v>
      </c>
      <c r="G52">
        <f>80*500</f>
        <v>40000</v>
      </c>
      <c r="H52">
        <v>80000</v>
      </c>
    </row>
    <row r="53" spans="1:8" x14ac:dyDescent="0.25">
      <c r="D53" t="s">
        <v>12</v>
      </c>
      <c r="E53">
        <v>16</v>
      </c>
      <c r="F53">
        <v>48000</v>
      </c>
      <c r="G53">
        <f>16*2000</f>
        <v>32000</v>
      </c>
      <c r="H53">
        <v>16000</v>
      </c>
    </row>
    <row r="54" spans="1:8" x14ac:dyDescent="0.25">
      <c r="D54" t="s">
        <v>13</v>
      </c>
      <c r="E54">
        <v>3</v>
      </c>
      <c r="F54">
        <v>19500</v>
      </c>
      <c r="G54">
        <f>3*4500</f>
        <v>13500</v>
      </c>
      <c r="H54">
        <v>6000</v>
      </c>
    </row>
    <row r="55" spans="1:8" x14ac:dyDescent="0.25">
      <c r="D55" t="s">
        <v>14</v>
      </c>
      <c r="E55">
        <v>3</v>
      </c>
      <c r="F55">
        <v>30000</v>
      </c>
      <c r="G55">
        <f>3*5500</f>
        <v>16500</v>
      </c>
      <c r="H55">
        <v>13500</v>
      </c>
    </row>
    <row r="56" spans="1:8" x14ac:dyDescent="0.25">
      <c r="C56" t="s">
        <v>10</v>
      </c>
      <c r="D56" t="s">
        <v>12</v>
      </c>
      <c r="E56">
        <v>4</v>
      </c>
      <c r="F56">
        <v>12000</v>
      </c>
      <c r="G56">
        <v>8000</v>
      </c>
      <c r="H56">
        <v>4000</v>
      </c>
    </row>
    <row r="57" spans="1:8" x14ac:dyDescent="0.25">
      <c r="D57" t="s">
        <v>13</v>
      </c>
      <c r="E57">
        <v>15</v>
      </c>
      <c r="F57">
        <v>97500</v>
      </c>
      <c r="G57">
        <f>15*4500</f>
        <v>67500</v>
      </c>
      <c r="H57">
        <v>30000</v>
      </c>
    </row>
    <row r="58" spans="1:8" x14ac:dyDescent="0.25">
      <c r="D58" t="s">
        <v>14</v>
      </c>
      <c r="E58">
        <v>14</v>
      </c>
      <c r="F58">
        <v>112000</v>
      </c>
      <c r="G58">
        <f>14*5500</f>
        <v>77000</v>
      </c>
      <c r="H58">
        <f>14*2500</f>
        <v>35000</v>
      </c>
    </row>
    <row r="59" spans="1:8" x14ac:dyDescent="0.25">
      <c r="A59" s="111" t="s">
        <v>17</v>
      </c>
      <c r="B59" s="111"/>
      <c r="C59" s="111"/>
      <c r="D59" s="111"/>
      <c r="E59" s="111"/>
      <c r="F59" s="1">
        <f>SUM(F51:F58)</f>
        <v>491000</v>
      </c>
      <c r="G59" s="1">
        <f>SUM(G51:G58)</f>
        <v>294500</v>
      </c>
      <c r="H59" s="1">
        <f>SUM(H51:H58)</f>
        <v>196500</v>
      </c>
    </row>
    <row r="60" spans="1:8" x14ac:dyDescent="0.25">
      <c r="A60" t="s">
        <v>22</v>
      </c>
      <c r="B60" s="3">
        <v>44717</v>
      </c>
      <c r="C60" t="s">
        <v>15</v>
      </c>
      <c r="D60" t="s">
        <v>13</v>
      </c>
      <c r="E60">
        <v>35</v>
      </c>
      <c r="F60">
        <v>227500</v>
      </c>
      <c r="G60">
        <f>35*4500</f>
        <v>157500</v>
      </c>
      <c r="H60">
        <v>70000</v>
      </c>
    </row>
    <row r="61" spans="1:8" x14ac:dyDescent="0.25">
      <c r="D61" t="s">
        <v>14</v>
      </c>
      <c r="E61">
        <v>8</v>
      </c>
      <c r="F61">
        <v>64000</v>
      </c>
      <c r="G61">
        <f>8*5500</f>
        <v>44000</v>
      </c>
      <c r="H61">
        <f>8*2500</f>
        <v>20000</v>
      </c>
    </row>
    <row r="62" spans="1:8" x14ac:dyDescent="0.25">
      <c r="D62" t="s">
        <v>14</v>
      </c>
      <c r="E62">
        <v>30</v>
      </c>
      <c r="F62">
        <v>300000</v>
      </c>
      <c r="G62">
        <f>30*5500</f>
        <v>165000</v>
      </c>
      <c r="H62">
        <f>30*4500</f>
        <v>135000</v>
      </c>
    </row>
    <row r="63" spans="1:8" x14ac:dyDescent="0.25">
      <c r="C63" t="s">
        <v>10</v>
      </c>
      <c r="D63" t="s">
        <v>12</v>
      </c>
      <c r="E63">
        <v>2</v>
      </c>
      <c r="F63">
        <v>6000</v>
      </c>
      <c r="G63">
        <v>4000</v>
      </c>
      <c r="H63">
        <v>2000</v>
      </c>
    </row>
    <row r="64" spans="1:8" x14ac:dyDescent="0.25">
      <c r="D64" t="s">
        <v>13</v>
      </c>
      <c r="E64">
        <v>10</v>
      </c>
      <c r="F64">
        <v>65000</v>
      </c>
      <c r="G64">
        <v>45000</v>
      </c>
      <c r="H64">
        <v>20000</v>
      </c>
    </row>
    <row r="65" spans="1:8" x14ac:dyDescent="0.25">
      <c r="D65" t="s">
        <v>14</v>
      </c>
      <c r="E65">
        <v>10</v>
      </c>
      <c r="F65">
        <v>80000</v>
      </c>
      <c r="G65">
        <v>55000</v>
      </c>
      <c r="H65">
        <v>25000</v>
      </c>
    </row>
    <row r="66" spans="1:8" x14ac:dyDescent="0.25">
      <c r="C66" t="s">
        <v>15</v>
      </c>
      <c r="D66" t="s">
        <v>13</v>
      </c>
      <c r="E66">
        <v>53</v>
      </c>
      <c r="F66">
        <v>344500</v>
      </c>
      <c r="G66">
        <f>53*4500</f>
        <v>238500</v>
      </c>
      <c r="H66">
        <f>53*2000</f>
        <v>106000</v>
      </c>
    </row>
    <row r="67" spans="1:8" x14ac:dyDescent="0.25">
      <c r="D67" t="s">
        <v>14</v>
      </c>
      <c r="E67">
        <v>7</v>
      </c>
      <c r="F67">
        <v>56000</v>
      </c>
      <c r="G67">
        <f>7*5500</f>
        <v>38500</v>
      </c>
      <c r="H67">
        <f>7*2500</f>
        <v>17500</v>
      </c>
    </row>
    <row r="68" spans="1:8" x14ac:dyDescent="0.25">
      <c r="D68" t="s">
        <v>14</v>
      </c>
      <c r="E68">
        <v>38</v>
      </c>
      <c r="F68">
        <v>380000</v>
      </c>
      <c r="G68">
        <f>38*5500</f>
        <v>209000</v>
      </c>
      <c r="H68">
        <f>38*4500</f>
        <v>171000</v>
      </c>
    </row>
    <row r="69" spans="1:8" x14ac:dyDescent="0.25">
      <c r="C69" t="s">
        <v>16</v>
      </c>
      <c r="D69" t="s">
        <v>11</v>
      </c>
      <c r="E69">
        <v>53</v>
      </c>
      <c r="F69">
        <v>79500</v>
      </c>
      <c r="G69">
        <f>53*500</f>
        <v>26500</v>
      </c>
      <c r="H69">
        <v>53000</v>
      </c>
    </row>
    <row r="70" spans="1:8" x14ac:dyDescent="0.25">
      <c r="D70" t="s">
        <v>12</v>
      </c>
      <c r="E70">
        <v>19</v>
      </c>
      <c r="F70">
        <v>57000</v>
      </c>
      <c r="G70">
        <f>19*2000</f>
        <v>38000</v>
      </c>
      <c r="H70">
        <v>19000</v>
      </c>
    </row>
    <row r="71" spans="1:8" x14ac:dyDescent="0.25">
      <c r="D71" t="s">
        <v>13</v>
      </c>
      <c r="E71">
        <v>2</v>
      </c>
      <c r="F71">
        <v>13000</v>
      </c>
      <c r="G71">
        <v>9000</v>
      </c>
      <c r="H71">
        <v>4000</v>
      </c>
    </row>
    <row r="72" spans="1:8" x14ac:dyDescent="0.25">
      <c r="D72" t="s">
        <v>14</v>
      </c>
      <c r="E72">
        <v>2</v>
      </c>
      <c r="F72">
        <v>20000</v>
      </c>
      <c r="G72">
        <v>11000</v>
      </c>
      <c r="H72">
        <v>9000</v>
      </c>
    </row>
    <row r="73" spans="1:8" x14ac:dyDescent="0.25">
      <c r="D73" t="s">
        <v>25</v>
      </c>
      <c r="E73">
        <v>2</v>
      </c>
      <c r="F73">
        <v>26000</v>
      </c>
      <c r="G73">
        <v>20000</v>
      </c>
      <c r="H73">
        <v>6000</v>
      </c>
    </row>
    <row r="74" spans="1:8" x14ac:dyDescent="0.25">
      <c r="A74" s="111" t="s">
        <v>17</v>
      </c>
      <c r="B74" s="111"/>
      <c r="C74" s="111"/>
      <c r="D74" s="111"/>
      <c r="E74" s="111"/>
      <c r="F74" s="1">
        <f>SUM(F60:F73)</f>
        <v>1718500</v>
      </c>
      <c r="G74" s="1">
        <f>SUM(G60:G73)</f>
        <v>1061000</v>
      </c>
      <c r="H74" s="1">
        <f>SUM(H60:H73)</f>
        <v>657500</v>
      </c>
    </row>
    <row r="75" spans="1:8" x14ac:dyDescent="0.25">
      <c r="A75" t="s">
        <v>26</v>
      </c>
      <c r="B75" s="3">
        <v>44747</v>
      </c>
      <c r="C75" t="s">
        <v>10</v>
      </c>
      <c r="D75" t="s">
        <v>12</v>
      </c>
      <c r="E75">
        <v>2</v>
      </c>
      <c r="F75">
        <v>6000</v>
      </c>
      <c r="G75">
        <v>4000</v>
      </c>
      <c r="H75">
        <v>2000</v>
      </c>
    </row>
    <row r="76" spans="1:8" x14ac:dyDescent="0.25">
      <c r="D76" t="s">
        <v>13</v>
      </c>
      <c r="E76">
        <v>16</v>
      </c>
      <c r="F76">
        <v>104000</v>
      </c>
      <c r="G76">
        <f>16*4500</f>
        <v>72000</v>
      </c>
      <c r="H76">
        <f>16*2000</f>
        <v>32000</v>
      </c>
    </row>
    <row r="77" spans="1:8" x14ac:dyDescent="0.25">
      <c r="D77" t="s">
        <v>14</v>
      </c>
      <c r="E77">
        <v>21</v>
      </c>
      <c r="F77">
        <v>168000</v>
      </c>
      <c r="G77">
        <f>21*5500</f>
        <v>115500</v>
      </c>
      <c r="H77">
        <f>21*2500</f>
        <v>52500</v>
      </c>
    </row>
    <row r="78" spans="1:8" x14ac:dyDescent="0.25">
      <c r="C78" t="s">
        <v>16</v>
      </c>
      <c r="D78" t="s">
        <v>11</v>
      </c>
      <c r="E78">
        <v>65</v>
      </c>
      <c r="F78">
        <v>97500</v>
      </c>
      <c r="G78">
        <f>65*500</f>
        <v>32500</v>
      </c>
      <c r="H78">
        <v>65000</v>
      </c>
    </row>
    <row r="79" spans="1:8" x14ac:dyDescent="0.25">
      <c r="D79" t="s">
        <v>12</v>
      </c>
      <c r="E79">
        <v>20</v>
      </c>
      <c r="F79">
        <v>60000</v>
      </c>
      <c r="G79">
        <v>40000</v>
      </c>
      <c r="H79">
        <v>20000</v>
      </c>
    </row>
    <row r="80" spans="1:8" x14ac:dyDescent="0.25">
      <c r="D80" t="s">
        <v>13</v>
      </c>
      <c r="E80">
        <v>3</v>
      </c>
      <c r="F80">
        <v>19500</v>
      </c>
      <c r="G80">
        <f>3*4500</f>
        <v>13500</v>
      </c>
      <c r="H80">
        <v>6000</v>
      </c>
    </row>
    <row r="81" spans="1:8" x14ac:dyDescent="0.25">
      <c r="D81" t="s">
        <v>14</v>
      </c>
      <c r="E81">
        <v>3</v>
      </c>
      <c r="F81">
        <v>30000</v>
      </c>
      <c r="G81">
        <f>3*5500</f>
        <v>16500</v>
      </c>
      <c r="H81">
        <f>3*4500</f>
        <v>13500</v>
      </c>
    </row>
    <row r="82" spans="1:8" x14ac:dyDescent="0.25">
      <c r="D82" t="s">
        <v>25</v>
      </c>
      <c r="E82">
        <v>2</v>
      </c>
      <c r="F82">
        <v>26000</v>
      </c>
      <c r="G82">
        <v>20000</v>
      </c>
      <c r="H82">
        <v>6000</v>
      </c>
    </row>
    <row r="83" spans="1:8" x14ac:dyDescent="0.25">
      <c r="A83" s="111" t="s">
        <v>17</v>
      </c>
      <c r="B83" s="111"/>
      <c r="C83" s="111"/>
      <c r="D83" s="111"/>
      <c r="E83" s="111"/>
      <c r="F83" s="1">
        <f>SUM(F75:F82)</f>
        <v>511000</v>
      </c>
      <c r="G83" s="1">
        <f>SUM(G75:G82)</f>
        <v>314000</v>
      </c>
      <c r="H83" s="1">
        <f>SUM(H75:H82)</f>
        <v>197000</v>
      </c>
    </row>
    <row r="84" spans="1:8" x14ac:dyDescent="0.25">
      <c r="A84" t="s">
        <v>28</v>
      </c>
      <c r="B84" s="3">
        <v>44778</v>
      </c>
      <c r="C84" t="s">
        <v>10</v>
      </c>
      <c r="D84" t="s">
        <v>13</v>
      </c>
      <c r="E84">
        <v>30</v>
      </c>
      <c r="F84">
        <v>195000</v>
      </c>
      <c r="G84">
        <f>30*4500</f>
        <v>135000</v>
      </c>
      <c r="H84">
        <f>30*2000</f>
        <v>60000</v>
      </c>
    </row>
    <row r="85" spans="1:8" x14ac:dyDescent="0.25">
      <c r="D85" t="s">
        <v>14</v>
      </c>
      <c r="E85">
        <v>30</v>
      </c>
      <c r="F85">
        <v>240000</v>
      </c>
      <c r="G85">
        <f>30*5500</f>
        <v>165000</v>
      </c>
      <c r="H85">
        <f>30*2500</f>
        <v>75000</v>
      </c>
    </row>
    <row r="86" spans="1:8" x14ac:dyDescent="0.25">
      <c r="C86" t="s">
        <v>15</v>
      </c>
      <c r="D86" t="s">
        <v>13</v>
      </c>
      <c r="E86">
        <v>50</v>
      </c>
      <c r="F86">
        <v>325000</v>
      </c>
      <c r="G86">
        <f>50*4500</f>
        <v>225000</v>
      </c>
      <c r="H86">
        <v>100000</v>
      </c>
    </row>
    <row r="87" spans="1:8" x14ac:dyDescent="0.25">
      <c r="D87" t="s">
        <v>14</v>
      </c>
      <c r="E87">
        <v>13</v>
      </c>
      <c r="F87">
        <v>104000</v>
      </c>
      <c r="G87">
        <f>13*5500</f>
        <v>71500</v>
      </c>
      <c r="H87">
        <f>13*2500</f>
        <v>32500</v>
      </c>
    </row>
    <row r="88" spans="1:8" x14ac:dyDescent="0.25">
      <c r="D88" t="s">
        <v>14</v>
      </c>
      <c r="E88">
        <v>19</v>
      </c>
      <c r="F88">
        <v>190000</v>
      </c>
      <c r="G88">
        <f>19*5500</f>
        <v>104500</v>
      </c>
      <c r="H88">
        <f>19*4500</f>
        <v>85500</v>
      </c>
    </row>
    <row r="89" spans="1:8" x14ac:dyDescent="0.25">
      <c r="C89" t="s">
        <v>20</v>
      </c>
      <c r="D89" t="s">
        <v>13</v>
      </c>
      <c r="E89">
        <v>4</v>
      </c>
      <c r="F89">
        <v>26000</v>
      </c>
      <c r="G89">
        <f>4*4500</f>
        <v>18000</v>
      </c>
      <c r="H89">
        <v>8000</v>
      </c>
    </row>
    <row r="90" spans="1:8" x14ac:dyDescent="0.25">
      <c r="D90" t="s">
        <v>14</v>
      </c>
      <c r="E90">
        <v>16</v>
      </c>
      <c r="F90">
        <v>160000</v>
      </c>
      <c r="G90">
        <f>16*5500</f>
        <v>88000</v>
      </c>
      <c r="H90">
        <f>16*4500</f>
        <v>72000</v>
      </c>
    </row>
    <row r="91" spans="1:8" x14ac:dyDescent="0.25">
      <c r="C91" t="s">
        <v>15</v>
      </c>
      <c r="D91" t="s">
        <v>13</v>
      </c>
      <c r="E91">
        <v>51</v>
      </c>
      <c r="F91">
        <v>331500</v>
      </c>
      <c r="G91">
        <f>51*4500</f>
        <v>229500</v>
      </c>
      <c r="H91">
        <f>51*2000</f>
        <v>102000</v>
      </c>
    </row>
    <row r="92" spans="1:8" x14ac:dyDescent="0.25">
      <c r="C92" t="s">
        <v>26</v>
      </c>
      <c r="D92" t="s">
        <v>14</v>
      </c>
      <c r="E92">
        <v>10</v>
      </c>
      <c r="F92">
        <v>100000</v>
      </c>
      <c r="G92">
        <v>55000</v>
      </c>
      <c r="H92">
        <v>45000</v>
      </c>
    </row>
    <row r="93" spans="1:8" x14ac:dyDescent="0.25">
      <c r="D93" t="s">
        <v>14</v>
      </c>
      <c r="E93">
        <v>32</v>
      </c>
      <c r="F93">
        <v>256000</v>
      </c>
      <c r="G93">
        <f>32*5500</f>
        <v>176000</v>
      </c>
      <c r="H93">
        <f>32*2500</f>
        <v>80000</v>
      </c>
    </row>
    <row r="94" spans="1:8" x14ac:dyDescent="0.25">
      <c r="A94" s="111" t="s">
        <v>17</v>
      </c>
      <c r="B94" s="111"/>
      <c r="C94" s="111"/>
      <c r="D94" s="111"/>
      <c r="E94" s="111"/>
      <c r="F94" s="1">
        <f>SUM(F84:F93)</f>
        <v>1927500</v>
      </c>
      <c r="G94" s="1">
        <f>SUM(G84:G93)</f>
        <v>1267500</v>
      </c>
      <c r="H94" s="1">
        <f>SUM(H84:H93)</f>
        <v>660000</v>
      </c>
    </row>
    <row r="95" spans="1:8" x14ac:dyDescent="0.25">
      <c r="A95" t="s">
        <v>30</v>
      </c>
      <c r="B95" s="3">
        <v>44809</v>
      </c>
      <c r="C95" t="s">
        <v>16</v>
      </c>
      <c r="D95" t="s">
        <v>11</v>
      </c>
      <c r="E95">
        <v>61</v>
      </c>
      <c r="F95">
        <v>91500</v>
      </c>
      <c r="G95">
        <f>61*500</f>
        <v>30500</v>
      </c>
      <c r="H95">
        <v>61000</v>
      </c>
    </row>
    <row r="96" spans="1:8" x14ac:dyDescent="0.25">
      <c r="C96" t="s">
        <v>28</v>
      </c>
      <c r="D96" t="s">
        <v>12</v>
      </c>
      <c r="E96">
        <v>13</v>
      </c>
      <c r="F96">
        <v>39000</v>
      </c>
      <c r="G96">
        <f>13*2000</f>
        <v>26000</v>
      </c>
      <c r="H96">
        <v>13000</v>
      </c>
    </row>
    <row r="97" spans="1:8" x14ac:dyDescent="0.25">
      <c r="D97" t="s">
        <v>13</v>
      </c>
      <c r="E97">
        <v>4</v>
      </c>
      <c r="F97">
        <v>26000</v>
      </c>
      <c r="G97">
        <f>4*4500</f>
        <v>18000</v>
      </c>
      <c r="H97">
        <v>8000</v>
      </c>
    </row>
    <row r="98" spans="1:8" x14ac:dyDescent="0.25">
      <c r="D98" t="s">
        <v>14</v>
      </c>
      <c r="E98">
        <v>2</v>
      </c>
      <c r="F98">
        <v>20000</v>
      </c>
      <c r="G98">
        <v>11000</v>
      </c>
      <c r="H98">
        <v>9000</v>
      </c>
    </row>
    <row r="99" spans="1:8" x14ac:dyDescent="0.25">
      <c r="D99" t="s">
        <v>21</v>
      </c>
      <c r="E99">
        <v>1</v>
      </c>
      <c r="F99">
        <v>15000</v>
      </c>
      <c r="G99">
        <v>11000</v>
      </c>
      <c r="H99">
        <v>4000</v>
      </c>
    </row>
    <row r="100" spans="1:8" x14ac:dyDescent="0.25">
      <c r="C100" t="s">
        <v>16</v>
      </c>
      <c r="D100" t="s">
        <v>11</v>
      </c>
      <c r="E100">
        <v>67</v>
      </c>
      <c r="F100">
        <v>100500</v>
      </c>
      <c r="G100">
        <f>67*500</f>
        <v>33500</v>
      </c>
      <c r="H100">
        <v>67000</v>
      </c>
    </row>
    <row r="101" spans="1:8" x14ac:dyDescent="0.25">
      <c r="D101" t="s">
        <v>12</v>
      </c>
      <c r="E101">
        <v>13</v>
      </c>
      <c r="F101">
        <v>39000</v>
      </c>
      <c r="G101">
        <f>13*2000</f>
        <v>26000</v>
      </c>
      <c r="H101">
        <v>13000</v>
      </c>
    </row>
    <row r="102" spans="1:8" x14ac:dyDescent="0.25">
      <c r="D102" t="s">
        <v>14</v>
      </c>
      <c r="E102">
        <v>2</v>
      </c>
      <c r="F102">
        <v>20000</v>
      </c>
      <c r="G102">
        <v>11000</v>
      </c>
      <c r="H102">
        <v>9000</v>
      </c>
    </row>
    <row r="103" spans="1:8" x14ac:dyDescent="0.25">
      <c r="C103" t="s">
        <v>44</v>
      </c>
      <c r="D103" t="s">
        <v>13</v>
      </c>
      <c r="E103">
        <v>8</v>
      </c>
      <c r="F103">
        <f>8*6000</f>
        <v>48000</v>
      </c>
      <c r="G103">
        <f>8*4500</f>
        <v>36000</v>
      </c>
      <c r="H103">
        <f>8*1500</f>
        <v>12000</v>
      </c>
    </row>
    <row r="104" spans="1:8" x14ac:dyDescent="0.25">
      <c r="A104" s="111" t="s">
        <v>17</v>
      </c>
      <c r="B104" s="111"/>
      <c r="C104" s="111"/>
      <c r="D104" s="111"/>
      <c r="E104" s="111"/>
      <c r="F104" s="1">
        <f>SUM(F95:F103)</f>
        <v>399000</v>
      </c>
      <c r="G104" s="1">
        <f>SUM(G95:G103)</f>
        <v>203000</v>
      </c>
      <c r="H104" s="1">
        <f>SUM(H95:H103)</f>
        <v>196000</v>
      </c>
    </row>
    <row r="105" spans="1:8" x14ac:dyDescent="0.25">
      <c r="A105" t="s">
        <v>32</v>
      </c>
      <c r="B105" s="3">
        <v>44839</v>
      </c>
      <c r="C105" t="s">
        <v>16</v>
      </c>
      <c r="D105" t="s">
        <v>11</v>
      </c>
      <c r="E105">
        <v>35</v>
      </c>
      <c r="F105">
        <v>52500</v>
      </c>
      <c r="G105">
        <f>35*500</f>
        <v>17500</v>
      </c>
      <c r="H105">
        <v>35000</v>
      </c>
    </row>
    <row r="106" spans="1:8" x14ac:dyDescent="0.25">
      <c r="D106" t="s">
        <v>12</v>
      </c>
      <c r="E106">
        <v>8</v>
      </c>
      <c r="F106">
        <v>24000</v>
      </c>
      <c r="G106">
        <v>16000</v>
      </c>
      <c r="H106">
        <v>8000</v>
      </c>
    </row>
    <row r="107" spans="1:8" x14ac:dyDescent="0.25">
      <c r="D107" t="s">
        <v>13</v>
      </c>
      <c r="E107">
        <v>1</v>
      </c>
      <c r="F107">
        <v>6500</v>
      </c>
      <c r="G107">
        <v>4500</v>
      </c>
      <c r="H107">
        <v>2000</v>
      </c>
    </row>
    <row r="108" spans="1:8" x14ac:dyDescent="0.25">
      <c r="C108" t="s">
        <v>81</v>
      </c>
      <c r="D108" t="s">
        <v>11</v>
      </c>
      <c r="E108">
        <v>80</v>
      </c>
      <c r="F108">
        <v>144000</v>
      </c>
      <c r="G108">
        <f>80*500</f>
        <v>40000</v>
      </c>
      <c r="H108">
        <f>80*1300</f>
        <v>104000</v>
      </c>
    </row>
    <row r="109" spans="1:8" x14ac:dyDescent="0.25">
      <c r="C109" t="s">
        <v>77</v>
      </c>
      <c r="D109" t="s">
        <v>11</v>
      </c>
      <c r="E109">
        <v>79</v>
      </c>
      <c r="F109">
        <v>118500</v>
      </c>
      <c r="G109">
        <f>79*500</f>
        <v>39500</v>
      </c>
      <c r="H109">
        <v>79000</v>
      </c>
    </row>
    <row r="110" spans="1:8" x14ac:dyDescent="0.25">
      <c r="C110" t="s">
        <v>108</v>
      </c>
      <c r="D110" t="s">
        <v>11</v>
      </c>
      <c r="E110">
        <v>65</v>
      </c>
      <c r="F110">
        <v>97500</v>
      </c>
      <c r="G110">
        <f>65*500</f>
        <v>32500</v>
      </c>
      <c r="H110">
        <v>65000</v>
      </c>
    </row>
    <row r="111" spans="1:8" x14ac:dyDescent="0.25">
      <c r="C111" t="s">
        <v>10</v>
      </c>
      <c r="D111" t="s">
        <v>11</v>
      </c>
      <c r="E111">
        <v>9</v>
      </c>
      <c r="F111">
        <v>13500</v>
      </c>
      <c r="G111">
        <f>9*500</f>
        <v>4500</v>
      </c>
      <c r="H111">
        <v>9000</v>
      </c>
    </row>
    <row r="112" spans="1:8" x14ac:dyDescent="0.25">
      <c r="C112" t="s">
        <v>30</v>
      </c>
      <c r="D112" t="s">
        <v>13</v>
      </c>
      <c r="E112">
        <v>6</v>
      </c>
      <c r="F112">
        <v>39000</v>
      </c>
      <c r="G112">
        <f>6*4500</f>
        <v>27000</v>
      </c>
      <c r="H112">
        <v>12000</v>
      </c>
    </row>
    <row r="113" spans="1:8" x14ac:dyDescent="0.25">
      <c r="D113" t="s">
        <v>14</v>
      </c>
      <c r="E113">
        <v>8</v>
      </c>
      <c r="F113">
        <v>64000</v>
      </c>
      <c r="G113">
        <f>8*5500</f>
        <v>44000</v>
      </c>
      <c r="H113">
        <f>8*2500</f>
        <v>20000</v>
      </c>
    </row>
    <row r="114" spans="1:8" x14ac:dyDescent="0.25">
      <c r="C114" t="s">
        <v>10</v>
      </c>
      <c r="D114" t="s">
        <v>11</v>
      </c>
      <c r="E114">
        <v>20</v>
      </c>
      <c r="F114">
        <v>30000</v>
      </c>
      <c r="G114">
        <f>20*500</f>
        <v>10000</v>
      </c>
      <c r="H114">
        <v>20000</v>
      </c>
    </row>
    <row r="115" spans="1:8" x14ac:dyDescent="0.25">
      <c r="D115" t="s">
        <v>13</v>
      </c>
      <c r="E115">
        <v>6</v>
      </c>
      <c r="F115">
        <v>39000</v>
      </c>
      <c r="G115">
        <f>6*4500</f>
        <v>27000</v>
      </c>
      <c r="H115">
        <v>12000</v>
      </c>
    </row>
    <row r="116" spans="1:8" x14ac:dyDescent="0.25">
      <c r="D116" t="s">
        <v>14</v>
      </c>
      <c r="E116">
        <v>3</v>
      </c>
      <c r="F116">
        <v>24000</v>
      </c>
      <c r="G116">
        <f>3*5500</f>
        <v>16500</v>
      </c>
      <c r="H116">
        <v>7500</v>
      </c>
    </row>
    <row r="117" spans="1:8" x14ac:dyDescent="0.25">
      <c r="D117" t="s">
        <v>12</v>
      </c>
      <c r="E117">
        <v>4</v>
      </c>
      <c r="F117">
        <v>12000</v>
      </c>
      <c r="G117">
        <v>8000</v>
      </c>
      <c r="H117">
        <v>4000</v>
      </c>
    </row>
    <row r="118" spans="1:8" x14ac:dyDescent="0.25">
      <c r="A118" s="111" t="s">
        <v>17</v>
      </c>
      <c r="B118" s="111"/>
      <c r="C118" s="111"/>
      <c r="D118" s="111"/>
      <c r="E118" s="111"/>
      <c r="F118" s="1">
        <f>SUM(F105:F117)</f>
        <v>664500</v>
      </c>
      <c r="G118" s="1">
        <f>SUM(G105:G117)</f>
        <v>287000</v>
      </c>
      <c r="H118" s="1">
        <f>SUM(H105:H117)</f>
        <v>377500</v>
      </c>
    </row>
    <row r="119" spans="1:8" x14ac:dyDescent="0.25">
      <c r="A119" t="s">
        <v>8</v>
      </c>
      <c r="B119" s="3">
        <v>44870</v>
      </c>
      <c r="C119" t="s">
        <v>15</v>
      </c>
      <c r="D119" t="s">
        <v>13</v>
      </c>
      <c r="E119">
        <v>21</v>
      </c>
      <c r="F119">
        <v>136500</v>
      </c>
      <c r="G119">
        <f>21*4500</f>
        <v>94500</v>
      </c>
      <c r="H119">
        <f>21*2000</f>
        <v>42000</v>
      </c>
    </row>
    <row r="120" spans="1:8" x14ac:dyDescent="0.25">
      <c r="D120" t="s">
        <v>14</v>
      </c>
      <c r="E120">
        <v>1</v>
      </c>
      <c r="F120">
        <v>10000</v>
      </c>
      <c r="G120">
        <v>5500</v>
      </c>
      <c r="H120">
        <v>4500</v>
      </c>
    </row>
    <row r="121" spans="1:8" x14ac:dyDescent="0.25">
      <c r="C121" t="s">
        <v>16</v>
      </c>
      <c r="D121" t="s">
        <v>11</v>
      </c>
      <c r="E121">
        <v>44</v>
      </c>
      <c r="F121">
        <v>66000</v>
      </c>
      <c r="G121">
        <f>44*500</f>
        <v>22000</v>
      </c>
      <c r="H121">
        <v>44000</v>
      </c>
    </row>
    <row r="122" spans="1:8" x14ac:dyDescent="0.25">
      <c r="D122" t="s">
        <v>12</v>
      </c>
      <c r="E122">
        <v>7</v>
      </c>
      <c r="F122">
        <v>21000</v>
      </c>
      <c r="G122">
        <v>14000</v>
      </c>
      <c r="H122">
        <v>7000</v>
      </c>
    </row>
    <row r="123" spans="1:8" x14ac:dyDescent="0.25">
      <c r="D123" t="s">
        <v>13</v>
      </c>
      <c r="E123">
        <v>2</v>
      </c>
      <c r="F123">
        <v>13000</v>
      </c>
      <c r="G123">
        <v>9000</v>
      </c>
      <c r="H123">
        <v>4000</v>
      </c>
    </row>
    <row r="124" spans="1:8" x14ac:dyDescent="0.25">
      <c r="D124" t="s">
        <v>14</v>
      </c>
      <c r="E124">
        <v>1</v>
      </c>
      <c r="F124">
        <v>10000</v>
      </c>
      <c r="G124">
        <v>5500</v>
      </c>
      <c r="H124">
        <v>4500</v>
      </c>
    </row>
    <row r="125" spans="1:8" x14ac:dyDescent="0.25">
      <c r="D125" t="s">
        <v>25</v>
      </c>
      <c r="E125">
        <v>1</v>
      </c>
      <c r="F125">
        <v>13000</v>
      </c>
      <c r="G125">
        <v>10000</v>
      </c>
      <c r="H125">
        <v>3000</v>
      </c>
    </row>
    <row r="126" spans="1:8" x14ac:dyDescent="0.25">
      <c r="C126" t="s">
        <v>10</v>
      </c>
      <c r="D126" t="s">
        <v>11</v>
      </c>
      <c r="E126">
        <v>16</v>
      </c>
      <c r="F126">
        <v>24000</v>
      </c>
      <c r="G126">
        <f>16*500</f>
        <v>8000</v>
      </c>
      <c r="H126">
        <v>16000</v>
      </c>
    </row>
    <row r="127" spans="1:8" x14ac:dyDescent="0.25">
      <c r="D127" t="s">
        <v>12</v>
      </c>
      <c r="E127">
        <v>6</v>
      </c>
      <c r="F127">
        <v>18000</v>
      </c>
      <c r="G127">
        <v>12000</v>
      </c>
      <c r="H127">
        <v>6000</v>
      </c>
    </row>
    <row r="128" spans="1:8" x14ac:dyDescent="0.25">
      <c r="D128" t="s">
        <v>13</v>
      </c>
      <c r="E128">
        <v>3</v>
      </c>
      <c r="F128">
        <v>19500</v>
      </c>
      <c r="G128">
        <f>3*4500</f>
        <v>13500</v>
      </c>
      <c r="H128">
        <v>6000</v>
      </c>
    </row>
    <row r="129" spans="1:8" x14ac:dyDescent="0.25">
      <c r="D129" t="s">
        <v>14</v>
      </c>
      <c r="E129">
        <v>6</v>
      </c>
      <c r="F129">
        <v>48000</v>
      </c>
      <c r="G129">
        <f>6*5500</f>
        <v>33000</v>
      </c>
      <c r="H129">
        <f>6*2500</f>
        <v>15000</v>
      </c>
    </row>
    <row r="130" spans="1:8" x14ac:dyDescent="0.25">
      <c r="A130" s="111" t="s">
        <v>17</v>
      </c>
      <c r="B130" s="111"/>
      <c r="C130" s="111"/>
      <c r="D130" s="111"/>
      <c r="E130" s="111"/>
      <c r="F130" s="1">
        <f>SUM(F119:F129)</f>
        <v>379000</v>
      </c>
      <c r="G130" s="1">
        <f>SUM(G119:G129)</f>
        <v>227000</v>
      </c>
      <c r="H130" s="1">
        <f>SUM(H119:H129)</f>
        <v>152000</v>
      </c>
    </row>
    <row r="131" spans="1:8" x14ac:dyDescent="0.25">
      <c r="A131" t="s">
        <v>18</v>
      </c>
      <c r="B131" s="3">
        <v>44900</v>
      </c>
      <c r="C131" t="s">
        <v>209</v>
      </c>
      <c r="D131" t="s">
        <v>11</v>
      </c>
      <c r="E131">
        <v>65</v>
      </c>
      <c r="F131">
        <v>97500</v>
      </c>
      <c r="G131">
        <f>65*500</f>
        <v>32500</v>
      </c>
      <c r="H131">
        <v>65000</v>
      </c>
    </row>
    <row r="132" spans="1:8" x14ac:dyDescent="0.25">
      <c r="D132" t="s">
        <v>11</v>
      </c>
      <c r="E132">
        <v>68</v>
      </c>
      <c r="F132">
        <v>102000</v>
      </c>
      <c r="G132">
        <f>68*500</f>
        <v>34000</v>
      </c>
      <c r="H132">
        <v>68000</v>
      </c>
    </row>
    <row r="133" spans="1:8" x14ac:dyDescent="0.25">
      <c r="C133" t="s">
        <v>77</v>
      </c>
      <c r="D133" t="s">
        <v>11</v>
      </c>
      <c r="E133">
        <v>89</v>
      </c>
      <c r="F133">
        <v>133500</v>
      </c>
      <c r="G133">
        <f>89*500</f>
        <v>44500</v>
      </c>
      <c r="H133">
        <v>89000</v>
      </c>
    </row>
    <row r="134" spans="1:8" x14ac:dyDescent="0.25">
      <c r="D134" t="s">
        <v>11</v>
      </c>
      <c r="E134">
        <v>100</v>
      </c>
      <c r="F134">
        <v>150000</v>
      </c>
      <c r="G134">
        <f>100*500</f>
        <v>50000</v>
      </c>
      <c r="H134">
        <v>100000</v>
      </c>
    </row>
    <row r="135" spans="1:8" x14ac:dyDescent="0.25">
      <c r="C135" t="s">
        <v>81</v>
      </c>
      <c r="D135" t="s">
        <v>11</v>
      </c>
      <c r="E135">
        <v>100</v>
      </c>
      <c r="F135">
        <v>180000</v>
      </c>
      <c r="G135">
        <v>50000</v>
      </c>
      <c r="H135">
        <f>100*1300</f>
        <v>130000</v>
      </c>
    </row>
    <row r="136" spans="1:8" x14ac:dyDescent="0.25">
      <c r="C136" t="s">
        <v>105</v>
      </c>
      <c r="D136" t="s">
        <v>11</v>
      </c>
      <c r="E136">
        <v>18</v>
      </c>
      <c r="F136">
        <v>27000</v>
      </c>
      <c r="G136">
        <f>18*500</f>
        <v>9000</v>
      </c>
      <c r="H136">
        <v>18000</v>
      </c>
    </row>
    <row r="137" spans="1:8" x14ac:dyDescent="0.25">
      <c r="C137" t="s">
        <v>10</v>
      </c>
      <c r="D137" t="s">
        <v>11</v>
      </c>
      <c r="E137">
        <v>22</v>
      </c>
      <c r="F137">
        <v>33000</v>
      </c>
      <c r="G137">
        <f>22*500</f>
        <v>11000</v>
      </c>
      <c r="H137">
        <v>22000</v>
      </c>
    </row>
    <row r="138" spans="1:8" x14ac:dyDescent="0.25">
      <c r="D138" t="s">
        <v>13</v>
      </c>
      <c r="E138">
        <v>4</v>
      </c>
      <c r="F138">
        <v>26000</v>
      </c>
      <c r="G138">
        <f>4*4500</f>
        <v>18000</v>
      </c>
      <c r="H138">
        <v>8000</v>
      </c>
    </row>
    <row r="139" spans="1:8" x14ac:dyDescent="0.25">
      <c r="D139" t="s">
        <v>14</v>
      </c>
      <c r="E139">
        <v>3</v>
      </c>
      <c r="F139">
        <v>24000</v>
      </c>
      <c r="G139">
        <f>3*5500</f>
        <v>16500</v>
      </c>
      <c r="H139">
        <f>3*2500</f>
        <v>7500</v>
      </c>
    </row>
    <row r="140" spans="1:8" x14ac:dyDescent="0.25">
      <c r="A140" s="111" t="s">
        <v>17</v>
      </c>
      <c r="B140" s="111"/>
      <c r="C140" s="111"/>
      <c r="D140" s="111"/>
      <c r="E140" s="111"/>
      <c r="F140" s="1">
        <f>SUM(F131:F139)</f>
        <v>773000</v>
      </c>
      <c r="G140" s="1">
        <f>SUM(G131:G139)</f>
        <v>265500</v>
      </c>
      <c r="H140" s="1">
        <f>SUM(H131:H139)</f>
        <v>507500</v>
      </c>
    </row>
    <row r="141" spans="1:8" x14ac:dyDescent="0.25">
      <c r="A141" t="s">
        <v>22</v>
      </c>
      <c r="B141" t="s">
        <v>210</v>
      </c>
      <c r="C141" t="s">
        <v>105</v>
      </c>
      <c r="D141" t="s">
        <v>11</v>
      </c>
      <c r="E141">
        <v>18</v>
      </c>
      <c r="F141">
        <f>18*1500</f>
        <v>27000</v>
      </c>
      <c r="G141">
        <f>18*500</f>
        <v>9000</v>
      </c>
      <c r="H141">
        <v>18000</v>
      </c>
    </row>
    <row r="142" spans="1:8" x14ac:dyDescent="0.25">
      <c r="C142" t="s">
        <v>15</v>
      </c>
      <c r="D142" t="s">
        <v>13</v>
      </c>
      <c r="E142">
        <v>10</v>
      </c>
      <c r="F142">
        <v>65000</v>
      </c>
      <c r="G142">
        <f>10*4500</f>
        <v>45000</v>
      </c>
      <c r="H142">
        <v>20000</v>
      </c>
    </row>
    <row r="143" spans="1:8" x14ac:dyDescent="0.25">
      <c r="D143" t="s">
        <v>14</v>
      </c>
      <c r="E143">
        <v>5</v>
      </c>
      <c r="F143">
        <v>50000</v>
      </c>
      <c r="G143">
        <f>5*5500</f>
        <v>27500</v>
      </c>
      <c r="H143">
        <f>5*4500</f>
        <v>22500</v>
      </c>
    </row>
    <row r="144" spans="1:8" x14ac:dyDescent="0.25">
      <c r="C144" t="s">
        <v>16</v>
      </c>
      <c r="D144" t="s">
        <v>11</v>
      </c>
      <c r="E144">
        <v>70</v>
      </c>
      <c r="F144">
        <v>105000</v>
      </c>
      <c r="G144">
        <f>70*500</f>
        <v>35000</v>
      </c>
      <c r="H144">
        <v>70000</v>
      </c>
    </row>
    <row r="145" spans="1:8" x14ac:dyDescent="0.25">
      <c r="D145" t="s">
        <v>12</v>
      </c>
      <c r="E145">
        <v>8</v>
      </c>
      <c r="F145">
        <v>24000</v>
      </c>
      <c r="G145">
        <v>16000</v>
      </c>
      <c r="H145">
        <v>8000</v>
      </c>
    </row>
    <row r="146" spans="1:8" x14ac:dyDescent="0.25">
      <c r="D146" t="s">
        <v>14</v>
      </c>
      <c r="E146">
        <v>1</v>
      </c>
      <c r="F146">
        <v>10000</v>
      </c>
      <c r="G146">
        <v>5500</v>
      </c>
      <c r="H146">
        <v>4500</v>
      </c>
    </row>
    <row r="147" spans="1:8" x14ac:dyDescent="0.25">
      <c r="D147" t="s">
        <v>25</v>
      </c>
      <c r="E147">
        <v>2</v>
      </c>
      <c r="F147">
        <v>26000</v>
      </c>
      <c r="G147">
        <v>20000</v>
      </c>
      <c r="H147">
        <v>6000</v>
      </c>
    </row>
    <row r="148" spans="1:8" x14ac:dyDescent="0.25">
      <c r="C148" t="s">
        <v>10</v>
      </c>
      <c r="D148" t="s">
        <v>11</v>
      </c>
      <c r="E148">
        <v>18</v>
      </c>
      <c r="F148">
        <v>27000</v>
      </c>
      <c r="G148">
        <f>18*5000</f>
        <v>90000</v>
      </c>
      <c r="H148">
        <v>18000</v>
      </c>
    </row>
    <row r="149" spans="1:8" x14ac:dyDescent="0.25">
      <c r="D149" t="s">
        <v>12</v>
      </c>
      <c r="E149">
        <v>6</v>
      </c>
      <c r="F149">
        <v>18000</v>
      </c>
      <c r="G149">
        <v>12000</v>
      </c>
      <c r="H149">
        <v>6000</v>
      </c>
    </row>
    <row r="150" spans="1:8" x14ac:dyDescent="0.25">
      <c r="D150" t="s">
        <v>13</v>
      </c>
      <c r="E150">
        <v>8</v>
      </c>
      <c r="F150">
        <v>52000</v>
      </c>
      <c r="G150">
        <f>8*4500</f>
        <v>36000</v>
      </c>
      <c r="H150">
        <v>16000</v>
      </c>
    </row>
    <row r="151" spans="1:8" x14ac:dyDescent="0.25">
      <c r="D151" t="s">
        <v>14</v>
      </c>
      <c r="E151">
        <v>7</v>
      </c>
      <c r="F151">
        <v>56000</v>
      </c>
      <c r="G151">
        <f>7*5500</f>
        <v>38500</v>
      </c>
      <c r="H151">
        <f>7*2500</f>
        <v>17500</v>
      </c>
    </row>
    <row r="152" spans="1:8" x14ac:dyDescent="0.25">
      <c r="A152" s="111" t="s">
        <v>17</v>
      </c>
      <c r="B152" s="111"/>
      <c r="C152" s="111"/>
      <c r="D152" s="111"/>
      <c r="E152" s="111"/>
      <c r="F152" s="1">
        <f>SUM(F141:F151)</f>
        <v>460000</v>
      </c>
      <c r="G152" s="1">
        <f>SUM(G141:G151)</f>
        <v>334500</v>
      </c>
      <c r="H152" s="1">
        <f>SUM(H141:H151)</f>
        <v>206500</v>
      </c>
    </row>
    <row r="153" spans="1:8" x14ac:dyDescent="0.25">
      <c r="A153" t="s">
        <v>26</v>
      </c>
      <c r="B153" t="s">
        <v>211</v>
      </c>
      <c r="C153" t="s">
        <v>77</v>
      </c>
      <c r="D153" t="s">
        <v>11</v>
      </c>
      <c r="E153">
        <v>100</v>
      </c>
      <c r="F153">
        <v>150000</v>
      </c>
      <c r="G153">
        <v>50000</v>
      </c>
      <c r="H153">
        <v>100000</v>
      </c>
    </row>
    <row r="154" spans="1:8" x14ac:dyDescent="0.25">
      <c r="D154" t="s">
        <v>11</v>
      </c>
      <c r="E154">
        <v>100</v>
      </c>
      <c r="F154">
        <v>150000</v>
      </c>
      <c r="G154">
        <v>50000</v>
      </c>
      <c r="H154">
        <v>100000</v>
      </c>
    </row>
    <row r="155" spans="1:8" x14ac:dyDescent="0.25">
      <c r="C155" t="s">
        <v>81</v>
      </c>
      <c r="D155" t="s">
        <v>11</v>
      </c>
      <c r="E155">
        <f>F155/1800</f>
        <v>90</v>
      </c>
      <c r="F155">
        <v>162000</v>
      </c>
      <c r="G155">
        <f>90*500</f>
        <v>45000</v>
      </c>
      <c r="H155">
        <f>90*1300</f>
        <v>117000</v>
      </c>
    </row>
    <row r="156" spans="1:8" x14ac:dyDescent="0.25">
      <c r="D156" t="s">
        <v>11</v>
      </c>
      <c r="E156">
        <f>F156/1800</f>
        <v>80</v>
      </c>
      <c r="F156">
        <v>144000</v>
      </c>
      <c r="G156">
        <f>80*500</f>
        <v>40000</v>
      </c>
      <c r="H156">
        <f>80*1300</f>
        <v>104000</v>
      </c>
    </row>
    <row r="157" spans="1:8" x14ac:dyDescent="0.25">
      <c r="D157" t="s">
        <v>11</v>
      </c>
      <c r="E157">
        <v>80</v>
      </c>
      <c r="F157">
        <v>144000</v>
      </c>
      <c r="G157">
        <f>80*500</f>
        <v>40000</v>
      </c>
      <c r="H157">
        <v>104000</v>
      </c>
    </row>
    <row r="158" spans="1:8" x14ac:dyDescent="0.25">
      <c r="C158" t="s">
        <v>108</v>
      </c>
      <c r="D158" t="s">
        <v>11</v>
      </c>
      <c r="E158">
        <v>70</v>
      </c>
      <c r="F158">
        <v>105000</v>
      </c>
      <c r="G158">
        <f>70*500</f>
        <v>35000</v>
      </c>
      <c r="H158">
        <v>70000</v>
      </c>
    </row>
    <row r="159" spans="1:8" x14ac:dyDescent="0.25">
      <c r="D159" t="s">
        <v>11</v>
      </c>
      <c r="E159">
        <v>65</v>
      </c>
      <c r="F159">
        <v>97500</v>
      </c>
      <c r="G159">
        <f>65*500</f>
        <v>32500</v>
      </c>
      <c r="H159">
        <v>65000</v>
      </c>
    </row>
    <row r="160" spans="1:8" x14ac:dyDescent="0.25">
      <c r="C160" t="s">
        <v>105</v>
      </c>
      <c r="D160" t="s">
        <v>11</v>
      </c>
      <c r="E160">
        <v>20</v>
      </c>
      <c r="F160">
        <f>20*1500</f>
        <v>30000</v>
      </c>
      <c r="G160">
        <f>20*500</f>
        <v>10000</v>
      </c>
      <c r="H160">
        <v>20000</v>
      </c>
    </row>
    <row r="161" spans="1:8" x14ac:dyDescent="0.25">
      <c r="C161" t="s">
        <v>10</v>
      </c>
      <c r="D161" t="s">
        <v>11</v>
      </c>
      <c r="E161">
        <v>15</v>
      </c>
      <c r="F161">
        <v>22500</v>
      </c>
      <c r="G161">
        <f>15*500</f>
        <v>7500</v>
      </c>
      <c r="H161">
        <v>15000</v>
      </c>
    </row>
    <row r="162" spans="1:8" x14ac:dyDescent="0.25">
      <c r="D162" t="s">
        <v>12</v>
      </c>
      <c r="E162">
        <v>2</v>
      </c>
      <c r="F162">
        <v>6000</v>
      </c>
      <c r="G162">
        <v>4000</v>
      </c>
      <c r="H162">
        <v>2000</v>
      </c>
    </row>
    <row r="163" spans="1:8" x14ac:dyDescent="0.25">
      <c r="D163" t="s">
        <v>13</v>
      </c>
      <c r="E163">
        <v>8</v>
      </c>
      <c r="F163">
        <v>52000</v>
      </c>
      <c r="G163">
        <f>8*4500</f>
        <v>36000</v>
      </c>
      <c r="H163">
        <v>16000</v>
      </c>
    </row>
    <row r="164" spans="1:8" x14ac:dyDescent="0.25">
      <c r="D164" t="s">
        <v>14</v>
      </c>
      <c r="E164">
        <v>13</v>
      </c>
      <c r="F164">
        <v>104000</v>
      </c>
      <c r="G164">
        <f>13*5500</f>
        <v>71500</v>
      </c>
      <c r="H164">
        <f>13*2500</f>
        <v>32500</v>
      </c>
    </row>
    <row r="165" spans="1:8" x14ac:dyDescent="0.25">
      <c r="A165" s="111" t="s">
        <v>17</v>
      </c>
      <c r="B165" s="111"/>
      <c r="C165" s="111"/>
      <c r="D165" s="111"/>
      <c r="E165" s="111"/>
      <c r="F165" s="1">
        <f>SUM(F153:F164)</f>
        <v>1167000</v>
      </c>
      <c r="G165" s="1">
        <f>SUM(G153:G164)</f>
        <v>421500</v>
      </c>
      <c r="H165" s="1">
        <f>SUM(H153:H164)</f>
        <v>745500</v>
      </c>
    </row>
    <row r="166" spans="1:8" x14ac:dyDescent="0.25">
      <c r="A166" t="s">
        <v>28</v>
      </c>
      <c r="B166" t="s">
        <v>212</v>
      </c>
      <c r="C166" t="s">
        <v>16</v>
      </c>
      <c r="D166" t="s">
        <v>11</v>
      </c>
      <c r="E166">
        <v>41</v>
      </c>
      <c r="F166">
        <v>61500</v>
      </c>
      <c r="G166">
        <f>41*500</f>
        <v>20500</v>
      </c>
      <c r="H166">
        <v>41000</v>
      </c>
    </row>
    <row r="167" spans="1:8" x14ac:dyDescent="0.25">
      <c r="D167" t="s">
        <v>12</v>
      </c>
      <c r="E167">
        <v>5</v>
      </c>
      <c r="F167">
        <v>15000</v>
      </c>
      <c r="G167">
        <v>10000</v>
      </c>
      <c r="H167">
        <v>5000</v>
      </c>
    </row>
    <row r="168" spans="1:8" x14ac:dyDescent="0.25">
      <c r="C168" t="s">
        <v>20</v>
      </c>
      <c r="D168" t="s">
        <v>13</v>
      </c>
      <c r="E168">
        <v>20</v>
      </c>
      <c r="F168">
        <v>130000</v>
      </c>
      <c r="G168">
        <f>20*4500</f>
        <v>90000</v>
      </c>
      <c r="H168">
        <f>20*2000</f>
        <v>40000</v>
      </c>
    </row>
    <row r="169" spans="1:8" x14ac:dyDescent="0.25">
      <c r="D169" t="s">
        <v>14</v>
      </c>
      <c r="E169">
        <v>35</v>
      </c>
      <c r="F169">
        <v>350000</v>
      </c>
      <c r="G169">
        <f>35*5500</f>
        <v>192500</v>
      </c>
      <c r="H169">
        <f>35*4500</f>
        <v>157500</v>
      </c>
    </row>
    <row r="170" spans="1:8" x14ac:dyDescent="0.25">
      <c r="C170" t="s">
        <v>10</v>
      </c>
      <c r="D170" t="s">
        <v>13</v>
      </c>
      <c r="E170">
        <v>12</v>
      </c>
      <c r="F170">
        <v>78000</v>
      </c>
      <c r="G170">
        <f>12*4500</f>
        <v>54000</v>
      </c>
      <c r="H170">
        <f>12*2000</f>
        <v>24000</v>
      </c>
    </row>
    <row r="171" spans="1:8" x14ac:dyDescent="0.25">
      <c r="D171" t="s">
        <v>14</v>
      </c>
      <c r="E171">
        <v>17</v>
      </c>
      <c r="F171">
        <v>136000</v>
      </c>
      <c r="G171">
        <f>17*5500</f>
        <v>93500</v>
      </c>
      <c r="H171">
        <f>17*2500</f>
        <v>42500</v>
      </c>
    </row>
    <row r="172" spans="1:8" x14ac:dyDescent="0.25">
      <c r="C172" t="s">
        <v>15</v>
      </c>
      <c r="D172" t="s">
        <v>13</v>
      </c>
      <c r="E172">
        <v>27</v>
      </c>
      <c r="F172">
        <v>175500</v>
      </c>
      <c r="G172">
        <f>27*4500</f>
        <v>121500</v>
      </c>
      <c r="H172">
        <f>27*2000</f>
        <v>54000</v>
      </c>
    </row>
    <row r="173" spans="1:8" x14ac:dyDescent="0.25">
      <c r="D173" t="s">
        <v>14</v>
      </c>
      <c r="E173">
        <v>7</v>
      </c>
      <c r="F173">
        <v>56000</v>
      </c>
      <c r="G173">
        <f>7*5500</f>
        <v>38500</v>
      </c>
      <c r="H173">
        <f>7*2500</f>
        <v>17500</v>
      </c>
    </row>
    <row r="174" spans="1:8" x14ac:dyDescent="0.25">
      <c r="D174" t="s">
        <v>14</v>
      </c>
      <c r="E174">
        <v>15</v>
      </c>
      <c r="F174">
        <v>150000</v>
      </c>
      <c r="G174">
        <f>15*5500</f>
        <v>82500</v>
      </c>
      <c r="H174">
        <f>15*4500</f>
        <v>67500</v>
      </c>
    </row>
    <row r="175" spans="1:8" x14ac:dyDescent="0.25">
      <c r="C175" t="s">
        <v>10</v>
      </c>
      <c r="D175" t="s">
        <v>13</v>
      </c>
      <c r="E175">
        <v>9</v>
      </c>
      <c r="F175">
        <v>58500</v>
      </c>
      <c r="G175">
        <f>9*4500</f>
        <v>40500</v>
      </c>
      <c r="H175">
        <v>18000</v>
      </c>
    </row>
    <row r="176" spans="1:8" x14ac:dyDescent="0.25">
      <c r="D176" t="s">
        <v>14</v>
      </c>
      <c r="E176">
        <v>8</v>
      </c>
      <c r="F176">
        <v>64000</v>
      </c>
      <c r="G176">
        <f>8*5500</f>
        <v>44000</v>
      </c>
      <c r="H176">
        <f>8*2500</f>
        <v>20000</v>
      </c>
    </row>
    <row r="177" spans="1:8" x14ac:dyDescent="0.25">
      <c r="A177" s="111" t="s">
        <v>17</v>
      </c>
      <c r="B177" s="111"/>
      <c r="C177" s="111"/>
      <c r="D177" s="111"/>
      <c r="E177" s="111"/>
      <c r="F177" s="1">
        <f>SUM(F166:F176)</f>
        <v>1274500</v>
      </c>
      <c r="G177" s="1">
        <f>SUM(G166:G176)</f>
        <v>787500</v>
      </c>
      <c r="H177" s="1">
        <f>SUM(H166:H176)</f>
        <v>487000</v>
      </c>
    </row>
    <row r="178" spans="1:8" x14ac:dyDescent="0.25">
      <c r="A178" t="s">
        <v>30</v>
      </c>
      <c r="B178" t="s">
        <v>213</v>
      </c>
      <c r="C178" t="s">
        <v>15</v>
      </c>
      <c r="D178" t="s">
        <v>13</v>
      </c>
      <c r="E178">
        <v>30</v>
      </c>
      <c r="F178">
        <v>195000</v>
      </c>
      <c r="G178">
        <f>30*4500</f>
        <v>135000</v>
      </c>
      <c r="H178">
        <f>30*2000</f>
        <v>60000</v>
      </c>
    </row>
    <row r="179" spans="1:8" x14ac:dyDescent="0.25">
      <c r="D179" t="s">
        <v>14</v>
      </c>
      <c r="E179">
        <v>9</v>
      </c>
      <c r="F179">
        <v>72000</v>
      </c>
      <c r="G179">
        <f>9*5500</f>
        <v>49500</v>
      </c>
      <c r="H179">
        <f>9*2500</f>
        <v>22500</v>
      </c>
    </row>
    <row r="180" spans="1:8" x14ac:dyDescent="0.25">
      <c r="E180">
        <v>17</v>
      </c>
      <c r="F180">
        <v>170000</v>
      </c>
      <c r="G180">
        <f>17*5500</f>
        <v>93500</v>
      </c>
      <c r="H180">
        <f>17*4500</f>
        <v>76500</v>
      </c>
    </row>
    <row r="181" spans="1:8" x14ac:dyDescent="0.25">
      <c r="C181" t="s">
        <v>16</v>
      </c>
      <c r="D181" t="s">
        <v>11</v>
      </c>
      <c r="E181">
        <v>52</v>
      </c>
      <c r="F181">
        <v>78000</v>
      </c>
      <c r="G181">
        <f>52*500</f>
        <v>26000</v>
      </c>
      <c r="H181">
        <v>52000</v>
      </c>
    </row>
    <row r="182" spans="1:8" x14ac:dyDescent="0.25">
      <c r="D182" t="s">
        <v>12</v>
      </c>
      <c r="E182">
        <v>3</v>
      </c>
      <c r="F182">
        <v>9000</v>
      </c>
      <c r="G182">
        <v>6000</v>
      </c>
      <c r="H182">
        <v>3000</v>
      </c>
    </row>
    <row r="183" spans="1:8" x14ac:dyDescent="0.25">
      <c r="D183" t="s">
        <v>13</v>
      </c>
      <c r="E183">
        <v>1</v>
      </c>
      <c r="F183">
        <v>6500</v>
      </c>
      <c r="G183">
        <v>4500</v>
      </c>
      <c r="H183">
        <v>2000</v>
      </c>
    </row>
    <row r="184" spans="1:8" x14ac:dyDescent="0.25">
      <c r="D184" t="s">
        <v>14</v>
      </c>
      <c r="E184">
        <v>1</v>
      </c>
      <c r="F184">
        <v>10000</v>
      </c>
      <c r="G184">
        <v>5500</v>
      </c>
      <c r="H184">
        <v>4500</v>
      </c>
    </row>
    <row r="185" spans="1:8" x14ac:dyDescent="0.25">
      <c r="C185" t="s">
        <v>10</v>
      </c>
      <c r="D185" t="s">
        <v>13</v>
      </c>
      <c r="E185">
        <v>18</v>
      </c>
      <c r="F185">
        <v>117000</v>
      </c>
      <c r="G185">
        <f>18*4500</f>
        <v>81000</v>
      </c>
      <c r="H185">
        <f>18*2000</f>
        <v>36000</v>
      </c>
    </row>
    <row r="186" spans="1:8" x14ac:dyDescent="0.25">
      <c r="D186" t="s">
        <v>14</v>
      </c>
      <c r="E186">
        <v>6</v>
      </c>
      <c r="F186">
        <v>48000</v>
      </c>
      <c r="G186">
        <f>6*5500</f>
        <v>33000</v>
      </c>
      <c r="H186">
        <f>6*2500</f>
        <v>15000</v>
      </c>
    </row>
    <row r="187" spans="1:8" x14ac:dyDescent="0.25">
      <c r="C187" t="s">
        <v>214</v>
      </c>
      <c r="D187" t="s">
        <v>25</v>
      </c>
      <c r="E187">
        <v>11</v>
      </c>
      <c r="F187">
        <v>121000</v>
      </c>
      <c r="G187">
        <v>110000</v>
      </c>
      <c r="H187">
        <v>11000</v>
      </c>
    </row>
    <row r="188" spans="1:8" x14ac:dyDescent="0.25">
      <c r="C188" t="s">
        <v>100</v>
      </c>
      <c r="D188" t="s">
        <v>21</v>
      </c>
      <c r="E188">
        <v>3</v>
      </c>
      <c r="F188">
        <v>45000</v>
      </c>
      <c r="G188">
        <v>30000</v>
      </c>
      <c r="H188">
        <v>15000</v>
      </c>
    </row>
    <row r="189" spans="1:8" x14ac:dyDescent="0.25">
      <c r="A189" s="111" t="s">
        <v>17</v>
      </c>
      <c r="B189" s="111"/>
      <c r="C189" s="111"/>
      <c r="D189" s="111"/>
      <c r="E189" s="111"/>
      <c r="F189" s="1">
        <f>SUM(F178:F188)</f>
        <v>871500</v>
      </c>
      <c r="G189" s="1">
        <f>SUM(G178:G188)</f>
        <v>574000</v>
      </c>
      <c r="H189" s="1">
        <f>SUM(H178:H188)</f>
        <v>297500</v>
      </c>
    </row>
    <row r="190" spans="1:8" x14ac:dyDescent="0.25">
      <c r="A190" t="s">
        <v>32</v>
      </c>
      <c r="B190" t="s">
        <v>215</v>
      </c>
      <c r="C190" t="s">
        <v>106</v>
      </c>
      <c r="D190" t="s">
        <v>11</v>
      </c>
      <c r="E190">
        <v>29</v>
      </c>
      <c r="F190">
        <v>43500</v>
      </c>
      <c r="G190">
        <f>29*500</f>
        <v>14500</v>
      </c>
      <c r="H190">
        <v>29000</v>
      </c>
    </row>
    <row r="191" spans="1:8" x14ac:dyDescent="0.25">
      <c r="C191" t="s">
        <v>105</v>
      </c>
      <c r="D191" t="s">
        <v>11</v>
      </c>
      <c r="E191">
        <v>12</v>
      </c>
      <c r="F191">
        <v>18000</v>
      </c>
      <c r="G191">
        <f>12*500</f>
        <v>6000</v>
      </c>
      <c r="H191">
        <v>12000</v>
      </c>
    </row>
    <row r="192" spans="1:8" x14ac:dyDescent="0.25">
      <c r="C192" t="s">
        <v>81</v>
      </c>
      <c r="D192" t="s">
        <v>11</v>
      </c>
      <c r="E192">
        <v>90</v>
      </c>
      <c r="F192">
        <f>90*1800</f>
        <v>162000</v>
      </c>
      <c r="G192">
        <f>90*500</f>
        <v>45000</v>
      </c>
      <c r="H192">
        <f>90*1300</f>
        <v>117000</v>
      </c>
    </row>
    <row r="193" spans="1:13" x14ac:dyDescent="0.25">
      <c r="C193" t="s">
        <v>10</v>
      </c>
      <c r="D193" t="s">
        <v>11</v>
      </c>
      <c r="E193">
        <v>63</v>
      </c>
      <c r="F193">
        <v>94500</v>
      </c>
      <c r="G193">
        <f>63*500</f>
        <v>31500</v>
      </c>
      <c r="H193">
        <v>63000</v>
      </c>
    </row>
    <row r="194" spans="1:13" x14ac:dyDescent="0.25">
      <c r="D194" t="s">
        <v>12</v>
      </c>
      <c r="E194">
        <v>2</v>
      </c>
      <c r="F194">
        <v>6000</v>
      </c>
      <c r="G194">
        <v>4000</v>
      </c>
      <c r="H194">
        <v>2000</v>
      </c>
    </row>
    <row r="195" spans="1:13" x14ac:dyDescent="0.25">
      <c r="D195" t="s">
        <v>14</v>
      </c>
      <c r="E195">
        <v>3</v>
      </c>
      <c r="F195">
        <v>24000</v>
      </c>
      <c r="G195">
        <f>3*5500</f>
        <v>16500</v>
      </c>
      <c r="H195">
        <f>3*2500</f>
        <v>7500</v>
      </c>
    </row>
    <row r="196" spans="1:13" x14ac:dyDescent="0.25">
      <c r="C196" t="s">
        <v>16</v>
      </c>
      <c r="D196" t="s">
        <v>11</v>
      </c>
      <c r="E196">
        <v>7</v>
      </c>
      <c r="F196">
        <v>10500</v>
      </c>
      <c r="G196">
        <v>3500</v>
      </c>
      <c r="H196">
        <v>7000</v>
      </c>
    </row>
    <row r="197" spans="1:13" x14ac:dyDescent="0.25">
      <c r="D197" t="s">
        <v>12</v>
      </c>
      <c r="E197">
        <v>4</v>
      </c>
      <c r="F197">
        <v>12000</v>
      </c>
      <c r="G197">
        <v>8000</v>
      </c>
      <c r="H197">
        <v>4000</v>
      </c>
    </row>
    <row r="198" spans="1:13" x14ac:dyDescent="0.25">
      <c r="D198" t="s">
        <v>14</v>
      </c>
      <c r="E198">
        <v>1</v>
      </c>
      <c r="F198">
        <v>10000</v>
      </c>
      <c r="G198">
        <v>5500</v>
      </c>
      <c r="H198">
        <v>4500</v>
      </c>
    </row>
    <row r="199" spans="1:13" x14ac:dyDescent="0.25">
      <c r="C199" t="s">
        <v>15</v>
      </c>
      <c r="D199" t="s">
        <v>13</v>
      </c>
      <c r="E199">
        <v>5</v>
      </c>
      <c r="F199">
        <v>32500</v>
      </c>
      <c r="G199">
        <f>5*4500</f>
        <v>22500</v>
      </c>
      <c r="H199">
        <v>10000</v>
      </c>
    </row>
    <row r="200" spans="1:13" x14ac:dyDescent="0.25">
      <c r="D200" t="s">
        <v>14</v>
      </c>
      <c r="E200">
        <v>2</v>
      </c>
      <c r="F200">
        <v>16000</v>
      </c>
      <c r="G200">
        <v>11000</v>
      </c>
      <c r="H200">
        <v>5000</v>
      </c>
      <c r="M200">
        <v>1</v>
      </c>
    </row>
    <row r="201" spans="1:13" x14ac:dyDescent="0.25">
      <c r="E201">
        <v>7</v>
      </c>
      <c r="F201">
        <v>70000</v>
      </c>
      <c r="G201">
        <f>7*5500</f>
        <v>38500</v>
      </c>
      <c r="H201">
        <f>7*4500</f>
        <v>31500</v>
      </c>
    </row>
    <row r="202" spans="1:13" x14ac:dyDescent="0.25">
      <c r="A202" s="111" t="s">
        <v>17</v>
      </c>
      <c r="B202" s="111"/>
      <c r="C202" s="111"/>
      <c r="D202" s="111"/>
      <c r="E202" s="111"/>
      <c r="F202" s="1">
        <f>SUM(F190:F201)</f>
        <v>499000</v>
      </c>
      <c r="G202" s="1">
        <f>SUM(G190:G201)</f>
        <v>206500</v>
      </c>
      <c r="H202" s="1">
        <f>SUM(H190:H201)</f>
        <v>292500</v>
      </c>
    </row>
    <row r="203" spans="1:13" x14ac:dyDescent="0.25">
      <c r="A203" t="s">
        <v>8</v>
      </c>
      <c r="B203" t="s">
        <v>216</v>
      </c>
      <c r="C203" t="s">
        <v>106</v>
      </c>
      <c r="D203" t="s">
        <v>11</v>
      </c>
      <c r="E203">
        <v>25</v>
      </c>
      <c r="F203">
        <f>SUM(E203*1500)</f>
        <v>37500</v>
      </c>
      <c r="G203">
        <f>SUM(E203*500)</f>
        <v>12500</v>
      </c>
      <c r="H203">
        <f>SUM(E203*1000)</f>
        <v>25000</v>
      </c>
    </row>
    <row r="204" spans="1:13" x14ac:dyDescent="0.25">
      <c r="C204" t="s">
        <v>108</v>
      </c>
      <c r="D204" t="s">
        <v>11</v>
      </c>
      <c r="E204">
        <v>70</v>
      </c>
      <c r="F204">
        <f>SUM(E204*1500)</f>
        <v>105000</v>
      </c>
      <c r="G204">
        <f>SUM(E204*500)</f>
        <v>35000</v>
      </c>
      <c r="H204">
        <f>SUM(E204*1000)</f>
        <v>70000</v>
      </c>
    </row>
    <row r="205" spans="1:13" x14ac:dyDescent="0.25">
      <c r="C205" t="s">
        <v>10</v>
      </c>
      <c r="D205" t="s">
        <v>11</v>
      </c>
      <c r="E205">
        <v>50</v>
      </c>
      <c r="F205">
        <f>SUM(E205*1500)</f>
        <v>75000</v>
      </c>
      <c r="G205">
        <f>SUM(E205*500)</f>
        <v>25000</v>
      </c>
      <c r="H205">
        <f>SUM(E205*1000)</f>
        <v>50000</v>
      </c>
    </row>
    <row r="206" spans="1:13" x14ac:dyDescent="0.25">
      <c r="D206" t="s">
        <v>12</v>
      </c>
      <c r="E206">
        <v>2</v>
      </c>
      <c r="F206">
        <v>6000</v>
      </c>
      <c r="G206">
        <v>4000</v>
      </c>
      <c r="H206">
        <v>2000</v>
      </c>
    </row>
    <row r="207" spans="1:13" x14ac:dyDescent="0.25">
      <c r="D207" t="s">
        <v>13</v>
      </c>
      <c r="E207">
        <v>3</v>
      </c>
      <c r="F207">
        <f>E207*6500</f>
        <v>19500</v>
      </c>
      <c r="G207">
        <f>E207*4500</f>
        <v>13500</v>
      </c>
      <c r="H207">
        <v>6000</v>
      </c>
    </row>
    <row r="208" spans="1:13" x14ac:dyDescent="0.25">
      <c r="D208" t="s">
        <v>14</v>
      </c>
      <c r="E208">
        <v>2</v>
      </c>
      <c r="F208">
        <v>16000</v>
      </c>
      <c r="G208">
        <v>11000</v>
      </c>
      <c r="H208">
        <v>5000</v>
      </c>
    </row>
    <row r="209" spans="1:8" x14ac:dyDescent="0.25">
      <c r="C209" t="s">
        <v>16</v>
      </c>
      <c r="D209" t="s">
        <v>11</v>
      </c>
      <c r="E209">
        <v>38</v>
      </c>
      <c r="F209">
        <v>57000</v>
      </c>
      <c r="G209">
        <f>E209*500</f>
        <v>19000</v>
      </c>
      <c r="H209">
        <f>E209*1000</f>
        <v>38000</v>
      </c>
    </row>
    <row r="210" spans="1:8" x14ac:dyDescent="0.25">
      <c r="D210" t="s">
        <v>12</v>
      </c>
      <c r="E210">
        <v>9</v>
      </c>
      <c r="F210">
        <v>27000</v>
      </c>
      <c r="G210">
        <v>18000</v>
      </c>
      <c r="H210">
        <v>9000</v>
      </c>
    </row>
    <row r="211" spans="1:8" x14ac:dyDescent="0.25">
      <c r="D211" t="s">
        <v>13</v>
      </c>
      <c r="E211">
        <v>2</v>
      </c>
      <c r="F211">
        <v>13000</v>
      </c>
      <c r="G211">
        <v>9000</v>
      </c>
      <c r="H211">
        <v>5000</v>
      </c>
    </row>
    <row r="212" spans="1:8" x14ac:dyDescent="0.25">
      <c r="D212" t="s">
        <v>14</v>
      </c>
      <c r="E212">
        <v>2</v>
      </c>
      <c r="F212">
        <v>20000</v>
      </c>
      <c r="G212">
        <v>11000</v>
      </c>
      <c r="H212">
        <v>9000</v>
      </c>
    </row>
    <row r="213" spans="1:8" x14ac:dyDescent="0.25">
      <c r="D213" t="s">
        <v>25</v>
      </c>
      <c r="E213">
        <v>1</v>
      </c>
      <c r="F213">
        <v>13000</v>
      </c>
      <c r="G213">
        <v>10000</v>
      </c>
      <c r="H213">
        <v>3000</v>
      </c>
    </row>
    <row r="214" spans="1:8" x14ac:dyDescent="0.25">
      <c r="C214" t="s">
        <v>217</v>
      </c>
      <c r="D214" t="s">
        <v>11</v>
      </c>
      <c r="E214">
        <v>26</v>
      </c>
      <c r="F214">
        <f>E214*1500</f>
        <v>39000</v>
      </c>
      <c r="G214">
        <f>E214*500</f>
        <v>13000</v>
      </c>
      <c r="H214">
        <f>E214*1000</f>
        <v>26000</v>
      </c>
    </row>
    <row r="215" spans="1:8" x14ac:dyDescent="0.25">
      <c r="A215" s="111" t="s">
        <v>17</v>
      </c>
      <c r="B215" s="111"/>
      <c r="C215" s="111"/>
      <c r="D215" s="111"/>
      <c r="E215" s="111"/>
      <c r="F215" s="13">
        <f>SUM(F203:F214)</f>
        <v>428000</v>
      </c>
      <c r="G215" s="13">
        <f>SUM(G203:G214)</f>
        <v>181000</v>
      </c>
      <c r="H215" s="13">
        <f>SUM(H203:H214)</f>
        <v>248000</v>
      </c>
    </row>
    <row r="216" spans="1:8" x14ac:dyDescent="0.25">
      <c r="A216" t="s">
        <v>18</v>
      </c>
      <c r="B216" t="s">
        <v>218</v>
      </c>
      <c r="C216" t="s">
        <v>77</v>
      </c>
      <c r="D216" t="s">
        <v>11</v>
      </c>
      <c r="E216" s="14">
        <v>390</v>
      </c>
      <c r="F216">
        <f>390*1500</f>
        <v>585000</v>
      </c>
      <c r="G216">
        <f>390*500</f>
        <v>195000</v>
      </c>
      <c r="H216">
        <v>390000</v>
      </c>
    </row>
    <row r="217" spans="1:8" x14ac:dyDescent="0.25">
      <c r="C217" t="s">
        <v>81</v>
      </c>
      <c r="D217" t="s">
        <v>11</v>
      </c>
      <c r="E217">
        <v>180</v>
      </c>
      <c r="F217">
        <v>324000</v>
      </c>
      <c r="G217">
        <f>180*500</f>
        <v>90000</v>
      </c>
      <c r="H217">
        <f>180*1300</f>
        <v>234000</v>
      </c>
    </row>
    <row r="218" spans="1:8" x14ac:dyDescent="0.25">
      <c r="C218" t="s">
        <v>219</v>
      </c>
      <c r="D218" t="s">
        <v>11</v>
      </c>
      <c r="E218">
        <v>24</v>
      </c>
      <c r="F218">
        <v>36000</v>
      </c>
      <c r="G218">
        <f>24*500</f>
        <v>12000</v>
      </c>
      <c r="H218">
        <v>24000</v>
      </c>
    </row>
    <row r="219" spans="1:8" x14ac:dyDescent="0.25">
      <c r="C219" t="s">
        <v>106</v>
      </c>
      <c r="D219" t="s">
        <v>11</v>
      </c>
      <c r="E219">
        <v>24</v>
      </c>
      <c r="F219">
        <v>36000</v>
      </c>
      <c r="G219">
        <f>24*500</f>
        <v>12000</v>
      </c>
      <c r="H219">
        <v>24000</v>
      </c>
    </row>
    <row r="220" spans="1:8" x14ac:dyDescent="0.25">
      <c r="C220" t="s">
        <v>108</v>
      </c>
      <c r="D220" t="s">
        <v>11</v>
      </c>
      <c r="E220">
        <v>70</v>
      </c>
      <c r="F220">
        <v>105000</v>
      </c>
      <c r="G220">
        <f>70*500</f>
        <v>35000</v>
      </c>
      <c r="H220">
        <v>70000</v>
      </c>
    </row>
    <row r="221" spans="1:8" x14ac:dyDescent="0.25">
      <c r="C221" t="s">
        <v>16</v>
      </c>
      <c r="D221" t="s">
        <v>11</v>
      </c>
      <c r="E221">
        <v>28</v>
      </c>
      <c r="F221">
        <v>42000</v>
      </c>
      <c r="G221">
        <f>28*500</f>
        <v>14000</v>
      </c>
      <c r="H221">
        <v>28000</v>
      </c>
    </row>
    <row r="222" spans="1:8" x14ac:dyDescent="0.25">
      <c r="D222" t="s">
        <v>12</v>
      </c>
      <c r="E222">
        <v>5</v>
      </c>
      <c r="F222">
        <v>15000</v>
      </c>
      <c r="G222">
        <v>10000</v>
      </c>
      <c r="H222">
        <v>5000</v>
      </c>
    </row>
    <row r="223" spans="1:8" x14ac:dyDescent="0.25">
      <c r="A223" s="111" t="s">
        <v>17</v>
      </c>
      <c r="B223" s="111"/>
      <c r="C223" s="111"/>
      <c r="D223" s="111"/>
      <c r="E223" s="111"/>
      <c r="F223" s="1">
        <f>SUM(F216:F222)</f>
        <v>1143000</v>
      </c>
      <c r="G223" s="1">
        <f>SUM(G216:G222)</f>
        <v>368000</v>
      </c>
      <c r="H223" s="1">
        <f>SUM(H216:H222)</f>
        <v>775000</v>
      </c>
    </row>
    <row r="224" spans="1:8" x14ac:dyDescent="0.25">
      <c r="A224" t="s">
        <v>22</v>
      </c>
      <c r="B224" t="s">
        <v>220</v>
      </c>
      <c r="C224" t="s">
        <v>81</v>
      </c>
      <c r="D224" t="s">
        <v>11</v>
      </c>
      <c r="E224">
        <f>F224/1800</f>
        <v>90</v>
      </c>
      <c r="F224">
        <v>162000</v>
      </c>
      <c r="G224">
        <f>90*500</f>
        <v>45000</v>
      </c>
      <c r="H224">
        <v>90000</v>
      </c>
    </row>
    <row r="225" spans="1:8" x14ac:dyDescent="0.25">
      <c r="C225" t="s">
        <v>106</v>
      </c>
      <c r="D225" t="s">
        <v>11</v>
      </c>
      <c r="E225">
        <v>11</v>
      </c>
      <c r="F225">
        <f>11*1500</f>
        <v>16500</v>
      </c>
      <c r="G225">
        <f>11*500</f>
        <v>5500</v>
      </c>
      <c r="H225">
        <v>11000</v>
      </c>
    </row>
    <row r="226" spans="1:8" x14ac:dyDescent="0.25">
      <c r="C226" t="s">
        <v>217</v>
      </c>
      <c r="D226" t="s">
        <v>11</v>
      </c>
      <c r="E226">
        <v>30</v>
      </c>
      <c r="F226">
        <v>45000</v>
      </c>
      <c r="G226">
        <f>30*500</f>
        <v>15000</v>
      </c>
      <c r="H226">
        <v>30000</v>
      </c>
    </row>
    <row r="227" spans="1:8" x14ac:dyDescent="0.25">
      <c r="C227" t="s">
        <v>10</v>
      </c>
      <c r="D227" t="s">
        <v>11</v>
      </c>
      <c r="E227">
        <v>46</v>
      </c>
      <c r="F227">
        <v>69000</v>
      </c>
      <c r="G227">
        <f>46*500</f>
        <v>23000</v>
      </c>
      <c r="H227">
        <v>46000</v>
      </c>
    </row>
    <row r="228" spans="1:8" x14ac:dyDescent="0.25">
      <c r="D228" t="s">
        <v>12</v>
      </c>
      <c r="E228">
        <v>1</v>
      </c>
      <c r="F228">
        <v>3000</v>
      </c>
      <c r="G228">
        <v>2000</v>
      </c>
      <c r="H228">
        <v>1000</v>
      </c>
    </row>
    <row r="229" spans="1:8" x14ac:dyDescent="0.25">
      <c r="D229" t="s">
        <v>13</v>
      </c>
      <c r="E229">
        <v>1</v>
      </c>
      <c r="F229">
        <v>6500</v>
      </c>
      <c r="G229">
        <v>4500</v>
      </c>
      <c r="H229">
        <v>2000</v>
      </c>
    </row>
    <row r="230" spans="1:8" x14ac:dyDescent="0.25">
      <c r="D230" t="s">
        <v>14</v>
      </c>
      <c r="E230">
        <v>2</v>
      </c>
      <c r="F230">
        <v>16000</v>
      </c>
      <c r="G230">
        <v>11000</v>
      </c>
      <c r="H230">
        <v>5000</v>
      </c>
    </row>
    <row r="231" spans="1:8" x14ac:dyDescent="0.25">
      <c r="A231" s="111" t="s">
        <v>17</v>
      </c>
      <c r="B231" s="111"/>
      <c r="C231" s="111"/>
      <c r="D231" s="111"/>
      <c r="E231" s="111"/>
      <c r="F231" s="1">
        <f>SUM(F224:F230)</f>
        <v>318000</v>
      </c>
      <c r="G231" s="1">
        <f>SUM(G224:G230)</f>
        <v>106000</v>
      </c>
      <c r="H231" s="1">
        <f>SUM(H224:H230)</f>
        <v>185000</v>
      </c>
    </row>
    <row r="232" spans="1:8" x14ac:dyDescent="0.25">
      <c r="A232" t="s">
        <v>26</v>
      </c>
      <c r="B232" t="s">
        <v>221</v>
      </c>
      <c r="C232" t="s">
        <v>217</v>
      </c>
      <c r="D232" t="s">
        <v>11</v>
      </c>
      <c r="E232">
        <v>25</v>
      </c>
      <c r="F232">
        <f>25*1500</f>
        <v>37500</v>
      </c>
      <c r="G232">
        <f>25*500</f>
        <v>12500</v>
      </c>
      <c r="H232">
        <v>25000</v>
      </c>
    </row>
    <row r="233" spans="1:8" x14ac:dyDescent="0.25">
      <c r="C233" t="s">
        <v>108</v>
      </c>
      <c r="D233" t="s">
        <v>11</v>
      </c>
      <c r="E233">
        <v>55</v>
      </c>
      <c r="F233">
        <v>82500</v>
      </c>
      <c r="G233">
        <f>55*500</f>
        <v>27500</v>
      </c>
      <c r="H233">
        <v>55000</v>
      </c>
    </row>
    <row r="234" spans="1:8" x14ac:dyDescent="0.25">
      <c r="D234" t="s">
        <v>11</v>
      </c>
      <c r="E234">
        <v>55</v>
      </c>
      <c r="F234">
        <v>82500</v>
      </c>
      <c r="G234">
        <f>55*500</f>
        <v>27500</v>
      </c>
      <c r="H234">
        <v>55000</v>
      </c>
    </row>
    <row r="235" spans="1:8" x14ac:dyDescent="0.25">
      <c r="C235" t="s">
        <v>81</v>
      </c>
      <c r="D235" t="s">
        <v>11</v>
      </c>
      <c r="E235">
        <f>147600/1800</f>
        <v>82</v>
      </c>
      <c r="F235">
        <v>147600</v>
      </c>
      <c r="G235">
        <f>82*500</f>
        <v>41000</v>
      </c>
      <c r="H235">
        <f>82*1300</f>
        <v>106600</v>
      </c>
    </row>
    <row r="236" spans="1:8" x14ac:dyDescent="0.25">
      <c r="C236" t="s">
        <v>219</v>
      </c>
      <c r="D236" t="s">
        <v>11</v>
      </c>
      <c r="E236">
        <v>25</v>
      </c>
      <c r="F236">
        <v>37500</v>
      </c>
      <c r="G236">
        <f>25*500</f>
        <v>12500</v>
      </c>
      <c r="H236">
        <v>25000</v>
      </c>
    </row>
    <row r="237" spans="1:8" x14ac:dyDescent="0.25">
      <c r="D237" t="s">
        <v>11</v>
      </c>
      <c r="E237">
        <v>25</v>
      </c>
      <c r="F237">
        <v>37500</v>
      </c>
      <c r="G237">
        <f>25*500</f>
        <v>12500</v>
      </c>
      <c r="H237">
        <v>25000</v>
      </c>
    </row>
    <row r="238" spans="1:8" x14ac:dyDescent="0.25">
      <c r="C238" t="s">
        <v>106</v>
      </c>
      <c r="D238" t="s">
        <v>11</v>
      </c>
      <c r="E238">
        <v>10</v>
      </c>
      <c r="F238">
        <v>15000</v>
      </c>
      <c r="G238">
        <v>5000</v>
      </c>
      <c r="H238">
        <v>10000</v>
      </c>
    </row>
    <row r="239" spans="1:8" x14ac:dyDescent="0.25">
      <c r="C239" t="s">
        <v>77</v>
      </c>
      <c r="D239" t="s">
        <v>11</v>
      </c>
      <c r="E239">
        <v>130</v>
      </c>
      <c r="F239">
        <f>130*1500</f>
        <v>195000</v>
      </c>
      <c r="G239">
        <f>130*500</f>
        <v>65000</v>
      </c>
      <c r="H239">
        <v>130000</v>
      </c>
    </row>
    <row r="240" spans="1:8" x14ac:dyDescent="0.25">
      <c r="D240" t="s">
        <v>11</v>
      </c>
      <c r="E240">
        <v>130</v>
      </c>
      <c r="F240">
        <v>195000</v>
      </c>
      <c r="G240">
        <v>65000</v>
      </c>
      <c r="H240">
        <v>130000</v>
      </c>
    </row>
    <row r="241" spans="1:8" x14ac:dyDescent="0.25">
      <c r="C241" t="s">
        <v>16</v>
      </c>
      <c r="D241" t="s">
        <v>11</v>
      </c>
      <c r="E241">
        <v>38</v>
      </c>
      <c r="F241">
        <v>57000</v>
      </c>
      <c r="G241">
        <f>38*500</f>
        <v>19000</v>
      </c>
      <c r="H241">
        <v>38000</v>
      </c>
    </row>
    <row r="242" spans="1:8" x14ac:dyDescent="0.25">
      <c r="D242" t="s">
        <v>12</v>
      </c>
      <c r="E242">
        <v>4</v>
      </c>
      <c r="F242">
        <v>12000</v>
      </c>
      <c r="G242">
        <v>8000</v>
      </c>
      <c r="H242">
        <v>4000</v>
      </c>
    </row>
    <row r="243" spans="1:8" x14ac:dyDescent="0.25">
      <c r="C243" t="s">
        <v>49</v>
      </c>
      <c r="D243" t="s">
        <v>56</v>
      </c>
      <c r="E243">
        <v>2</v>
      </c>
      <c r="F243">
        <v>30000</v>
      </c>
      <c r="G243">
        <v>22000</v>
      </c>
      <c r="H243">
        <v>8000</v>
      </c>
    </row>
    <row r="244" spans="1:8" x14ac:dyDescent="0.25">
      <c r="A244" s="111" t="s">
        <v>17</v>
      </c>
      <c r="B244" s="111"/>
      <c r="C244" s="111"/>
      <c r="D244" s="111"/>
      <c r="E244" s="111"/>
      <c r="F244" s="1">
        <f>SUM(F232:F243)</f>
        <v>929100</v>
      </c>
      <c r="G244" s="1">
        <f>SUM(G232:G243)</f>
        <v>317500</v>
      </c>
      <c r="H244" s="1">
        <f>SUM(H232:H243)</f>
        <v>611600</v>
      </c>
    </row>
    <row r="245" spans="1:8" x14ac:dyDescent="0.25">
      <c r="A245" t="s">
        <v>28</v>
      </c>
      <c r="B245" t="s">
        <v>222</v>
      </c>
      <c r="C245" t="s">
        <v>10</v>
      </c>
      <c r="D245" t="s">
        <v>11</v>
      </c>
      <c r="E245">
        <v>14</v>
      </c>
      <c r="F245">
        <v>21000</v>
      </c>
      <c r="G245">
        <f>14*500</f>
        <v>7000</v>
      </c>
      <c r="H245">
        <v>14000</v>
      </c>
    </row>
    <row r="246" spans="1:8" x14ac:dyDescent="0.25">
      <c r="C246" t="s">
        <v>22</v>
      </c>
      <c r="D246" t="s">
        <v>12</v>
      </c>
      <c r="E246">
        <v>3</v>
      </c>
      <c r="F246">
        <v>9000</v>
      </c>
      <c r="G246">
        <v>6000</v>
      </c>
      <c r="H246">
        <v>3000</v>
      </c>
    </row>
    <row r="247" spans="1:8" x14ac:dyDescent="0.25">
      <c r="D247" t="s">
        <v>13</v>
      </c>
      <c r="E247">
        <v>1</v>
      </c>
      <c r="F247">
        <v>6500</v>
      </c>
      <c r="G247">
        <v>4500</v>
      </c>
      <c r="H247">
        <v>2000</v>
      </c>
    </row>
    <row r="248" spans="1:8" x14ac:dyDescent="0.25">
      <c r="D248" t="s">
        <v>14</v>
      </c>
      <c r="E248">
        <v>2</v>
      </c>
      <c r="F248">
        <v>16000</v>
      </c>
      <c r="G248">
        <v>11000</v>
      </c>
      <c r="H248">
        <v>5000</v>
      </c>
    </row>
    <row r="249" spans="1:8" x14ac:dyDescent="0.25">
      <c r="C249" t="s">
        <v>10</v>
      </c>
      <c r="D249" t="s">
        <v>11</v>
      </c>
      <c r="E249">
        <v>15</v>
      </c>
      <c r="F249">
        <v>22500</v>
      </c>
      <c r="G249">
        <f>15*500</f>
        <v>7500</v>
      </c>
      <c r="H249">
        <v>15000</v>
      </c>
    </row>
    <row r="250" spans="1:8" x14ac:dyDescent="0.25">
      <c r="C250" t="s">
        <v>26</v>
      </c>
      <c r="D250" t="s">
        <v>12</v>
      </c>
      <c r="E250">
        <v>3</v>
      </c>
      <c r="F250">
        <v>9000</v>
      </c>
      <c r="G250">
        <v>6000</v>
      </c>
      <c r="H250">
        <v>3000</v>
      </c>
    </row>
    <row r="251" spans="1:8" x14ac:dyDescent="0.25">
      <c r="D251" t="s">
        <v>13</v>
      </c>
      <c r="E251">
        <v>17</v>
      </c>
      <c r="F251">
        <v>110500</v>
      </c>
      <c r="G251">
        <f>17*4500</f>
        <v>76500</v>
      </c>
      <c r="H251">
        <f>17*2000</f>
        <v>34000</v>
      </c>
    </row>
    <row r="252" spans="1:8" x14ac:dyDescent="0.25">
      <c r="D252" t="s">
        <v>14</v>
      </c>
      <c r="E252">
        <v>20</v>
      </c>
      <c r="F252">
        <v>160000</v>
      </c>
      <c r="G252">
        <f>20*5500</f>
        <v>110000</v>
      </c>
      <c r="H252">
        <f>20*2500</f>
        <v>50000</v>
      </c>
    </row>
    <row r="253" spans="1:8" x14ac:dyDescent="0.25">
      <c r="C253" t="s">
        <v>63</v>
      </c>
      <c r="D253" t="s">
        <v>25</v>
      </c>
      <c r="E253">
        <v>2</v>
      </c>
      <c r="F253">
        <v>30000</v>
      </c>
      <c r="G253">
        <v>20000</v>
      </c>
      <c r="H253">
        <v>10000</v>
      </c>
    </row>
    <row r="254" spans="1:8" x14ac:dyDescent="0.25">
      <c r="C254" t="s">
        <v>20</v>
      </c>
      <c r="D254" t="s">
        <v>11</v>
      </c>
      <c r="E254">
        <v>18</v>
      </c>
      <c r="F254">
        <v>27000</v>
      </c>
      <c r="G254">
        <f>18*500</f>
        <v>9000</v>
      </c>
      <c r="H254">
        <v>18000</v>
      </c>
    </row>
    <row r="255" spans="1:8" x14ac:dyDescent="0.25">
      <c r="D255" t="s">
        <v>13</v>
      </c>
      <c r="E255">
        <v>20</v>
      </c>
      <c r="F255">
        <v>130000</v>
      </c>
      <c r="G255">
        <f>20*4500</f>
        <v>90000</v>
      </c>
      <c r="H255">
        <f>20*2000</f>
        <v>40000</v>
      </c>
    </row>
    <row r="256" spans="1:8" x14ac:dyDescent="0.25">
      <c r="D256" t="s">
        <v>14</v>
      </c>
      <c r="E256">
        <v>30</v>
      </c>
      <c r="F256">
        <v>300000</v>
      </c>
      <c r="G256">
        <f>30*5500</f>
        <v>165000</v>
      </c>
      <c r="H256">
        <f>30*4500</f>
        <v>135000</v>
      </c>
    </row>
    <row r="257" spans="1:13" x14ac:dyDescent="0.25">
      <c r="D257" t="s">
        <v>21</v>
      </c>
      <c r="E257">
        <v>1</v>
      </c>
      <c r="F257">
        <v>15000</v>
      </c>
      <c r="G257">
        <v>11000</v>
      </c>
      <c r="H257">
        <v>4000</v>
      </c>
    </row>
    <row r="258" spans="1:13" x14ac:dyDescent="0.25">
      <c r="C258" t="s">
        <v>10</v>
      </c>
      <c r="D258" t="s">
        <v>11</v>
      </c>
      <c r="E258">
        <v>8</v>
      </c>
      <c r="F258">
        <v>12000</v>
      </c>
      <c r="G258">
        <v>4000</v>
      </c>
      <c r="H258">
        <v>8000</v>
      </c>
    </row>
    <row r="259" spans="1:13" x14ac:dyDescent="0.25">
      <c r="D259" t="s">
        <v>12</v>
      </c>
      <c r="E259">
        <v>2</v>
      </c>
      <c r="F259">
        <v>6000</v>
      </c>
      <c r="G259">
        <v>4000</v>
      </c>
      <c r="H259">
        <v>2000</v>
      </c>
    </row>
    <row r="260" spans="1:13" x14ac:dyDescent="0.25">
      <c r="D260" t="s">
        <v>13</v>
      </c>
      <c r="E260">
        <v>12</v>
      </c>
      <c r="F260">
        <v>78000</v>
      </c>
      <c r="G260">
        <f>12*4500</f>
        <v>54000</v>
      </c>
      <c r="H260">
        <f>12*2000</f>
        <v>24000</v>
      </c>
    </row>
    <row r="261" spans="1:13" x14ac:dyDescent="0.25">
      <c r="D261" t="s">
        <v>14</v>
      </c>
      <c r="E261">
        <v>9</v>
      </c>
      <c r="F261">
        <v>72000</v>
      </c>
      <c r="G261">
        <f>9*5500</f>
        <v>49500</v>
      </c>
      <c r="H261">
        <f>9*2500</f>
        <v>22500</v>
      </c>
    </row>
    <row r="262" spans="1:13" x14ac:dyDescent="0.25">
      <c r="C262" t="s">
        <v>15</v>
      </c>
      <c r="D262" t="s">
        <v>11</v>
      </c>
      <c r="E262">
        <v>1</v>
      </c>
      <c r="F262">
        <v>1500</v>
      </c>
      <c r="G262">
        <v>500</v>
      </c>
      <c r="H262">
        <v>1000</v>
      </c>
    </row>
    <row r="263" spans="1:13" x14ac:dyDescent="0.25">
      <c r="D263" t="s">
        <v>13</v>
      </c>
      <c r="E263">
        <v>4</v>
      </c>
      <c r="F263">
        <v>26000</v>
      </c>
      <c r="G263">
        <f>4*4500</f>
        <v>18000</v>
      </c>
      <c r="H263">
        <v>8000</v>
      </c>
    </row>
    <row r="264" spans="1:13" x14ac:dyDescent="0.25">
      <c r="D264" t="s">
        <v>14</v>
      </c>
      <c r="E264">
        <v>3</v>
      </c>
      <c r="F264">
        <v>24000</v>
      </c>
      <c r="G264">
        <f>3*5500</f>
        <v>16500</v>
      </c>
      <c r="H264">
        <v>7500</v>
      </c>
    </row>
    <row r="265" spans="1:13" x14ac:dyDescent="0.25">
      <c r="D265" t="s">
        <v>14</v>
      </c>
      <c r="E265">
        <v>2</v>
      </c>
      <c r="F265">
        <v>20000</v>
      </c>
      <c r="G265">
        <v>11000</v>
      </c>
      <c r="H265">
        <v>9000</v>
      </c>
      <c r="I265" s="15"/>
      <c r="J265" s="15"/>
      <c r="K265" s="15"/>
      <c r="L265" s="15"/>
      <c r="M265" s="15"/>
    </row>
    <row r="266" spans="1:13" x14ac:dyDescent="0.25">
      <c r="A266" s="111" t="s">
        <v>17</v>
      </c>
      <c r="B266" s="111"/>
      <c r="C266" s="111"/>
      <c r="D266" s="111"/>
      <c r="E266" s="111"/>
      <c r="F266" s="1">
        <f>SUM(F245:F265)</f>
        <v>1096000</v>
      </c>
      <c r="G266" s="1">
        <f>SUM(G245:G265)</f>
        <v>681000</v>
      </c>
      <c r="H266" s="1">
        <f>SUM(H245:H265)</f>
        <v>415000</v>
      </c>
    </row>
    <row r="267" spans="1:13" x14ac:dyDescent="0.25">
      <c r="C267" t="s">
        <v>16</v>
      </c>
      <c r="D267" t="s">
        <v>11</v>
      </c>
      <c r="E267">
        <v>39</v>
      </c>
      <c r="F267">
        <v>58500</v>
      </c>
      <c r="G267">
        <f>39*500</f>
        <v>19500</v>
      </c>
      <c r="H267">
        <v>39000</v>
      </c>
    </row>
    <row r="268" spans="1:13" x14ac:dyDescent="0.25">
      <c r="D268" t="s">
        <v>12</v>
      </c>
      <c r="E268">
        <v>9</v>
      </c>
      <c r="F268">
        <v>27000</v>
      </c>
      <c r="G268">
        <v>18000</v>
      </c>
      <c r="H268">
        <v>9000</v>
      </c>
    </row>
    <row r="269" spans="1:13" x14ac:dyDescent="0.25">
      <c r="C269" t="s">
        <v>10</v>
      </c>
      <c r="D269" t="s">
        <v>13</v>
      </c>
      <c r="E269">
        <v>18</v>
      </c>
      <c r="F269">
        <v>117000</v>
      </c>
      <c r="G269">
        <f>18*4500</f>
        <v>81000</v>
      </c>
      <c r="H269">
        <f>18*2000</f>
        <v>36000</v>
      </c>
    </row>
    <row r="270" spans="1:13" x14ac:dyDescent="0.25">
      <c r="D270" t="s">
        <v>14</v>
      </c>
      <c r="E270">
        <v>22</v>
      </c>
      <c r="F270">
        <v>176000</v>
      </c>
      <c r="G270">
        <f>22*5500</f>
        <v>121000</v>
      </c>
      <c r="H270">
        <f>22*2500</f>
        <v>55000</v>
      </c>
    </row>
    <row r="271" spans="1:13" x14ac:dyDescent="0.25">
      <c r="A271" s="111" t="s">
        <v>17</v>
      </c>
      <c r="B271" s="111"/>
      <c r="C271" s="111"/>
      <c r="D271" s="111"/>
      <c r="E271" s="111"/>
      <c r="F271" s="1">
        <f>SUM(F267:F270)</f>
        <v>378500</v>
      </c>
      <c r="G271" s="1">
        <f>SUM(G267:G270)</f>
        <v>239500</v>
      </c>
      <c r="H271" s="1">
        <f>SUM(H267:H270)</f>
        <v>139000</v>
      </c>
    </row>
    <row r="272" spans="1:13" x14ac:dyDescent="0.25">
      <c r="A272" t="s">
        <v>30</v>
      </c>
      <c r="B272" t="s">
        <v>223</v>
      </c>
      <c r="C272" t="s">
        <v>217</v>
      </c>
      <c r="D272" t="s">
        <v>11</v>
      </c>
      <c r="E272">
        <f>F272/1500</f>
        <v>30</v>
      </c>
      <c r="F272">
        <v>45000</v>
      </c>
      <c r="G272">
        <f>30*500</f>
        <v>15000</v>
      </c>
      <c r="H272">
        <v>30000</v>
      </c>
    </row>
    <row r="273" spans="1:8" x14ac:dyDescent="0.25">
      <c r="C273" t="s">
        <v>217</v>
      </c>
      <c r="D273" t="s">
        <v>11</v>
      </c>
      <c r="E273">
        <v>35</v>
      </c>
      <c r="F273">
        <f>35*1500</f>
        <v>52500</v>
      </c>
      <c r="G273">
        <f>35*500</f>
        <v>17500</v>
      </c>
      <c r="H273">
        <v>35000</v>
      </c>
    </row>
    <row r="274" spans="1:8" x14ac:dyDescent="0.25">
      <c r="C274" t="s">
        <v>16</v>
      </c>
      <c r="D274" t="s">
        <v>11</v>
      </c>
      <c r="E274">
        <v>46</v>
      </c>
      <c r="F274">
        <v>69000</v>
      </c>
      <c r="G274">
        <f>46*500</f>
        <v>23000</v>
      </c>
      <c r="H274">
        <v>46000</v>
      </c>
    </row>
    <row r="275" spans="1:8" x14ac:dyDescent="0.25">
      <c r="D275" t="s">
        <v>12</v>
      </c>
      <c r="E275">
        <v>4</v>
      </c>
      <c r="F275">
        <v>12000</v>
      </c>
      <c r="G275">
        <v>8000</v>
      </c>
      <c r="H275">
        <v>4000</v>
      </c>
    </row>
    <row r="276" spans="1:8" x14ac:dyDescent="0.25">
      <c r="D276" t="s">
        <v>13</v>
      </c>
      <c r="E276">
        <v>1</v>
      </c>
      <c r="F276">
        <v>6500</v>
      </c>
      <c r="G276">
        <v>4500</v>
      </c>
      <c r="H276">
        <v>2000</v>
      </c>
    </row>
    <row r="277" spans="1:8" x14ac:dyDescent="0.25">
      <c r="D277" t="s">
        <v>14</v>
      </c>
      <c r="E277">
        <v>1</v>
      </c>
      <c r="F277">
        <v>10000</v>
      </c>
      <c r="G277">
        <v>5500</v>
      </c>
      <c r="H277">
        <v>4500</v>
      </c>
    </row>
    <row r="278" spans="1:8" x14ac:dyDescent="0.25">
      <c r="D278" t="s">
        <v>21</v>
      </c>
      <c r="E278">
        <v>2</v>
      </c>
      <c r="F278">
        <v>30000</v>
      </c>
      <c r="G278">
        <v>22000</v>
      </c>
      <c r="H278">
        <v>8000</v>
      </c>
    </row>
    <row r="279" spans="1:8" x14ac:dyDescent="0.25">
      <c r="C279" t="s">
        <v>10</v>
      </c>
      <c r="D279" t="s">
        <v>11</v>
      </c>
      <c r="E279">
        <v>46</v>
      </c>
      <c r="F279">
        <v>69000</v>
      </c>
      <c r="G279">
        <f>46*500</f>
        <v>23000</v>
      </c>
      <c r="H279">
        <v>46000</v>
      </c>
    </row>
    <row r="280" spans="1:8" x14ac:dyDescent="0.25">
      <c r="D280" t="s">
        <v>12</v>
      </c>
      <c r="E280">
        <v>3</v>
      </c>
      <c r="F280">
        <v>9000</v>
      </c>
      <c r="G280">
        <v>6000</v>
      </c>
      <c r="H280">
        <v>3000</v>
      </c>
    </row>
    <row r="281" spans="1:8" x14ac:dyDescent="0.25">
      <c r="D281" t="s">
        <v>13</v>
      </c>
      <c r="E281">
        <v>6</v>
      </c>
      <c r="F281">
        <v>39000</v>
      </c>
      <c r="G281">
        <f>6*4500</f>
        <v>27000</v>
      </c>
      <c r="H281">
        <v>12000</v>
      </c>
    </row>
    <row r="282" spans="1:8" x14ac:dyDescent="0.25">
      <c r="D282" t="s">
        <v>14</v>
      </c>
      <c r="E282">
        <v>10</v>
      </c>
      <c r="F282">
        <v>80000</v>
      </c>
      <c r="G282">
        <v>55000</v>
      </c>
      <c r="H282">
        <v>25000</v>
      </c>
    </row>
    <row r="283" spans="1:8" x14ac:dyDescent="0.25">
      <c r="A283" s="111" t="s">
        <v>17</v>
      </c>
      <c r="B283" s="111"/>
      <c r="C283" s="111"/>
      <c r="D283" s="111"/>
      <c r="E283" s="111"/>
      <c r="F283" s="1">
        <f>SUM(F272:F282)</f>
        <v>422000</v>
      </c>
      <c r="G283" s="1">
        <f>SUM(G272:G282)</f>
        <v>206500</v>
      </c>
      <c r="H283" s="1">
        <f>SUM(H272:H282)</f>
        <v>215500</v>
      </c>
    </row>
    <row r="284" spans="1:8" x14ac:dyDescent="0.25">
      <c r="A284" t="s">
        <v>32</v>
      </c>
      <c r="B284" t="s">
        <v>224</v>
      </c>
      <c r="C284" t="s">
        <v>108</v>
      </c>
      <c r="D284" t="s">
        <v>11</v>
      </c>
      <c r="E284">
        <v>22</v>
      </c>
      <c r="F284">
        <v>33000</v>
      </c>
      <c r="G284">
        <f>22*500</f>
        <v>11000</v>
      </c>
      <c r="H284">
        <v>22000</v>
      </c>
    </row>
    <row r="285" spans="1:8" x14ac:dyDescent="0.25">
      <c r="C285" t="s">
        <v>219</v>
      </c>
      <c r="D285" t="s">
        <v>11</v>
      </c>
      <c r="E285">
        <v>22</v>
      </c>
      <c r="F285">
        <v>33000</v>
      </c>
      <c r="G285">
        <v>11000</v>
      </c>
      <c r="H285">
        <v>22000</v>
      </c>
    </row>
    <row r="286" spans="1:8" x14ac:dyDescent="0.25">
      <c r="C286" t="s">
        <v>16</v>
      </c>
      <c r="D286" t="s">
        <v>11</v>
      </c>
      <c r="E286">
        <v>60</v>
      </c>
      <c r="F286">
        <v>90000</v>
      </c>
      <c r="G286">
        <f>60*500</f>
        <v>30000</v>
      </c>
      <c r="H286">
        <v>60000</v>
      </c>
    </row>
    <row r="287" spans="1:8" x14ac:dyDescent="0.25">
      <c r="D287" t="s">
        <v>12</v>
      </c>
      <c r="E287">
        <v>8</v>
      </c>
      <c r="F287">
        <v>24000</v>
      </c>
      <c r="G287">
        <v>16000</v>
      </c>
      <c r="H287">
        <v>8000</v>
      </c>
    </row>
    <row r="288" spans="1:8" x14ac:dyDescent="0.25">
      <c r="D288" t="s">
        <v>13</v>
      </c>
      <c r="E288">
        <v>1</v>
      </c>
      <c r="F288">
        <v>6500</v>
      </c>
      <c r="G288">
        <v>4500</v>
      </c>
      <c r="H288">
        <v>2000</v>
      </c>
    </row>
    <row r="289" spans="1:8" x14ac:dyDescent="0.25">
      <c r="C289" t="s">
        <v>10</v>
      </c>
      <c r="D289" t="s">
        <v>11</v>
      </c>
      <c r="E289">
        <v>49</v>
      </c>
      <c r="F289">
        <v>73500</v>
      </c>
      <c r="G289">
        <f>49*500</f>
        <v>24500</v>
      </c>
      <c r="H289">
        <v>49000</v>
      </c>
    </row>
    <row r="290" spans="1:8" x14ac:dyDescent="0.25">
      <c r="D290" t="s">
        <v>12</v>
      </c>
      <c r="E290">
        <v>2</v>
      </c>
      <c r="F290">
        <v>6000</v>
      </c>
      <c r="G290">
        <v>4000</v>
      </c>
      <c r="H290">
        <v>2000</v>
      </c>
    </row>
    <row r="291" spans="1:8" x14ac:dyDescent="0.25">
      <c r="D291" t="s">
        <v>13</v>
      </c>
      <c r="E291">
        <v>4</v>
      </c>
      <c r="F291">
        <v>26000</v>
      </c>
      <c r="G291">
        <f>4*4500</f>
        <v>18000</v>
      </c>
      <c r="H291">
        <v>8000</v>
      </c>
    </row>
    <row r="292" spans="1:8" x14ac:dyDescent="0.25">
      <c r="D292" t="s">
        <v>14</v>
      </c>
      <c r="E292">
        <v>3</v>
      </c>
      <c r="F292">
        <v>24000</v>
      </c>
      <c r="G292">
        <f>3*5500</f>
        <v>16500</v>
      </c>
      <c r="H292">
        <f>3*2500</f>
        <v>7500</v>
      </c>
    </row>
    <row r="293" spans="1:8" x14ac:dyDescent="0.25">
      <c r="A293" s="111" t="s">
        <v>17</v>
      </c>
      <c r="B293" s="111"/>
      <c r="C293" s="111"/>
      <c r="D293" s="111"/>
      <c r="E293" s="111"/>
      <c r="F293" s="1">
        <f>SUM(F284:F292)</f>
        <v>316000</v>
      </c>
      <c r="G293" s="1">
        <f>SUM(G284:G292)</f>
        <v>135500</v>
      </c>
      <c r="H293" s="1">
        <f>SUM(H284:H292)</f>
        <v>180500</v>
      </c>
    </row>
    <row r="294" spans="1:8" x14ac:dyDescent="0.25">
      <c r="A294" t="s">
        <v>8</v>
      </c>
      <c r="B294" t="s">
        <v>225</v>
      </c>
      <c r="C294" t="s">
        <v>219</v>
      </c>
      <c r="D294" t="s">
        <v>11</v>
      </c>
      <c r="E294">
        <v>37</v>
      </c>
      <c r="F294">
        <v>55500</v>
      </c>
      <c r="G294">
        <f>37*500</f>
        <v>18500</v>
      </c>
      <c r="H294">
        <v>37000</v>
      </c>
    </row>
    <row r="295" spans="1:8" x14ac:dyDescent="0.25">
      <c r="C295" t="s">
        <v>108</v>
      </c>
      <c r="D295" t="s">
        <v>11</v>
      </c>
      <c r="E295">
        <v>11</v>
      </c>
      <c r="F295">
        <v>16500</v>
      </c>
      <c r="G295">
        <f>11*500</f>
        <v>5500</v>
      </c>
      <c r="H295">
        <v>11000</v>
      </c>
    </row>
    <row r="296" spans="1:8" x14ac:dyDescent="0.25">
      <c r="C296" t="s">
        <v>217</v>
      </c>
      <c r="D296" t="s">
        <v>11</v>
      </c>
      <c r="E296">
        <v>37</v>
      </c>
      <c r="F296">
        <v>55500</v>
      </c>
      <c r="G296">
        <f>37*500</f>
        <v>18500</v>
      </c>
      <c r="H296">
        <v>37000</v>
      </c>
    </row>
    <row r="297" spans="1:8" x14ac:dyDescent="0.25">
      <c r="C297" t="s">
        <v>16</v>
      </c>
      <c r="D297" t="s">
        <v>11</v>
      </c>
      <c r="E297">
        <v>16</v>
      </c>
      <c r="F297">
        <v>24000</v>
      </c>
      <c r="G297">
        <f>16*500</f>
        <v>8000</v>
      </c>
      <c r="H297">
        <v>16000</v>
      </c>
    </row>
    <row r="298" spans="1:8" x14ac:dyDescent="0.25">
      <c r="D298" t="s">
        <v>12</v>
      </c>
      <c r="E298">
        <v>6</v>
      </c>
      <c r="F298">
        <v>18000</v>
      </c>
      <c r="G298">
        <v>12000</v>
      </c>
      <c r="H298">
        <v>6000</v>
      </c>
    </row>
    <row r="299" spans="1:8" x14ac:dyDescent="0.25">
      <c r="D299" t="s">
        <v>13</v>
      </c>
      <c r="E299">
        <v>1</v>
      </c>
      <c r="F299">
        <v>6500</v>
      </c>
      <c r="G299">
        <v>4500</v>
      </c>
      <c r="H299">
        <v>2000</v>
      </c>
    </row>
    <row r="300" spans="1:8" x14ac:dyDescent="0.25">
      <c r="C300" t="s">
        <v>10</v>
      </c>
      <c r="D300" t="s">
        <v>11</v>
      </c>
      <c r="E300">
        <v>24</v>
      </c>
      <c r="F300">
        <v>36000</v>
      </c>
      <c r="G300">
        <f>24*500</f>
        <v>12000</v>
      </c>
      <c r="H300">
        <v>24000</v>
      </c>
    </row>
    <row r="301" spans="1:8" x14ac:dyDescent="0.25">
      <c r="D301" t="s">
        <v>12</v>
      </c>
      <c r="E301">
        <v>6</v>
      </c>
      <c r="F301">
        <v>18000</v>
      </c>
      <c r="G301">
        <v>12000</v>
      </c>
      <c r="H301">
        <v>6000</v>
      </c>
    </row>
    <row r="302" spans="1:8" x14ac:dyDescent="0.25">
      <c r="D302" t="s">
        <v>13</v>
      </c>
      <c r="E302">
        <v>3</v>
      </c>
      <c r="F302">
        <v>19500</v>
      </c>
      <c r="G302">
        <f>3*4500</f>
        <v>13500</v>
      </c>
      <c r="H302">
        <v>6000</v>
      </c>
    </row>
    <row r="303" spans="1:8" x14ac:dyDescent="0.25">
      <c r="D303" t="s">
        <v>14</v>
      </c>
      <c r="E303">
        <v>1</v>
      </c>
      <c r="F303">
        <v>8000</v>
      </c>
      <c r="G303">
        <v>5500</v>
      </c>
      <c r="H303">
        <v>2500</v>
      </c>
    </row>
    <row r="304" spans="1:8" x14ac:dyDescent="0.25">
      <c r="A304" s="111" t="s">
        <v>17</v>
      </c>
      <c r="B304" s="111"/>
      <c r="C304" s="111"/>
      <c r="D304" s="111"/>
      <c r="E304" s="111"/>
      <c r="F304" s="1">
        <f>SUM(F294:F303)</f>
        <v>257500</v>
      </c>
      <c r="G304" s="1">
        <f>SUM(G294:G303)</f>
        <v>110000</v>
      </c>
      <c r="H304" s="1">
        <f>SUM(H294:H303)</f>
        <v>147500</v>
      </c>
    </row>
    <row r="305" spans="1:11" x14ac:dyDescent="0.25">
      <c r="A305" t="s">
        <v>18</v>
      </c>
      <c r="B305" t="s">
        <v>226</v>
      </c>
      <c r="C305" t="s">
        <v>217</v>
      </c>
      <c r="D305" t="s">
        <v>11</v>
      </c>
      <c r="E305">
        <v>3</v>
      </c>
      <c r="F305">
        <v>4500</v>
      </c>
      <c r="G305">
        <v>1500</v>
      </c>
      <c r="H305">
        <v>3000</v>
      </c>
    </row>
    <row r="306" spans="1:11" x14ac:dyDescent="0.25">
      <c r="D306" t="s">
        <v>13</v>
      </c>
      <c r="E306">
        <v>1</v>
      </c>
      <c r="F306">
        <v>6500</v>
      </c>
      <c r="G306">
        <v>4500</v>
      </c>
      <c r="H306">
        <v>2000</v>
      </c>
    </row>
    <row r="307" spans="1:11" x14ac:dyDescent="0.25">
      <c r="D307" t="s">
        <v>14</v>
      </c>
      <c r="E307">
        <v>1</v>
      </c>
      <c r="F307">
        <v>8000</v>
      </c>
      <c r="G307">
        <v>5500</v>
      </c>
      <c r="H307">
        <v>2500</v>
      </c>
    </row>
    <row r="308" spans="1:11" x14ac:dyDescent="0.25">
      <c r="C308" t="s">
        <v>10</v>
      </c>
      <c r="D308" t="s">
        <v>11</v>
      </c>
      <c r="E308">
        <v>4</v>
      </c>
      <c r="F308">
        <v>6000</v>
      </c>
      <c r="G308">
        <v>2000</v>
      </c>
      <c r="H308">
        <v>4000</v>
      </c>
    </row>
    <row r="309" spans="1:11" x14ac:dyDescent="0.25">
      <c r="D309" t="s">
        <v>12</v>
      </c>
      <c r="E309">
        <v>1</v>
      </c>
      <c r="F309">
        <v>3000</v>
      </c>
      <c r="G309">
        <v>2000</v>
      </c>
      <c r="H309">
        <v>1000</v>
      </c>
    </row>
    <row r="310" spans="1:11" x14ac:dyDescent="0.25">
      <c r="D310" t="s">
        <v>13</v>
      </c>
      <c r="E310">
        <v>5</v>
      </c>
      <c r="F310">
        <v>32500</v>
      </c>
      <c r="G310">
        <f>5*4500</f>
        <v>22500</v>
      </c>
      <c r="H310">
        <v>10000</v>
      </c>
    </row>
    <row r="311" spans="1:11" x14ac:dyDescent="0.25">
      <c r="D311" t="s">
        <v>14</v>
      </c>
      <c r="E311">
        <v>12</v>
      </c>
      <c r="F311">
        <v>96000</v>
      </c>
      <c r="G311">
        <f>12*5500</f>
        <v>66000</v>
      </c>
      <c r="H311">
        <f>12*2500</f>
        <v>30000</v>
      </c>
    </row>
    <row r="312" spans="1:11" x14ac:dyDescent="0.25">
      <c r="C312" t="s">
        <v>16</v>
      </c>
      <c r="D312" t="s">
        <v>11</v>
      </c>
      <c r="E312">
        <v>17</v>
      </c>
      <c r="F312">
        <v>25500</v>
      </c>
      <c r="G312">
        <f>17*500</f>
        <v>8500</v>
      </c>
      <c r="H312">
        <v>17000</v>
      </c>
    </row>
    <row r="313" spans="1:11" x14ac:dyDescent="0.25">
      <c r="D313" t="s">
        <v>12</v>
      </c>
      <c r="E313">
        <v>1</v>
      </c>
      <c r="F313">
        <v>3000</v>
      </c>
      <c r="G313">
        <v>2000</v>
      </c>
      <c r="H313">
        <v>1000</v>
      </c>
    </row>
    <row r="314" spans="1:11" x14ac:dyDescent="0.25">
      <c r="D314" t="s">
        <v>13</v>
      </c>
      <c r="E314">
        <v>1</v>
      </c>
      <c r="F314">
        <v>6500</v>
      </c>
      <c r="G314">
        <v>4500</v>
      </c>
      <c r="H314">
        <v>2000</v>
      </c>
    </row>
    <row r="315" spans="1:11" x14ac:dyDescent="0.25">
      <c r="C315" t="s">
        <v>217</v>
      </c>
      <c r="D315" t="s">
        <v>11</v>
      </c>
      <c r="E315">
        <v>37</v>
      </c>
      <c r="F315">
        <f>37*1500</f>
        <v>55500</v>
      </c>
      <c r="G315">
        <f>37*500</f>
        <v>18500</v>
      </c>
      <c r="H315">
        <v>37000</v>
      </c>
    </row>
    <row r="316" spans="1:11" x14ac:dyDescent="0.25">
      <c r="A316" s="111" t="s">
        <v>17</v>
      </c>
      <c r="B316" s="111"/>
      <c r="C316" s="111"/>
      <c r="D316" s="111"/>
      <c r="E316" s="111"/>
      <c r="F316" s="1">
        <f>SUM(F305:F315)</f>
        <v>247000</v>
      </c>
      <c r="G316" s="1">
        <f>SUM(G305:G315)</f>
        <v>137500</v>
      </c>
      <c r="H316" s="1">
        <f>SUM(H305:H315)</f>
        <v>109500</v>
      </c>
    </row>
    <row r="317" spans="1:11" x14ac:dyDescent="0.25">
      <c r="A317" t="s">
        <v>22</v>
      </c>
      <c r="B317" t="s">
        <v>227</v>
      </c>
      <c r="C317" t="s">
        <v>100</v>
      </c>
      <c r="D317" t="s">
        <v>21</v>
      </c>
      <c r="E317">
        <v>4</v>
      </c>
      <c r="F317">
        <v>60000</v>
      </c>
      <c r="G317">
        <v>44000</v>
      </c>
      <c r="H317">
        <f>F317-G317</f>
        <v>16000</v>
      </c>
      <c r="J317" t="s">
        <v>228</v>
      </c>
    </row>
    <row r="318" spans="1:11" x14ac:dyDescent="0.25">
      <c r="C318" t="s">
        <v>219</v>
      </c>
      <c r="D318" t="s">
        <v>11</v>
      </c>
      <c r="E318">
        <v>25</v>
      </c>
      <c r="F318">
        <v>37500</v>
      </c>
      <c r="G318">
        <f>25*500</f>
        <v>12500</v>
      </c>
      <c r="H318">
        <v>25000</v>
      </c>
      <c r="J318" t="s">
        <v>13</v>
      </c>
      <c r="K318">
        <v>8</v>
      </c>
    </row>
    <row r="319" spans="1:11" x14ac:dyDescent="0.25">
      <c r="C319" t="s">
        <v>108</v>
      </c>
      <c r="D319" t="s">
        <v>11</v>
      </c>
      <c r="E319">
        <v>11</v>
      </c>
      <c r="F319">
        <f>11*1500</f>
        <v>16500</v>
      </c>
      <c r="G319">
        <f>11*500</f>
        <v>5500</v>
      </c>
      <c r="H319">
        <v>11000</v>
      </c>
      <c r="J319" t="s">
        <v>13</v>
      </c>
      <c r="K319">
        <v>7</v>
      </c>
    </row>
    <row r="320" spans="1:11" x14ac:dyDescent="0.25">
      <c r="C320" t="s">
        <v>10</v>
      </c>
      <c r="D320" t="s">
        <v>11</v>
      </c>
      <c r="E320">
        <v>4</v>
      </c>
      <c r="F320">
        <v>6000</v>
      </c>
      <c r="G320">
        <v>2000</v>
      </c>
      <c r="H320">
        <v>4000</v>
      </c>
      <c r="J320" t="s">
        <v>13</v>
      </c>
      <c r="K320">
        <v>9</v>
      </c>
    </row>
    <row r="321" spans="1:12" x14ac:dyDescent="0.25">
      <c r="D321" t="s">
        <v>12</v>
      </c>
      <c r="E321">
        <v>1</v>
      </c>
      <c r="F321">
        <v>3000</v>
      </c>
      <c r="G321">
        <v>2000</v>
      </c>
      <c r="H321">
        <v>1000</v>
      </c>
      <c r="J321" t="s">
        <v>229</v>
      </c>
      <c r="K321">
        <f>SUM(K318:K320)</f>
        <v>24</v>
      </c>
      <c r="L321">
        <f>24*4500</f>
        <v>108000</v>
      </c>
    </row>
    <row r="322" spans="1:12" x14ac:dyDescent="0.25">
      <c r="D322" t="s">
        <v>13</v>
      </c>
      <c r="E322">
        <v>7</v>
      </c>
      <c r="F322">
        <f>7*6500</f>
        <v>45500</v>
      </c>
      <c r="G322">
        <f>7*4500</f>
        <v>31500</v>
      </c>
      <c r="H322">
        <v>14000</v>
      </c>
    </row>
    <row r="323" spans="1:12" x14ac:dyDescent="0.25">
      <c r="D323" t="s">
        <v>14</v>
      </c>
      <c r="E323">
        <v>6</v>
      </c>
      <c r="F323">
        <f>6*8000</f>
        <v>48000</v>
      </c>
      <c r="G323">
        <f>6*5500</f>
        <v>33000</v>
      </c>
      <c r="H323">
        <f>6*2500</f>
        <v>15000</v>
      </c>
    </row>
    <row r="324" spans="1:12" x14ac:dyDescent="0.25">
      <c r="C324" t="s">
        <v>16</v>
      </c>
      <c r="D324" t="s">
        <v>11</v>
      </c>
      <c r="E324">
        <v>42</v>
      </c>
      <c r="F324">
        <v>63000</v>
      </c>
      <c r="G324">
        <f>42*500</f>
        <v>21000</v>
      </c>
      <c r="H324">
        <v>42000</v>
      </c>
    </row>
    <row r="325" spans="1:12" x14ac:dyDescent="0.25">
      <c r="D325" t="s">
        <v>12</v>
      </c>
      <c r="E325">
        <v>3</v>
      </c>
      <c r="F325">
        <v>9000</v>
      </c>
      <c r="G325">
        <v>6000</v>
      </c>
      <c r="H325">
        <v>3000</v>
      </c>
    </row>
    <row r="326" spans="1:12" x14ac:dyDescent="0.25">
      <c r="D326" t="s">
        <v>13</v>
      </c>
      <c r="E326">
        <v>1</v>
      </c>
      <c r="F326">
        <v>6500</v>
      </c>
      <c r="G326">
        <v>4500</v>
      </c>
      <c r="H326">
        <v>2000</v>
      </c>
    </row>
    <row r="327" spans="1:12" x14ac:dyDescent="0.25">
      <c r="A327" s="111" t="s">
        <v>17</v>
      </c>
      <c r="B327" s="111"/>
      <c r="C327" s="111"/>
      <c r="D327" s="111"/>
      <c r="E327" s="111"/>
      <c r="F327" s="1">
        <f>SUM(F317:F326)</f>
        <v>295000</v>
      </c>
      <c r="G327" s="1">
        <f>SUM(G317:G326)</f>
        <v>162000</v>
      </c>
      <c r="H327" s="1">
        <f>SUM(H317:H326)</f>
        <v>133000</v>
      </c>
    </row>
    <row r="328" spans="1:12" x14ac:dyDescent="0.25">
      <c r="A328" t="s">
        <v>26</v>
      </c>
      <c r="B328" t="s">
        <v>230</v>
      </c>
      <c r="C328" t="s">
        <v>219</v>
      </c>
      <c r="D328" t="s">
        <v>11</v>
      </c>
      <c r="E328">
        <f>F328/1500</f>
        <v>13</v>
      </c>
      <c r="F328">
        <v>19500</v>
      </c>
      <c r="G328">
        <f>13*500</f>
        <v>6500</v>
      </c>
      <c r="H328">
        <v>13000</v>
      </c>
    </row>
    <row r="329" spans="1:12" x14ac:dyDescent="0.25">
      <c r="C329" t="s">
        <v>77</v>
      </c>
      <c r="D329" t="s">
        <v>11</v>
      </c>
      <c r="E329">
        <f>20+39+37+27+27</f>
        <v>150</v>
      </c>
      <c r="F329">
        <f>150*1500</f>
        <v>225000</v>
      </c>
      <c r="G329">
        <f>150*500</f>
        <v>75000</v>
      </c>
      <c r="H329">
        <v>150000</v>
      </c>
    </row>
    <row r="330" spans="1:12" x14ac:dyDescent="0.25">
      <c r="C330" t="s">
        <v>231</v>
      </c>
      <c r="D330" t="s">
        <v>11</v>
      </c>
      <c r="E330">
        <v>30</v>
      </c>
      <c r="F330">
        <f>30*1500</f>
        <v>45000</v>
      </c>
      <c r="G330">
        <f>30*500</f>
        <v>15000</v>
      </c>
      <c r="H330">
        <v>30000</v>
      </c>
    </row>
    <row r="331" spans="1:12" x14ac:dyDescent="0.25">
      <c r="C331" t="s">
        <v>16</v>
      </c>
      <c r="D331" t="s">
        <v>11</v>
      </c>
      <c r="E331">
        <v>28</v>
      </c>
      <c r="F331">
        <v>42000</v>
      </c>
      <c r="G331">
        <f>28*500</f>
        <v>14000</v>
      </c>
      <c r="H331">
        <v>28000</v>
      </c>
    </row>
    <row r="332" spans="1:12" x14ac:dyDescent="0.25">
      <c r="D332" t="s">
        <v>12</v>
      </c>
      <c r="E332">
        <v>4</v>
      </c>
      <c r="F332">
        <v>12000</v>
      </c>
      <c r="G332">
        <v>8000</v>
      </c>
      <c r="H332">
        <v>4000</v>
      </c>
    </row>
    <row r="333" spans="1:12" x14ac:dyDescent="0.25">
      <c r="D333" t="s">
        <v>13</v>
      </c>
      <c r="E333">
        <v>3</v>
      </c>
      <c r="F333">
        <v>19500</v>
      </c>
      <c r="G333">
        <f>4500*3</f>
        <v>13500</v>
      </c>
      <c r="H333">
        <v>6000</v>
      </c>
    </row>
    <row r="334" spans="1:12" x14ac:dyDescent="0.25">
      <c r="D334" t="s">
        <v>14</v>
      </c>
      <c r="E334">
        <v>1</v>
      </c>
      <c r="F334">
        <v>10000</v>
      </c>
      <c r="G334">
        <v>5500</v>
      </c>
      <c r="H334">
        <v>4500</v>
      </c>
    </row>
    <row r="335" spans="1:12" x14ac:dyDescent="0.25">
      <c r="C335" t="s">
        <v>10</v>
      </c>
      <c r="D335" t="s">
        <v>13</v>
      </c>
      <c r="E335">
        <v>23</v>
      </c>
      <c r="F335">
        <v>149500</v>
      </c>
      <c r="G335">
        <f>23*4500</f>
        <v>103500</v>
      </c>
      <c r="H335">
        <f>23*2000</f>
        <v>46000</v>
      </c>
    </row>
    <row r="336" spans="1:12" x14ac:dyDescent="0.25">
      <c r="D336" t="s">
        <v>14</v>
      </c>
      <c r="E336">
        <v>23</v>
      </c>
      <c r="F336">
        <v>184000</v>
      </c>
      <c r="G336">
        <f>23*5500</f>
        <v>126500</v>
      </c>
      <c r="H336">
        <f>23*2500</f>
        <v>57500</v>
      </c>
    </row>
    <row r="337" spans="1:8" x14ac:dyDescent="0.25">
      <c r="A337" s="111" t="s">
        <v>17</v>
      </c>
      <c r="B337" s="111"/>
      <c r="C337" s="111"/>
      <c r="D337" s="111"/>
      <c r="E337" s="111"/>
      <c r="F337" s="1">
        <f>SUM(F328:F336)</f>
        <v>706500</v>
      </c>
      <c r="G337" s="1">
        <f>SUM(G328:G336)</f>
        <v>367500</v>
      </c>
      <c r="H337" s="1">
        <f>SUM(H328:H336)</f>
        <v>339000</v>
      </c>
    </row>
    <row r="338" spans="1:8" x14ac:dyDescent="0.25">
      <c r="A338" t="s">
        <v>28</v>
      </c>
      <c r="B338" t="s">
        <v>232</v>
      </c>
      <c r="C338" t="s">
        <v>20</v>
      </c>
      <c r="D338" t="s">
        <v>11</v>
      </c>
      <c r="E338">
        <v>15</v>
      </c>
      <c r="F338">
        <v>22500</v>
      </c>
      <c r="G338">
        <f>15*500</f>
        <v>7500</v>
      </c>
      <c r="H338">
        <v>15000</v>
      </c>
    </row>
    <row r="339" spans="1:8" x14ac:dyDescent="0.25">
      <c r="D339" t="s">
        <v>13</v>
      </c>
      <c r="E339">
        <v>5</v>
      </c>
      <c r="F339">
        <v>32500</v>
      </c>
      <c r="G339">
        <f>5*4500</f>
        <v>22500</v>
      </c>
      <c r="H339">
        <v>10000</v>
      </c>
    </row>
    <row r="340" spans="1:8" x14ac:dyDescent="0.25">
      <c r="D340" t="s">
        <v>14</v>
      </c>
      <c r="E340">
        <v>18</v>
      </c>
      <c r="F340">
        <v>180000</v>
      </c>
      <c r="G340">
        <f>18*5500</f>
        <v>99000</v>
      </c>
      <c r="H340">
        <f>18*4500</f>
        <v>81000</v>
      </c>
    </row>
    <row r="341" spans="1:8" x14ac:dyDescent="0.25">
      <c r="C341" t="s">
        <v>10</v>
      </c>
      <c r="D341" t="s">
        <v>11</v>
      </c>
      <c r="E341">
        <v>6</v>
      </c>
      <c r="F341">
        <v>9000</v>
      </c>
      <c r="G341">
        <v>3000</v>
      </c>
      <c r="H341">
        <v>6000</v>
      </c>
    </row>
    <row r="342" spans="1:8" x14ac:dyDescent="0.25">
      <c r="D342" t="s">
        <v>13</v>
      </c>
      <c r="E342">
        <v>19</v>
      </c>
      <c r="F342">
        <v>123500</v>
      </c>
      <c r="G342">
        <f>19*4500</f>
        <v>85500</v>
      </c>
      <c r="H342">
        <f>19*2000</f>
        <v>38000</v>
      </c>
    </row>
    <row r="343" spans="1:8" x14ac:dyDescent="0.25">
      <c r="D343" t="s">
        <v>14</v>
      </c>
      <c r="E343">
        <v>5</v>
      </c>
      <c r="F343">
        <v>40000</v>
      </c>
      <c r="G343">
        <f>5*5500</f>
        <v>27500</v>
      </c>
      <c r="H343">
        <f>5*2500</f>
        <v>12500</v>
      </c>
    </row>
    <row r="344" spans="1:8" x14ac:dyDescent="0.25">
      <c r="C344" t="s">
        <v>16</v>
      </c>
      <c r="D344" t="s">
        <v>11</v>
      </c>
      <c r="E344">
        <v>59</v>
      </c>
      <c r="F344">
        <v>88500</v>
      </c>
      <c r="G344">
        <f>59*500</f>
        <v>29500</v>
      </c>
      <c r="H344">
        <v>59000</v>
      </c>
    </row>
    <row r="345" spans="1:8" x14ac:dyDescent="0.25">
      <c r="D345" t="s">
        <v>12</v>
      </c>
      <c r="E345">
        <v>10</v>
      </c>
      <c r="F345">
        <v>30000</v>
      </c>
      <c r="G345">
        <v>20000</v>
      </c>
      <c r="H345">
        <v>10000</v>
      </c>
    </row>
    <row r="346" spans="1:8" x14ac:dyDescent="0.25">
      <c r="D346" t="s">
        <v>13</v>
      </c>
      <c r="E346">
        <v>3</v>
      </c>
      <c r="F346">
        <v>19500</v>
      </c>
      <c r="G346">
        <f>3*4500</f>
        <v>13500</v>
      </c>
      <c r="H346">
        <v>6000</v>
      </c>
    </row>
    <row r="347" spans="1:8" x14ac:dyDescent="0.25">
      <c r="D347" t="s">
        <v>14</v>
      </c>
      <c r="E347">
        <v>1</v>
      </c>
      <c r="F347">
        <v>10000</v>
      </c>
      <c r="G347">
        <v>5500</v>
      </c>
      <c r="H347">
        <v>4500</v>
      </c>
    </row>
    <row r="348" spans="1:8" x14ac:dyDescent="0.25">
      <c r="D348" t="s">
        <v>21</v>
      </c>
      <c r="E348">
        <v>1</v>
      </c>
      <c r="F348">
        <v>15000</v>
      </c>
      <c r="G348">
        <v>11000</v>
      </c>
      <c r="H348">
        <v>4000</v>
      </c>
    </row>
    <row r="349" spans="1:8" x14ac:dyDescent="0.25">
      <c r="A349" s="111" t="s">
        <v>17</v>
      </c>
      <c r="B349" s="111"/>
      <c r="C349" s="111"/>
      <c r="D349" s="111"/>
      <c r="E349" s="111"/>
      <c r="F349" s="1">
        <f>SUM(F338:F348)</f>
        <v>570500</v>
      </c>
      <c r="G349" s="1">
        <f>SUM(G338:G348)</f>
        <v>324500</v>
      </c>
      <c r="H349" s="1">
        <f>SUM(H338:H348)</f>
        <v>246000</v>
      </c>
    </row>
    <row r="350" spans="1:8" x14ac:dyDescent="0.25">
      <c r="A350" t="s">
        <v>30</v>
      </c>
      <c r="B350" t="s">
        <v>233</v>
      </c>
      <c r="C350" t="s">
        <v>108</v>
      </c>
      <c r="D350" t="s">
        <v>11</v>
      </c>
      <c r="E350">
        <v>15</v>
      </c>
      <c r="F350">
        <f>15*1500</f>
        <v>22500</v>
      </c>
      <c r="G350">
        <f>15*500</f>
        <v>7500</v>
      </c>
      <c r="H350">
        <v>15000</v>
      </c>
    </row>
    <row r="351" spans="1:8" x14ac:dyDescent="0.25">
      <c r="C351" t="s">
        <v>10</v>
      </c>
      <c r="D351" t="s">
        <v>11</v>
      </c>
      <c r="E351">
        <v>18</v>
      </c>
      <c r="F351">
        <v>27000</v>
      </c>
      <c r="G351">
        <f>18*500</f>
        <v>9000</v>
      </c>
      <c r="H351">
        <v>18000</v>
      </c>
    </row>
    <row r="352" spans="1:8" x14ac:dyDescent="0.25">
      <c r="D352" t="s">
        <v>12</v>
      </c>
      <c r="E352">
        <v>3</v>
      </c>
      <c r="F352">
        <v>9000</v>
      </c>
      <c r="G352">
        <v>6000</v>
      </c>
      <c r="H352">
        <v>3000</v>
      </c>
    </row>
    <row r="353" spans="1:10" x14ac:dyDescent="0.25">
      <c r="D353" t="s">
        <v>13</v>
      </c>
      <c r="E353">
        <v>8</v>
      </c>
      <c r="F353">
        <v>52000</v>
      </c>
      <c r="G353">
        <f>8*4500</f>
        <v>36000</v>
      </c>
      <c r="H353">
        <v>16000</v>
      </c>
    </row>
    <row r="354" spans="1:10" x14ac:dyDescent="0.25">
      <c r="D354" t="s">
        <v>14</v>
      </c>
      <c r="E354">
        <v>3</v>
      </c>
      <c r="F354">
        <v>24000</v>
      </c>
      <c r="G354">
        <f>3*5500</f>
        <v>16500</v>
      </c>
      <c r="H354">
        <v>7500</v>
      </c>
    </row>
    <row r="355" spans="1:10" x14ac:dyDescent="0.25">
      <c r="C355" t="s">
        <v>20</v>
      </c>
      <c r="D355" t="s">
        <v>13</v>
      </c>
      <c r="E355">
        <v>5</v>
      </c>
      <c r="F355">
        <v>32500</v>
      </c>
      <c r="G355">
        <f>5*4500</f>
        <v>22500</v>
      </c>
      <c r="H355">
        <v>10000</v>
      </c>
    </row>
    <row r="356" spans="1:10" x14ac:dyDescent="0.25">
      <c r="D356" t="s">
        <v>14</v>
      </c>
      <c r="E356">
        <v>7</v>
      </c>
      <c r="F356">
        <v>70000</v>
      </c>
      <c r="G356">
        <f>7*5500</f>
        <v>38500</v>
      </c>
      <c r="H356">
        <f>7*4500</f>
        <v>31500</v>
      </c>
    </row>
    <row r="357" spans="1:10" x14ac:dyDescent="0.25">
      <c r="C357" t="s">
        <v>219</v>
      </c>
      <c r="D357" t="s">
        <v>11</v>
      </c>
      <c r="E357">
        <v>29</v>
      </c>
      <c r="F357">
        <f>29*1500</f>
        <v>43500</v>
      </c>
      <c r="G357">
        <f>29*500</f>
        <v>14500</v>
      </c>
      <c r="H357">
        <v>29000</v>
      </c>
    </row>
    <row r="358" spans="1:10" x14ac:dyDescent="0.25">
      <c r="C358" t="s">
        <v>16</v>
      </c>
      <c r="D358" t="s">
        <v>11</v>
      </c>
      <c r="E358">
        <v>103</v>
      </c>
      <c r="F358">
        <v>154500</v>
      </c>
      <c r="G358">
        <f>103*500</f>
        <v>51500</v>
      </c>
      <c r="H358">
        <v>103000</v>
      </c>
    </row>
    <row r="359" spans="1:10" x14ac:dyDescent="0.25">
      <c r="D359" t="s">
        <v>12</v>
      </c>
      <c r="E359">
        <v>8</v>
      </c>
      <c r="F359">
        <v>24000</v>
      </c>
      <c r="G359">
        <v>16000</v>
      </c>
      <c r="H359">
        <v>8000</v>
      </c>
    </row>
    <row r="360" spans="1:10" x14ac:dyDescent="0.25">
      <c r="D360" t="s">
        <v>13</v>
      </c>
      <c r="E360">
        <v>1</v>
      </c>
      <c r="F360">
        <v>6500</v>
      </c>
      <c r="G360">
        <v>4500</v>
      </c>
      <c r="H360">
        <v>2000</v>
      </c>
    </row>
    <row r="361" spans="1:10" x14ac:dyDescent="0.25">
      <c r="A361" s="111" t="s">
        <v>17</v>
      </c>
      <c r="B361" s="111"/>
      <c r="C361" s="111"/>
      <c r="D361" s="111"/>
      <c r="E361" s="111"/>
      <c r="F361" s="1">
        <f>SUM(F350:F360)</f>
        <v>465500</v>
      </c>
      <c r="G361" s="1">
        <f>SUM(G350:G360)</f>
        <v>222500</v>
      </c>
      <c r="H361" s="1">
        <f>SUM(H350:H360)</f>
        <v>243000</v>
      </c>
    </row>
    <row r="362" spans="1:10" x14ac:dyDescent="0.25">
      <c r="A362" t="s">
        <v>32</v>
      </c>
      <c r="B362" t="s">
        <v>234</v>
      </c>
      <c r="C362" t="s">
        <v>217</v>
      </c>
      <c r="D362" t="s">
        <v>11</v>
      </c>
      <c r="E362">
        <v>65</v>
      </c>
      <c r="F362">
        <v>97500</v>
      </c>
      <c r="G362">
        <f>65*500</f>
        <v>32500</v>
      </c>
      <c r="H362">
        <v>65000</v>
      </c>
    </row>
    <row r="363" spans="1:10" x14ac:dyDescent="0.25">
      <c r="C363" t="s">
        <v>235</v>
      </c>
      <c r="D363" t="s">
        <v>25</v>
      </c>
      <c r="E363">
        <v>5</v>
      </c>
      <c r="F363">
        <v>65000</v>
      </c>
      <c r="G363">
        <v>50000</v>
      </c>
      <c r="H363">
        <v>15000</v>
      </c>
    </row>
    <row r="364" spans="1:10" x14ac:dyDescent="0.25">
      <c r="C364" t="s">
        <v>63</v>
      </c>
      <c r="D364" t="s">
        <v>25</v>
      </c>
      <c r="E364">
        <v>1</v>
      </c>
      <c r="F364">
        <v>15000</v>
      </c>
      <c r="G364">
        <v>10000</v>
      </c>
      <c r="H364">
        <v>5000</v>
      </c>
    </row>
    <row r="365" spans="1:10" x14ac:dyDescent="0.25">
      <c r="C365" t="s">
        <v>236</v>
      </c>
      <c r="D365" t="s">
        <v>11</v>
      </c>
      <c r="E365">
        <v>130</v>
      </c>
      <c r="F365">
        <f>130*1500</f>
        <v>195000</v>
      </c>
      <c r="G365">
        <f>130*500</f>
        <v>65000</v>
      </c>
      <c r="H365">
        <v>130000</v>
      </c>
    </row>
    <row r="366" spans="1:10" x14ac:dyDescent="0.25">
      <c r="D366" t="s">
        <v>11</v>
      </c>
      <c r="E366">
        <v>130</v>
      </c>
      <c r="F366">
        <v>195000</v>
      </c>
      <c r="G366">
        <v>65000</v>
      </c>
      <c r="H366">
        <v>130000</v>
      </c>
    </row>
    <row r="367" spans="1:10" x14ac:dyDescent="0.25">
      <c r="C367" t="s">
        <v>81</v>
      </c>
      <c r="D367" t="s">
        <v>11</v>
      </c>
      <c r="E367">
        <v>75</v>
      </c>
      <c r="F367">
        <f>75*1800</f>
        <v>135000</v>
      </c>
      <c r="G367">
        <f>75*500</f>
        <v>37500</v>
      </c>
      <c r="H367">
        <f>75*1300</f>
        <v>97500</v>
      </c>
      <c r="J367" t="s">
        <v>237</v>
      </c>
    </row>
    <row r="368" spans="1:10" x14ac:dyDescent="0.25">
      <c r="C368" t="s">
        <v>219</v>
      </c>
      <c r="D368" t="s">
        <v>11</v>
      </c>
      <c r="E368">
        <f>F368/1500</f>
        <v>35</v>
      </c>
      <c r="F368">
        <v>52500</v>
      </c>
      <c r="G368">
        <f>35*500</f>
        <v>17500</v>
      </c>
      <c r="H368">
        <v>35000</v>
      </c>
    </row>
    <row r="369" spans="1:8" x14ac:dyDescent="0.25">
      <c r="C369" t="s">
        <v>108</v>
      </c>
      <c r="D369" t="s">
        <v>11</v>
      </c>
      <c r="E369">
        <v>50</v>
      </c>
      <c r="F369">
        <v>75000</v>
      </c>
      <c r="G369">
        <f>50*500</f>
        <v>25000</v>
      </c>
      <c r="H369">
        <v>50000</v>
      </c>
    </row>
    <row r="370" spans="1:8" x14ac:dyDescent="0.25">
      <c r="C370" t="s">
        <v>16</v>
      </c>
      <c r="D370" t="s">
        <v>11</v>
      </c>
      <c r="E370">
        <v>47</v>
      </c>
      <c r="F370">
        <v>70500</v>
      </c>
      <c r="G370">
        <f>47*500</f>
        <v>23500</v>
      </c>
      <c r="H370">
        <v>47000</v>
      </c>
    </row>
    <row r="371" spans="1:8" x14ac:dyDescent="0.25">
      <c r="D371" t="s">
        <v>12</v>
      </c>
      <c r="E371">
        <v>5</v>
      </c>
      <c r="F371">
        <v>15000</v>
      </c>
      <c r="G371">
        <v>10000</v>
      </c>
      <c r="H371">
        <v>5000</v>
      </c>
    </row>
    <row r="372" spans="1:8" x14ac:dyDescent="0.25">
      <c r="D372" t="s">
        <v>13</v>
      </c>
      <c r="E372">
        <v>1</v>
      </c>
      <c r="F372">
        <v>6500</v>
      </c>
      <c r="G372">
        <v>4500</v>
      </c>
      <c r="H372">
        <v>2000</v>
      </c>
    </row>
    <row r="373" spans="1:8" x14ac:dyDescent="0.25">
      <c r="C373" t="s">
        <v>10</v>
      </c>
      <c r="D373" t="s">
        <v>11</v>
      </c>
      <c r="E373">
        <v>53</v>
      </c>
      <c r="F373">
        <v>79500</v>
      </c>
      <c r="G373">
        <f>53*500</f>
        <v>26500</v>
      </c>
      <c r="H373">
        <v>53000</v>
      </c>
    </row>
    <row r="374" spans="1:8" x14ac:dyDescent="0.25">
      <c r="D374" t="s">
        <v>12</v>
      </c>
      <c r="E374">
        <v>3</v>
      </c>
      <c r="F374">
        <v>9000</v>
      </c>
      <c r="G374">
        <v>6000</v>
      </c>
      <c r="H374">
        <v>3000</v>
      </c>
    </row>
    <row r="375" spans="1:8" x14ac:dyDescent="0.25">
      <c r="D375" t="s">
        <v>13</v>
      </c>
      <c r="E375">
        <v>3</v>
      </c>
      <c r="F375">
        <v>19500</v>
      </c>
      <c r="G375">
        <f>3*4500</f>
        <v>13500</v>
      </c>
      <c r="H375">
        <v>6000</v>
      </c>
    </row>
    <row r="376" spans="1:8" x14ac:dyDescent="0.25">
      <c r="D376" t="s">
        <v>14</v>
      </c>
      <c r="E376">
        <v>3</v>
      </c>
      <c r="F376">
        <v>24000</v>
      </c>
      <c r="G376">
        <f>3*5500</f>
        <v>16500</v>
      </c>
      <c r="H376">
        <v>7500</v>
      </c>
    </row>
    <row r="377" spans="1:8" x14ac:dyDescent="0.25">
      <c r="C377" t="s">
        <v>20</v>
      </c>
      <c r="D377" t="s">
        <v>13</v>
      </c>
      <c r="E377">
        <v>3</v>
      </c>
      <c r="F377">
        <v>19500</v>
      </c>
      <c r="G377">
        <f>3*4500</f>
        <v>13500</v>
      </c>
      <c r="H377">
        <v>6000</v>
      </c>
    </row>
    <row r="378" spans="1:8" x14ac:dyDescent="0.25">
      <c r="D378" t="s">
        <v>14</v>
      </c>
      <c r="E378">
        <v>9</v>
      </c>
      <c r="F378">
        <v>90000</v>
      </c>
      <c r="G378">
        <f>9*5500</f>
        <v>49500</v>
      </c>
      <c r="H378">
        <f>9*4500</f>
        <v>40500</v>
      </c>
    </row>
    <row r="379" spans="1:8" x14ac:dyDescent="0.25">
      <c r="A379" s="111" t="s">
        <v>17</v>
      </c>
      <c r="B379" s="111"/>
      <c r="C379" s="111"/>
      <c r="D379" s="111"/>
      <c r="E379" s="111"/>
      <c r="F379" s="1">
        <f>SUM(F362:F378)</f>
        <v>1163500</v>
      </c>
      <c r="G379" s="1">
        <f>SUM(G362:G378)</f>
        <v>466000</v>
      </c>
      <c r="H379" s="1">
        <f>SUM(H362:H378)</f>
        <v>697500</v>
      </c>
    </row>
    <row r="382" spans="1:8" x14ac:dyDescent="0.25">
      <c r="C382" s="117" t="s">
        <v>244</v>
      </c>
      <c r="D382" s="118"/>
      <c r="E382" s="118"/>
      <c r="F382" s="118"/>
      <c r="G382" s="118"/>
      <c r="H382" s="119"/>
    </row>
    <row r="383" spans="1:8" x14ac:dyDescent="0.25">
      <c r="C383" s="120" t="s">
        <v>246</v>
      </c>
      <c r="D383" s="121"/>
      <c r="E383" s="121"/>
      <c r="F383" s="20" t="s">
        <v>242</v>
      </c>
      <c r="G383" s="20" t="s">
        <v>6</v>
      </c>
      <c r="H383" s="21" t="s">
        <v>7</v>
      </c>
    </row>
    <row r="384" spans="1:8" x14ac:dyDescent="0.25">
      <c r="C384" s="122"/>
      <c r="D384" s="123"/>
      <c r="E384" s="123"/>
      <c r="F384" s="18"/>
      <c r="G384" s="18"/>
      <c r="H384" s="19"/>
    </row>
    <row r="385" spans="3:8" x14ac:dyDescent="0.25">
      <c r="C385" s="16"/>
      <c r="D385" s="24" t="s">
        <v>11</v>
      </c>
      <c r="E385" s="29">
        <v>5689</v>
      </c>
      <c r="F385" s="30">
        <f>E385*3000</f>
        <v>17067000</v>
      </c>
      <c r="G385" s="30">
        <f>E385*500</f>
        <v>2844500</v>
      </c>
      <c r="H385" s="30">
        <f>E385*1000</f>
        <v>5689000</v>
      </c>
    </row>
    <row r="386" spans="3:8" x14ac:dyDescent="0.25">
      <c r="C386" s="16"/>
      <c r="D386" s="24" t="s">
        <v>12</v>
      </c>
      <c r="E386" s="29">
        <v>256</v>
      </c>
      <c r="F386" s="30">
        <f>E386*5000</f>
        <v>1280000</v>
      </c>
      <c r="G386" s="30">
        <f>E386*2000</f>
        <v>512000</v>
      </c>
      <c r="H386" s="30">
        <f>E386*1000</f>
        <v>256000</v>
      </c>
    </row>
    <row r="387" spans="3:8" x14ac:dyDescent="0.25">
      <c r="C387" s="16"/>
      <c r="D387" s="24">
        <v>250</v>
      </c>
      <c r="E387" s="29">
        <v>727</v>
      </c>
      <c r="F387" s="30">
        <f>E387*6500</f>
        <v>4725500</v>
      </c>
      <c r="G387" s="30">
        <f>E387*4500</f>
        <v>3271500</v>
      </c>
      <c r="H387" s="30">
        <f>E387*1500</f>
        <v>1090500</v>
      </c>
    </row>
    <row r="388" spans="3:8" x14ac:dyDescent="0.25">
      <c r="C388" s="16"/>
      <c r="D388" s="24">
        <v>350</v>
      </c>
      <c r="E388" s="29">
        <v>761</v>
      </c>
      <c r="F388" s="30">
        <f>E388*10000</f>
        <v>7610000</v>
      </c>
      <c r="G388" s="30">
        <f>E388*5500</f>
        <v>4185500</v>
      </c>
      <c r="H388" s="30">
        <f>E388*4500</f>
        <v>3424500</v>
      </c>
    </row>
    <row r="389" spans="3:8" x14ac:dyDescent="0.25">
      <c r="C389" s="16"/>
      <c r="D389" s="16" t="s">
        <v>243</v>
      </c>
      <c r="E389" s="29">
        <v>15</v>
      </c>
      <c r="F389" s="30">
        <f>E389*15000</f>
        <v>225000</v>
      </c>
      <c r="G389" s="30">
        <f>E389*10000</f>
        <v>150000</v>
      </c>
      <c r="H389" s="30">
        <f>E389*5000</f>
        <v>75000</v>
      </c>
    </row>
    <row r="390" spans="3:8" x14ac:dyDescent="0.25">
      <c r="C390" s="16"/>
      <c r="D390" s="16" t="s">
        <v>245</v>
      </c>
      <c r="E390" s="29">
        <v>10</v>
      </c>
      <c r="F390" s="30">
        <f>E390*18000</f>
        <v>180000</v>
      </c>
      <c r="G390" s="30">
        <f>E390*13000</f>
        <v>130000</v>
      </c>
      <c r="H390" s="30">
        <f>E390*5000</f>
        <v>50000</v>
      </c>
    </row>
    <row r="391" spans="3:8" x14ac:dyDescent="0.25">
      <c r="C391" s="16"/>
      <c r="D391" s="16" t="s">
        <v>200</v>
      </c>
      <c r="E391" s="29">
        <v>3</v>
      </c>
      <c r="F391" s="30">
        <f>E391*18000</f>
        <v>54000</v>
      </c>
      <c r="G391" s="30">
        <f>E391*13000</f>
        <v>39000</v>
      </c>
      <c r="H391" s="30">
        <f>E391*5000</f>
        <v>15000</v>
      </c>
    </row>
    <row r="392" spans="3:8" x14ac:dyDescent="0.25">
      <c r="C392" s="16"/>
      <c r="D392" s="16" t="s">
        <v>17</v>
      </c>
      <c r="E392" s="16"/>
      <c r="F392" s="25">
        <f>SUM(F385:F391)</f>
        <v>31141500</v>
      </c>
      <c r="G392" s="26">
        <f>SUM(G385:G391)</f>
        <v>11132500</v>
      </c>
      <c r="H392" s="26">
        <f>SUM(H385:H391)</f>
        <v>10600000</v>
      </c>
    </row>
  </sheetData>
  <mergeCells count="34">
    <mergeCell ref="A244:E244"/>
    <mergeCell ref="A266:E266"/>
    <mergeCell ref="A283:E283"/>
    <mergeCell ref="A271:E271"/>
    <mergeCell ref="A177:E177"/>
    <mergeCell ref="A165:E165"/>
    <mergeCell ref="A152:E152"/>
    <mergeCell ref="A231:E231"/>
    <mergeCell ref="A140:E140"/>
    <mergeCell ref="A223:E223"/>
    <mergeCell ref="A215:E215"/>
    <mergeCell ref="A202:E202"/>
    <mergeCell ref="A189:E189"/>
    <mergeCell ref="A293:E293"/>
    <mergeCell ref="A379:E379"/>
    <mergeCell ref="C382:H382"/>
    <mergeCell ref="A21:E21"/>
    <mergeCell ref="C22:H22"/>
    <mergeCell ref="A35:E35"/>
    <mergeCell ref="A50:E50"/>
    <mergeCell ref="A59:E59"/>
    <mergeCell ref="A74:E74"/>
    <mergeCell ref="A118:E118"/>
    <mergeCell ref="A104:E104"/>
    <mergeCell ref="A94:E94"/>
    <mergeCell ref="A83:E83"/>
    <mergeCell ref="A337:E337"/>
    <mergeCell ref="A327:E327"/>
    <mergeCell ref="A130:E130"/>
    <mergeCell ref="C383:E384"/>
    <mergeCell ref="A361:E361"/>
    <mergeCell ref="A349:E349"/>
    <mergeCell ref="A316:E316"/>
    <mergeCell ref="A304:E304"/>
  </mergeCell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76"/>
  <sheetViews>
    <sheetView workbookViewId="0">
      <selection sqref="A1:H1"/>
    </sheetView>
  </sheetViews>
  <sheetFormatPr defaultRowHeight="15" x14ac:dyDescent="0.25"/>
  <cols>
    <col min="2" max="2" width="13" customWidth="1"/>
    <col min="3" max="3" width="15.140625" bestFit="1" customWidth="1"/>
    <col min="5" max="5" width="14" customWidth="1"/>
    <col min="6" max="6" width="14.28515625" bestFit="1" customWidth="1"/>
    <col min="7" max="7" width="11.85546875" customWidth="1"/>
    <col min="8" max="8" width="12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3">
        <v>44567</v>
      </c>
      <c r="C2" t="s">
        <v>16</v>
      </c>
      <c r="D2" t="s">
        <v>11</v>
      </c>
      <c r="E2">
        <v>24</v>
      </c>
      <c r="F2">
        <v>36000</v>
      </c>
      <c r="G2">
        <f>24*500</f>
        <v>12000</v>
      </c>
      <c r="H2">
        <v>24000</v>
      </c>
    </row>
    <row r="3" spans="1:8" x14ac:dyDescent="0.25">
      <c r="D3" t="s">
        <v>12</v>
      </c>
      <c r="E3">
        <v>5</v>
      </c>
      <c r="F3">
        <v>15000</v>
      </c>
      <c r="G3">
        <v>10000</v>
      </c>
      <c r="H3">
        <v>5000</v>
      </c>
    </row>
    <row r="4" spans="1:8" x14ac:dyDescent="0.25">
      <c r="C4" t="s">
        <v>235</v>
      </c>
      <c r="D4" t="s">
        <v>25</v>
      </c>
      <c r="E4">
        <v>3</v>
      </c>
      <c r="F4">
        <v>39000</v>
      </c>
      <c r="G4">
        <v>30000</v>
      </c>
      <c r="H4">
        <v>9000</v>
      </c>
    </row>
    <row r="5" spans="1:8" x14ac:dyDescent="0.25">
      <c r="C5" t="s">
        <v>10</v>
      </c>
      <c r="D5" t="s">
        <v>11</v>
      </c>
      <c r="E5">
        <v>18</v>
      </c>
      <c r="F5">
        <v>27000</v>
      </c>
      <c r="G5">
        <f>18*500</f>
        <v>9000</v>
      </c>
      <c r="H5">
        <v>18000</v>
      </c>
    </row>
    <row r="6" spans="1:8" x14ac:dyDescent="0.25">
      <c r="D6" t="s">
        <v>12</v>
      </c>
      <c r="E6">
        <v>2</v>
      </c>
      <c r="F6">
        <v>6000</v>
      </c>
      <c r="G6">
        <v>4000</v>
      </c>
      <c r="H6">
        <v>2000</v>
      </c>
    </row>
    <row r="7" spans="1:8" x14ac:dyDescent="0.25">
      <c r="D7" t="s">
        <v>13</v>
      </c>
      <c r="E7">
        <v>8</v>
      </c>
      <c r="F7">
        <v>52000</v>
      </c>
      <c r="G7">
        <f>8*4500</f>
        <v>36000</v>
      </c>
      <c r="H7">
        <v>16000</v>
      </c>
    </row>
    <row r="8" spans="1:8" x14ac:dyDescent="0.25">
      <c r="D8" t="s">
        <v>14</v>
      </c>
      <c r="E8">
        <v>13</v>
      </c>
      <c r="F8">
        <v>104000</v>
      </c>
      <c r="G8">
        <f>13*5500</f>
        <v>71500</v>
      </c>
      <c r="H8">
        <f>13*2500</f>
        <v>32500</v>
      </c>
    </row>
    <row r="9" spans="1:8" x14ac:dyDescent="0.25">
      <c r="C9" t="s">
        <v>20</v>
      </c>
      <c r="D9" t="s">
        <v>13</v>
      </c>
      <c r="E9">
        <v>8</v>
      </c>
      <c r="F9">
        <v>52000</v>
      </c>
      <c r="G9">
        <f>8*4500</f>
        <v>36000</v>
      </c>
      <c r="H9">
        <v>16000</v>
      </c>
    </row>
    <row r="10" spans="1:8" x14ac:dyDescent="0.25">
      <c r="D10" t="s">
        <v>14</v>
      </c>
      <c r="E10">
        <v>6</v>
      </c>
      <c r="F10">
        <v>60000</v>
      </c>
      <c r="G10">
        <f>6*5500</f>
        <v>33000</v>
      </c>
      <c r="H10">
        <f>6*4500</f>
        <v>27000</v>
      </c>
    </row>
    <row r="11" spans="1:8" x14ac:dyDescent="0.25">
      <c r="A11" s="111" t="s">
        <v>17</v>
      </c>
      <c r="B11" s="111"/>
      <c r="C11" s="111"/>
      <c r="D11" s="111"/>
      <c r="E11" s="111"/>
      <c r="F11" s="1">
        <f>SUM(F2:F10)</f>
        <v>391000</v>
      </c>
      <c r="G11" s="1">
        <f>SUM(G2:G10)</f>
        <v>241500</v>
      </c>
      <c r="H11" s="1">
        <f>SUM(H2:H10)</f>
        <v>149500</v>
      </c>
    </row>
    <row r="12" spans="1:8" x14ac:dyDescent="0.25">
      <c r="A12" t="s">
        <v>18</v>
      </c>
      <c r="B12" s="3">
        <v>44598</v>
      </c>
      <c r="C12" t="s">
        <v>217</v>
      </c>
      <c r="D12" t="s">
        <v>11</v>
      </c>
      <c r="E12">
        <v>46</v>
      </c>
      <c r="F12">
        <f>46*1500</f>
        <v>69000</v>
      </c>
      <c r="G12">
        <f>46*500</f>
        <v>23000</v>
      </c>
      <c r="H12">
        <v>46000</v>
      </c>
    </row>
    <row r="13" spans="1:8" x14ac:dyDescent="0.25">
      <c r="C13" t="s">
        <v>77</v>
      </c>
      <c r="D13" t="s">
        <v>11</v>
      </c>
      <c r="E13">
        <v>150</v>
      </c>
      <c r="F13">
        <v>225000</v>
      </c>
      <c r="G13">
        <f>150*500</f>
        <v>75000</v>
      </c>
      <c r="H13">
        <v>150000</v>
      </c>
    </row>
    <row r="14" spans="1:8" x14ac:dyDescent="0.25">
      <c r="C14" t="s">
        <v>106</v>
      </c>
      <c r="D14" t="s">
        <v>11</v>
      </c>
      <c r="E14">
        <v>30</v>
      </c>
      <c r="F14">
        <v>45000</v>
      </c>
      <c r="G14">
        <f>30*500</f>
        <v>15000</v>
      </c>
      <c r="H14">
        <v>30000</v>
      </c>
    </row>
    <row r="15" spans="1:8" x14ac:dyDescent="0.25">
      <c r="C15" t="s">
        <v>81</v>
      </c>
      <c r="D15" t="s">
        <v>11</v>
      </c>
      <c r="E15">
        <v>75</v>
      </c>
      <c r="F15">
        <f>75*1800</f>
        <v>135000</v>
      </c>
      <c r="G15">
        <f>75*500</f>
        <v>37500</v>
      </c>
      <c r="H15">
        <f>75*1300</f>
        <v>97500</v>
      </c>
    </row>
    <row r="16" spans="1:8" x14ac:dyDescent="0.25">
      <c r="D16" t="s">
        <v>11</v>
      </c>
      <c r="E16">
        <v>83</v>
      </c>
      <c r="F16">
        <f>83*1800</f>
        <v>149400</v>
      </c>
      <c r="G16">
        <f>83*500</f>
        <v>41500</v>
      </c>
      <c r="H16">
        <f>83*1300</f>
        <v>107900</v>
      </c>
    </row>
    <row r="17" spans="1:8" x14ac:dyDescent="0.25">
      <c r="C17" t="s">
        <v>219</v>
      </c>
      <c r="D17" t="s">
        <v>11</v>
      </c>
      <c r="E17">
        <v>25</v>
      </c>
      <c r="F17">
        <v>37500</v>
      </c>
      <c r="G17">
        <f>25*500</f>
        <v>12500</v>
      </c>
      <c r="H17">
        <v>25000</v>
      </c>
    </row>
    <row r="18" spans="1:8" x14ac:dyDescent="0.25">
      <c r="C18" t="s">
        <v>108</v>
      </c>
      <c r="D18" t="s">
        <v>11</v>
      </c>
      <c r="E18">
        <v>35</v>
      </c>
      <c r="F18">
        <f>35*1500</f>
        <v>52500</v>
      </c>
      <c r="G18">
        <f>35*500</f>
        <v>17500</v>
      </c>
      <c r="H18">
        <v>35000</v>
      </c>
    </row>
    <row r="19" spans="1:8" x14ac:dyDescent="0.25">
      <c r="C19" t="s">
        <v>235</v>
      </c>
      <c r="D19" t="s">
        <v>25</v>
      </c>
      <c r="E19">
        <v>2</v>
      </c>
      <c r="F19">
        <v>26000</v>
      </c>
      <c r="G19">
        <v>20000</v>
      </c>
      <c r="H19">
        <v>6000</v>
      </c>
    </row>
    <row r="20" spans="1:8" x14ac:dyDescent="0.25">
      <c r="C20" t="s">
        <v>16</v>
      </c>
      <c r="D20" t="s">
        <v>11</v>
      </c>
      <c r="E20">
        <v>43</v>
      </c>
      <c r="F20">
        <v>64500</v>
      </c>
      <c r="G20">
        <f>43*500</f>
        <v>21500</v>
      </c>
      <c r="H20">
        <v>43000</v>
      </c>
    </row>
    <row r="21" spans="1:8" x14ac:dyDescent="0.25">
      <c r="D21" t="s">
        <v>12</v>
      </c>
      <c r="E21">
        <v>1</v>
      </c>
      <c r="F21">
        <v>3000</v>
      </c>
      <c r="G21">
        <v>2000</v>
      </c>
      <c r="H21">
        <v>1000</v>
      </c>
    </row>
    <row r="22" spans="1:8" x14ac:dyDescent="0.25">
      <c r="D22" t="s">
        <v>13</v>
      </c>
      <c r="E22">
        <v>1</v>
      </c>
      <c r="F22">
        <v>6500</v>
      </c>
      <c r="G22">
        <v>4500</v>
      </c>
      <c r="H22">
        <v>2000</v>
      </c>
    </row>
    <row r="23" spans="1:8" x14ac:dyDescent="0.25">
      <c r="A23" s="111" t="s">
        <v>17</v>
      </c>
      <c r="B23" s="111"/>
      <c r="C23" s="111"/>
      <c r="D23" s="111"/>
      <c r="E23" s="111"/>
      <c r="F23" s="1">
        <f>SUM(F12:F22)</f>
        <v>813400</v>
      </c>
      <c r="G23" s="1">
        <f>SUM(G12:G22)</f>
        <v>270000</v>
      </c>
      <c r="H23" s="1">
        <f>SUM(H12:H22)</f>
        <v>543400</v>
      </c>
    </row>
    <row r="24" spans="1:8" x14ac:dyDescent="0.25">
      <c r="A24" t="s">
        <v>22</v>
      </c>
      <c r="B24" s="3">
        <v>44626</v>
      </c>
      <c r="C24" t="s">
        <v>106</v>
      </c>
      <c r="D24" t="s">
        <v>11</v>
      </c>
      <c r="E24">
        <v>11</v>
      </c>
      <c r="F24">
        <f>11*1500</f>
        <v>16500</v>
      </c>
      <c r="G24">
        <f>11*500</f>
        <v>5500</v>
      </c>
      <c r="H24">
        <v>11000</v>
      </c>
    </row>
    <row r="25" spans="1:8" x14ac:dyDescent="0.25">
      <c r="C25" t="s">
        <v>108</v>
      </c>
      <c r="D25" t="s">
        <v>11</v>
      </c>
      <c r="E25">
        <v>38</v>
      </c>
      <c r="F25">
        <f>38*1500</f>
        <v>57000</v>
      </c>
      <c r="G25">
        <f>38*500</f>
        <v>19000</v>
      </c>
      <c r="H25">
        <v>38000</v>
      </c>
    </row>
    <row r="26" spans="1:8" x14ac:dyDescent="0.25">
      <c r="C26" t="s">
        <v>219</v>
      </c>
      <c r="D26" t="s">
        <v>11</v>
      </c>
      <c r="E26">
        <f>F26/1500</f>
        <v>40</v>
      </c>
      <c r="F26">
        <v>60000</v>
      </c>
      <c r="G26">
        <f>40*500</f>
        <v>20000</v>
      </c>
      <c r="H26">
        <v>40000</v>
      </c>
    </row>
    <row r="27" spans="1:8" x14ac:dyDescent="0.25">
      <c r="C27" t="s">
        <v>63</v>
      </c>
      <c r="D27" t="s">
        <v>25</v>
      </c>
      <c r="E27">
        <v>5</v>
      </c>
      <c r="F27">
        <v>75000</v>
      </c>
      <c r="G27">
        <v>50000</v>
      </c>
      <c r="H27">
        <v>25000</v>
      </c>
    </row>
    <row r="28" spans="1:8" x14ac:dyDescent="0.25">
      <c r="D28" t="s">
        <v>21</v>
      </c>
      <c r="E28">
        <v>2</v>
      </c>
      <c r="F28">
        <v>36000</v>
      </c>
      <c r="G28">
        <v>22000</v>
      </c>
      <c r="H28">
        <v>14000</v>
      </c>
    </row>
    <row r="29" spans="1:8" x14ac:dyDescent="0.25">
      <c r="C29" t="s">
        <v>16</v>
      </c>
      <c r="D29" t="s">
        <v>11</v>
      </c>
      <c r="E29">
        <v>37</v>
      </c>
      <c r="F29">
        <v>55500</v>
      </c>
      <c r="G29">
        <f>37*500</f>
        <v>18500</v>
      </c>
      <c r="H29">
        <v>37000</v>
      </c>
    </row>
    <row r="30" spans="1:8" x14ac:dyDescent="0.25">
      <c r="D30" t="s">
        <v>12</v>
      </c>
      <c r="E30">
        <v>7</v>
      </c>
      <c r="F30">
        <v>21000</v>
      </c>
      <c r="G30">
        <v>14000</v>
      </c>
      <c r="H30">
        <v>7000</v>
      </c>
    </row>
    <row r="31" spans="1:8" x14ac:dyDescent="0.25">
      <c r="D31" t="s">
        <v>13</v>
      </c>
      <c r="E31">
        <v>1</v>
      </c>
      <c r="F31">
        <v>6500</v>
      </c>
      <c r="G31">
        <v>4500</v>
      </c>
      <c r="H31">
        <v>2000</v>
      </c>
    </row>
    <row r="32" spans="1:8" x14ac:dyDescent="0.25">
      <c r="D32" t="s">
        <v>25</v>
      </c>
      <c r="E32">
        <v>1</v>
      </c>
      <c r="F32">
        <v>13000</v>
      </c>
      <c r="G32">
        <v>10000</v>
      </c>
      <c r="H32">
        <v>3000</v>
      </c>
    </row>
    <row r="33" spans="1:8" x14ac:dyDescent="0.25">
      <c r="C33" t="s">
        <v>10</v>
      </c>
      <c r="D33" t="s">
        <v>13</v>
      </c>
      <c r="E33">
        <v>10</v>
      </c>
      <c r="F33">
        <v>65000</v>
      </c>
      <c r="G33">
        <v>45000</v>
      </c>
      <c r="H33">
        <v>20000</v>
      </c>
    </row>
    <row r="34" spans="1:8" x14ac:dyDescent="0.25">
      <c r="D34" t="s">
        <v>14</v>
      </c>
      <c r="E34">
        <v>8</v>
      </c>
      <c r="F34">
        <v>64000</v>
      </c>
      <c r="G34">
        <f>8*5500</f>
        <v>44000</v>
      </c>
      <c r="H34">
        <f>8*2500</f>
        <v>20000</v>
      </c>
    </row>
    <row r="35" spans="1:8" x14ac:dyDescent="0.25">
      <c r="D35" t="s">
        <v>25</v>
      </c>
      <c r="E35">
        <v>4</v>
      </c>
      <c r="F35">
        <v>48000</v>
      </c>
      <c r="G35">
        <v>40000</v>
      </c>
      <c r="H35">
        <v>8000</v>
      </c>
    </row>
    <row r="36" spans="1:8" x14ac:dyDescent="0.25">
      <c r="A36" s="111" t="s">
        <v>17</v>
      </c>
      <c r="B36" s="111"/>
      <c r="C36" s="111"/>
      <c r="D36" s="111"/>
      <c r="E36" s="111"/>
      <c r="F36" s="1">
        <f>SUM(F24:F35)</f>
        <v>517500</v>
      </c>
      <c r="G36" s="1">
        <f>SUM(G24:G35)</f>
        <v>292500</v>
      </c>
      <c r="H36" s="1">
        <f>SUM(H24:H35)</f>
        <v>225000</v>
      </c>
    </row>
    <row r="37" spans="1:8" x14ac:dyDescent="0.25">
      <c r="A37" t="s">
        <v>26</v>
      </c>
      <c r="B37" s="3">
        <v>44657</v>
      </c>
      <c r="C37" t="s">
        <v>236</v>
      </c>
      <c r="D37" t="s">
        <v>11</v>
      </c>
      <c r="E37">
        <v>120</v>
      </c>
      <c r="F37">
        <v>180000</v>
      </c>
      <c r="G37">
        <f>120*500</f>
        <v>60000</v>
      </c>
      <c r="H37">
        <v>120000</v>
      </c>
    </row>
    <row r="38" spans="1:8" x14ac:dyDescent="0.25">
      <c r="D38" t="s">
        <v>11</v>
      </c>
      <c r="E38">
        <v>120</v>
      </c>
      <c r="F38">
        <v>180000</v>
      </c>
      <c r="G38">
        <v>60000</v>
      </c>
      <c r="H38">
        <v>120000</v>
      </c>
    </row>
    <row r="39" spans="1:8" x14ac:dyDescent="0.25">
      <c r="C39" t="s">
        <v>108</v>
      </c>
      <c r="D39" t="s">
        <v>11</v>
      </c>
      <c r="E39">
        <v>50</v>
      </c>
      <c r="F39">
        <v>75000</v>
      </c>
      <c r="G39">
        <f>50*500</f>
        <v>25000</v>
      </c>
      <c r="H39">
        <v>50000</v>
      </c>
    </row>
    <row r="40" spans="1:8" x14ac:dyDescent="0.25">
      <c r="C40" t="s">
        <v>219</v>
      </c>
      <c r="D40" t="s">
        <v>11</v>
      </c>
      <c r="E40">
        <f>F40/1500</f>
        <v>45</v>
      </c>
      <c r="F40">
        <v>67500</v>
      </c>
      <c r="G40">
        <f>45*500</f>
        <v>22500</v>
      </c>
      <c r="H40">
        <v>45000</v>
      </c>
    </row>
    <row r="41" spans="1:8" x14ac:dyDescent="0.25">
      <c r="C41" t="s">
        <v>10</v>
      </c>
      <c r="D41" t="s">
        <v>11</v>
      </c>
      <c r="E41">
        <v>13</v>
      </c>
      <c r="F41">
        <v>19500</v>
      </c>
      <c r="G41">
        <f>13*500</f>
        <v>6500</v>
      </c>
      <c r="H41">
        <v>13000</v>
      </c>
    </row>
    <row r="42" spans="1:8" x14ac:dyDescent="0.25">
      <c r="D42" t="s">
        <v>13</v>
      </c>
      <c r="E42">
        <v>14</v>
      </c>
      <c r="F42">
        <v>91000</v>
      </c>
      <c r="G42">
        <f>14*4500</f>
        <v>63000</v>
      </c>
      <c r="H42">
        <f>14*2000</f>
        <v>28000</v>
      </c>
    </row>
    <row r="43" spans="1:8" x14ac:dyDescent="0.25">
      <c r="D43" t="s">
        <v>14</v>
      </c>
      <c r="E43">
        <v>18</v>
      </c>
      <c r="F43">
        <v>144000</v>
      </c>
      <c r="G43">
        <f>18*5500</f>
        <v>99000</v>
      </c>
      <c r="H43">
        <f>18*2500</f>
        <v>45000</v>
      </c>
    </row>
    <row r="44" spans="1:8" x14ac:dyDescent="0.25">
      <c r="C44" t="s">
        <v>20</v>
      </c>
      <c r="D44" t="s">
        <v>13</v>
      </c>
      <c r="E44">
        <v>5</v>
      </c>
      <c r="F44">
        <v>32500</v>
      </c>
      <c r="G44">
        <f>5*4500</f>
        <v>22500</v>
      </c>
      <c r="H44">
        <v>10000</v>
      </c>
    </row>
    <row r="45" spans="1:8" x14ac:dyDescent="0.25">
      <c r="D45" t="s">
        <v>14</v>
      </c>
      <c r="E45">
        <v>10</v>
      </c>
      <c r="F45">
        <v>100000</v>
      </c>
      <c r="G45">
        <v>55000</v>
      </c>
      <c r="H45">
        <v>45000</v>
      </c>
    </row>
    <row r="46" spans="1:8" x14ac:dyDescent="0.25">
      <c r="D46" t="s">
        <v>25</v>
      </c>
      <c r="E46">
        <v>1</v>
      </c>
      <c r="F46">
        <v>15000</v>
      </c>
      <c r="G46">
        <v>10000</v>
      </c>
      <c r="H46">
        <v>5000</v>
      </c>
    </row>
    <row r="47" spans="1:8" x14ac:dyDescent="0.25">
      <c r="C47" t="s">
        <v>16</v>
      </c>
      <c r="D47" t="s">
        <v>11</v>
      </c>
      <c r="E47">
        <v>52</v>
      </c>
      <c r="F47">
        <v>78000</v>
      </c>
      <c r="G47">
        <f>52*500</f>
        <v>26000</v>
      </c>
      <c r="H47">
        <v>52000</v>
      </c>
    </row>
    <row r="48" spans="1:8" x14ac:dyDescent="0.25">
      <c r="D48" t="s">
        <v>12</v>
      </c>
      <c r="E48">
        <v>8</v>
      </c>
      <c r="F48">
        <v>24000</v>
      </c>
      <c r="G48">
        <v>16000</v>
      </c>
      <c r="H48">
        <v>8000</v>
      </c>
    </row>
    <row r="49" spans="1:8" x14ac:dyDescent="0.25">
      <c r="A49" s="111" t="s">
        <v>17</v>
      </c>
      <c r="B49" s="111"/>
      <c r="C49" s="111"/>
      <c r="D49" s="111"/>
      <c r="E49" s="111"/>
      <c r="F49" s="1">
        <f>SUM(F37:F48)</f>
        <v>1006500</v>
      </c>
      <c r="G49" s="1">
        <f>SUM(G37:G48)</f>
        <v>465500</v>
      </c>
      <c r="H49" s="1">
        <f>SUM(H37:H48)</f>
        <v>541000</v>
      </c>
    </row>
    <row r="50" spans="1:8" x14ac:dyDescent="0.25">
      <c r="A50" t="s">
        <v>28</v>
      </c>
      <c r="B50" s="3">
        <v>44687</v>
      </c>
      <c r="C50" t="s">
        <v>217</v>
      </c>
      <c r="D50" t="s">
        <v>13</v>
      </c>
      <c r="E50">
        <v>15</v>
      </c>
      <c r="F50">
        <v>97500</v>
      </c>
      <c r="G50">
        <f>15*4500</f>
        <v>67500</v>
      </c>
      <c r="H50">
        <v>30000</v>
      </c>
    </row>
    <row r="51" spans="1:8" x14ac:dyDescent="0.25">
      <c r="D51" t="s">
        <v>14</v>
      </c>
      <c r="E51">
        <v>12</v>
      </c>
      <c r="F51">
        <v>120000</v>
      </c>
      <c r="G51">
        <f>12*5500</f>
        <v>66000</v>
      </c>
      <c r="H51">
        <f>12*4500</f>
        <v>54000</v>
      </c>
    </row>
    <row r="52" spans="1:8" x14ac:dyDescent="0.25">
      <c r="C52" t="s">
        <v>10</v>
      </c>
      <c r="D52" t="s">
        <v>13</v>
      </c>
      <c r="E52">
        <v>13</v>
      </c>
      <c r="F52">
        <v>84500</v>
      </c>
      <c r="G52">
        <f>13*4500</f>
        <v>58500</v>
      </c>
      <c r="H52">
        <f>13*2000</f>
        <v>26000</v>
      </c>
    </row>
    <row r="53" spans="1:8" x14ac:dyDescent="0.25">
      <c r="D53" t="s">
        <v>14</v>
      </c>
      <c r="E53">
        <v>14</v>
      </c>
      <c r="F53">
        <v>112000</v>
      </c>
      <c r="G53">
        <f>14*5500</f>
        <v>77000</v>
      </c>
      <c r="H53">
        <f>14*2500</f>
        <v>35000</v>
      </c>
    </row>
    <row r="54" spans="1:8" x14ac:dyDescent="0.25">
      <c r="C54" t="s">
        <v>20</v>
      </c>
      <c r="D54" t="s">
        <v>11</v>
      </c>
      <c r="E54">
        <v>10</v>
      </c>
      <c r="F54">
        <v>15000</v>
      </c>
      <c r="G54">
        <v>5000</v>
      </c>
      <c r="H54">
        <v>10000</v>
      </c>
    </row>
    <row r="55" spans="1:8" x14ac:dyDescent="0.25">
      <c r="D55" t="s">
        <v>13</v>
      </c>
      <c r="E55">
        <v>20</v>
      </c>
      <c r="F55">
        <v>130000</v>
      </c>
      <c r="G55">
        <f>20*4500</f>
        <v>90000</v>
      </c>
      <c r="H55">
        <f>20*2000</f>
        <v>40000</v>
      </c>
    </row>
    <row r="56" spans="1:8" x14ac:dyDescent="0.25">
      <c r="D56" t="s">
        <v>14</v>
      </c>
      <c r="E56">
        <v>34</v>
      </c>
      <c r="F56">
        <v>340000</v>
      </c>
      <c r="G56">
        <f>34*5500</f>
        <v>187000</v>
      </c>
      <c r="H56">
        <f>34*4500</f>
        <v>153000</v>
      </c>
    </row>
    <row r="57" spans="1:8" x14ac:dyDescent="0.25">
      <c r="C57" t="s">
        <v>10</v>
      </c>
      <c r="D57" t="s">
        <v>13</v>
      </c>
      <c r="E57">
        <v>3</v>
      </c>
      <c r="F57">
        <v>19500</v>
      </c>
      <c r="G57">
        <f>3*4500</f>
        <v>13500</v>
      </c>
      <c r="H57">
        <v>6000</v>
      </c>
    </row>
    <row r="58" spans="1:8" x14ac:dyDescent="0.25">
      <c r="D58" t="s">
        <v>14</v>
      </c>
      <c r="E58">
        <v>3</v>
      </c>
      <c r="F58">
        <v>24000</v>
      </c>
      <c r="G58">
        <f>3*5500</f>
        <v>16500</v>
      </c>
      <c r="H58">
        <f>3*2500</f>
        <v>7500</v>
      </c>
    </row>
    <row r="59" spans="1:8" x14ac:dyDescent="0.25">
      <c r="C59" t="s">
        <v>16</v>
      </c>
      <c r="D59" t="s">
        <v>11</v>
      </c>
      <c r="E59">
        <v>56</v>
      </c>
      <c r="F59">
        <v>84000</v>
      </c>
      <c r="G59">
        <f>56*500</f>
        <v>28000</v>
      </c>
      <c r="H59">
        <v>56000</v>
      </c>
    </row>
    <row r="60" spans="1:8" x14ac:dyDescent="0.25">
      <c r="D60" t="s">
        <v>12</v>
      </c>
      <c r="E60">
        <v>4</v>
      </c>
      <c r="F60">
        <v>12000</v>
      </c>
      <c r="G60">
        <v>8000</v>
      </c>
      <c r="H60">
        <v>4000</v>
      </c>
    </row>
    <row r="61" spans="1:8" x14ac:dyDescent="0.25">
      <c r="D61" t="s">
        <v>13</v>
      </c>
      <c r="E61">
        <v>2</v>
      </c>
      <c r="F61">
        <v>13000</v>
      </c>
      <c r="G61">
        <f>2*4500</f>
        <v>9000</v>
      </c>
      <c r="H61">
        <v>4000</v>
      </c>
    </row>
    <row r="62" spans="1:8" x14ac:dyDescent="0.25">
      <c r="D62" t="s">
        <v>14</v>
      </c>
      <c r="E62">
        <v>2</v>
      </c>
      <c r="F62">
        <v>20000</v>
      </c>
      <c r="G62">
        <v>11000</v>
      </c>
      <c r="H62">
        <v>9000</v>
      </c>
    </row>
    <row r="63" spans="1:8" x14ac:dyDescent="0.25">
      <c r="A63" s="111" t="s">
        <v>17</v>
      </c>
      <c r="B63" s="111"/>
      <c r="C63" s="111"/>
      <c r="D63" s="111"/>
      <c r="E63" s="111"/>
      <c r="F63" s="1">
        <f>SUM(F50:F62)</f>
        <v>1071500</v>
      </c>
      <c r="G63" s="1">
        <f>SUM(G50:G62)</f>
        <v>637000</v>
      </c>
      <c r="H63" s="1">
        <f>SUM(H50:H62)</f>
        <v>434500</v>
      </c>
    </row>
    <row r="64" spans="1:8" x14ac:dyDescent="0.25">
      <c r="A64" t="s">
        <v>30</v>
      </c>
      <c r="B64" s="3">
        <v>44718</v>
      </c>
      <c r="C64" t="s">
        <v>231</v>
      </c>
      <c r="D64" t="s">
        <v>11</v>
      </c>
      <c r="E64">
        <v>30</v>
      </c>
      <c r="F64">
        <v>45000</v>
      </c>
      <c r="G64">
        <f>30*500</f>
        <v>15000</v>
      </c>
      <c r="H64">
        <v>30000</v>
      </c>
    </row>
    <row r="65" spans="1:8" x14ac:dyDescent="0.25">
      <c r="C65" t="s">
        <v>106</v>
      </c>
      <c r="D65" t="s">
        <v>11</v>
      </c>
      <c r="E65">
        <f>F65/1500</f>
        <v>15</v>
      </c>
      <c r="F65">
        <v>22500</v>
      </c>
      <c r="G65">
        <f>15*500</f>
        <v>7500</v>
      </c>
      <c r="H65">
        <v>15000</v>
      </c>
    </row>
    <row r="66" spans="1:8" x14ac:dyDescent="0.25">
      <c r="D66" t="s">
        <v>11</v>
      </c>
      <c r="E66">
        <v>20</v>
      </c>
      <c r="F66">
        <f>20*1500</f>
        <v>30000</v>
      </c>
      <c r="G66">
        <f>20*500</f>
        <v>10000</v>
      </c>
      <c r="H66">
        <v>20000</v>
      </c>
    </row>
    <row r="67" spans="1:8" x14ac:dyDescent="0.25">
      <c r="C67" t="s">
        <v>219</v>
      </c>
      <c r="D67" t="s">
        <v>11</v>
      </c>
      <c r="E67">
        <f>45000/1500</f>
        <v>30</v>
      </c>
      <c r="F67">
        <v>45000</v>
      </c>
      <c r="G67">
        <f>30*500</f>
        <v>15000</v>
      </c>
      <c r="H67">
        <v>30000</v>
      </c>
    </row>
    <row r="68" spans="1:8" x14ac:dyDescent="0.25">
      <c r="C68" t="s">
        <v>108</v>
      </c>
      <c r="D68" t="s">
        <v>11</v>
      </c>
      <c r="E68">
        <f>84000/1500</f>
        <v>56</v>
      </c>
      <c r="F68">
        <v>84000</v>
      </c>
      <c r="G68">
        <f>56*500</f>
        <v>28000</v>
      </c>
      <c r="H68">
        <v>56000</v>
      </c>
    </row>
    <row r="69" spans="1:8" x14ac:dyDescent="0.25">
      <c r="D69" t="s">
        <v>11</v>
      </c>
      <c r="E69">
        <v>41</v>
      </c>
      <c r="F69">
        <f>41*1500</f>
        <v>61500</v>
      </c>
      <c r="G69">
        <f>41*500</f>
        <v>20500</v>
      </c>
      <c r="H69">
        <v>41000</v>
      </c>
    </row>
    <row r="70" spans="1:8" x14ac:dyDescent="0.25">
      <c r="C70" t="s">
        <v>81</v>
      </c>
      <c r="D70" t="s">
        <v>11</v>
      </c>
      <c r="E70">
        <f>135000/1800</f>
        <v>75</v>
      </c>
      <c r="F70">
        <v>135000</v>
      </c>
      <c r="G70">
        <f>75*500</f>
        <v>37500</v>
      </c>
      <c r="H70">
        <f>75*1300</f>
        <v>97500</v>
      </c>
    </row>
    <row r="71" spans="1:8" x14ac:dyDescent="0.25">
      <c r="D71" t="s">
        <v>11</v>
      </c>
      <c r="E71">
        <v>75</v>
      </c>
      <c r="F71">
        <v>135000</v>
      </c>
      <c r="G71">
        <f>75*500</f>
        <v>37500</v>
      </c>
      <c r="H71">
        <f>75*1300</f>
        <v>97500</v>
      </c>
    </row>
    <row r="72" spans="1:8" x14ac:dyDescent="0.25">
      <c r="D72" t="s">
        <v>11</v>
      </c>
      <c r="E72">
        <f>133200/1800</f>
        <v>74</v>
      </c>
      <c r="F72">
        <v>133200</v>
      </c>
      <c r="G72">
        <f>74*500</f>
        <v>37000</v>
      </c>
      <c r="H72">
        <f>74*1300</f>
        <v>96200</v>
      </c>
    </row>
    <row r="73" spans="1:8" x14ac:dyDescent="0.25">
      <c r="C73" t="s">
        <v>16</v>
      </c>
      <c r="D73" t="s">
        <v>11</v>
      </c>
      <c r="E73">
        <v>75</v>
      </c>
      <c r="F73">
        <v>112500</v>
      </c>
      <c r="G73">
        <f>75*500</f>
        <v>37500</v>
      </c>
      <c r="H73">
        <v>75000</v>
      </c>
    </row>
    <row r="74" spans="1:8" x14ac:dyDescent="0.25">
      <c r="D74" t="s">
        <v>12</v>
      </c>
      <c r="E74">
        <v>5</v>
      </c>
      <c r="F74">
        <v>15000</v>
      </c>
      <c r="G74">
        <v>10000</v>
      </c>
      <c r="H74">
        <v>5000</v>
      </c>
    </row>
    <row r="75" spans="1:8" x14ac:dyDescent="0.25">
      <c r="D75" t="s">
        <v>13</v>
      </c>
      <c r="E75">
        <v>2</v>
      </c>
      <c r="F75">
        <v>13000</v>
      </c>
      <c r="G75">
        <v>9000</v>
      </c>
      <c r="H75">
        <v>4000</v>
      </c>
    </row>
    <row r="76" spans="1:8" x14ac:dyDescent="0.25">
      <c r="D76" t="s">
        <v>14</v>
      </c>
      <c r="E76">
        <v>1</v>
      </c>
      <c r="F76">
        <v>10000</v>
      </c>
      <c r="G76">
        <v>5500</v>
      </c>
      <c r="H76">
        <v>4500</v>
      </c>
    </row>
    <row r="77" spans="1:8" x14ac:dyDescent="0.25">
      <c r="A77" s="111" t="s">
        <v>17</v>
      </c>
      <c r="B77" s="111"/>
      <c r="C77" s="111"/>
      <c r="D77" s="111"/>
      <c r="E77" s="111"/>
      <c r="F77" s="1">
        <f>SUM(F64:F76)</f>
        <v>841700</v>
      </c>
      <c r="G77" s="1">
        <f>SUM(G64:G76)</f>
        <v>270000</v>
      </c>
      <c r="H77" s="1">
        <f>SUM(H64:H76)</f>
        <v>571700</v>
      </c>
    </row>
    <row r="78" spans="1:8" x14ac:dyDescent="0.25">
      <c r="A78" t="s">
        <v>32</v>
      </c>
      <c r="B78" s="3">
        <v>44748</v>
      </c>
      <c r="C78" t="s">
        <v>217</v>
      </c>
      <c r="D78" t="s">
        <v>11</v>
      </c>
      <c r="E78">
        <v>42</v>
      </c>
      <c r="F78">
        <v>63000</v>
      </c>
      <c r="G78">
        <f>42*500</f>
        <v>21000</v>
      </c>
      <c r="H78">
        <v>42000</v>
      </c>
    </row>
    <row r="79" spans="1:8" x14ac:dyDescent="0.25">
      <c r="C79" t="s">
        <v>108</v>
      </c>
      <c r="D79" t="s">
        <v>11</v>
      </c>
      <c r="E79">
        <v>41</v>
      </c>
      <c r="F79">
        <v>61500</v>
      </c>
      <c r="G79">
        <f>41*500</f>
        <v>20500</v>
      </c>
      <c r="H79">
        <v>41000</v>
      </c>
    </row>
    <row r="80" spans="1:8" x14ac:dyDescent="0.25">
      <c r="C80" t="s">
        <v>219</v>
      </c>
      <c r="D80" t="s">
        <v>11</v>
      </c>
      <c r="E80">
        <v>30</v>
      </c>
      <c r="F80">
        <v>45000</v>
      </c>
      <c r="G80">
        <f>30*500</f>
        <v>15000</v>
      </c>
      <c r="H80">
        <v>30000</v>
      </c>
    </row>
    <row r="81" spans="1:8" x14ac:dyDescent="0.25">
      <c r="C81" t="s">
        <v>236</v>
      </c>
      <c r="D81" t="s">
        <v>11</v>
      </c>
      <c r="E81">
        <v>130</v>
      </c>
      <c r="F81">
        <f>130*1500</f>
        <v>195000</v>
      </c>
      <c r="G81">
        <f>130*500</f>
        <v>65000</v>
      </c>
      <c r="H81">
        <v>130000</v>
      </c>
    </row>
    <row r="82" spans="1:8" x14ac:dyDescent="0.25">
      <c r="C82" t="s">
        <v>16</v>
      </c>
      <c r="D82" t="s">
        <v>11</v>
      </c>
      <c r="E82">
        <v>70</v>
      </c>
      <c r="F82">
        <v>105000</v>
      </c>
      <c r="G82">
        <f>70*500</f>
        <v>35000</v>
      </c>
      <c r="H82">
        <v>70000</v>
      </c>
    </row>
    <row r="83" spans="1:8" x14ac:dyDescent="0.25">
      <c r="D83" t="s">
        <v>12</v>
      </c>
      <c r="E83">
        <v>5</v>
      </c>
      <c r="F83">
        <v>15000</v>
      </c>
      <c r="G83">
        <v>10000</v>
      </c>
      <c r="H83">
        <v>5000</v>
      </c>
    </row>
    <row r="84" spans="1:8" x14ac:dyDescent="0.25">
      <c r="C84" t="s">
        <v>10</v>
      </c>
      <c r="D84" t="s">
        <v>11</v>
      </c>
      <c r="E84">
        <v>41</v>
      </c>
      <c r="F84">
        <v>61500</v>
      </c>
      <c r="G84">
        <f>41*500</f>
        <v>20500</v>
      </c>
      <c r="H84">
        <v>41000</v>
      </c>
    </row>
    <row r="85" spans="1:8" x14ac:dyDescent="0.25">
      <c r="D85" t="s">
        <v>13</v>
      </c>
      <c r="E85">
        <v>12</v>
      </c>
      <c r="F85">
        <v>78000</v>
      </c>
      <c r="G85">
        <f>12*4500</f>
        <v>54000</v>
      </c>
      <c r="H85">
        <f>12*2000</f>
        <v>24000</v>
      </c>
    </row>
    <row r="86" spans="1:8" x14ac:dyDescent="0.25">
      <c r="D86" t="s">
        <v>14</v>
      </c>
      <c r="E86">
        <v>9</v>
      </c>
      <c r="F86">
        <v>72000</v>
      </c>
      <c r="G86">
        <f>9*5500</f>
        <v>49500</v>
      </c>
      <c r="H86">
        <f>9*2500</f>
        <v>22500</v>
      </c>
    </row>
    <row r="87" spans="1:8" x14ac:dyDescent="0.25">
      <c r="C87" t="s">
        <v>10</v>
      </c>
      <c r="D87" t="s">
        <v>11</v>
      </c>
      <c r="E87">
        <v>12</v>
      </c>
      <c r="F87">
        <v>18000</v>
      </c>
      <c r="G87">
        <f>12*500</f>
        <v>6000</v>
      </c>
      <c r="H87">
        <v>12000</v>
      </c>
    </row>
    <row r="88" spans="1:8" x14ac:dyDescent="0.25">
      <c r="D88" t="s">
        <v>13</v>
      </c>
      <c r="E88">
        <v>2</v>
      </c>
      <c r="F88">
        <v>13000</v>
      </c>
      <c r="G88">
        <v>9000</v>
      </c>
      <c r="H88">
        <v>4000</v>
      </c>
    </row>
    <row r="89" spans="1:8" x14ac:dyDescent="0.25">
      <c r="D89" t="s">
        <v>14</v>
      </c>
      <c r="E89">
        <v>3</v>
      </c>
      <c r="F89">
        <v>24000</v>
      </c>
      <c r="G89">
        <f>3*5500</f>
        <v>16500</v>
      </c>
      <c r="H89">
        <f>3*2500</f>
        <v>7500</v>
      </c>
    </row>
    <row r="90" spans="1:8" x14ac:dyDescent="0.25">
      <c r="A90" s="111" t="s">
        <v>17</v>
      </c>
      <c r="B90" s="111"/>
      <c r="C90" s="111"/>
      <c r="D90" s="111"/>
      <c r="E90" s="111"/>
      <c r="F90" s="1">
        <f>SUM(F78:F89)</f>
        <v>751000</v>
      </c>
      <c r="G90" s="1">
        <f>SUM(G78:G89)</f>
        <v>322000</v>
      </c>
      <c r="H90" s="1">
        <f>SUM(H78:H89)</f>
        <v>429000</v>
      </c>
    </row>
    <row r="91" spans="1:8" x14ac:dyDescent="0.25">
      <c r="A91" t="s">
        <v>8</v>
      </c>
      <c r="B91" s="3">
        <v>44779</v>
      </c>
      <c r="C91" t="s">
        <v>217</v>
      </c>
      <c r="D91" t="s">
        <v>11</v>
      </c>
      <c r="E91">
        <v>57</v>
      </c>
      <c r="F91">
        <v>85500</v>
      </c>
      <c r="G91">
        <f>57*500</f>
        <v>28500</v>
      </c>
      <c r="H91">
        <v>57000</v>
      </c>
    </row>
    <row r="92" spans="1:8" x14ac:dyDescent="0.25">
      <c r="C92" t="s">
        <v>20</v>
      </c>
      <c r="D92" t="s">
        <v>13</v>
      </c>
      <c r="E92">
        <v>12</v>
      </c>
      <c r="F92">
        <v>78000</v>
      </c>
      <c r="G92">
        <f>12*4500</f>
        <v>54000</v>
      </c>
      <c r="H92">
        <v>24000</v>
      </c>
    </row>
    <row r="93" spans="1:8" x14ac:dyDescent="0.25">
      <c r="D93" t="s">
        <v>14</v>
      </c>
      <c r="E93">
        <v>6</v>
      </c>
      <c r="F93">
        <v>60000</v>
      </c>
      <c r="G93">
        <f>6*5500</f>
        <v>33000</v>
      </c>
      <c r="H93">
        <f>6*4500</f>
        <v>27000</v>
      </c>
    </row>
    <row r="94" spans="1:8" x14ac:dyDescent="0.25">
      <c r="D94" t="s">
        <v>25</v>
      </c>
      <c r="E94">
        <v>1</v>
      </c>
      <c r="F94">
        <v>13000</v>
      </c>
      <c r="G94">
        <v>10000</v>
      </c>
      <c r="H94">
        <v>3000</v>
      </c>
    </row>
    <row r="95" spans="1:8" x14ac:dyDescent="0.25">
      <c r="C95" t="s">
        <v>219</v>
      </c>
      <c r="D95" t="s">
        <v>11</v>
      </c>
      <c r="E95">
        <v>35</v>
      </c>
      <c r="F95">
        <f>35*1500</f>
        <v>52500</v>
      </c>
      <c r="G95">
        <f>35*500</f>
        <v>17500</v>
      </c>
      <c r="H95">
        <v>35000</v>
      </c>
    </row>
    <row r="96" spans="1:8" x14ac:dyDescent="0.25">
      <c r="C96" t="s">
        <v>10</v>
      </c>
      <c r="D96" t="s">
        <v>11</v>
      </c>
      <c r="E96">
        <v>40</v>
      </c>
      <c r="F96">
        <v>60000</v>
      </c>
      <c r="G96">
        <f>40*500</f>
        <v>20000</v>
      </c>
      <c r="H96">
        <v>40000</v>
      </c>
    </row>
    <row r="97" spans="1:8" x14ac:dyDescent="0.25">
      <c r="D97" t="s">
        <v>12</v>
      </c>
      <c r="E97">
        <v>2</v>
      </c>
      <c r="F97">
        <v>6000</v>
      </c>
      <c r="G97">
        <v>4000</v>
      </c>
      <c r="H97">
        <v>2000</v>
      </c>
    </row>
    <row r="98" spans="1:8" x14ac:dyDescent="0.25">
      <c r="D98" t="s">
        <v>13</v>
      </c>
      <c r="E98">
        <v>7</v>
      </c>
      <c r="F98">
        <v>45500</v>
      </c>
      <c r="G98">
        <f>7*4500</f>
        <v>31500</v>
      </c>
      <c r="H98">
        <v>14000</v>
      </c>
    </row>
    <row r="99" spans="1:8" x14ac:dyDescent="0.25">
      <c r="D99" t="s">
        <v>14</v>
      </c>
      <c r="E99">
        <v>2</v>
      </c>
      <c r="F99">
        <v>16000</v>
      </c>
      <c r="G99">
        <v>11000</v>
      </c>
      <c r="H99">
        <v>5000</v>
      </c>
    </row>
    <row r="100" spans="1:8" x14ac:dyDescent="0.25">
      <c r="C100" t="s">
        <v>16</v>
      </c>
      <c r="D100" t="s">
        <v>11</v>
      </c>
      <c r="E100">
        <v>53</v>
      </c>
      <c r="F100">
        <v>79500</v>
      </c>
      <c r="G100">
        <f>53*500</f>
        <v>26500</v>
      </c>
      <c r="H100">
        <v>53000</v>
      </c>
    </row>
    <row r="101" spans="1:8" x14ac:dyDescent="0.25">
      <c r="D101" t="s">
        <v>12</v>
      </c>
      <c r="E101">
        <v>5</v>
      </c>
      <c r="F101">
        <v>15000</v>
      </c>
      <c r="G101">
        <v>10000</v>
      </c>
      <c r="H101">
        <v>5000</v>
      </c>
    </row>
    <row r="102" spans="1:8" x14ac:dyDescent="0.25">
      <c r="D102" t="s">
        <v>13</v>
      </c>
      <c r="E102">
        <v>1</v>
      </c>
      <c r="F102">
        <v>6500</v>
      </c>
      <c r="G102">
        <v>4500</v>
      </c>
      <c r="H102">
        <v>2000</v>
      </c>
    </row>
    <row r="103" spans="1:8" x14ac:dyDescent="0.25">
      <c r="A103" s="111" t="s">
        <v>17</v>
      </c>
      <c r="B103" s="111"/>
      <c r="C103" s="111"/>
      <c r="D103" s="111"/>
      <c r="E103" s="111"/>
      <c r="F103" s="1">
        <f>SUM(F91:F102)</f>
        <v>517500</v>
      </c>
      <c r="G103" s="1">
        <f>SUM(G91:G102)</f>
        <v>250500</v>
      </c>
      <c r="H103" s="1">
        <f>SUM(H91:H102)</f>
        <v>267000</v>
      </c>
    </row>
    <row r="104" spans="1:8" x14ac:dyDescent="0.25">
      <c r="A104" t="s">
        <v>18</v>
      </c>
      <c r="B104" s="3">
        <v>44810</v>
      </c>
      <c r="C104" t="s">
        <v>217</v>
      </c>
      <c r="D104" t="s">
        <v>11</v>
      </c>
      <c r="E104">
        <v>25</v>
      </c>
      <c r="F104">
        <v>37500</v>
      </c>
      <c r="G104">
        <f>25*500</f>
        <v>12500</v>
      </c>
      <c r="H104">
        <v>25000</v>
      </c>
    </row>
    <row r="105" spans="1:8" x14ac:dyDescent="0.25">
      <c r="C105" t="s">
        <v>219</v>
      </c>
      <c r="D105" t="s">
        <v>11</v>
      </c>
      <c r="E105">
        <f>F105/1500</f>
        <v>35</v>
      </c>
      <c r="F105">
        <v>52500</v>
      </c>
      <c r="G105">
        <f>35*500</f>
        <v>17500</v>
      </c>
      <c r="H105">
        <v>35000</v>
      </c>
    </row>
    <row r="106" spans="1:8" x14ac:dyDescent="0.25">
      <c r="C106" t="s">
        <v>108</v>
      </c>
      <c r="D106" t="s">
        <v>11</v>
      </c>
      <c r="E106">
        <v>35</v>
      </c>
      <c r="F106">
        <v>52500</v>
      </c>
      <c r="G106">
        <v>17500</v>
      </c>
      <c r="H106">
        <v>35000</v>
      </c>
    </row>
    <row r="107" spans="1:8" x14ac:dyDescent="0.25">
      <c r="C107" t="s">
        <v>16</v>
      </c>
      <c r="D107" t="s">
        <v>11</v>
      </c>
      <c r="E107">
        <v>40</v>
      </c>
      <c r="F107">
        <v>60000</v>
      </c>
      <c r="G107">
        <f>40*500</f>
        <v>20000</v>
      </c>
      <c r="H107">
        <v>40000</v>
      </c>
    </row>
    <row r="108" spans="1:8" x14ac:dyDescent="0.25">
      <c r="D108" t="s">
        <v>12</v>
      </c>
      <c r="E108">
        <v>7</v>
      </c>
      <c r="F108">
        <v>21000</v>
      </c>
      <c r="G108">
        <v>14000</v>
      </c>
      <c r="H108">
        <v>7000</v>
      </c>
    </row>
    <row r="109" spans="1:8" x14ac:dyDescent="0.25">
      <c r="D109" t="s">
        <v>14</v>
      </c>
      <c r="E109">
        <v>2</v>
      </c>
      <c r="F109">
        <v>20000</v>
      </c>
      <c r="G109">
        <v>11000</v>
      </c>
      <c r="H109">
        <v>9000</v>
      </c>
    </row>
    <row r="110" spans="1:8" x14ac:dyDescent="0.25">
      <c r="C110" t="s">
        <v>10</v>
      </c>
      <c r="D110" t="s">
        <v>11</v>
      </c>
      <c r="E110">
        <v>25</v>
      </c>
      <c r="F110">
        <v>37500</v>
      </c>
      <c r="G110">
        <f>25*500</f>
        <v>12500</v>
      </c>
      <c r="H110">
        <v>25000</v>
      </c>
    </row>
    <row r="111" spans="1:8" x14ac:dyDescent="0.25">
      <c r="D111" t="s">
        <v>12</v>
      </c>
      <c r="E111">
        <v>6</v>
      </c>
      <c r="F111">
        <v>18000</v>
      </c>
      <c r="G111">
        <v>12000</v>
      </c>
      <c r="H111">
        <v>6000</v>
      </c>
    </row>
    <row r="112" spans="1:8" x14ac:dyDescent="0.25">
      <c r="D112" t="s">
        <v>13</v>
      </c>
      <c r="E112">
        <v>1</v>
      </c>
      <c r="F112">
        <v>6500</v>
      </c>
      <c r="G112">
        <v>4500</v>
      </c>
      <c r="H112">
        <v>2000</v>
      </c>
    </row>
    <row r="113" spans="1:8" x14ac:dyDescent="0.25">
      <c r="D113" t="s">
        <v>14</v>
      </c>
      <c r="E113">
        <v>4</v>
      </c>
      <c r="F113">
        <v>32000</v>
      </c>
      <c r="G113">
        <v>22000</v>
      </c>
      <c r="H113">
        <v>10000</v>
      </c>
    </row>
    <row r="114" spans="1:8" x14ac:dyDescent="0.25">
      <c r="A114" s="111" t="s">
        <v>17</v>
      </c>
      <c r="B114" s="111"/>
      <c r="C114" s="111"/>
      <c r="D114" s="111"/>
      <c r="E114" s="111"/>
      <c r="F114" s="1">
        <f>SUM(F104:F113)</f>
        <v>337500</v>
      </c>
      <c r="G114" s="1">
        <f>SUM(G104:G113)</f>
        <v>143500</v>
      </c>
      <c r="H114" s="1">
        <f>SUM(H104:H113)</f>
        <v>194000</v>
      </c>
    </row>
    <row r="115" spans="1:8" x14ac:dyDescent="0.25">
      <c r="A115" t="s">
        <v>22</v>
      </c>
      <c r="B115" s="3">
        <v>44840</v>
      </c>
      <c r="C115" t="s">
        <v>219</v>
      </c>
      <c r="D115" t="s">
        <v>11</v>
      </c>
      <c r="E115">
        <f>F115/1500</f>
        <v>30</v>
      </c>
      <c r="F115">
        <v>45000</v>
      </c>
      <c r="G115">
        <f>30*500</f>
        <v>15000</v>
      </c>
      <c r="H115">
        <v>30000</v>
      </c>
    </row>
    <row r="116" spans="1:8" x14ac:dyDescent="0.25">
      <c r="D116" t="s">
        <v>11</v>
      </c>
      <c r="E116">
        <f>F116/1500</f>
        <v>42</v>
      </c>
      <c r="F116">
        <v>63000</v>
      </c>
      <c r="G116">
        <f>42*500</f>
        <v>21000</v>
      </c>
      <c r="H116">
        <v>42000</v>
      </c>
    </row>
    <row r="117" spans="1:8" x14ac:dyDescent="0.25">
      <c r="C117" t="s">
        <v>238</v>
      </c>
      <c r="D117" t="s">
        <v>13</v>
      </c>
      <c r="E117">
        <v>10</v>
      </c>
      <c r="F117">
        <v>70000</v>
      </c>
      <c r="G117">
        <v>45000</v>
      </c>
      <c r="H117">
        <v>25000</v>
      </c>
    </row>
    <row r="118" spans="1:8" x14ac:dyDescent="0.25">
      <c r="C118" t="s">
        <v>108</v>
      </c>
      <c r="D118" t="s">
        <v>11</v>
      </c>
      <c r="E118">
        <f>F118/1500</f>
        <v>40</v>
      </c>
      <c r="F118">
        <v>60000</v>
      </c>
      <c r="G118">
        <f>40*500</f>
        <v>20000</v>
      </c>
      <c r="H118">
        <v>40000</v>
      </c>
    </row>
    <row r="119" spans="1:8" x14ac:dyDescent="0.25">
      <c r="C119" t="s">
        <v>16</v>
      </c>
      <c r="D119" t="s">
        <v>11</v>
      </c>
      <c r="E119">
        <v>20</v>
      </c>
      <c r="F119">
        <v>30000</v>
      </c>
      <c r="G119">
        <f>20*500</f>
        <v>10000</v>
      </c>
      <c r="H119">
        <v>20000</v>
      </c>
    </row>
    <row r="120" spans="1:8" x14ac:dyDescent="0.25">
      <c r="C120" t="s">
        <v>217</v>
      </c>
      <c r="D120" t="s">
        <v>11</v>
      </c>
      <c r="E120">
        <v>50</v>
      </c>
      <c r="F120">
        <v>75000</v>
      </c>
      <c r="G120">
        <f>50*500</f>
        <v>25000</v>
      </c>
      <c r="H120">
        <v>50000</v>
      </c>
    </row>
    <row r="121" spans="1:8" x14ac:dyDescent="0.25">
      <c r="C121" t="s">
        <v>10</v>
      </c>
      <c r="D121" t="s">
        <v>13</v>
      </c>
      <c r="E121">
        <v>67</v>
      </c>
      <c r="F121">
        <v>435500</v>
      </c>
      <c r="G121">
        <f>67*4500</f>
        <v>301500</v>
      </c>
      <c r="H121">
        <f>67*2000</f>
        <v>134000</v>
      </c>
    </row>
    <row r="122" spans="1:8" x14ac:dyDescent="0.25">
      <c r="D122" t="s">
        <v>14</v>
      </c>
      <c r="E122">
        <v>64</v>
      </c>
      <c r="F122">
        <v>640000</v>
      </c>
      <c r="G122">
        <f>64*5500</f>
        <v>352000</v>
      </c>
      <c r="H122">
        <f>64*4500</f>
        <v>288000</v>
      </c>
    </row>
    <row r="123" spans="1:8" x14ac:dyDescent="0.25">
      <c r="D123" t="s">
        <v>11</v>
      </c>
      <c r="E123">
        <v>9</v>
      </c>
      <c r="F123">
        <v>13500</v>
      </c>
      <c r="G123">
        <f>9*500</f>
        <v>4500</v>
      </c>
      <c r="H123">
        <v>9000</v>
      </c>
    </row>
    <row r="124" spans="1:8" x14ac:dyDescent="0.25">
      <c r="D124" t="s">
        <v>12</v>
      </c>
      <c r="E124">
        <v>2</v>
      </c>
      <c r="F124">
        <v>6000</v>
      </c>
      <c r="G124">
        <v>4000</v>
      </c>
      <c r="H124">
        <v>2000</v>
      </c>
    </row>
    <row r="125" spans="1:8" x14ac:dyDescent="0.25">
      <c r="A125" s="111" t="s">
        <v>17</v>
      </c>
      <c r="B125" s="111"/>
      <c r="C125" s="111"/>
      <c r="D125" s="111"/>
      <c r="E125" s="111"/>
      <c r="F125" s="1">
        <f>SUM(F115:F124)</f>
        <v>1438000</v>
      </c>
      <c r="G125" s="1">
        <f>SUM(G115:G124)</f>
        <v>798000</v>
      </c>
      <c r="H125" s="1">
        <f>SUM(H115:H124)</f>
        <v>640000</v>
      </c>
    </row>
    <row r="126" spans="1:8" x14ac:dyDescent="0.25">
      <c r="A126" t="s">
        <v>26</v>
      </c>
      <c r="B126" s="3">
        <v>44871</v>
      </c>
      <c r="C126" t="s">
        <v>77</v>
      </c>
      <c r="D126" t="s">
        <v>11</v>
      </c>
      <c r="E126">
        <v>140</v>
      </c>
      <c r="F126">
        <f>140*1500</f>
        <v>210000</v>
      </c>
      <c r="G126">
        <f>140*500</f>
        <v>70000</v>
      </c>
      <c r="H126">
        <v>140000</v>
      </c>
    </row>
    <row r="127" spans="1:8" x14ac:dyDescent="0.25">
      <c r="D127" t="s">
        <v>11</v>
      </c>
      <c r="E127">
        <v>140</v>
      </c>
      <c r="F127">
        <f>140*1500</f>
        <v>210000</v>
      </c>
      <c r="G127">
        <v>70000</v>
      </c>
      <c r="H127">
        <v>140000</v>
      </c>
    </row>
    <row r="128" spans="1:8" x14ac:dyDescent="0.25">
      <c r="D128" t="s">
        <v>11</v>
      </c>
      <c r="E128">
        <v>140</v>
      </c>
      <c r="F128">
        <f>140*1500</f>
        <v>210000</v>
      </c>
      <c r="G128">
        <v>70000</v>
      </c>
      <c r="H128">
        <v>140000</v>
      </c>
    </row>
    <row r="129" spans="1:8" x14ac:dyDescent="0.25">
      <c r="D129" t="s">
        <v>11</v>
      </c>
      <c r="E129">
        <v>133</v>
      </c>
      <c r="F129">
        <f>133*1500</f>
        <v>199500</v>
      </c>
      <c r="G129">
        <f>133*500</f>
        <v>66500</v>
      </c>
      <c r="H129">
        <v>133000</v>
      </c>
    </row>
    <row r="130" spans="1:8" x14ac:dyDescent="0.25">
      <c r="D130" t="s">
        <v>11</v>
      </c>
      <c r="E130">
        <v>120</v>
      </c>
      <c r="F130">
        <f>120*1500</f>
        <v>180000</v>
      </c>
      <c r="G130">
        <f>120*500</f>
        <v>60000</v>
      </c>
      <c r="H130">
        <v>120000</v>
      </c>
    </row>
    <row r="131" spans="1:8" x14ac:dyDescent="0.25">
      <c r="C131" t="s">
        <v>81</v>
      </c>
      <c r="D131" t="s">
        <v>11</v>
      </c>
      <c r="E131">
        <v>75</v>
      </c>
      <c r="F131">
        <v>135000</v>
      </c>
      <c r="G131">
        <f>75*500</f>
        <v>37500</v>
      </c>
      <c r="H131">
        <f>75*1300</f>
        <v>97500</v>
      </c>
    </row>
    <row r="132" spans="1:8" x14ac:dyDescent="0.25">
      <c r="D132" t="s">
        <v>11</v>
      </c>
      <c r="E132">
        <v>75</v>
      </c>
      <c r="F132">
        <v>135000</v>
      </c>
      <c r="G132">
        <f>75*500</f>
        <v>37500</v>
      </c>
      <c r="H132">
        <f>75*1300</f>
        <v>97500</v>
      </c>
    </row>
    <row r="133" spans="1:8" x14ac:dyDescent="0.25">
      <c r="D133" t="s">
        <v>11</v>
      </c>
      <c r="E133">
        <v>75</v>
      </c>
      <c r="F133">
        <v>135000</v>
      </c>
      <c r="G133">
        <f>75*500</f>
        <v>37500</v>
      </c>
      <c r="H133">
        <f>75*1300</f>
        <v>97500</v>
      </c>
    </row>
    <row r="134" spans="1:8" x14ac:dyDescent="0.25">
      <c r="D134" t="s">
        <v>11</v>
      </c>
      <c r="E134">
        <v>72</v>
      </c>
      <c r="F134">
        <v>129600</v>
      </c>
      <c r="G134">
        <f>72*500</f>
        <v>36000</v>
      </c>
      <c r="H134">
        <f>72*1300</f>
        <v>93600</v>
      </c>
    </row>
    <row r="135" spans="1:8" x14ac:dyDescent="0.25">
      <c r="D135" t="s">
        <v>11</v>
      </c>
      <c r="E135">
        <v>74</v>
      </c>
      <c r="F135">
        <v>133200</v>
      </c>
      <c r="G135">
        <f>74*500</f>
        <v>37000</v>
      </c>
      <c r="H135">
        <f>74*1300</f>
        <v>96200</v>
      </c>
    </row>
    <row r="136" spans="1:8" x14ac:dyDescent="0.25">
      <c r="C136" t="s">
        <v>10</v>
      </c>
      <c r="D136" t="s">
        <v>13</v>
      </c>
      <c r="E136">
        <v>78</v>
      </c>
      <c r="F136">
        <v>507000</v>
      </c>
      <c r="G136">
        <f>78*4500</f>
        <v>351000</v>
      </c>
      <c r="H136">
        <f>78*2000</f>
        <v>156000</v>
      </c>
    </row>
    <row r="137" spans="1:8" x14ac:dyDescent="0.25">
      <c r="D137" t="s">
        <v>14</v>
      </c>
      <c r="E137">
        <v>60</v>
      </c>
      <c r="F137">
        <v>600000</v>
      </c>
      <c r="G137">
        <f>60*5500</f>
        <v>330000</v>
      </c>
      <c r="H137">
        <f>60*4500</f>
        <v>270000</v>
      </c>
    </row>
    <row r="138" spans="1:8" x14ac:dyDescent="0.25">
      <c r="C138" t="s">
        <v>16</v>
      </c>
      <c r="D138" t="s">
        <v>11</v>
      </c>
      <c r="E138">
        <v>48</v>
      </c>
      <c r="F138">
        <v>72000</v>
      </c>
      <c r="G138">
        <f>48*500</f>
        <v>24000</v>
      </c>
      <c r="H138">
        <v>48000</v>
      </c>
    </row>
    <row r="139" spans="1:8" x14ac:dyDescent="0.25">
      <c r="D139" t="s">
        <v>12</v>
      </c>
      <c r="E139">
        <v>4</v>
      </c>
      <c r="F139">
        <v>12000</v>
      </c>
      <c r="G139">
        <v>8000</v>
      </c>
      <c r="H139">
        <v>4000</v>
      </c>
    </row>
    <row r="140" spans="1:8" x14ac:dyDescent="0.25">
      <c r="D140" t="s">
        <v>13</v>
      </c>
      <c r="E140">
        <v>1</v>
      </c>
      <c r="F140">
        <v>6500</v>
      </c>
      <c r="G140">
        <v>4500</v>
      </c>
      <c r="H140">
        <v>2000</v>
      </c>
    </row>
    <row r="141" spans="1:8" x14ac:dyDescent="0.25">
      <c r="A141" s="111" t="s">
        <v>17</v>
      </c>
      <c r="B141" s="111"/>
      <c r="C141" s="111"/>
      <c r="D141" s="111"/>
      <c r="E141" s="111"/>
      <c r="F141" s="1">
        <f>SUM(F126:F140)</f>
        <v>2874800</v>
      </c>
      <c r="G141" s="1">
        <f>SUM(G126:G140)</f>
        <v>1239500</v>
      </c>
      <c r="H141" s="1">
        <f>SUM(H126:H140)</f>
        <v>1635300</v>
      </c>
    </row>
    <row r="142" spans="1:8" x14ac:dyDescent="0.25">
      <c r="A142" t="s">
        <v>28</v>
      </c>
      <c r="B142" s="3">
        <v>44901</v>
      </c>
      <c r="C142" t="s">
        <v>217</v>
      </c>
      <c r="D142" t="s">
        <v>13</v>
      </c>
      <c r="E142">
        <v>54</v>
      </c>
      <c r="F142">
        <v>351000</v>
      </c>
      <c r="G142">
        <f>54*4500</f>
        <v>243000</v>
      </c>
      <c r="H142">
        <f>54*2000</f>
        <v>108000</v>
      </c>
    </row>
    <row r="143" spans="1:8" x14ac:dyDescent="0.25">
      <c r="D143" t="s">
        <v>14</v>
      </c>
      <c r="E143">
        <v>51</v>
      </c>
      <c r="F143">
        <v>510000</v>
      </c>
      <c r="G143">
        <f>51*5500</f>
        <v>280500</v>
      </c>
      <c r="H143">
        <f>51*4500</f>
        <v>229500</v>
      </c>
    </row>
    <row r="144" spans="1:8" x14ac:dyDescent="0.25">
      <c r="C144" t="s">
        <v>20</v>
      </c>
      <c r="D144" t="s">
        <v>11</v>
      </c>
      <c r="E144">
        <v>16</v>
      </c>
      <c r="F144">
        <v>24000</v>
      </c>
      <c r="G144">
        <f>16*500</f>
        <v>8000</v>
      </c>
      <c r="H144">
        <v>16000</v>
      </c>
    </row>
    <row r="145" spans="1:17" x14ac:dyDescent="0.25">
      <c r="D145" t="s">
        <v>13</v>
      </c>
      <c r="E145">
        <v>27</v>
      </c>
      <c r="F145">
        <v>175500</v>
      </c>
      <c r="G145">
        <f>27*4500</f>
        <v>121500</v>
      </c>
      <c r="H145">
        <f>27*2000</f>
        <v>54000</v>
      </c>
    </row>
    <row r="146" spans="1:17" x14ac:dyDescent="0.25">
      <c r="D146" t="s">
        <v>14</v>
      </c>
      <c r="E146">
        <v>29</v>
      </c>
      <c r="F146">
        <v>290000</v>
      </c>
      <c r="G146">
        <f>29*5500</f>
        <v>159500</v>
      </c>
      <c r="H146">
        <f>29*4500</f>
        <v>130500</v>
      </c>
    </row>
    <row r="147" spans="1:17" x14ac:dyDescent="0.25">
      <c r="C147" t="s">
        <v>10</v>
      </c>
      <c r="D147" t="s">
        <v>13</v>
      </c>
      <c r="E147">
        <v>13</v>
      </c>
      <c r="F147">
        <v>84500</v>
      </c>
      <c r="G147">
        <f>13*4500</f>
        <v>58500</v>
      </c>
      <c r="H147">
        <f>13*2000</f>
        <v>26000</v>
      </c>
    </row>
    <row r="148" spans="1:17" x14ac:dyDescent="0.25">
      <c r="C148" t="s">
        <v>239</v>
      </c>
      <c r="D148" t="s">
        <v>14</v>
      </c>
      <c r="E148">
        <v>7</v>
      </c>
      <c r="F148">
        <v>56000</v>
      </c>
      <c r="G148">
        <f>7*5500</f>
        <v>38500</v>
      </c>
      <c r="H148">
        <f>7*2500</f>
        <v>17500</v>
      </c>
    </row>
    <row r="149" spans="1:17" x14ac:dyDescent="0.25">
      <c r="C149" t="s">
        <v>10</v>
      </c>
      <c r="D149" t="s">
        <v>13</v>
      </c>
      <c r="E149">
        <v>8</v>
      </c>
      <c r="F149">
        <f>8*6500</f>
        <v>52000</v>
      </c>
      <c r="G149">
        <f>8*4500</f>
        <v>36000</v>
      </c>
      <c r="H149">
        <f>8*2000</f>
        <v>16000</v>
      </c>
    </row>
    <row r="150" spans="1:17" x14ac:dyDescent="0.25">
      <c r="C150" t="s">
        <v>60</v>
      </c>
      <c r="D150" t="s">
        <v>14</v>
      </c>
      <c r="E150">
        <v>5</v>
      </c>
      <c r="F150">
        <v>40000</v>
      </c>
      <c r="G150">
        <f>5*5500</f>
        <v>27500</v>
      </c>
      <c r="H150">
        <f>5*2500</f>
        <v>12500</v>
      </c>
    </row>
    <row r="151" spans="1:17" x14ac:dyDescent="0.25">
      <c r="C151" t="s">
        <v>217</v>
      </c>
      <c r="D151" t="s">
        <v>13</v>
      </c>
      <c r="E151">
        <v>25</v>
      </c>
      <c r="F151">
        <v>162500</v>
      </c>
      <c r="G151">
        <f>25*4500</f>
        <v>112500</v>
      </c>
      <c r="H151">
        <f>25*2000</f>
        <v>50000</v>
      </c>
    </row>
    <row r="152" spans="1:17" x14ac:dyDescent="0.25">
      <c r="C152" t="s">
        <v>239</v>
      </c>
      <c r="D152" t="s">
        <v>14</v>
      </c>
      <c r="E152">
        <v>3</v>
      </c>
      <c r="F152">
        <v>24000</v>
      </c>
      <c r="G152">
        <f>3*5500</f>
        <v>16500</v>
      </c>
      <c r="H152">
        <f>3*2500</f>
        <v>7500</v>
      </c>
    </row>
    <row r="153" spans="1:17" x14ac:dyDescent="0.25">
      <c r="D153" t="s">
        <v>14</v>
      </c>
      <c r="E153">
        <v>3</v>
      </c>
      <c r="F153">
        <v>30000</v>
      </c>
      <c r="G153">
        <v>16500</v>
      </c>
      <c r="H153">
        <f>3*4500</f>
        <v>13500</v>
      </c>
    </row>
    <row r="154" spans="1:17" x14ac:dyDescent="0.25">
      <c r="C154" t="s">
        <v>16</v>
      </c>
      <c r="D154" t="s">
        <v>11</v>
      </c>
      <c r="E154">
        <v>78</v>
      </c>
      <c r="F154">
        <v>117000</v>
      </c>
      <c r="G154">
        <f>78*500</f>
        <v>39000</v>
      </c>
      <c r="H154">
        <v>78000</v>
      </c>
    </row>
    <row r="155" spans="1:17" x14ac:dyDescent="0.25">
      <c r="D155" t="s">
        <v>12</v>
      </c>
      <c r="E155">
        <v>14</v>
      </c>
      <c r="F155">
        <v>42000</v>
      </c>
      <c r="G155">
        <f>14*2000</f>
        <v>28000</v>
      </c>
      <c r="H155">
        <v>14000</v>
      </c>
    </row>
    <row r="156" spans="1:17" x14ac:dyDescent="0.25">
      <c r="D156" t="s">
        <v>13</v>
      </c>
      <c r="E156">
        <v>1</v>
      </c>
      <c r="F156">
        <v>6500</v>
      </c>
      <c r="G156">
        <v>4500</v>
      </c>
      <c r="H156">
        <v>2000</v>
      </c>
    </row>
    <row r="157" spans="1:17" x14ac:dyDescent="0.25">
      <c r="D157" t="s">
        <v>14</v>
      </c>
      <c r="E157">
        <v>1</v>
      </c>
      <c r="F157">
        <v>10000</v>
      </c>
      <c r="G157">
        <v>5500</v>
      </c>
      <c r="H157">
        <v>4500</v>
      </c>
    </row>
    <row r="158" spans="1:17" x14ac:dyDescent="0.25">
      <c r="D158" t="s">
        <v>25</v>
      </c>
      <c r="E158">
        <v>1</v>
      </c>
      <c r="F158">
        <v>13000</v>
      </c>
      <c r="G158">
        <v>10000</v>
      </c>
      <c r="H158">
        <v>3000</v>
      </c>
    </row>
    <row r="159" spans="1:17" x14ac:dyDescent="0.25">
      <c r="A159" s="111" t="s">
        <v>17</v>
      </c>
      <c r="B159" s="111"/>
      <c r="C159" s="111"/>
      <c r="D159" s="111"/>
      <c r="E159" s="111"/>
      <c r="F159" s="1">
        <f>SUM(F142:F158)</f>
        <v>1988000</v>
      </c>
      <c r="G159" s="1">
        <f>SUM(G142:G158)</f>
        <v>1205500</v>
      </c>
      <c r="H159" s="1">
        <f>SUM(H142:H158)</f>
        <v>782500</v>
      </c>
    </row>
    <row r="160" spans="1:17" x14ac:dyDescent="0.25">
      <c r="A160" t="s">
        <v>30</v>
      </c>
      <c r="B160" t="s">
        <v>258</v>
      </c>
      <c r="C160" t="s">
        <v>10</v>
      </c>
      <c r="D160" t="s">
        <v>11</v>
      </c>
      <c r="E160">
        <v>50</v>
      </c>
      <c r="F160">
        <v>75000</v>
      </c>
      <c r="G160">
        <f>50*500</f>
        <v>25000</v>
      </c>
      <c r="H160">
        <v>50000</v>
      </c>
      <c r="L160" s="117" t="s">
        <v>240</v>
      </c>
      <c r="M160" s="118"/>
      <c r="N160" s="118"/>
      <c r="O160" s="118"/>
      <c r="P160" s="118"/>
      <c r="Q160" s="119"/>
    </row>
    <row r="161" spans="1:17" x14ac:dyDescent="0.25">
      <c r="D161" t="s">
        <v>12</v>
      </c>
      <c r="E161">
        <v>4</v>
      </c>
      <c r="F161">
        <v>12000</v>
      </c>
      <c r="G161">
        <v>8000</v>
      </c>
      <c r="H161">
        <v>4000</v>
      </c>
      <c r="L161" s="120" t="s">
        <v>241</v>
      </c>
      <c r="M161" s="121"/>
      <c r="N161" s="121"/>
      <c r="O161" s="20" t="s">
        <v>242</v>
      </c>
      <c r="P161" s="20" t="s">
        <v>6</v>
      </c>
      <c r="Q161" s="21" t="s">
        <v>7</v>
      </c>
    </row>
    <row r="162" spans="1:17" x14ac:dyDescent="0.25">
      <c r="D162" t="s">
        <v>13</v>
      </c>
      <c r="E162">
        <v>1</v>
      </c>
      <c r="F162">
        <v>6500</v>
      </c>
      <c r="G162">
        <v>4500</v>
      </c>
      <c r="H162">
        <v>2000</v>
      </c>
      <c r="L162" s="122"/>
      <c r="M162" s="123"/>
      <c r="N162" s="123"/>
      <c r="O162" s="18"/>
      <c r="P162" s="18"/>
      <c r="Q162" s="19"/>
    </row>
    <row r="163" spans="1:17" x14ac:dyDescent="0.25">
      <c r="D163" t="s">
        <v>14</v>
      </c>
      <c r="E163">
        <v>2</v>
      </c>
      <c r="F163">
        <v>16000</v>
      </c>
      <c r="G163">
        <f>2*5500</f>
        <v>11000</v>
      </c>
      <c r="H163">
        <f>2*2500</f>
        <v>5000</v>
      </c>
      <c r="L163" s="16"/>
      <c r="M163" s="24" t="s">
        <v>11</v>
      </c>
      <c r="N163" s="16">
        <f>SUM(E2+E5+E12+E13+E14+E15+E16+E17+E18+E20+E24+E25+E26+E29+E37+E38+E39+E40+E41+E47+E54+E59+E64+E65+E66+E67+E68+E69+E70+E71+E72+E73+E78+E79+E80+E81+E82+E84+E87+E91+E95+E96+E100+E104+E105+E106+E107+E110+E115+E116+E118+E119+E120+E123+E126+E127+E128+E129+E130+E131+E132+E133+E134+E135+E138+E144+E154)</f>
        <v>3700</v>
      </c>
      <c r="O163" s="17">
        <f>N163*3000</f>
        <v>11100000</v>
      </c>
      <c r="P163" s="23">
        <f>N163*500</f>
        <v>1850000</v>
      </c>
      <c r="Q163" s="23">
        <f>N163*1000</f>
        <v>3700000</v>
      </c>
    </row>
    <row r="164" spans="1:17" x14ac:dyDescent="0.25">
      <c r="C164" t="s">
        <v>217</v>
      </c>
      <c r="D164" t="s">
        <v>13</v>
      </c>
      <c r="E164">
        <v>2</v>
      </c>
      <c r="F164">
        <v>13000</v>
      </c>
      <c r="G164">
        <v>9000</v>
      </c>
      <c r="H164">
        <v>4000</v>
      </c>
      <c r="L164" s="16"/>
      <c r="M164" s="24" t="s">
        <v>12</v>
      </c>
      <c r="N164" s="16">
        <f>SUM(E3+E6+E21+E74+E30+E48+E60+E83+E97+E108+E111+E124+E139+E155)</f>
        <v>72</v>
      </c>
      <c r="O164" s="17">
        <f>N164*5000</f>
        <v>360000</v>
      </c>
      <c r="P164" s="23">
        <f>N164*2000</f>
        <v>144000</v>
      </c>
      <c r="Q164" s="23">
        <f>N164*1000</f>
        <v>72000</v>
      </c>
    </row>
    <row r="165" spans="1:17" x14ac:dyDescent="0.25">
      <c r="D165" t="s">
        <v>14</v>
      </c>
      <c r="E165">
        <v>3</v>
      </c>
      <c r="F165">
        <v>24000</v>
      </c>
      <c r="G165">
        <f>3*5500</f>
        <v>16500</v>
      </c>
      <c r="H165">
        <v>7500</v>
      </c>
      <c r="L165" s="16"/>
      <c r="M165" s="24">
        <v>250</v>
      </c>
      <c r="N165" s="16">
        <f>SUM(E9+E22+E31+E33+E42+E52+E55+E57+E61+E75+E85+E88+E92+E98+E102+E112+E117+E121+E136+E140+E145+E147+E149+E151+E156)</f>
        <v>339</v>
      </c>
      <c r="O165" s="17">
        <f>N165*6500</f>
        <v>2203500</v>
      </c>
      <c r="P165" s="23">
        <f>N165*4500</f>
        <v>1525500</v>
      </c>
      <c r="Q165" s="23">
        <f>N165*1500</f>
        <v>508500</v>
      </c>
    </row>
    <row r="166" spans="1:17" x14ac:dyDescent="0.25">
      <c r="C166" t="s">
        <v>10</v>
      </c>
      <c r="D166" t="s">
        <v>13</v>
      </c>
      <c r="E166">
        <v>8</v>
      </c>
      <c r="F166">
        <v>52000</v>
      </c>
      <c r="G166">
        <f>8*4500</f>
        <v>36000</v>
      </c>
      <c r="H166">
        <f>8*2000</f>
        <v>16000</v>
      </c>
      <c r="L166" s="16"/>
      <c r="M166" s="24">
        <v>350</v>
      </c>
      <c r="N166" s="16">
        <f>SUM(E8+E10+E34+E34+E43+E45+E51+E53+E56+E58+E62+E76+E86+E89+E93+E99+E109+E113+E122+E137+E143+E146+E148+E150+E152+E153+E157)</f>
        <v>378</v>
      </c>
      <c r="O166" s="17">
        <f>N166*10000</f>
        <v>3780000</v>
      </c>
      <c r="P166" s="23">
        <f>N166*5500</f>
        <v>2079000</v>
      </c>
      <c r="Q166" s="23">
        <f>N166*4500</f>
        <v>1701000</v>
      </c>
    </row>
    <row r="167" spans="1:17" x14ac:dyDescent="0.25">
      <c r="C167" t="s">
        <v>260</v>
      </c>
      <c r="D167" t="s">
        <v>14</v>
      </c>
      <c r="E167">
        <v>5</v>
      </c>
      <c r="F167">
        <v>40000</v>
      </c>
      <c r="G167">
        <f>5*5500</f>
        <v>27500</v>
      </c>
      <c r="H167">
        <f>5*2500</f>
        <v>12500</v>
      </c>
      <c r="L167" s="16"/>
      <c r="M167" s="24" t="s">
        <v>111</v>
      </c>
      <c r="N167" s="16">
        <v>15</v>
      </c>
      <c r="O167" s="17">
        <f>N167*15000</f>
        <v>225000</v>
      </c>
      <c r="P167" s="23">
        <f>N167*10000</f>
        <v>150000</v>
      </c>
      <c r="Q167" s="23">
        <f>N167*5000</f>
        <v>75000</v>
      </c>
    </row>
    <row r="168" spans="1:17" x14ac:dyDescent="0.25">
      <c r="C168" t="s">
        <v>219</v>
      </c>
      <c r="D168" t="s">
        <v>11</v>
      </c>
      <c r="E168">
        <f>F168/1800</f>
        <v>46</v>
      </c>
      <c r="F168">
        <v>82800</v>
      </c>
      <c r="G168">
        <f>46*500</f>
        <v>23000</v>
      </c>
      <c r="H168">
        <f>46*1300</f>
        <v>59800</v>
      </c>
      <c r="L168" s="16"/>
      <c r="M168" s="16" t="s">
        <v>17</v>
      </c>
      <c r="N168" s="16"/>
      <c r="O168" s="25">
        <f>SUM(O163:O167)</f>
        <v>17668500</v>
      </c>
      <c r="P168" s="26">
        <f>SUM(P163:P167)</f>
        <v>5748500</v>
      </c>
      <c r="Q168" s="26">
        <f>SUM(Q163:Q167)</f>
        <v>6056500</v>
      </c>
    </row>
    <row r="169" spans="1:17" x14ac:dyDescent="0.25">
      <c r="C169" t="s">
        <v>108</v>
      </c>
      <c r="D169" t="s">
        <v>11</v>
      </c>
      <c r="E169">
        <f>F169/1500</f>
        <v>55</v>
      </c>
      <c r="F169">
        <v>82500</v>
      </c>
      <c r="G169">
        <f>55*500</f>
        <v>27500</v>
      </c>
      <c r="H169">
        <v>55000</v>
      </c>
    </row>
    <row r="170" spans="1:17" x14ac:dyDescent="0.25">
      <c r="A170" s="111" t="s">
        <v>17</v>
      </c>
      <c r="B170" s="111"/>
      <c r="C170" s="111"/>
      <c r="D170" s="111"/>
      <c r="E170" s="111"/>
      <c r="F170" s="1">
        <f>SUM(F160:F169)</f>
        <v>403800</v>
      </c>
      <c r="G170" s="1">
        <f>SUM(G160:G169)</f>
        <v>188000</v>
      </c>
      <c r="H170" s="1">
        <f>SUM(H160:H169)</f>
        <v>215800</v>
      </c>
      <c r="I170" s="1"/>
    </row>
    <row r="171" spans="1:17" x14ac:dyDescent="0.25">
      <c r="A171" t="s">
        <v>32</v>
      </c>
      <c r="B171" t="s">
        <v>259</v>
      </c>
      <c r="C171" t="s">
        <v>217</v>
      </c>
      <c r="D171" t="s">
        <v>11</v>
      </c>
      <c r="E171">
        <v>3</v>
      </c>
      <c r="F171">
        <v>4500</v>
      </c>
      <c r="G171">
        <v>1500</v>
      </c>
      <c r="H171">
        <v>3000</v>
      </c>
    </row>
    <row r="172" spans="1:17" x14ac:dyDescent="0.25">
      <c r="D172" t="s">
        <v>13</v>
      </c>
      <c r="E172">
        <v>5</v>
      </c>
      <c r="F172">
        <v>32500</v>
      </c>
      <c r="G172">
        <f>5*4500</f>
        <v>22500</v>
      </c>
      <c r="H172">
        <v>10000</v>
      </c>
    </row>
    <row r="173" spans="1:17" x14ac:dyDescent="0.25">
      <c r="D173" t="s">
        <v>14</v>
      </c>
      <c r="E173">
        <v>8</v>
      </c>
      <c r="F173">
        <v>80000</v>
      </c>
      <c r="G173">
        <f>8*5500</f>
        <v>44000</v>
      </c>
      <c r="H173">
        <f>8*4500</f>
        <v>36000</v>
      </c>
    </row>
    <row r="174" spans="1:17" x14ac:dyDescent="0.25">
      <c r="C174" t="s">
        <v>219</v>
      </c>
      <c r="D174" t="s">
        <v>11</v>
      </c>
      <c r="E174">
        <v>11</v>
      </c>
      <c r="F174">
        <f>11*1500</f>
        <v>16500</v>
      </c>
      <c r="G174">
        <f>11*500</f>
        <v>5500</v>
      </c>
      <c r="H174">
        <v>11000</v>
      </c>
    </row>
    <row r="175" spans="1:17" x14ac:dyDescent="0.25">
      <c r="C175" s="8" t="s">
        <v>108</v>
      </c>
      <c r="D175" t="s">
        <v>11</v>
      </c>
      <c r="E175">
        <v>29</v>
      </c>
      <c r="F175">
        <f>29*1500</f>
        <v>43500</v>
      </c>
      <c r="G175">
        <f>29*500</f>
        <v>14500</v>
      </c>
      <c r="H175">
        <v>29000</v>
      </c>
    </row>
    <row r="176" spans="1:17" x14ac:dyDescent="0.25">
      <c r="C176" t="s">
        <v>132</v>
      </c>
      <c r="D176" t="s">
        <v>21</v>
      </c>
      <c r="E176">
        <v>2</v>
      </c>
      <c r="F176">
        <v>30000</v>
      </c>
      <c r="G176">
        <v>20000</v>
      </c>
      <c r="H176">
        <v>10000</v>
      </c>
    </row>
    <row r="177" spans="1:8" x14ac:dyDescent="0.25">
      <c r="C177" t="s">
        <v>63</v>
      </c>
      <c r="D177" t="s">
        <v>25</v>
      </c>
      <c r="E177">
        <v>4</v>
      </c>
      <c r="F177">
        <v>60000</v>
      </c>
      <c r="G177">
        <v>40000</v>
      </c>
      <c r="H177">
        <v>20000</v>
      </c>
    </row>
    <row r="178" spans="1:8" x14ac:dyDescent="0.25">
      <c r="C178" t="s">
        <v>10</v>
      </c>
      <c r="D178" t="s">
        <v>11</v>
      </c>
      <c r="E178">
        <v>40</v>
      </c>
      <c r="F178">
        <v>60000</v>
      </c>
      <c r="G178">
        <f>40*500</f>
        <v>20000</v>
      </c>
      <c r="H178">
        <v>40000</v>
      </c>
    </row>
    <row r="179" spans="1:8" x14ac:dyDescent="0.25">
      <c r="D179" t="s">
        <v>12</v>
      </c>
      <c r="E179">
        <v>4</v>
      </c>
      <c r="F179">
        <v>12000</v>
      </c>
      <c r="G179">
        <v>8000</v>
      </c>
      <c r="H179">
        <v>4000</v>
      </c>
    </row>
    <row r="180" spans="1:8" x14ac:dyDescent="0.25">
      <c r="D180" t="s">
        <v>13</v>
      </c>
      <c r="E180">
        <v>1</v>
      </c>
      <c r="F180">
        <v>6500</v>
      </c>
      <c r="G180">
        <v>4500</v>
      </c>
      <c r="H180">
        <v>2000</v>
      </c>
    </row>
    <row r="181" spans="1:8" x14ac:dyDescent="0.25">
      <c r="D181" t="s">
        <v>14</v>
      </c>
      <c r="E181">
        <v>3</v>
      </c>
      <c r="F181">
        <v>24000</v>
      </c>
      <c r="G181">
        <f>3*5500</f>
        <v>16500</v>
      </c>
      <c r="H181">
        <f>3*2500</f>
        <v>7500</v>
      </c>
    </row>
    <row r="182" spans="1:8" x14ac:dyDescent="0.25">
      <c r="A182" s="111" t="s">
        <v>17</v>
      </c>
      <c r="B182" s="111"/>
      <c r="C182" s="111"/>
      <c r="D182" s="111"/>
      <c r="E182" s="111"/>
      <c r="F182" s="1">
        <f>SUM(F171:F181)</f>
        <v>369500</v>
      </c>
      <c r="G182" s="1">
        <f>SUM(G171:G181)</f>
        <v>197000</v>
      </c>
      <c r="H182" s="1">
        <f>SUM(H171:H181)</f>
        <v>172500</v>
      </c>
    </row>
    <row r="183" spans="1:8" x14ac:dyDescent="0.25">
      <c r="A183" t="s">
        <v>8</v>
      </c>
      <c r="B183" t="s">
        <v>261</v>
      </c>
      <c r="C183" t="s">
        <v>108</v>
      </c>
      <c r="D183" t="s">
        <v>11</v>
      </c>
      <c r="E183">
        <v>51</v>
      </c>
      <c r="F183">
        <v>76500</v>
      </c>
      <c r="G183">
        <f>51*500</f>
        <v>25500</v>
      </c>
      <c r="H183">
        <v>51000</v>
      </c>
    </row>
    <row r="184" spans="1:8" x14ac:dyDescent="0.25">
      <c r="C184" t="s">
        <v>219</v>
      </c>
      <c r="D184" t="s">
        <v>11</v>
      </c>
      <c r="E184">
        <f>F184/1500</f>
        <v>20</v>
      </c>
      <c r="F184">
        <v>30000</v>
      </c>
      <c r="G184">
        <f>20*500</f>
        <v>10000</v>
      </c>
      <c r="H184">
        <v>20000</v>
      </c>
    </row>
    <row r="185" spans="1:8" x14ac:dyDescent="0.25">
      <c r="C185" t="s">
        <v>10</v>
      </c>
      <c r="D185" t="s">
        <v>11</v>
      </c>
      <c r="E185">
        <v>40</v>
      </c>
      <c r="F185">
        <v>60000</v>
      </c>
      <c r="G185">
        <f>40*500</f>
        <v>20000</v>
      </c>
      <c r="H185">
        <v>40000</v>
      </c>
    </row>
    <row r="186" spans="1:8" x14ac:dyDescent="0.25">
      <c r="D186" t="s">
        <v>12</v>
      </c>
      <c r="E186">
        <v>2</v>
      </c>
      <c r="F186">
        <v>6000</v>
      </c>
      <c r="G186">
        <v>4000</v>
      </c>
      <c r="H186">
        <v>2000</v>
      </c>
    </row>
    <row r="187" spans="1:8" x14ac:dyDescent="0.25">
      <c r="D187" t="s">
        <v>13</v>
      </c>
      <c r="E187">
        <v>5</v>
      </c>
      <c r="F187">
        <v>32500</v>
      </c>
      <c r="G187">
        <f>5*4500</f>
        <v>22500</v>
      </c>
      <c r="H187">
        <f>5*2000</f>
        <v>10000</v>
      </c>
    </row>
    <row r="188" spans="1:8" x14ac:dyDescent="0.25">
      <c r="D188" t="s">
        <v>14</v>
      </c>
      <c r="E188">
        <v>5</v>
      </c>
      <c r="F188">
        <v>40000</v>
      </c>
      <c r="G188">
        <f>5*5500</f>
        <v>27500</v>
      </c>
      <c r="H188">
        <f>5*2500</f>
        <v>12500</v>
      </c>
    </row>
    <row r="189" spans="1:8" x14ac:dyDescent="0.25">
      <c r="D189" t="s">
        <v>25</v>
      </c>
      <c r="E189">
        <v>2</v>
      </c>
      <c r="F189">
        <v>26000</v>
      </c>
      <c r="G189">
        <v>20000</v>
      </c>
      <c r="H189">
        <v>6000</v>
      </c>
    </row>
    <row r="190" spans="1:8" x14ac:dyDescent="0.25">
      <c r="A190" s="111" t="s">
        <v>17</v>
      </c>
      <c r="B190" s="111"/>
      <c r="C190" s="111"/>
      <c r="D190" s="111"/>
      <c r="E190" s="111"/>
      <c r="F190" s="1">
        <f>SUM(F183:F189)</f>
        <v>271000</v>
      </c>
      <c r="G190" s="1">
        <f>SUM(G183:G189)</f>
        <v>129500</v>
      </c>
      <c r="H190" s="1">
        <f>SUM(H183:H189)</f>
        <v>141500</v>
      </c>
    </row>
    <row r="191" spans="1:8" x14ac:dyDescent="0.25">
      <c r="A191" t="s">
        <v>18</v>
      </c>
      <c r="B191" t="s">
        <v>262</v>
      </c>
      <c r="C191" t="s">
        <v>219</v>
      </c>
      <c r="D191" t="s">
        <v>11</v>
      </c>
      <c r="E191">
        <f>F191/1500</f>
        <v>32</v>
      </c>
      <c r="F191">
        <v>48000</v>
      </c>
      <c r="G191">
        <f>32*500</f>
        <v>16000</v>
      </c>
      <c r="H191">
        <v>32000</v>
      </c>
    </row>
    <row r="192" spans="1:8" x14ac:dyDescent="0.25">
      <c r="C192" t="s">
        <v>108</v>
      </c>
      <c r="D192" t="s">
        <v>11</v>
      </c>
      <c r="E192">
        <f>F192/1500</f>
        <v>24</v>
      </c>
      <c r="F192">
        <v>36000</v>
      </c>
      <c r="G192">
        <f>24*500</f>
        <v>12000</v>
      </c>
      <c r="H192">
        <v>24000</v>
      </c>
    </row>
    <row r="193" spans="1:8" x14ac:dyDescent="0.25">
      <c r="C193" t="s">
        <v>16</v>
      </c>
      <c r="D193" t="s">
        <v>11</v>
      </c>
      <c r="E193">
        <v>21</v>
      </c>
      <c r="F193">
        <v>31500</v>
      </c>
      <c r="G193">
        <f>21*500</f>
        <v>10500</v>
      </c>
      <c r="H193">
        <v>21000</v>
      </c>
    </row>
    <row r="194" spans="1:8" x14ac:dyDescent="0.25">
      <c r="D194" t="s">
        <v>12</v>
      </c>
      <c r="E194">
        <v>2</v>
      </c>
      <c r="F194">
        <v>6000</v>
      </c>
      <c r="G194">
        <v>4000</v>
      </c>
      <c r="H194">
        <v>2000</v>
      </c>
    </row>
    <row r="195" spans="1:8" x14ac:dyDescent="0.25">
      <c r="C195" t="s">
        <v>235</v>
      </c>
      <c r="D195" t="s">
        <v>25</v>
      </c>
      <c r="E195">
        <v>3</v>
      </c>
      <c r="F195">
        <v>36000</v>
      </c>
      <c r="G195">
        <v>30000</v>
      </c>
      <c r="H195">
        <v>6000</v>
      </c>
    </row>
    <row r="196" spans="1:8" x14ac:dyDescent="0.25">
      <c r="C196" t="s">
        <v>10</v>
      </c>
      <c r="D196" t="s">
        <v>11</v>
      </c>
      <c r="E196">
        <v>10</v>
      </c>
      <c r="F196">
        <v>15000</v>
      </c>
      <c r="G196">
        <v>5000</v>
      </c>
      <c r="H196">
        <v>10000</v>
      </c>
    </row>
    <row r="197" spans="1:8" x14ac:dyDescent="0.25">
      <c r="D197" t="s">
        <v>13</v>
      </c>
      <c r="E197">
        <v>73</v>
      </c>
      <c r="F197">
        <v>474500</v>
      </c>
      <c r="G197">
        <f>73*4500</f>
        <v>328500</v>
      </c>
      <c r="H197">
        <f>73*2000</f>
        <v>146000</v>
      </c>
    </row>
    <row r="198" spans="1:8" x14ac:dyDescent="0.25">
      <c r="D198" t="s">
        <v>14</v>
      </c>
      <c r="E198">
        <v>35</v>
      </c>
      <c r="F198">
        <v>350000</v>
      </c>
      <c r="G198">
        <f>35*5500</f>
        <v>192500</v>
      </c>
      <c r="H198">
        <f>35*4500</f>
        <v>157500</v>
      </c>
    </row>
    <row r="199" spans="1:8" x14ac:dyDescent="0.25">
      <c r="A199" s="111" t="s">
        <v>17</v>
      </c>
      <c r="B199" s="111"/>
      <c r="C199" s="111"/>
      <c r="D199" s="111"/>
      <c r="E199" s="111"/>
      <c r="F199" s="1">
        <f>SUM(F191:F198)</f>
        <v>997000</v>
      </c>
      <c r="G199" s="1">
        <f>SUM(G191:G198)</f>
        <v>598500</v>
      </c>
      <c r="H199" s="1">
        <f>SUM(H191:H198)</f>
        <v>398500</v>
      </c>
    </row>
    <row r="200" spans="1:8" x14ac:dyDescent="0.25">
      <c r="A200" t="s">
        <v>22</v>
      </c>
      <c r="B200" t="s">
        <v>263</v>
      </c>
      <c r="C200" t="s">
        <v>108</v>
      </c>
      <c r="D200" t="s">
        <v>11</v>
      </c>
      <c r="E200">
        <v>18</v>
      </c>
      <c r="F200">
        <f>18*1500</f>
        <v>27000</v>
      </c>
      <c r="G200">
        <f>18*500</f>
        <v>9000</v>
      </c>
      <c r="H200">
        <v>18000</v>
      </c>
    </row>
    <row r="201" spans="1:8" x14ac:dyDescent="0.25">
      <c r="C201" t="s">
        <v>219</v>
      </c>
      <c r="D201" t="s">
        <v>11</v>
      </c>
      <c r="E201">
        <v>16</v>
      </c>
      <c r="F201">
        <f>16*1500</f>
        <v>24000</v>
      </c>
      <c r="G201">
        <f>16*500</f>
        <v>8000</v>
      </c>
      <c r="H201">
        <v>16000</v>
      </c>
    </row>
    <row r="202" spans="1:8" x14ac:dyDescent="0.25">
      <c r="C202" t="s">
        <v>10</v>
      </c>
      <c r="D202" t="s">
        <v>13</v>
      </c>
      <c r="E202">
        <v>19</v>
      </c>
      <c r="F202">
        <v>123500</v>
      </c>
      <c r="G202">
        <f>19*4500</f>
        <v>85500</v>
      </c>
      <c r="H202">
        <f>19*2000</f>
        <v>38000</v>
      </c>
    </row>
    <row r="203" spans="1:8" x14ac:dyDescent="0.25">
      <c r="D203" t="s">
        <v>14</v>
      </c>
      <c r="E203">
        <v>12</v>
      </c>
      <c r="F203">
        <v>96000</v>
      </c>
      <c r="G203">
        <f>12*5500</f>
        <v>66000</v>
      </c>
      <c r="H203">
        <f>12*2500</f>
        <v>30000</v>
      </c>
    </row>
    <row r="204" spans="1:8" x14ac:dyDescent="0.25">
      <c r="C204" t="s">
        <v>217</v>
      </c>
      <c r="D204" t="s">
        <v>13</v>
      </c>
      <c r="E204">
        <v>2</v>
      </c>
      <c r="F204">
        <v>13000</v>
      </c>
      <c r="G204">
        <v>9000</v>
      </c>
      <c r="H204">
        <v>4000</v>
      </c>
    </row>
    <row r="205" spans="1:8" x14ac:dyDescent="0.25">
      <c r="D205" t="s">
        <v>12</v>
      </c>
      <c r="E205">
        <v>6</v>
      </c>
      <c r="F205">
        <f>6*3000</f>
        <v>18000</v>
      </c>
      <c r="G205">
        <v>12000</v>
      </c>
      <c r="H205">
        <v>6000</v>
      </c>
    </row>
    <row r="206" spans="1:8" x14ac:dyDescent="0.25">
      <c r="D206" t="s">
        <v>11</v>
      </c>
      <c r="E206">
        <v>8</v>
      </c>
      <c r="F206">
        <f>8*1500</f>
        <v>12000</v>
      </c>
      <c r="G206">
        <v>4000</v>
      </c>
      <c r="H206">
        <v>8000</v>
      </c>
    </row>
    <row r="207" spans="1:8" x14ac:dyDescent="0.25">
      <c r="C207" t="s">
        <v>16</v>
      </c>
      <c r="D207" t="s">
        <v>11</v>
      </c>
      <c r="E207">
        <v>25</v>
      </c>
      <c r="F207">
        <f>25*1500</f>
        <v>37500</v>
      </c>
      <c r="G207">
        <f>25*500</f>
        <v>12500</v>
      </c>
      <c r="H207">
        <v>25000</v>
      </c>
    </row>
    <row r="208" spans="1:8" x14ac:dyDescent="0.25">
      <c r="A208" s="111" t="s">
        <v>17</v>
      </c>
      <c r="B208" s="111"/>
      <c r="C208" s="111"/>
      <c r="D208" s="111"/>
      <c r="E208" s="111"/>
      <c r="F208" s="1">
        <f>SUM(F200:F207)</f>
        <v>351000</v>
      </c>
      <c r="G208" s="1">
        <f>SUM(G200:G207)</f>
        <v>206000</v>
      </c>
      <c r="H208" s="1">
        <f>SUM(H200:H207)</f>
        <v>145000</v>
      </c>
    </row>
    <row r="209" spans="1:8" x14ac:dyDescent="0.25">
      <c r="A209" t="s">
        <v>26</v>
      </c>
      <c r="B209" t="s">
        <v>264</v>
      </c>
      <c r="C209" t="s">
        <v>77</v>
      </c>
      <c r="D209" t="s">
        <v>11</v>
      </c>
      <c r="E209">
        <v>130</v>
      </c>
      <c r="F209">
        <v>195000</v>
      </c>
      <c r="G209">
        <f>130*500</f>
        <v>65000</v>
      </c>
      <c r="H209">
        <v>130000</v>
      </c>
    </row>
    <row r="210" spans="1:8" x14ac:dyDescent="0.25">
      <c r="A210" s="1"/>
      <c r="B210" s="1"/>
      <c r="C210" s="1"/>
      <c r="D210" s="1"/>
      <c r="E210" s="1">
        <v>140</v>
      </c>
      <c r="F210">
        <v>210000</v>
      </c>
      <c r="G210">
        <f>140*500</f>
        <v>70000</v>
      </c>
      <c r="H210">
        <v>140000</v>
      </c>
    </row>
    <row r="211" spans="1:8" x14ac:dyDescent="0.25">
      <c r="E211">
        <v>140</v>
      </c>
      <c r="F211">
        <v>210000</v>
      </c>
      <c r="G211">
        <v>70000</v>
      </c>
      <c r="H211">
        <v>140000</v>
      </c>
    </row>
    <row r="212" spans="1:8" x14ac:dyDescent="0.25">
      <c r="E212">
        <v>119</v>
      </c>
      <c r="F212">
        <v>178500</v>
      </c>
      <c r="G212">
        <f>119*500</f>
        <v>59500</v>
      </c>
      <c r="H212">
        <v>119000</v>
      </c>
    </row>
    <row r="213" spans="1:8" x14ac:dyDescent="0.25">
      <c r="E213">
        <v>118</v>
      </c>
      <c r="F213">
        <v>177000</v>
      </c>
      <c r="G213">
        <f>118*500</f>
        <v>59000</v>
      </c>
      <c r="H213">
        <v>118000</v>
      </c>
    </row>
    <row r="214" spans="1:8" x14ac:dyDescent="0.25">
      <c r="E214">
        <v>120</v>
      </c>
      <c r="F214">
        <v>180000</v>
      </c>
      <c r="G214">
        <f>120*500</f>
        <v>60000</v>
      </c>
      <c r="H214">
        <v>120000</v>
      </c>
    </row>
    <row r="215" spans="1:8" x14ac:dyDescent="0.25">
      <c r="C215" t="s">
        <v>81</v>
      </c>
      <c r="D215" t="s">
        <v>11</v>
      </c>
      <c r="E215">
        <v>75</v>
      </c>
      <c r="F215">
        <v>135000</v>
      </c>
      <c r="G215">
        <f>75*500</f>
        <v>37500</v>
      </c>
      <c r="H215">
        <f>75*1300</f>
        <v>97500</v>
      </c>
    </row>
    <row r="216" spans="1:8" x14ac:dyDescent="0.25">
      <c r="E216">
        <v>70</v>
      </c>
      <c r="F216">
        <v>126000</v>
      </c>
      <c r="G216">
        <f>70*500</f>
        <v>35000</v>
      </c>
      <c r="H216">
        <f>70*1300</f>
        <v>91000</v>
      </c>
    </row>
    <row r="217" spans="1:8" x14ac:dyDescent="0.25">
      <c r="E217">
        <v>69</v>
      </c>
      <c r="F217">
        <v>124200</v>
      </c>
      <c r="G217">
        <f>69*500</f>
        <v>34500</v>
      </c>
      <c r="H217">
        <f>69*1300</f>
        <v>89700</v>
      </c>
    </row>
    <row r="218" spans="1:8" x14ac:dyDescent="0.25">
      <c r="E218">
        <v>60</v>
      </c>
      <c r="F218">
        <v>108000</v>
      </c>
      <c r="G218">
        <f>60*500</f>
        <v>30000</v>
      </c>
      <c r="H218">
        <f>60*1300</f>
        <v>78000</v>
      </c>
    </row>
    <row r="219" spans="1:8" x14ac:dyDescent="0.25">
      <c r="E219">
        <v>75</v>
      </c>
      <c r="F219">
        <v>135000</v>
      </c>
      <c r="G219">
        <f>75*500</f>
        <v>37500</v>
      </c>
      <c r="H219">
        <f>75*1300</f>
        <v>97500</v>
      </c>
    </row>
    <row r="220" spans="1:8" x14ac:dyDescent="0.25">
      <c r="C220" t="s">
        <v>217</v>
      </c>
      <c r="D220" t="s">
        <v>11</v>
      </c>
      <c r="E220">
        <v>10</v>
      </c>
      <c r="F220">
        <v>15000</v>
      </c>
      <c r="G220">
        <v>5000</v>
      </c>
      <c r="H220">
        <v>10000</v>
      </c>
    </row>
    <row r="221" spans="1:8" x14ac:dyDescent="0.25">
      <c r="D221" t="s">
        <v>13</v>
      </c>
      <c r="E221">
        <v>23</v>
      </c>
      <c r="F221">
        <v>149500</v>
      </c>
      <c r="G221">
        <f>23*4500</f>
        <v>103500</v>
      </c>
      <c r="H221">
        <f>23*2000</f>
        <v>46000</v>
      </c>
    </row>
    <row r="222" spans="1:8" x14ac:dyDescent="0.25">
      <c r="D222" t="s">
        <v>14</v>
      </c>
      <c r="E222">
        <v>24</v>
      </c>
      <c r="F222">
        <v>240000</v>
      </c>
      <c r="G222">
        <f>24*5500</f>
        <v>132000</v>
      </c>
      <c r="H222">
        <f>24*4500</f>
        <v>108000</v>
      </c>
    </row>
    <row r="223" spans="1:8" x14ac:dyDescent="0.25">
      <c r="C223" t="s">
        <v>10</v>
      </c>
      <c r="D223" t="s">
        <v>11</v>
      </c>
      <c r="E223">
        <v>9</v>
      </c>
      <c r="F223">
        <v>13500</v>
      </c>
      <c r="G223">
        <v>4500</v>
      </c>
      <c r="H223">
        <v>9000</v>
      </c>
    </row>
    <row r="224" spans="1:8" x14ac:dyDescent="0.25">
      <c r="D224" t="s">
        <v>12</v>
      </c>
      <c r="E224">
        <v>3</v>
      </c>
      <c r="F224">
        <v>9000</v>
      </c>
      <c r="G224">
        <v>6000</v>
      </c>
      <c r="H224">
        <v>3000</v>
      </c>
    </row>
    <row r="225" spans="1:8" x14ac:dyDescent="0.25">
      <c r="D225" t="s">
        <v>13</v>
      </c>
      <c r="E225">
        <v>9</v>
      </c>
      <c r="F225">
        <v>58500</v>
      </c>
      <c r="G225">
        <f>9*4500</f>
        <v>40500</v>
      </c>
      <c r="H225">
        <v>18000</v>
      </c>
    </row>
    <row r="226" spans="1:8" x14ac:dyDescent="0.25">
      <c r="D226" t="s">
        <v>14</v>
      </c>
      <c r="E226">
        <v>10</v>
      </c>
      <c r="F226">
        <v>80000</v>
      </c>
      <c r="G226">
        <v>55000</v>
      </c>
      <c r="H226">
        <v>25000</v>
      </c>
    </row>
    <row r="227" spans="1:8" x14ac:dyDescent="0.25">
      <c r="C227" t="s">
        <v>39</v>
      </c>
      <c r="D227" t="s">
        <v>13</v>
      </c>
      <c r="E227">
        <v>19</v>
      </c>
      <c r="F227">
        <v>123500</v>
      </c>
      <c r="G227">
        <f>19*4500</f>
        <v>85500</v>
      </c>
      <c r="H227">
        <f>19*2000</f>
        <v>38000</v>
      </c>
    </row>
    <row r="228" spans="1:8" x14ac:dyDescent="0.25">
      <c r="D228" t="s">
        <v>14</v>
      </c>
      <c r="E228">
        <v>4</v>
      </c>
      <c r="F228">
        <v>32000</v>
      </c>
      <c r="G228">
        <f>4*5500</f>
        <v>22000</v>
      </c>
      <c r="H228">
        <v>10000</v>
      </c>
    </row>
    <row r="229" spans="1:8" x14ac:dyDescent="0.25">
      <c r="C229" t="s">
        <v>16</v>
      </c>
      <c r="D229" t="s">
        <v>11</v>
      </c>
      <c r="E229">
        <v>21</v>
      </c>
      <c r="F229">
        <v>31500</v>
      </c>
      <c r="G229">
        <f>21*500</f>
        <v>10500</v>
      </c>
      <c r="H229">
        <v>21000</v>
      </c>
    </row>
    <row r="230" spans="1:8" x14ac:dyDescent="0.25">
      <c r="D230" t="s">
        <v>12</v>
      </c>
      <c r="E230">
        <v>3</v>
      </c>
      <c r="F230">
        <v>9000</v>
      </c>
      <c r="G230">
        <v>6000</v>
      </c>
      <c r="H230">
        <v>3000</v>
      </c>
    </row>
    <row r="231" spans="1:8" x14ac:dyDescent="0.25">
      <c r="D231" t="s">
        <v>13</v>
      </c>
      <c r="E231">
        <v>2</v>
      </c>
      <c r="F231">
        <v>13000</v>
      </c>
      <c r="G231">
        <f>2*4500</f>
        <v>9000</v>
      </c>
      <c r="H231">
        <v>4000</v>
      </c>
    </row>
    <row r="232" spans="1:8" x14ac:dyDescent="0.25">
      <c r="C232" t="s">
        <v>235</v>
      </c>
      <c r="D232" t="s">
        <v>25</v>
      </c>
      <c r="E232">
        <v>3</v>
      </c>
      <c r="F232">
        <v>39000</v>
      </c>
      <c r="G232">
        <v>30000</v>
      </c>
      <c r="H232">
        <v>9000</v>
      </c>
    </row>
    <row r="233" spans="1:8" x14ac:dyDescent="0.25">
      <c r="A233" s="111" t="s">
        <v>17</v>
      </c>
      <c r="B233" s="111"/>
      <c r="C233" s="111"/>
      <c r="D233" s="111"/>
      <c r="E233" s="111"/>
      <c r="F233" s="1">
        <f>SUM(F209:F232)</f>
        <v>2592200</v>
      </c>
      <c r="G233" s="1">
        <f>SUM(G209:G232)</f>
        <v>1067500</v>
      </c>
      <c r="H233" s="1">
        <f>SUM(H209:H232)</f>
        <v>1524700</v>
      </c>
    </row>
    <row r="234" spans="1:8" x14ac:dyDescent="0.25">
      <c r="A234" t="s">
        <v>28</v>
      </c>
      <c r="B234" t="s">
        <v>265</v>
      </c>
      <c r="C234" t="s">
        <v>217</v>
      </c>
      <c r="D234" t="s">
        <v>13</v>
      </c>
      <c r="E234">
        <v>17</v>
      </c>
      <c r="F234">
        <v>110500</v>
      </c>
      <c r="G234">
        <f>17*4500</f>
        <v>76500</v>
      </c>
      <c r="H234">
        <f>17*2000</f>
        <v>34000</v>
      </c>
    </row>
    <row r="235" spans="1:8" x14ac:dyDescent="0.25">
      <c r="D235" t="s">
        <v>14</v>
      </c>
      <c r="E235">
        <v>14</v>
      </c>
      <c r="F235">
        <v>140000</v>
      </c>
      <c r="G235">
        <f>14*5500</f>
        <v>77000</v>
      </c>
      <c r="H235">
        <f>14*4500</f>
        <v>63000</v>
      </c>
    </row>
    <row r="236" spans="1:8" x14ac:dyDescent="0.25">
      <c r="C236" t="s">
        <v>20</v>
      </c>
      <c r="D236" t="s">
        <v>11</v>
      </c>
      <c r="E236">
        <v>15</v>
      </c>
      <c r="F236">
        <v>22500</v>
      </c>
      <c r="G236">
        <f>15*500</f>
        <v>7500</v>
      </c>
      <c r="H236">
        <v>15000</v>
      </c>
    </row>
    <row r="237" spans="1:8" x14ac:dyDescent="0.25">
      <c r="D237" t="s">
        <v>13</v>
      </c>
      <c r="E237">
        <v>23</v>
      </c>
      <c r="F237">
        <v>149500</v>
      </c>
      <c r="G237">
        <f>23*4500</f>
        <v>103500</v>
      </c>
      <c r="H237">
        <f>23*2000</f>
        <v>46000</v>
      </c>
    </row>
    <row r="238" spans="1:8" x14ac:dyDescent="0.25">
      <c r="D238" t="s">
        <v>14</v>
      </c>
      <c r="E238">
        <v>25</v>
      </c>
      <c r="F238">
        <v>250000</v>
      </c>
      <c r="G238">
        <f>25*5500</f>
        <v>137500</v>
      </c>
      <c r="H238">
        <f>25*4500</f>
        <v>112500</v>
      </c>
    </row>
    <row r="239" spans="1:8" x14ac:dyDescent="0.25">
      <c r="C239" t="s">
        <v>16</v>
      </c>
      <c r="D239" t="s">
        <v>11</v>
      </c>
      <c r="E239">
        <v>69</v>
      </c>
      <c r="F239">
        <v>103500</v>
      </c>
      <c r="G239">
        <f>69*500</f>
        <v>34500</v>
      </c>
      <c r="H239">
        <v>69000</v>
      </c>
    </row>
    <row r="240" spans="1:8" x14ac:dyDescent="0.25">
      <c r="D240" t="s">
        <v>12</v>
      </c>
      <c r="E240">
        <v>6</v>
      </c>
      <c r="F240">
        <v>18000</v>
      </c>
      <c r="G240">
        <v>12000</v>
      </c>
      <c r="H240">
        <v>6000</v>
      </c>
    </row>
    <row r="241" spans="1:8" x14ac:dyDescent="0.25">
      <c r="C241" t="s">
        <v>63</v>
      </c>
      <c r="D241" t="s">
        <v>25</v>
      </c>
      <c r="E241">
        <v>3</v>
      </c>
      <c r="F241">
        <v>45000</v>
      </c>
      <c r="G241">
        <v>30000</v>
      </c>
      <c r="H241">
        <v>15000</v>
      </c>
    </row>
    <row r="242" spans="1:8" x14ac:dyDescent="0.25">
      <c r="A242" s="111" t="s">
        <v>17</v>
      </c>
      <c r="B242" s="111"/>
      <c r="C242" s="111"/>
      <c r="D242" s="111"/>
      <c r="E242" s="111"/>
      <c r="F242" s="1">
        <f>SUM(F234:F241)</f>
        <v>839000</v>
      </c>
      <c r="G242" s="1">
        <f>SUM(G234:G241)</f>
        <v>478500</v>
      </c>
      <c r="H242" s="1">
        <f>SUM(H234:H241)</f>
        <v>360500</v>
      </c>
    </row>
    <row r="243" spans="1:8" x14ac:dyDescent="0.25">
      <c r="A243" t="s">
        <v>30</v>
      </c>
      <c r="B243" t="s">
        <v>266</v>
      </c>
      <c r="C243" t="s">
        <v>108</v>
      </c>
      <c r="D243" t="s">
        <v>11</v>
      </c>
      <c r="E243">
        <v>22</v>
      </c>
      <c r="F243">
        <f>22*1500</f>
        <v>33000</v>
      </c>
      <c r="G243">
        <f>22*500</f>
        <v>11000</v>
      </c>
      <c r="H243">
        <v>22000</v>
      </c>
    </row>
    <row r="244" spans="1:8" x14ac:dyDescent="0.25">
      <c r="C244" t="s">
        <v>219</v>
      </c>
      <c r="D244" t="s">
        <v>11</v>
      </c>
      <c r="E244">
        <f>35-11</f>
        <v>24</v>
      </c>
      <c r="F244">
        <f>24*1500</f>
        <v>36000</v>
      </c>
      <c r="G244">
        <f>24*500</f>
        <v>12000</v>
      </c>
      <c r="H244">
        <v>24000</v>
      </c>
    </row>
    <row r="245" spans="1:8" x14ac:dyDescent="0.25">
      <c r="C245" t="s">
        <v>16</v>
      </c>
      <c r="D245" t="s">
        <v>11</v>
      </c>
      <c r="E245">
        <v>34</v>
      </c>
      <c r="F245">
        <v>51000</v>
      </c>
      <c r="G245">
        <f>34*500</f>
        <v>17000</v>
      </c>
      <c r="H245">
        <v>34000</v>
      </c>
    </row>
    <row r="246" spans="1:8" x14ac:dyDescent="0.25">
      <c r="D246" t="s">
        <v>12</v>
      </c>
      <c r="E246">
        <v>3</v>
      </c>
      <c r="F246">
        <v>9000</v>
      </c>
      <c r="G246">
        <v>6000</v>
      </c>
      <c r="H246">
        <v>3000</v>
      </c>
    </row>
    <row r="247" spans="1:8" x14ac:dyDescent="0.25">
      <c r="C247" t="s">
        <v>63</v>
      </c>
      <c r="D247" t="s">
        <v>25</v>
      </c>
      <c r="E247">
        <v>2</v>
      </c>
      <c r="F247">
        <v>30000</v>
      </c>
      <c r="G247">
        <v>20000</v>
      </c>
      <c r="H247">
        <v>10000</v>
      </c>
    </row>
    <row r="248" spans="1:8" x14ac:dyDescent="0.25">
      <c r="C248" t="s">
        <v>217</v>
      </c>
      <c r="D248" t="s">
        <v>11</v>
      </c>
      <c r="E248">
        <v>22</v>
      </c>
      <c r="F248">
        <v>33000</v>
      </c>
      <c r="G248">
        <f>22*500</f>
        <v>11000</v>
      </c>
      <c r="H248">
        <v>22000</v>
      </c>
    </row>
    <row r="249" spans="1:8" x14ac:dyDescent="0.25">
      <c r="D249" t="s">
        <v>12</v>
      </c>
      <c r="E249">
        <v>1</v>
      </c>
      <c r="F249">
        <v>3000</v>
      </c>
      <c r="G249">
        <v>2000</v>
      </c>
      <c r="H249">
        <v>1000</v>
      </c>
    </row>
    <row r="250" spans="1:8" x14ac:dyDescent="0.25">
      <c r="C250" t="s">
        <v>217</v>
      </c>
      <c r="D250" t="s">
        <v>13</v>
      </c>
      <c r="E250">
        <v>13</v>
      </c>
      <c r="F250">
        <v>84500</v>
      </c>
      <c r="G250">
        <f>13*4500</f>
        <v>58500</v>
      </c>
      <c r="H250">
        <f>13*2000</f>
        <v>26000</v>
      </c>
    </row>
    <row r="251" spans="1:8" x14ac:dyDescent="0.25">
      <c r="D251" t="s">
        <v>14</v>
      </c>
      <c r="E251">
        <v>5</v>
      </c>
      <c r="F251">
        <v>40000</v>
      </c>
      <c r="G251">
        <f>5*5500</f>
        <v>27500</v>
      </c>
      <c r="H251">
        <f>5*2500</f>
        <v>12500</v>
      </c>
    </row>
    <row r="252" spans="1:8" x14ac:dyDescent="0.25">
      <c r="D252" t="s">
        <v>14</v>
      </c>
      <c r="E252">
        <v>7</v>
      </c>
      <c r="F252">
        <v>70000</v>
      </c>
      <c r="G252">
        <f>7*5500</f>
        <v>38500</v>
      </c>
      <c r="H252">
        <f>7*4500</f>
        <v>31500</v>
      </c>
    </row>
    <row r="253" spans="1:8" x14ac:dyDescent="0.25">
      <c r="D253" t="s">
        <v>25</v>
      </c>
      <c r="E253">
        <v>3</v>
      </c>
      <c r="F253">
        <v>39000</v>
      </c>
      <c r="G253">
        <v>30000</v>
      </c>
      <c r="H253">
        <v>9000</v>
      </c>
    </row>
    <row r="254" spans="1:8" x14ac:dyDescent="0.25">
      <c r="A254" s="111" t="s">
        <v>17</v>
      </c>
      <c r="B254" s="111"/>
      <c r="C254" s="111"/>
      <c r="D254" s="111"/>
      <c r="E254" s="111"/>
      <c r="F254" s="1">
        <f>SUM(F243:F253)</f>
        <v>428500</v>
      </c>
      <c r="G254" s="1">
        <f>SUM(G243:G253)</f>
        <v>233500</v>
      </c>
      <c r="H254" s="1">
        <f>SUM(H243:H253)</f>
        <v>195000</v>
      </c>
    </row>
    <row r="255" spans="1:8" x14ac:dyDescent="0.25">
      <c r="A255" t="s">
        <v>32</v>
      </c>
      <c r="B255" t="s">
        <v>267</v>
      </c>
      <c r="C255" t="s">
        <v>10</v>
      </c>
      <c r="D255" t="s">
        <v>13</v>
      </c>
      <c r="E255">
        <v>44</v>
      </c>
      <c r="F255">
        <v>286000</v>
      </c>
      <c r="G255">
        <f>44*4500</f>
        <v>198000</v>
      </c>
      <c r="H255">
        <f>44*2000</f>
        <v>88000</v>
      </c>
    </row>
    <row r="256" spans="1:8" x14ac:dyDescent="0.25">
      <c r="D256" t="s">
        <v>14</v>
      </c>
      <c r="E256">
        <v>8</v>
      </c>
      <c r="F256">
        <v>64000</v>
      </c>
      <c r="G256">
        <f>8*5500</f>
        <v>44000</v>
      </c>
      <c r="H256">
        <f>8*2500</f>
        <v>20000</v>
      </c>
    </row>
    <row r="257" spans="1:8" x14ac:dyDescent="0.25">
      <c r="D257" t="s">
        <v>13</v>
      </c>
      <c r="E257">
        <v>3</v>
      </c>
      <c r="F257">
        <v>19500</v>
      </c>
      <c r="G257">
        <f>3*4500</f>
        <v>13500</v>
      </c>
      <c r="H257">
        <v>6000</v>
      </c>
    </row>
    <row r="258" spans="1:8" x14ac:dyDescent="0.25">
      <c r="D258" t="s">
        <v>14</v>
      </c>
      <c r="E258">
        <v>2</v>
      </c>
      <c r="F258">
        <v>20000</v>
      </c>
      <c r="G258">
        <v>11000</v>
      </c>
      <c r="H258">
        <v>9000</v>
      </c>
    </row>
    <row r="259" spans="1:8" x14ac:dyDescent="0.25">
      <c r="C259" t="s">
        <v>16</v>
      </c>
      <c r="D259" t="s">
        <v>11</v>
      </c>
      <c r="E259">
        <v>43</v>
      </c>
      <c r="F259">
        <v>64500</v>
      </c>
      <c r="G259">
        <f>43*500</f>
        <v>21500</v>
      </c>
      <c r="H259">
        <v>43000</v>
      </c>
    </row>
    <row r="260" spans="1:8" x14ac:dyDescent="0.25">
      <c r="D260" t="s">
        <v>12</v>
      </c>
      <c r="E260">
        <v>9</v>
      </c>
      <c r="F260">
        <v>27000</v>
      </c>
      <c r="G260">
        <v>18000</v>
      </c>
      <c r="H260">
        <v>9000</v>
      </c>
    </row>
    <row r="261" spans="1:8" x14ac:dyDescent="0.25">
      <c r="D261" t="s">
        <v>13</v>
      </c>
      <c r="E261">
        <v>1</v>
      </c>
      <c r="F261">
        <v>6500</v>
      </c>
      <c r="G261">
        <v>4500</v>
      </c>
      <c r="H261">
        <v>2000</v>
      </c>
    </row>
    <row r="262" spans="1:8" x14ac:dyDescent="0.25">
      <c r="D262" t="s">
        <v>25</v>
      </c>
      <c r="E262">
        <v>1</v>
      </c>
      <c r="F262">
        <v>13000</v>
      </c>
      <c r="G262">
        <v>10000</v>
      </c>
      <c r="H262">
        <v>3000</v>
      </c>
    </row>
    <row r="263" spans="1:8" x14ac:dyDescent="0.25">
      <c r="C263" t="s">
        <v>63</v>
      </c>
      <c r="D263" t="s">
        <v>25</v>
      </c>
      <c r="E263">
        <v>2</v>
      </c>
      <c r="F263">
        <v>26000</v>
      </c>
      <c r="G263">
        <v>20000</v>
      </c>
      <c r="H263">
        <v>6000</v>
      </c>
    </row>
    <row r="264" spans="1:8" x14ac:dyDescent="0.25">
      <c r="C264" t="s">
        <v>108</v>
      </c>
      <c r="D264" t="s">
        <v>11</v>
      </c>
      <c r="E264">
        <f>F264/1500</f>
        <v>23</v>
      </c>
      <c r="F264">
        <v>34500</v>
      </c>
      <c r="G264">
        <f>23*500</f>
        <v>11500</v>
      </c>
      <c r="H264">
        <v>23000</v>
      </c>
    </row>
    <row r="265" spans="1:8" x14ac:dyDescent="0.25">
      <c r="C265" t="s">
        <v>219</v>
      </c>
      <c r="D265" t="s">
        <v>11</v>
      </c>
      <c r="E265">
        <v>45</v>
      </c>
      <c r="F265">
        <f>45*1500</f>
        <v>67500</v>
      </c>
      <c r="G265">
        <f>45*500</f>
        <v>22500</v>
      </c>
      <c r="H265">
        <v>45000</v>
      </c>
    </row>
    <row r="266" spans="1:8" x14ac:dyDescent="0.25">
      <c r="C266" t="s">
        <v>106</v>
      </c>
      <c r="D266" t="s">
        <v>11</v>
      </c>
      <c r="E266">
        <v>24</v>
      </c>
      <c r="F266">
        <v>36000</v>
      </c>
      <c r="G266">
        <f>24*500</f>
        <v>12000</v>
      </c>
      <c r="H266">
        <v>24000</v>
      </c>
    </row>
    <row r="267" spans="1:8" x14ac:dyDescent="0.25">
      <c r="A267" s="111" t="s">
        <v>17</v>
      </c>
      <c r="B267" s="111"/>
      <c r="C267" s="111"/>
      <c r="D267" s="111"/>
      <c r="E267" s="111"/>
      <c r="F267" s="1">
        <f>SUM(F255:F266)</f>
        <v>664500</v>
      </c>
      <c r="G267" s="1">
        <f>SUM(G255:G266)</f>
        <v>386500</v>
      </c>
      <c r="H267" s="1">
        <f>SUM(H255:H266)</f>
        <v>278000</v>
      </c>
    </row>
    <row r="268" spans="1:8" x14ac:dyDescent="0.25">
      <c r="A268" t="s">
        <v>8</v>
      </c>
      <c r="B268" t="s">
        <v>268</v>
      </c>
      <c r="C268" t="s">
        <v>217</v>
      </c>
      <c r="D268" t="s">
        <v>11</v>
      </c>
      <c r="E268">
        <v>31</v>
      </c>
      <c r="F268">
        <v>46500</v>
      </c>
      <c r="G268">
        <f>31*500</f>
        <v>15500</v>
      </c>
      <c r="H268">
        <v>31000</v>
      </c>
    </row>
    <row r="269" spans="1:8" x14ac:dyDescent="0.25">
      <c r="D269" t="s">
        <v>12</v>
      </c>
      <c r="E269">
        <v>1</v>
      </c>
      <c r="F269">
        <v>3000</v>
      </c>
      <c r="G269">
        <v>2000</v>
      </c>
      <c r="H269">
        <v>1000</v>
      </c>
    </row>
    <row r="270" spans="1:8" x14ac:dyDescent="0.25">
      <c r="D270" t="s">
        <v>13</v>
      </c>
      <c r="E270">
        <v>9</v>
      </c>
      <c r="F270">
        <v>58500</v>
      </c>
      <c r="G270">
        <f>9*4500</f>
        <v>40500</v>
      </c>
      <c r="H270">
        <f>9*2000</f>
        <v>18000</v>
      </c>
    </row>
    <row r="271" spans="1:8" x14ac:dyDescent="0.25">
      <c r="D271" t="s">
        <v>14</v>
      </c>
      <c r="E271">
        <v>7</v>
      </c>
      <c r="F271">
        <v>56000</v>
      </c>
      <c r="G271">
        <f>7*5500</f>
        <v>38500</v>
      </c>
      <c r="H271">
        <f>7*2500</f>
        <v>17500</v>
      </c>
    </row>
    <row r="272" spans="1:8" x14ac:dyDescent="0.25">
      <c r="C272" t="s">
        <v>16</v>
      </c>
      <c r="D272" t="s">
        <v>11</v>
      </c>
      <c r="E272">
        <v>70</v>
      </c>
      <c r="F272">
        <v>105000</v>
      </c>
      <c r="G272">
        <f>70*500</f>
        <v>35000</v>
      </c>
      <c r="H272">
        <v>70000</v>
      </c>
    </row>
    <row r="273" spans="1:8" x14ac:dyDescent="0.25">
      <c r="D273" t="s">
        <v>12</v>
      </c>
      <c r="E273">
        <v>5</v>
      </c>
      <c r="F273">
        <v>15000</v>
      </c>
      <c r="G273">
        <v>10000</v>
      </c>
      <c r="H273">
        <v>5000</v>
      </c>
    </row>
    <row r="274" spans="1:8" x14ac:dyDescent="0.25">
      <c r="D274" t="s">
        <v>14</v>
      </c>
      <c r="E274">
        <v>2</v>
      </c>
      <c r="F274">
        <v>20000</v>
      </c>
      <c r="G274">
        <v>11000</v>
      </c>
      <c r="H274">
        <v>9000</v>
      </c>
    </row>
    <row r="275" spans="1:8" x14ac:dyDescent="0.25">
      <c r="C275" t="s">
        <v>235</v>
      </c>
      <c r="D275" t="s">
        <v>25</v>
      </c>
      <c r="E275">
        <v>2</v>
      </c>
      <c r="F275">
        <v>26000</v>
      </c>
      <c r="G275">
        <v>20000</v>
      </c>
      <c r="H275">
        <v>6000</v>
      </c>
    </row>
    <row r="276" spans="1:8" x14ac:dyDescent="0.25">
      <c r="C276" t="s">
        <v>63</v>
      </c>
      <c r="D276" t="s">
        <v>25</v>
      </c>
      <c r="E276">
        <v>2</v>
      </c>
      <c r="F276">
        <v>30000</v>
      </c>
      <c r="G276">
        <v>20000</v>
      </c>
      <c r="H276">
        <v>10000</v>
      </c>
    </row>
    <row r="277" spans="1:8" x14ac:dyDescent="0.25">
      <c r="C277" t="s">
        <v>10</v>
      </c>
      <c r="D277" t="s">
        <v>11</v>
      </c>
      <c r="E277">
        <v>20</v>
      </c>
      <c r="F277">
        <v>30000</v>
      </c>
      <c r="G277">
        <f>20*500</f>
        <v>10000</v>
      </c>
      <c r="H277">
        <v>20000</v>
      </c>
    </row>
    <row r="278" spans="1:8" x14ac:dyDescent="0.25">
      <c r="D278" t="s">
        <v>13</v>
      </c>
      <c r="E278">
        <v>3</v>
      </c>
      <c r="F278">
        <v>19500</v>
      </c>
      <c r="G278">
        <f>3*4500</f>
        <v>13500</v>
      </c>
      <c r="H278">
        <v>6000</v>
      </c>
    </row>
    <row r="279" spans="1:8" x14ac:dyDescent="0.25">
      <c r="D279" t="s">
        <v>14</v>
      </c>
      <c r="E279">
        <v>7</v>
      </c>
      <c r="F279">
        <v>56000</v>
      </c>
      <c r="G279">
        <f>7*5500</f>
        <v>38500</v>
      </c>
      <c r="H279">
        <f>7*2500</f>
        <v>17500</v>
      </c>
    </row>
    <row r="280" spans="1:8" x14ac:dyDescent="0.25">
      <c r="A280" s="111" t="s">
        <v>17</v>
      </c>
      <c r="B280" s="111"/>
      <c r="C280" s="111"/>
      <c r="D280" s="111"/>
      <c r="E280" s="111"/>
      <c r="F280" s="1">
        <f>SUM(F268:F279)</f>
        <v>465500</v>
      </c>
      <c r="G280" s="1">
        <f>SUM(G268:G279)</f>
        <v>254500</v>
      </c>
      <c r="H280" s="1">
        <f>SUM(H268:H279)</f>
        <v>211000</v>
      </c>
    </row>
    <row r="281" spans="1:8" x14ac:dyDescent="0.25">
      <c r="A281" t="s">
        <v>18</v>
      </c>
      <c r="B281" t="s">
        <v>269</v>
      </c>
      <c r="C281" t="s">
        <v>16</v>
      </c>
      <c r="D281" t="s">
        <v>11</v>
      </c>
      <c r="E281">
        <v>72</v>
      </c>
      <c r="F281">
        <v>108000</v>
      </c>
      <c r="G281">
        <f>72*500</f>
        <v>36000</v>
      </c>
      <c r="H281">
        <v>72000</v>
      </c>
    </row>
    <row r="282" spans="1:8" x14ac:dyDescent="0.25">
      <c r="D282" t="s">
        <v>12</v>
      </c>
      <c r="E282">
        <v>2</v>
      </c>
      <c r="F282">
        <v>6000</v>
      </c>
      <c r="G282">
        <v>4000</v>
      </c>
      <c r="H282">
        <v>2000</v>
      </c>
    </row>
    <row r="283" spans="1:8" x14ac:dyDescent="0.25">
      <c r="D283" t="s">
        <v>13</v>
      </c>
      <c r="E283">
        <v>1</v>
      </c>
      <c r="F283">
        <v>6500</v>
      </c>
      <c r="G283">
        <v>4500</v>
      </c>
      <c r="H283">
        <v>2000</v>
      </c>
    </row>
    <row r="284" spans="1:8" x14ac:dyDescent="0.25">
      <c r="C284" t="s">
        <v>10</v>
      </c>
      <c r="D284" t="s">
        <v>11</v>
      </c>
      <c r="E284">
        <v>4</v>
      </c>
      <c r="F284">
        <v>6000</v>
      </c>
      <c r="G284">
        <v>2000</v>
      </c>
      <c r="H284">
        <v>4000</v>
      </c>
    </row>
    <row r="285" spans="1:8" x14ac:dyDescent="0.25">
      <c r="D285" t="s">
        <v>12</v>
      </c>
      <c r="E285">
        <v>1</v>
      </c>
      <c r="F285">
        <v>3000</v>
      </c>
      <c r="G285">
        <v>2000</v>
      </c>
      <c r="H285">
        <v>1000</v>
      </c>
    </row>
    <row r="286" spans="1:8" x14ac:dyDescent="0.25">
      <c r="D286" t="s">
        <v>13</v>
      </c>
      <c r="E286">
        <v>2</v>
      </c>
      <c r="F286">
        <v>13000</v>
      </c>
      <c r="G286">
        <v>9000</v>
      </c>
      <c r="H286">
        <v>4000</v>
      </c>
    </row>
    <row r="287" spans="1:8" x14ac:dyDescent="0.25">
      <c r="D287" t="s">
        <v>14</v>
      </c>
      <c r="E287">
        <v>2</v>
      </c>
      <c r="F287">
        <v>16000</v>
      </c>
      <c r="G287">
        <v>11000</v>
      </c>
      <c r="H287">
        <v>5000</v>
      </c>
    </row>
    <row r="288" spans="1:8" x14ac:dyDescent="0.25">
      <c r="C288" t="s">
        <v>10</v>
      </c>
      <c r="D288" t="s">
        <v>13</v>
      </c>
      <c r="E288">
        <v>1</v>
      </c>
      <c r="F288">
        <v>6500</v>
      </c>
      <c r="G288">
        <v>4500</v>
      </c>
      <c r="H288">
        <v>2000</v>
      </c>
    </row>
    <row r="289" spans="1:8" x14ac:dyDescent="0.25">
      <c r="D289" t="s">
        <v>14</v>
      </c>
      <c r="E289">
        <v>8</v>
      </c>
      <c r="F289">
        <v>64000</v>
      </c>
      <c r="G289">
        <f>8*5500</f>
        <v>44000</v>
      </c>
      <c r="H289">
        <f>8*2500</f>
        <v>20000</v>
      </c>
    </row>
    <row r="290" spans="1:8" x14ac:dyDescent="0.25">
      <c r="C290" t="s">
        <v>219</v>
      </c>
      <c r="D290" t="s">
        <v>11</v>
      </c>
      <c r="E290">
        <f>F290/1500</f>
        <v>35</v>
      </c>
      <c r="F290" s="34">
        <v>52500</v>
      </c>
      <c r="G290">
        <f>35*500</f>
        <v>17500</v>
      </c>
      <c r="H290">
        <v>35000</v>
      </c>
    </row>
    <row r="291" spans="1:8" x14ac:dyDescent="0.25">
      <c r="C291" t="s">
        <v>106</v>
      </c>
      <c r="D291" t="s">
        <v>11</v>
      </c>
      <c r="E291">
        <v>20</v>
      </c>
      <c r="F291" s="34">
        <v>30000</v>
      </c>
      <c r="G291">
        <f>20*500</f>
        <v>10000</v>
      </c>
      <c r="H291">
        <v>20000</v>
      </c>
    </row>
    <row r="292" spans="1:8" x14ac:dyDescent="0.25">
      <c r="A292" s="111" t="s">
        <v>17</v>
      </c>
      <c r="B292" s="111"/>
      <c r="C292" s="111"/>
      <c r="D292" s="111"/>
      <c r="E292" s="111"/>
      <c r="F292" s="1">
        <f>SUM(F281:F291)</f>
        <v>311500</v>
      </c>
      <c r="G292" s="1">
        <f>SUM(G281:G291)</f>
        <v>144500</v>
      </c>
      <c r="H292" s="1">
        <f>SUM(H281:H291)</f>
        <v>167000</v>
      </c>
    </row>
    <row r="293" spans="1:8" x14ac:dyDescent="0.25">
      <c r="A293" t="s">
        <v>22</v>
      </c>
      <c r="B293" t="s">
        <v>270</v>
      </c>
      <c r="C293" t="s">
        <v>219</v>
      </c>
      <c r="D293" t="s">
        <v>11</v>
      </c>
      <c r="E293">
        <v>60</v>
      </c>
      <c r="F293" s="34">
        <v>108000</v>
      </c>
      <c r="G293">
        <f>60*500</f>
        <v>30000</v>
      </c>
      <c r="H293">
        <f>60*1300</f>
        <v>78000</v>
      </c>
    </row>
    <row r="294" spans="1:8" x14ac:dyDescent="0.25">
      <c r="C294" t="s">
        <v>108</v>
      </c>
      <c r="D294" t="s">
        <v>11</v>
      </c>
      <c r="E294">
        <v>28</v>
      </c>
      <c r="F294" s="34">
        <v>42000</v>
      </c>
      <c r="G294">
        <f>28*500</f>
        <v>14000</v>
      </c>
      <c r="H294">
        <v>28000</v>
      </c>
    </row>
    <row r="295" spans="1:8" x14ac:dyDescent="0.25">
      <c r="C295" t="s">
        <v>81</v>
      </c>
      <c r="D295" t="s">
        <v>11</v>
      </c>
      <c r="E295">
        <f>F295/1800</f>
        <v>58</v>
      </c>
      <c r="F295" s="34">
        <v>104400</v>
      </c>
      <c r="G295">
        <f>58*500</f>
        <v>29000</v>
      </c>
      <c r="H295">
        <f>58*1300</f>
        <v>75400</v>
      </c>
    </row>
    <row r="296" spans="1:8" x14ac:dyDescent="0.25">
      <c r="D296" t="s">
        <v>11</v>
      </c>
      <c r="E296">
        <f>F296/1800</f>
        <v>50</v>
      </c>
      <c r="F296" s="34">
        <v>90000</v>
      </c>
      <c r="G296">
        <f>50*500</f>
        <v>25000</v>
      </c>
      <c r="H296">
        <f>50*1300</f>
        <v>65000</v>
      </c>
    </row>
    <row r="297" spans="1:8" x14ac:dyDescent="0.25">
      <c r="D297" t="s">
        <v>11</v>
      </c>
      <c r="E297">
        <f>F297/1800</f>
        <v>66</v>
      </c>
      <c r="F297" s="34">
        <v>118800</v>
      </c>
      <c r="G297">
        <f>66*500</f>
        <v>33000</v>
      </c>
      <c r="H297">
        <f>66*1300</f>
        <v>85800</v>
      </c>
    </row>
    <row r="298" spans="1:8" x14ac:dyDescent="0.25">
      <c r="D298" t="s">
        <v>11</v>
      </c>
      <c r="E298">
        <v>50</v>
      </c>
      <c r="F298" s="34">
        <v>90000</v>
      </c>
      <c r="G298">
        <v>25000</v>
      </c>
      <c r="H298">
        <v>65000</v>
      </c>
    </row>
    <row r="299" spans="1:8" x14ac:dyDescent="0.25">
      <c r="D299" t="s">
        <v>11</v>
      </c>
      <c r="E299">
        <v>50</v>
      </c>
      <c r="F299" s="34">
        <v>90000</v>
      </c>
      <c r="G299">
        <v>25000</v>
      </c>
      <c r="H299">
        <v>65000</v>
      </c>
    </row>
    <row r="300" spans="1:8" x14ac:dyDescent="0.25">
      <c r="D300" t="s">
        <v>11</v>
      </c>
      <c r="E300">
        <f>F300/1800</f>
        <v>75</v>
      </c>
      <c r="F300" s="34">
        <v>135000</v>
      </c>
      <c r="G300">
        <f>75*500</f>
        <v>37500</v>
      </c>
      <c r="H300">
        <f>75*1300</f>
        <v>97500</v>
      </c>
    </row>
    <row r="301" spans="1:8" x14ac:dyDescent="0.25">
      <c r="D301" t="s">
        <v>11</v>
      </c>
      <c r="E301">
        <f>F301/1500</f>
        <v>30</v>
      </c>
      <c r="F301" s="34">
        <v>45000</v>
      </c>
      <c r="G301">
        <f>30*500</f>
        <v>15000</v>
      </c>
      <c r="H301">
        <v>30000</v>
      </c>
    </row>
    <row r="302" spans="1:8" x14ac:dyDescent="0.25">
      <c r="C302" t="s">
        <v>16</v>
      </c>
      <c r="D302" t="s">
        <v>11</v>
      </c>
      <c r="E302">
        <v>12</v>
      </c>
      <c r="F302" s="34">
        <v>18000</v>
      </c>
      <c r="G302">
        <f>12*500</f>
        <v>6000</v>
      </c>
      <c r="H302">
        <v>12000</v>
      </c>
    </row>
    <row r="303" spans="1:8" x14ac:dyDescent="0.25">
      <c r="D303" t="s">
        <v>12</v>
      </c>
      <c r="E303">
        <v>4</v>
      </c>
      <c r="F303" s="34">
        <v>12000</v>
      </c>
      <c r="G303">
        <v>8000</v>
      </c>
      <c r="H303">
        <v>4000</v>
      </c>
    </row>
    <row r="304" spans="1:8" x14ac:dyDescent="0.25">
      <c r="D304" t="s">
        <v>13</v>
      </c>
      <c r="E304">
        <v>1</v>
      </c>
      <c r="F304" s="34">
        <v>6500</v>
      </c>
      <c r="G304">
        <v>4500</v>
      </c>
      <c r="H304">
        <v>2000</v>
      </c>
    </row>
    <row r="305" spans="1:8" x14ac:dyDescent="0.25">
      <c r="D305" t="s">
        <v>14</v>
      </c>
      <c r="E305">
        <v>2</v>
      </c>
      <c r="F305" s="34">
        <v>20000</v>
      </c>
      <c r="G305">
        <v>11000</v>
      </c>
      <c r="H305">
        <v>9000</v>
      </c>
    </row>
    <row r="306" spans="1:8" x14ac:dyDescent="0.25">
      <c r="C306" t="s">
        <v>217</v>
      </c>
      <c r="D306" t="s">
        <v>13</v>
      </c>
      <c r="E306">
        <v>6</v>
      </c>
      <c r="F306" s="34">
        <v>39000</v>
      </c>
      <c r="G306">
        <f>6*4500</f>
        <v>27000</v>
      </c>
      <c r="H306">
        <v>12000</v>
      </c>
    </row>
    <row r="307" spans="1:8" x14ac:dyDescent="0.25">
      <c r="D307" t="s">
        <v>14</v>
      </c>
      <c r="E307">
        <v>5</v>
      </c>
      <c r="F307" s="34">
        <v>40000</v>
      </c>
      <c r="G307">
        <f>5*5500</f>
        <v>27500</v>
      </c>
      <c r="H307">
        <f>5*2500</f>
        <v>12500</v>
      </c>
    </row>
    <row r="308" spans="1:8" x14ac:dyDescent="0.25">
      <c r="A308" s="111" t="s">
        <v>17</v>
      </c>
      <c r="B308" s="111"/>
      <c r="C308" s="111"/>
      <c r="D308" s="111"/>
      <c r="E308" s="111"/>
      <c r="F308" s="1">
        <f>SUM(F293:F307)</f>
        <v>958700</v>
      </c>
      <c r="G308" s="1">
        <f>SUM(G293:G307)</f>
        <v>317500</v>
      </c>
      <c r="H308" s="1">
        <f>SUM(H293:H307)</f>
        <v>641200</v>
      </c>
    </row>
    <row r="309" spans="1:8" x14ac:dyDescent="0.25">
      <c r="A309" t="s">
        <v>26</v>
      </c>
      <c r="B309" t="s">
        <v>270</v>
      </c>
      <c r="C309" t="s">
        <v>16</v>
      </c>
      <c r="D309" t="s">
        <v>11</v>
      </c>
      <c r="E309">
        <v>57</v>
      </c>
      <c r="F309" s="34">
        <v>85500</v>
      </c>
      <c r="G309">
        <f>57*500</f>
        <v>28500</v>
      </c>
      <c r="H309">
        <v>57000</v>
      </c>
    </row>
    <row r="310" spans="1:8" x14ac:dyDescent="0.25">
      <c r="D310" t="s">
        <v>12</v>
      </c>
      <c r="E310">
        <v>9</v>
      </c>
      <c r="F310" s="34">
        <v>27000</v>
      </c>
      <c r="G310">
        <v>18000</v>
      </c>
      <c r="H310">
        <v>9000</v>
      </c>
    </row>
    <row r="311" spans="1:8" x14ac:dyDescent="0.25">
      <c r="D311" t="s">
        <v>14</v>
      </c>
      <c r="E311">
        <v>1</v>
      </c>
      <c r="F311" s="34">
        <v>10000</v>
      </c>
      <c r="G311">
        <v>5500</v>
      </c>
      <c r="H311">
        <v>4500</v>
      </c>
    </row>
    <row r="312" spans="1:8" x14ac:dyDescent="0.25">
      <c r="C312" t="s">
        <v>217</v>
      </c>
      <c r="D312" t="s">
        <v>13</v>
      </c>
      <c r="E312">
        <v>4</v>
      </c>
      <c r="F312" s="34">
        <v>26000</v>
      </c>
      <c r="G312">
        <f>4*4500</f>
        <v>18000</v>
      </c>
      <c r="H312">
        <v>8000</v>
      </c>
    </row>
    <row r="313" spans="1:8" x14ac:dyDescent="0.25">
      <c r="D313" t="s">
        <v>14</v>
      </c>
      <c r="E313">
        <v>1</v>
      </c>
      <c r="F313" s="34">
        <v>10000</v>
      </c>
      <c r="G313">
        <v>5500</v>
      </c>
      <c r="H313">
        <v>4500</v>
      </c>
    </row>
    <row r="314" spans="1:8" x14ac:dyDescent="0.25">
      <c r="D314" t="s">
        <v>14</v>
      </c>
      <c r="E314">
        <v>9</v>
      </c>
      <c r="F314" s="34">
        <v>72000</v>
      </c>
      <c r="G314">
        <f>9*5500</f>
        <v>49500</v>
      </c>
      <c r="H314">
        <f>9*2500</f>
        <v>22500</v>
      </c>
    </row>
    <row r="315" spans="1:8" x14ac:dyDescent="0.25">
      <c r="C315" t="s">
        <v>10</v>
      </c>
      <c r="D315" t="s">
        <v>11</v>
      </c>
      <c r="E315">
        <v>12</v>
      </c>
      <c r="F315" s="34">
        <v>18000</v>
      </c>
      <c r="G315">
        <f>12*500</f>
        <v>6000</v>
      </c>
      <c r="H315">
        <v>12000</v>
      </c>
    </row>
    <row r="316" spans="1:8" x14ac:dyDescent="0.25">
      <c r="D316" t="s">
        <v>13</v>
      </c>
      <c r="E316">
        <v>5</v>
      </c>
      <c r="F316" s="34">
        <v>32500</v>
      </c>
      <c r="G316">
        <f>5*4500</f>
        <v>22500</v>
      </c>
      <c r="H316">
        <v>10000</v>
      </c>
    </row>
    <row r="317" spans="1:8" x14ac:dyDescent="0.25">
      <c r="D317" t="s">
        <v>14</v>
      </c>
      <c r="E317">
        <v>5</v>
      </c>
      <c r="F317" s="34">
        <v>40000</v>
      </c>
      <c r="G317">
        <f>5*5500</f>
        <v>27500</v>
      </c>
      <c r="H317">
        <f>5*2500</f>
        <v>12500</v>
      </c>
    </row>
    <row r="318" spans="1:8" x14ac:dyDescent="0.25">
      <c r="C318" t="s">
        <v>10</v>
      </c>
      <c r="D318" t="s">
        <v>13</v>
      </c>
      <c r="E318">
        <v>16</v>
      </c>
      <c r="F318">
        <v>104000</v>
      </c>
      <c r="G318">
        <f>16*4500</f>
        <v>72000</v>
      </c>
      <c r="H318">
        <f>16*2000</f>
        <v>32000</v>
      </c>
    </row>
    <row r="319" spans="1:8" x14ac:dyDescent="0.25">
      <c r="D319" t="s">
        <v>14</v>
      </c>
      <c r="E319">
        <v>3</v>
      </c>
      <c r="F319">
        <v>30000</v>
      </c>
      <c r="G319">
        <f>3*5500</f>
        <v>16500</v>
      </c>
      <c r="H319">
        <f>3*4500</f>
        <v>13500</v>
      </c>
    </row>
    <row r="320" spans="1:8" x14ac:dyDescent="0.25">
      <c r="D320" t="s">
        <v>14</v>
      </c>
      <c r="E320">
        <v>8</v>
      </c>
      <c r="F320">
        <v>64000</v>
      </c>
      <c r="G320">
        <f>8*5500</f>
        <v>44000</v>
      </c>
      <c r="H320">
        <f>8*2500</f>
        <v>20000</v>
      </c>
    </row>
    <row r="321" spans="1:8" x14ac:dyDescent="0.25">
      <c r="A321" s="111" t="s">
        <v>17</v>
      </c>
      <c r="B321" s="111"/>
      <c r="C321" s="111"/>
      <c r="D321" s="111"/>
      <c r="E321" s="111"/>
      <c r="F321" s="1">
        <f>SUM(F309:F320)</f>
        <v>519000</v>
      </c>
      <c r="G321" s="1">
        <f>SUM(G309:G320)</f>
        <v>313500</v>
      </c>
      <c r="H321" s="1">
        <f>SUM(H309:H320)</f>
        <v>205500</v>
      </c>
    </row>
    <row r="322" spans="1:8" x14ac:dyDescent="0.25">
      <c r="A322" t="s">
        <v>28</v>
      </c>
      <c r="B322" t="s">
        <v>271</v>
      </c>
      <c r="C322" t="s">
        <v>20</v>
      </c>
      <c r="D322" t="s">
        <v>11</v>
      </c>
      <c r="E322">
        <v>15</v>
      </c>
      <c r="F322">
        <v>22500</v>
      </c>
      <c r="G322">
        <f>15*500</f>
        <v>7500</v>
      </c>
      <c r="H322">
        <v>15000</v>
      </c>
    </row>
    <row r="323" spans="1:8" x14ac:dyDescent="0.25">
      <c r="D323" t="s">
        <v>13</v>
      </c>
      <c r="E323">
        <v>20</v>
      </c>
      <c r="F323">
        <v>130000</v>
      </c>
      <c r="G323">
        <f>20*4500</f>
        <v>90000</v>
      </c>
      <c r="H323">
        <f>20*2000</f>
        <v>40000</v>
      </c>
    </row>
    <row r="324" spans="1:8" x14ac:dyDescent="0.25">
      <c r="D324" t="s">
        <v>14</v>
      </c>
      <c r="E324">
        <v>32</v>
      </c>
      <c r="F324">
        <v>320000</v>
      </c>
      <c r="G324">
        <f>32*5500</f>
        <v>176000</v>
      </c>
      <c r="H324">
        <f>32*4500</f>
        <v>144000</v>
      </c>
    </row>
    <row r="325" spans="1:8" x14ac:dyDescent="0.25">
      <c r="D325" t="s">
        <v>25</v>
      </c>
      <c r="E325">
        <v>1</v>
      </c>
      <c r="F325">
        <v>15000</v>
      </c>
      <c r="G325">
        <v>10000</v>
      </c>
      <c r="H325">
        <v>5000</v>
      </c>
    </row>
    <row r="326" spans="1:8" x14ac:dyDescent="0.25">
      <c r="C326" t="s">
        <v>217</v>
      </c>
      <c r="D326" t="s">
        <v>13</v>
      </c>
      <c r="E326">
        <v>16</v>
      </c>
      <c r="F326">
        <v>104000</v>
      </c>
      <c r="G326">
        <f>16*4500</f>
        <v>72000</v>
      </c>
      <c r="H326">
        <f>16*2000</f>
        <v>32000</v>
      </c>
    </row>
    <row r="327" spans="1:8" x14ac:dyDescent="0.25">
      <c r="D327" t="s">
        <v>14</v>
      </c>
      <c r="E327">
        <v>8</v>
      </c>
      <c r="F327">
        <v>80000</v>
      </c>
      <c r="G327">
        <f>8*5500</f>
        <v>44000</v>
      </c>
      <c r="H327">
        <f>8*4500</f>
        <v>36000</v>
      </c>
    </row>
    <row r="328" spans="1:8" x14ac:dyDescent="0.25">
      <c r="C328" t="s">
        <v>16</v>
      </c>
      <c r="D328" t="s">
        <v>11</v>
      </c>
      <c r="E328">
        <v>57</v>
      </c>
      <c r="F328">
        <v>76500</v>
      </c>
      <c r="G328">
        <f>57*500</f>
        <v>28500</v>
      </c>
      <c r="H328">
        <v>57000</v>
      </c>
    </row>
    <row r="329" spans="1:8" x14ac:dyDescent="0.25">
      <c r="D329" t="s">
        <v>12</v>
      </c>
      <c r="E329">
        <v>13</v>
      </c>
      <c r="F329">
        <v>39000</v>
      </c>
      <c r="G329">
        <f>13*2000</f>
        <v>26000</v>
      </c>
      <c r="H329">
        <v>13000</v>
      </c>
    </row>
    <row r="330" spans="1:8" x14ac:dyDescent="0.25">
      <c r="D330" t="s">
        <v>13</v>
      </c>
      <c r="E330">
        <v>1</v>
      </c>
      <c r="F330">
        <v>6500</v>
      </c>
      <c r="G330">
        <v>4500</v>
      </c>
      <c r="H330">
        <v>2000</v>
      </c>
    </row>
    <row r="331" spans="1:8" x14ac:dyDescent="0.25">
      <c r="A331" s="111" t="s">
        <v>17</v>
      </c>
      <c r="B331" s="111"/>
      <c r="C331" s="111"/>
      <c r="D331" s="111"/>
      <c r="E331" s="111"/>
      <c r="F331" s="1">
        <f>SUM(F322:F330)</f>
        <v>793500</v>
      </c>
      <c r="G331" s="1">
        <f>SUM(G322:G330)</f>
        <v>458500</v>
      </c>
      <c r="H331" s="1">
        <f>SUM(H322:H330)</f>
        <v>344000</v>
      </c>
    </row>
    <row r="332" spans="1:8" x14ac:dyDescent="0.25">
      <c r="A332" t="s">
        <v>30</v>
      </c>
      <c r="B332" t="s">
        <v>272</v>
      </c>
      <c r="C332" t="s">
        <v>10</v>
      </c>
      <c r="D332" t="s">
        <v>13</v>
      </c>
      <c r="E332">
        <v>54</v>
      </c>
      <c r="F332">
        <v>351000</v>
      </c>
      <c r="G332">
        <f>54*4500</f>
        <v>243000</v>
      </c>
      <c r="H332">
        <f>54*2000</f>
        <v>108000</v>
      </c>
    </row>
    <row r="333" spans="1:8" x14ac:dyDescent="0.25">
      <c r="C333" t="s">
        <v>28</v>
      </c>
      <c r="D333" t="s">
        <v>14</v>
      </c>
      <c r="E333">
        <v>46</v>
      </c>
      <c r="F333">
        <v>460000</v>
      </c>
      <c r="G333">
        <f>46*5500</f>
        <v>253000</v>
      </c>
      <c r="H333">
        <f>46*4500</f>
        <v>207000</v>
      </c>
    </row>
    <row r="334" spans="1:8" x14ac:dyDescent="0.25">
      <c r="D334" t="s">
        <v>12</v>
      </c>
      <c r="E334">
        <v>4</v>
      </c>
      <c r="F334">
        <v>12000</v>
      </c>
      <c r="G334">
        <v>8000</v>
      </c>
      <c r="H334">
        <v>4000</v>
      </c>
    </row>
    <row r="335" spans="1:8" x14ac:dyDescent="0.25">
      <c r="D335" t="s">
        <v>11</v>
      </c>
      <c r="E335">
        <v>80</v>
      </c>
      <c r="F335">
        <v>120000</v>
      </c>
      <c r="G335">
        <f>80*500</f>
        <v>40000</v>
      </c>
      <c r="H335">
        <v>80000</v>
      </c>
    </row>
    <row r="336" spans="1:8" x14ac:dyDescent="0.25">
      <c r="C336" t="s">
        <v>10</v>
      </c>
      <c r="D336" t="s">
        <v>13</v>
      </c>
      <c r="E336">
        <v>2</v>
      </c>
      <c r="F336">
        <v>13000</v>
      </c>
      <c r="G336">
        <v>9000</v>
      </c>
      <c r="H336">
        <v>4000</v>
      </c>
    </row>
    <row r="337" spans="1:8" x14ac:dyDescent="0.25">
      <c r="D337" t="s">
        <v>14</v>
      </c>
      <c r="E337">
        <v>4</v>
      </c>
      <c r="F337">
        <v>32000</v>
      </c>
      <c r="G337">
        <f>4*5500</f>
        <v>22000</v>
      </c>
      <c r="H337">
        <v>10000</v>
      </c>
    </row>
    <row r="338" spans="1:8" x14ac:dyDescent="0.25">
      <c r="C338" t="s">
        <v>273</v>
      </c>
      <c r="D338" t="s">
        <v>13</v>
      </c>
      <c r="E338">
        <v>2</v>
      </c>
      <c r="F338">
        <v>13000</v>
      </c>
      <c r="G338">
        <v>9000</v>
      </c>
      <c r="H338">
        <v>4000</v>
      </c>
    </row>
    <row r="339" spans="1:8" x14ac:dyDescent="0.25">
      <c r="D339" t="s">
        <v>14</v>
      </c>
      <c r="E339">
        <v>1</v>
      </c>
      <c r="F339">
        <v>10000</v>
      </c>
      <c r="G339">
        <v>5500</v>
      </c>
      <c r="H339">
        <v>4500</v>
      </c>
    </row>
    <row r="340" spans="1:8" x14ac:dyDescent="0.25">
      <c r="C340" t="s">
        <v>16</v>
      </c>
      <c r="D340" t="s">
        <v>11</v>
      </c>
      <c r="E340">
        <v>24</v>
      </c>
      <c r="F340">
        <v>36000</v>
      </c>
      <c r="G340">
        <f>24*500</f>
        <v>12000</v>
      </c>
      <c r="H340">
        <v>24000</v>
      </c>
    </row>
    <row r="341" spans="1:8" x14ac:dyDescent="0.25">
      <c r="D341" t="s">
        <v>12</v>
      </c>
      <c r="E341">
        <v>1</v>
      </c>
      <c r="F341">
        <v>3000</v>
      </c>
      <c r="G341">
        <v>2000</v>
      </c>
      <c r="H341">
        <v>1000</v>
      </c>
    </row>
    <row r="342" spans="1:8" x14ac:dyDescent="0.25">
      <c r="A342" s="111" t="s">
        <v>17</v>
      </c>
      <c r="B342" s="111"/>
      <c r="C342" s="111"/>
      <c r="D342" s="111"/>
      <c r="E342" s="111"/>
      <c r="F342" s="1">
        <f>SUM(F332:F341)</f>
        <v>1050000</v>
      </c>
      <c r="G342" s="1">
        <f>SUM(G332:G341)</f>
        <v>603500</v>
      </c>
      <c r="H342" s="1">
        <f>SUM(H332:H341)</f>
        <v>446500</v>
      </c>
    </row>
    <row r="343" spans="1:8" x14ac:dyDescent="0.25">
      <c r="A343" t="s">
        <v>32</v>
      </c>
      <c r="B343" t="s">
        <v>274</v>
      </c>
      <c r="C343" t="s">
        <v>217</v>
      </c>
      <c r="D343" t="s">
        <v>11</v>
      </c>
      <c r="E343">
        <v>40</v>
      </c>
      <c r="F343">
        <v>60000</v>
      </c>
      <c r="G343">
        <f>40*500</f>
        <v>20000</v>
      </c>
      <c r="H343">
        <v>40000</v>
      </c>
    </row>
    <row r="344" spans="1:8" x14ac:dyDescent="0.25">
      <c r="D344" t="s">
        <v>13</v>
      </c>
      <c r="E344">
        <v>5</v>
      </c>
      <c r="F344">
        <v>32500</v>
      </c>
      <c r="G344">
        <f>5*4500</f>
        <v>22500</v>
      </c>
      <c r="H344">
        <v>10000</v>
      </c>
    </row>
    <row r="345" spans="1:8" x14ac:dyDescent="0.25">
      <c r="D345" t="s">
        <v>14</v>
      </c>
      <c r="E345">
        <v>2</v>
      </c>
      <c r="F345">
        <v>16000</v>
      </c>
      <c r="G345">
        <v>11000</v>
      </c>
      <c r="H345">
        <v>5000</v>
      </c>
    </row>
    <row r="346" spans="1:8" x14ac:dyDescent="0.25">
      <c r="C346" t="s">
        <v>10</v>
      </c>
      <c r="D346" t="s">
        <v>13</v>
      </c>
      <c r="E346">
        <v>6</v>
      </c>
      <c r="F346">
        <v>39000</v>
      </c>
      <c r="G346">
        <f>6*4500</f>
        <v>27000</v>
      </c>
      <c r="H346">
        <v>12000</v>
      </c>
    </row>
    <row r="347" spans="1:8" x14ac:dyDescent="0.25">
      <c r="D347" t="s">
        <v>14</v>
      </c>
      <c r="E347">
        <v>6</v>
      </c>
      <c r="F347">
        <v>48000</v>
      </c>
      <c r="G347">
        <f>6*5500</f>
        <v>33000</v>
      </c>
      <c r="H347">
        <f>6*2500</f>
        <v>15000</v>
      </c>
    </row>
    <row r="348" spans="1:8" x14ac:dyDescent="0.25">
      <c r="D348" t="s">
        <v>12</v>
      </c>
      <c r="E348">
        <v>4</v>
      </c>
      <c r="F348">
        <v>12000</v>
      </c>
      <c r="G348">
        <v>8000</v>
      </c>
      <c r="H348">
        <v>4000</v>
      </c>
    </row>
    <row r="349" spans="1:8" x14ac:dyDescent="0.25">
      <c r="C349" t="s">
        <v>10</v>
      </c>
      <c r="D349" t="s">
        <v>13</v>
      </c>
      <c r="E349">
        <v>2</v>
      </c>
      <c r="F349">
        <v>13000</v>
      </c>
      <c r="G349">
        <v>9000</v>
      </c>
      <c r="H349">
        <v>4000</v>
      </c>
    </row>
    <row r="350" spans="1:8" x14ac:dyDescent="0.25">
      <c r="D350" t="s">
        <v>14</v>
      </c>
      <c r="E350">
        <v>1</v>
      </c>
      <c r="F350">
        <v>8000</v>
      </c>
      <c r="G350">
        <v>5500</v>
      </c>
      <c r="H350">
        <v>2500</v>
      </c>
    </row>
    <row r="351" spans="1:8" x14ac:dyDescent="0.25">
      <c r="C351" t="s">
        <v>16</v>
      </c>
      <c r="D351" t="s">
        <v>11</v>
      </c>
      <c r="E351">
        <v>43</v>
      </c>
      <c r="F351">
        <v>64500</v>
      </c>
      <c r="G351">
        <f>43*500</f>
        <v>21500</v>
      </c>
      <c r="H351">
        <v>43000</v>
      </c>
    </row>
    <row r="352" spans="1:8" x14ac:dyDescent="0.25">
      <c r="D352" t="s">
        <v>12</v>
      </c>
      <c r="E352">
        <v>2</v>
      </c>
      <c r="F352">
        <v>6000</v>
      </c>
      <c r="G352">
        <v>4000</v>
      </c>
      <c r="H352">
        <v>2000</v>
      </c>
    </row>
    <row r="353" spans="1:8" x14ac:dyDescent="0.25">
      <c r="D353" t="s">
        <v>13</v>
      </c>
      <c r="E353">
        <v>1</v>
      </c>
      <c r="F353">
        <v>6500</v>
      </c>
      <c r="G353">
        <v>4500</v>
      </c>
      <c r="H353">
        <v>2000</v>
      </c>
    </row>
    <row r="354" spans="1:8" x14ac:dyDescent="0.25">
      <c r="D354" t="s">
        <v>14</v>
      </c>
      <c r="E354">
        <v>1</v>
      </c>
      <c r="F354">
        <v>10000</v>
      </c>
      <c r="G354">
        <v>5500</v>
      </c>
      <c r="H354">
        <v>4500</v>
      </c>
    </row>
    <row r="355" spans="1:8" x14ac:dyDescent="0.25">
      <c r="D355" t="s">
        <v>25</v>
      </c>
      <c r="E355">
        <v>1</v>
      </c>
      <c r="F355">
        <v>13000</v>
      </c>
      <c r="G355">
        <v>10000</v>
      </c>
      <c r="H355">
        <v>3000</v>
      </c>
    </row>
    <row r="356" spans="1:8" x14ac:dyDescent="0.25">
      <c r="A356" s="111" t="s">
        <v>17</v>
      </c>
      <c r="B356" s="111"/>
      <c r="C356" s="111"/>
      <c r="D356" s="111"/>
      <c r="E356" s="111"/>
      <c r="F356" s="1">
        <f>SUM(F343:F355)</f>
        <v>328500</v>
      </c>
      <c r="G356" s="1">
        <f>SUM(G343:G355)</f>
        <v>181500</v>
      </c>
      <c r="H356" s="1">
        <f>SUM(H343:H355)</f>
        <v>147000</v>
      </c>
    </row>
    <row r="357" spans="1:8" x14ac:dyDescent="0.25">
      <c r="A357" t="s">
        <v>8</v>
      </c>
      <c r="B357" t="s">
        <v>275</v>
      </c>
      <c r="C357" t="s">
        <v>16</v>
      </c>
      <c r="D357" t="s">
        <v>11</v>
      </c>
      <c r="E357">
        <v>63</v>
      </c>
      <c r="F357">
        <v>94500</v>
      </c>
      <c r="G357">
        <f>63*500</f>
        <v>31500</v>
      </c>
      <c r="H357">
        <v>63000</v>
      </c>
    </row>
    <row r="358" spans="1:8" x14ac:dyDescent="0.25">
      <c r="D358" t="s">
        <v>12</v>
      </c>
      <c r="E358">
        <v>5</v>
      </c>
      <c r="F358">
        <v>15000</v>
      </c>
      <c r="G358">
        <v>10000</v>
      </c>
      <c r="H358">
        <v>5000</v>
      </c>
    </row>
    <row r="359" spans="1:8" x14ac:dyDescent="0.25">
      <c r="D359" t="s">
        <v>13</v>
      </c>
      <c r="E359">
        <v>3</v>
      </c>
      <c r="F359">
        <v>19500</v>
      </c>
      <c r="G359">
        <f>3*4500</f>
        <v>13500</v>
      </c>
      <c r="H359">
        <v>6000</v>
      </c>
    </row>
    <row r="360" spans="1:8" x14ac:dyDescent="0.25">
      <c r="D360" t="s">
        <v>14</v>
      </c>
      <c r="E360">
        <v>2</v>
      </c>
      <c r="F360">
        <v>20000</v>
      </c>
      <c r="G360">
        <v>11000</v>
      </c>
      <c r="H360">
        <v>9000</v>
      </c>
    </row>
    <row r="361" spans="1:8" x14ac:dyDescent="0.25">
      <c r="D361" t="s">
        <v>25</v>
      </c>
      <c r="E361">
        <v>1</v>
      </c>
      <c r="F361">
        <v>13000</v>
      </c>
      <c r="G361">
        <v>10000</v>
      </c>
      <c r="H361">
        <v>3000</v>
      </c>
    </row>
    <row r="362" spans="1:8" x14ac:dyDescent="0.25">
      <c r="C362" t="s">
        <v>217</v>
      </c>
      <c r="D362" t="s">
        <v>13</v>
      </c>
      <c r="E362">
        <v>3</v>
      </c>
      <c r="F362">
        <v>19500</v>
      </c>
      <c r="G362">
        <v>13500</v>
      </c>
      <c r="H362">
        <v>6000</v>
      </c>
    </row>
    <row r="363" spans="1:8" x14ac:dyDescent="0.25">
      <c r="D363" t="s">
        <v>14</v>
      </c>
      <c r="E363">
        <v>3</v>
      </c>
      <c r="F363">
        <v>24000</v>
      </c>
      <c r="G363">
        <f>3*5500</f>
        <v>16500</v>
      </c>
      <c r="H363">
        <v>7500</v>
      </c>
    </row>
    <row r="364" spans="1:8" x14ac:dyDescent="0.25">
      <c r="C364" t="s">
        <v>273</v>
      </c>
      <c r="D364" t="s">
        <v>11</v>
      </c>
      <c r="E364">
        <v>10</v>
      </c>
      <c r="F364">
        <v>15000</v>
      </c>
      <c r="G364">
        <v>5000</v>
      </c>
      <c r="H364">
        <v>10000</v>
      </c>
    </row>
    <row r="365" spans="1:8" x14ac:dyDescent="0.25">
      <c r="D365" t="s">
        <v>13</v>
      </c>
      <c r="E365">
        <v>3</v>
      </c>
      <c r="F365">
        <v>19500</v>
      </c>
      <c r="G365">
        <v>13500</v>
      </c>
      <c r="H365">
        <v>6000</v>
      </c>
    </row>
    <row r="366" spans="1:8" x14ac:dyDescent="0.25">
      <c r="A366" s="111" t="s">
        <v>17</v>
      </c>
      <c r="B366" s="111"/>
      <c r="C366" s="111"/>
      <c r="D366" s="111"/>
      <c r="E366" s="111"/>
      <c r="F366" s="1">
        <f>SUM(F357:F365)</f>
        <v>240000</v>
      </c>
      <c r="G366" s="1">
        <f>SUM(G357:G365)</f>
        <v>124500</v>
      </c>
      <c r="H366" s="1">
        <f>SUM(H357:H365)</f>
        <v>115500</v>
      </c>
    </row>
    <row r="367" spans="1:8" x14ac:dyDescent="0.25">
      <c r="A367" t="s">
        <v>18</v>
      </c>
      <c r="B367" t="s">
        <v>276</v>
      </c>
      <c r="C367" t="s">
        <v>10</v>
      </c>
      <c r="D367" t="s">
        <v>11</v>
      </c>
      <c r="E367">
        <v>14</v>
      </c>
      <c r="F367">
        <v>21000</v>
      </c>
      <c r="G367">
        <f>14*500</f>
        <v>7000</v>
      </c>
      <c r="H367">
        <v>14000</v>
      </c>
    </row>
    <row r="368" spans="1:8" x14ac:dyDescent="0.25">
      <c r="C368" t="s">
        <v>8</v>
      </c>
      <c r="D368" t="s">
        <v>13</v>
      </c>
      <c r="E368">
        <v>8</v>
      </c>
      <c r="F368">
        <v>52000</v>
      </c>
      <c r="G368">
        <f>8*4500</f>
        <v>36000</v>
      </c>
      <c r="H368">
        <v>16000</v>
      </c>
    </row>
    <row r="369" spans="1:8" x14ac:dyDescent="0.25">
      <c r="D369" t="s">
        <v>14</v>
      </c>
      <c r="E369">
        <v>2</v>
      </c>
      <c r="F369">
        <v>16000</v>
      </c>
      <c r="G369">
        <v>11000</v>
      </c>
      <c r="H369">
        <v>5000</v>
      </c>
    </row>
    <row r="370" spans="1:8" x14ac:dyDescent="0.25">
      <c r="C370" t="s">
        <v>10</v>
      </c>
      <c r="D370" t="s">
        <v>11</v>
      </c>
      <c r="E370">
        <v>6</v>
      </c>
      <c r="F370">
        <v>9000</v>
      </c>
      <c r="G370">
        <f>6*500</f>
        <v>3000</v>
      </c>
      <c r="H370">
        <v>6000</v>
      </c>
    </row>
    <row r="371" spans="1:8" x14ac:dyDescent="0.25">
      <c r="D371" t="s">
        <v>13</v>
      </c>
      <c r="E371">
        <v>4</v>
      </c>
      <c r="F371">
        <v>26000</v>
      </c>
      <c r="G371">
        <v>18000</v>
      </c>
      <c r="H371">
        <v>8000</v>
      </c>
    </row>
    <row r="372" spans="1:8" x14ac:dyDescent="0.25">
      <c r="D372" t="s">
        <v>14</v>
      </c>
      <c r="E372">
        <v>8</v>
      </c>
      <c r="F372">
        <v>64000</v>
      </c>
      <c r="G372">
        <f>8*5500</f>
        <v>44000</v>
      </c>
      <c r="H372">
        <f>8*2500</f>
        <v>20000</v>
      </c>
    </row>
    <row r="373" spans="1:8" x14ac:dyDescent="0.25">
      <c r="C373" t="s">
        <v>16</v>
      </c>
      <c r="D373" t="s">
        <v>11</v>
      </c>
      <c r="E373">
        <v>27</v>
      </c>
      <c r="F373">
        <v>40500</v>
      </c>
      <c r="G373">
        <f>27*500</f>
        <v>13500</v>
      </c>
      <c r="H373">
        <v>27000</v>
      </c>
    </row>
    <row r="374" spans="1:8" x14ac:dyDescent="0.25">
      <c r="D374" t="s">
        <v>12</v>
      </c>
      <c r="E374">
        <v>5</v>
      </c>
      <c r="F374">
        <v>15000</v>
      </c>
      <c r="G374">
        <v>10000</v>
      </c>
      <c r="H374">
        <v>5000</v>
      </c>
    </row>
    <row r="375" spans="1:8" x14ac:dyDescent="0.25">
      <c r="D375" t="s">
        <v>13</v>
      </c>
      <c r="E375">
        <v>1</v>
      </c>
      <c r="F375">
        <v>6500</v>
      </c>
      <c r="G375">
        <v>4500</v>
      </c>
      <c r="H375">
        <v>2000</v>
      </c>
    </row>
    <row r="376" spans="1:8" x14ac:dyDescent="0.25">
      <c r="A376" s="111" t="s">
        <v>17</v>
      </c>
      <c r="B376" s="111"/>
      <c r="C376" s="111"/>
      <c r="D376" s="111"/>
      <c r="E376" s="111"/>
      <c r="F376" s="1">
        <f>SUM(F367:F375)</f>
        <v>250000</v>
      </c>
      <c r="G376" s="1">
        <f>SUM(G367:G375)</f>
        <v>147000</v>
      </c>
      <c r="H376" s="1">
        <f>SUM(H367:H375)</f>
        <v>103000</v>
      </c>
    </row>
  </sheetData>
  <mergeCells count="32">
    <mergeCell ref="A11:E11"/>
    <mergeCell ref="A36:E36"/>
    <mergeCell ref="A103:E103"/>
    <mergeCell ref="A49:E49"/>
    <mergeCell ref="A63:E63"/>
    <mergeCell ref="A90:E90"/>
    <mergeCell ref="A23:E23"/>
    <mergeCell ref="A77:E77"/>
    <mergeCell ref="A114:E114"/>
    <mergeCell ref="A376:E376"/>
    <mergeCell ref="A125:E125"/>
    <mergeCell ref="A159:E159"/>
    <mergeCell ref="A141:E141"/>
    <mergeCell ref="A199:E199"/>
    <mergeCell ref="A280:E280"/>
    <mergeCell ref="A342:E342"/>
    <mergeCell ref="A356:E356"/>
    <mergeCell ref="A366:E366"/>
    <mergeCell ref="L160:Q160"/>
    <mergeCell ref="L161:N162"/>
    <mergeCell ref="A208:E208"/>
    <mergeCell ref="A331:E331"/>
    <mergeCell ref="A242:E242"/>
    <mergeCell ref="A321:E321"/>
    <mergeCell ref="A267:E267"/>
    <mergeCell ref="A254:E254"/>
    <mergeCell ref="A308:E308"/>
    <mergeCell ref="A292:E292"/>
    <mergeCell ref="A190:E190"/>
    <mergeCell ref="A170:E170"/>
    <mergeCell ref="A182:E182"/>
    <mergeCell ref="A233:E233"/>
  </mergeCell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37"/>
  <sheetViews>
    <sheetView topLeftCell="A340" workbookViewId="0">
      <selection activeCell="I350" sqref="I350"/>
    </sheetView>
  </sheetViews>
  <sheetFormatPr defaultRowHeight="15" x14ac:dyDescent="0.25"/>
  <cols>
    <col min="1" max="1" width="10" bestFit="1" customWidth="1"/>
    <col min="2" max="2" width="11.140625" customWidth="1"/>
    <col min="3" max="3" width="18.42578125" bestFit="1" customWidth="1"/>
    <col min="4" max="4" width="10.140625" bestFit="1" customWidth="1"/>
    <col min="5" max="5" width="6" customWidth="1"/>
    <col min="6" max="6" width="10.5703125" customWidth="1"/>
    <col min="7" max="7" width="9.140625" customWidth="1"/>
    <col min="8" max="8" width="10.5703125" customWidth="1"/>
  </cols>
  <sheetData>
    <row r="1" spans="1:8" x14ac:dyDescent="0.25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</row>
    <row r="2" spans="1:8" x14ac:dyDescent="0.25">
      <c r="A2" s="38" t="s">
        <v>22</v>
      </c>
      <c r="B2" s="38">
        <v>44568</v>
      </c>
      <c r="C2" s="38" t="s">
        <v>217</v>
      </c>
      <c r="D2" s="38" t="s">
        <v>13</v>
      </c>
      <c r="E2" s="38">
        <v>6</v>
      </c>
      <c r="F2" s="38">
        <v>39000</v>
      </c>
      <c r="G2" s="38">
        <f>6*4500</f>
        <v>27000</v>
      </c>
      <c r="H2" s="38">
        <v>12000</v>
      </c>
    </row>
    <row r="3" spans="1:8" x14ac:dyDescent="0.25">
      <c r="A3" s="38"/>
      <c r="B3" s="38"/>
      <c r="C3" s="38"/>
      <c r="D3" s="38" t="s">
        <v>14</v>
      </c>
      <c r="E3" s="38">
        <v>5</v>
      </c>
      <c r="F3" s="38">
        <v>40000</v>
      </c>
      <c r="G3" s="38">
        <f>5*5500</f>
        <v>27500</v>
      </c>
      <c r="H3" s="38">
        <f>5*2500</f>
        <v>12500</v>
      </c>
    </row>
    <row r="4" spans="1:8" x14ac:dyDescent="0.25">
      <c r="A4" s="38"/>
      <c r="B4" s="38"/>
      <c r="C4" s="38" t="s">
        <v>10</v>
      </c>
      <c r="D4" s="38" t="s">
        <v>14</v>
      </c>
      <c r="E4" s="38">
        <v>4</v>
      </c>
      <c r="F4" s="38">
        <v>32000</v>
      </c>
      <c r="G4" s="38">
        <f>4*5500</f>
        <v>22000</v>
      </c>
      <c r="H4" s="38">
        <f>4*2500</f>
        <v>10000</v>
      </c>
    </row>
    <row r="5" spans="1:8" x14ac:dyDescent="0.25">
      <c r="A5" s="38"/>
      <c r="B5" s="38"/>
      <c r="C5" s="38"/>
      <c r="D5" s="38" t="s">
        <v>13</v>
      </c>
      <c r="E5" s="38">
        <v>2</v>
      </c>
      <c r="F5" s="38">
        <v>13000</v>
      </c>
      <c r="G5" s="38">
        <v>9000</v>
      </c>
      <c r="H5" s="38">
        <v>4000</v>
      </c>
    </row>
    <row r="6" spans="1:8" x14ac:dyDescent="0.25">
      <c r="A6" s="38"/>
      <c r="B6" s="38"/>
      <c r="C6" s="38"/>
      <c r="D6" s="38" t="s">
        <v>14</v>
      </c>
      <c r="E6" s="38">
        <v>4</v>
      </c>
      <c r="F6" s="38">
        <v>32000</v>
      </c>
      <c r="G6" s="38">
        <f>4*5500</f>
        <v>22000</v>
      </c>
      <c r="H6" s="38">
        <v>10000</v>
      </c>
    </row>
    <row r="7" spans="1:8" x14ac:dyDescent="0.25">
      <c r="A7" s="38"/>
      <c r="B7" s="38"/>
      <c r="C7" s="38" t="s">
        <v>16</v>
      </c>
      <c r="D7" s="38" t="s">
        <v>11</v>
      </c>
      <c r="E7" s="38">
        <v>20</v>
      </c>
      <c r="F7" s="38">
        <v>30000</v>
      </c>
      <c r="G7" s="38">
        <f>20*500</f>
        <v>10000</v>
      </c>
      <c r="H7" s="38">
        <v>20000</v>
      </c>
    </row>
    <row r="8" spans="1:8" x14ac:dyDescent="0.25">
      <c r="A8" s="38"/>
      <c r="B8" s="38"/>
      <c r="C8" s="38"/>
      <c r="D8" s="38" t="s">
        <v>25</v>
      </c>
      <c r="E8" s="38">
        <v>1</v>
      </c>
      <c r="F8" s="38">
        <v>13000</v>
      </c>
      <c r="G8" s="38">
        <v>10000</v>
      </c>
      <c r="H8" s="38">
        <v>3000</v>
      </c>
    </row>
    <row r="9" spans="1:8" x14ac:dyDescent="0.25">
      <c r="A9" s="125" t="s">
        <v>17</v>
      </c>
      <c r="B9" s="125"/>
      <c r="C9" s="125"/>
      <c r="D9" s="125"/>
      <c r="E9" s="125"/>
      <c r="F9" s="17">
        <f>SUM(F2:F8)</f>
        <v>199000</v>
      </c>
      <c r="G9" s="17">
        <f>SUM(G2:G8)</f>
        <v>127500</v>
      </c>
      <c r="H9" s="17">
        <f>SUM(H2:H8)</f>
        <v>71500</v>
      </c>
    </row>
    <row r="10" spans="1:8" x14ac:dyDescent="0.25">
      <c r="A10" s="38" t="s">
        <v>26</v>
      </c>
      <c r="B10" s="38">
        <v>44599</v>
      </c>
      <c r="C10" s="38" t="s">
        <v>16</v>
      </c>
      <c r="D10" s="38" t="s">
        <v>11</v>
      </c>
      <c r="E10" s="38">
        <v>75</v>
      </c>
      <c r="F10" s="38">
        <v>112500</v>
      </c>
      <c r="G10" s="38">
        <f>75*500</f>
        <v>37500</v>
      </c>
      <c r="H10" s="38">
        <v>75000</v>
      </c>
    </row>
    <row r="11" spans="1:8" x14ac:dyDescent="0.25">
      <c r="A11" s="38"/>
      <c r="B11" s="38"/>
      <c r="C11" s="38"/>
      <c r="D11" s="38" t="s">
        <v>12</v>
      </c>
      <c r="E11" s="38">
        <v>6</v>
      </c>
      <c r="F11" s="38">
        <v>18000</v>
      </c>
      <c r="G11" s="38">
        <f>6*2000</f>
        <v>12000</v>
      </c>
      <c r="H11" s="38">
        <v>6000</v>
      </c>
    </row>
    <row r="12" spans="1:8" x14ac:dyDescent="0.25">
      <c r="A12" s="38"/>
      <c r="B12" s="38"/>
      <c r="C12" s="38"/>
      <c r="D12" s="38" t="s">
        <v>13</v>
      </c>
      <c r="E12" s="38">
        <v>3</v>
      </c>
      <c r="F12" s="38">
        <v>19500</v>
      </c>
      <c r="G12" s="38">
        <f>3*4500</f>
        <v>13500</v>
      </c>
      <c r="H12" s="38">
        <v>6000</v>
      </c>
    </row>
    <row r="13" spans="1:8" x14ac:dyDescent="0.25">
      <c r="A13" s="38"/>
      <c r="B13" s="38"/>
      <c r="C13" s="38"/>
      <c r="D13" s="38" t="s">
        <v>14</v>
      </c>
      <c r="E13" s="38">
        <v>1</v>
      </c>
      <c r="F13" s="38">
        <v>10000</v>
      </c>
      <c r="G13" s="38">
        <v>5500</v>
      </c>
      <c r="H13" s="38">
        <v>4500</v>
      </c>
    </row>
    <row r="14" spans="1:8" x14ac:dyDescent="0.25">
      <c r="A14" s="38"/>
      <c r="B14" s="38"/>
      <c r="C14" s="38"/>
      <c r="D14" s="38" t="s">
        <v>25</v>
      </c>
      <c r="E14" s="38">
        <v>2</v>
      </c>
      <c r="F14" s="38">
        <v>26000</v>
      </c>
      <c r="G14" s="38">
        <v>20000</v>
      </c>
      <c r="H14" s="38">
        <v>6000</v>
      </c>
    </row>
    <row r="15" spans="1:8" x14ac:dyDescent="0.25">
      <c r="A15" s="38"/>
      <c r="B15" s="38"/>
      <c r="C15" s="38" t="s">
        <v>217</v>
      </c>
      <c r="D15" s="38" t="s">
        <v>13</v>
      </c>
      <c r="E15" s="38">
        <v>5</v>
      </c>
      <c r="F15" s="38">
        <v>32500</v>
      </c>
      <c r="G15" s="38">
        <f>5*4500</f>
        <v>22500</v>
      </c>
      <c r="H15" s="38">
        <v>10000</v>
      </c>
    </row>
    <row r="16" spans="1:8" x14ac:dyDescent="0.25">
      <c r="A16" s="38"/>
      <c r="B16" s="38"/>
      <c r="C16" s="38"/>
      <c r="D16" s="38" t="s">
        <v>14</v>
      </c>
      <c r="E16" s="38">
        <v>3</v>
      </c>
      <c r="F16" s="38">
        <v>24000</v>
      </c>
      <c r="G16" s="38">
        <f>3*5500</f>
        <v>16500</v>
      </c>
      <c r="H16" s="38">
        <f>3*2500</f>
        <v>7500</v>
      </c>
    </row>
    <row r="17" spans="1:8" x14ac:dyDescent="0.25">
      <c r="A17" s="38"/>
      <c r="B17" s="38"/>
      <c r="C17" s="38"/>
      <c r="D17" s="38" t="s">
        <v>11</v>
      </c>
      <c r="E17" s="38">
        <v>20</v>
      </c>
      <c r="F17" s="38">
        <v>30000</v>
      </c>
      <c r="G17" s="38">
        <f>20*500</f>
        <v>10000</v>
      </c>
      <c r="H17" s="38">
        <v>20000</v>
      </c>
    </row>
    <row r="18" spans="1:8" x14ac:dyDescent="0.25">
      <c r="A18" s="38"/>
      <c r="B18" s="38"/>
      <c r="C18" s="38" t="s">
        <v>10</v>
      </c>
      <c r="D18" s="38" t="s">
        <v>13</v>
      </c>
      <c r="E18" s="38">
        <v>19</v>
      </c>
      <c r="F18" s="38">
        <v>123500</v>
      </c>
      <c r="G18" s="38">
        <f>19*4500</f>
        <v>85500</v>
      </c>
      <c r="H18" s="38">
        <f>19*2000</f>
        <v>38000</v>
      </c>
    </row>
    <row r="19" spans="1:8" x14ac:dyDescent="0.25">
      <c r="A19" s="38"/>
      <c r="B19" s="38"/>
      <c r="C19" s="38"/>
      <c r="D19" s="38" t="s">
        <v>14</v>
      </c>
      <c r="E19" s="38">
        <v>15</v>
      </c>
      <c r="F19" s="38">
        <v>120000</v>
      </c>
      <c r="G19" s="38">
        <f>15*5500</f>
        <v>82500</v>
      </c>
      <c r="H19" s="38">
        <f>15*2500</f>
        <v>37500</v>
      </c>
    </row>
    <row r="20" spans="1:8" x14ac:dyDescent="0.25">
      <c r="A20" s="125" t="s">
        <v>17</v>
      </c>
      <c r="B20" s="125"/>
      <c r="C20" s="125"/>
      <c r="D20" s="125"/>
      <c r="E20" s="125"/>
      <c r="F20" s="17">
        <f>SUM(F10:F19)</f>
        <v>516000</v>
      </c>
      <c r="G20" s="17">
        <f>SUM(G10:G19)</f>
        <v>305500</v>
      </c>
      <c r="H20" s="17">
        <f>SUM(H10:H19)</f>
        <v>210500</v>
      </c>
    </row>
    <row r="21" spans="1:8" x14ac:dyDescent="0.25">
      <c r="A21" s="38" t="s">
        <v>28</v>
      </c>
      <c r="B21" s="38">
        <v>44627</v>
      </c>
      <c r="C21" s="38" t="s">
        <v>10</v>
      </c>
      <c r="D21" s="38" t="s">
        <v>13</v>
      </c>
      <c r="E21" s="38">
        <v>12</v>
      </c>
      <c r="F21" s="38">
        <v>78000</v>
      </c>
      <c r="G21" s="38">
        <f>12*4500</f>
        <v>54000</v>
      </c>
      <c r="H21" s="38">
        <f>12*2000</f>
        <v>24000</v>
      </c>
    </row>
    <row r="22" spans="1:8" x14ac:dyDescent="0.25">
      <c r="A22" s="38"/>
      <c r="B22" s="38"/>
      <c r="C22" s="38"/>
      <c r="D22" s="38" t="s">
        <v>14</v>
      </c>
      <c r="E22" s="38">
        <v>10</v>
      </c>
      <c r="F22" s="38">
        <v>80000</v>
      </c>
      <c r="G22" s="38">
        <f>10*5500</f>
        <v>55000</v>
      </c>
      <c r="H22" s="38">
        <f>10*2500</f>
        <v>25000</v>
      </c>
    </row>
    <row r="23" spans="1:8" x14ac:dyDescent="0.25">
      <c r="A23" s="38"/>
      <c r="B23" s="38"/>
      <c r="C23" s="38" t="s">
        <v>273</v>
      </c>
      <c r="D23" s="38" t="s">
        <v>13</v>
      </c>
      <c r="E23" s="38">
        <v>8</v>
      </c>
      <c r="F23" s="38">
        <v>52000</v>
      </c>
      <c r="G23" s="38">
        <f>8*4500</f>
        <v>36000</v>
      </c>
      <c r="H23" s="38">
        <v>16000</v>
      </c>
    </row>
    <row r="24" spans="1:8" x14ac:dyDescent="0.25">
      <c r="A24" s="38"/>
      <c r="B24" s="38"/>
      <c r="C24" s="38"/>
      <c r="D24" s="38" t="s">
        <v>14</v>
      </c>
      <c r="E24" s="38">
        <v>4</v>
      </c>
      <c r="F24" s="38">
        <v>40000</v>
      </c>
      <c r="G24" s="38">
        <f>4*5500</f>
        <v>22000</v>
      </c>
      <c r="H24" s="38">
        <f>4*4500</f>
        <v>18000</v>
      </c>
    </row>
    <row r="25" spans="1:8" x14ac:dyDescent="0.25">
      <c r="A25" s="38"/>
      <c r="B25" s="38"/>
      <c r="C25" s="38" t="s">
        <v>217</v>
      </c>
      <c r="D25" s="38" t="s">
        <v>13</v>
      </c>
      <c r="E25" s="38">
        <v>17</v>
      </c>
      <c r="F25" s="38">
        <v>110500</v>
      </c>
      <c r="G25" s="38">
        <f>17*4500</f>
        <v>76500</v>
      </c>
      <c r="H25" s="38">
        <f>17*2000</f>
        <v>34000</v>
      </c>
    </row>
    <row r="26" spans="1:8" x14ac:dyDescent="0.25">
      <c r="A26" s="38"/>
      <c r="B26" s="38"/>
      <c r="C26" s="38"/>
      <c r="D26" s="38" t="s">
        <v>14</v>
      </c>
      <c r="E26" s="38">
        <v>1</v>
      </c>
      <c r="F26" s="38">
        <v>8000</v>
      </c>
      <c r="G26" s="38">
        <v>5500</v>
      </c>
      <c r="H26" s="38">
        <v>2500</v>
      </c>
    </row>
    <row r="27" spans="1:8" x14ac:dyDescent="0.25">
      <c r="A27" s="38"/>
      <c r="B27" s="38"/>
      <c r="C27" s="38"/>
      <c r="D27" s="38" t="s">
        <v>14</v>
      </c>
      <c r="E27" s="38">
        <v>13</v>
      </c>
      <c r="F27" s="38">
        <v>130000</v>
      </c>
      <c r="G27" s="38">
        <f>13*5500</f>
        <v>71500</v>
      </c>
      <c r="H27" s="38">
        <f>13*4500</f>
        <v>58500</v>
      </c>
    </row>
    <row r="28" spans="1:8" x14ac:dyDescent="0.25">
      <c r="A28" s="38"/>
      <c r="B28" s="38"/>
      <c r="C28" s="38" t="s">
        <v>20</v>
      </c>
      <c r="D28" s="38" t="s">
        <v>13</v>
      </c>
      <c r="E28" s="38">
        <v>31</v>
      </c>
      <c r="F28" s="38">
        <v>201500</v>
      </c>
      <c r="G28" s="38">
        <f>31*4500</f>
        <v>139500</v>
      </c>
      <c r="H28" s="38">
        <f>31*2000</f>
        <v>62000</v>
      </c>
    </row>
    <row r="29" spans="1:8" x14ac:dyDescent="0.25">
      <c r="A29" s="38"/>
      <c r="B29" s="38"/>
      <c r="C29" s="38"/>
      <c r="D29" s="38" t="s">
        <v>14</v>
      </c>
      <c r="E29" s="38">
        <v>34</v>
      </c>
      <c r="F29" s="38">
        <v>340000</v>
      </c>
      <c r="G29" s="38">
        <f>34*5500</f>
        <v>187000</v>
      </c>
      <c r="H29" s="38">
        <f>34*4500</f>
        <v>153000</v>
      </c>
    </row>
    <row r="30" spans="1:8" x14ac:dyDescent="0.25">
      <c r="A30" s="38"/>
      <c r="B30" s="38"/>
      <c r="C30" s="38" t="s">
        <v>10</v>
      </c>
      <c r="D30" s="38" t="s">
        <v>13</v>
      </c>
      <c r="E30" s="38">
        <v>12</v>
      </c>
      <c r="F30" s="38">
        <v>78000</v>
      </c>
      <c r="G30" s="38">
        <f>12*4500</f>
        <v>54000</v>
      </c>
      <c r="H30" s="38">
        <f>12*2000</f>
        <v>24000</v>
      </c>
    </row>
    <row r="31" spans="1:8" x14ac:dyDescent="0.25">
      <c r="A31" s="38"/>
      <c r="B31" s="38"/>
      <c r="C31" s="38"/>
      <c r="D31" s="38" t="s">
        <v>14</v>
      </c>
      <c r="E31" s="38">
        <v>10</v>
      </c>
      <c r="F31" s="38">
        <v>80000</v>
      </c>
      <c r="G31" s="38">
        <f>10*5500</f>
        <v>55000</v>
      </c>
      <c r="H31" s="38">
        <f>10*2500</f>
        <v>25000</v>
      </c>
    </row>
    <row r="32" spans="1:8" x14ac:dyDescent="0.25">
      <c r="A32" s="125" t="s">
        <v>17</v>
      </c>
      <c r="B32" s="125"/>
      <c r="C32" s="125"/>
      <c r="D32" s="125"/>
      <c r="E32" s="125"/>
      <c r="F32" s="17">
        <f>SUM(F21:F31)</f>
        <v>1198000</v>
      </c>
      <c r="G32" s="17">
        <f>SUM(G21:G31)</f>
        <v>756000</v>
      </c>
      <c r="H32" s="17">
        <f>SUM(H21:H31)</f>
        <v>442000</v>
      </c>
    </row>
    <row r="33" spans="1:8" x14ac:dyDescent="0.25">
      <c r="A33" s="38" t="s">
        <v>30</v>
      </c>
      <c r="B33" s="38">
        <v>44658</v>
      </c>
      <c r="C33" s="38" t="s">
        <v>16</v>
      </c>
      <c r="D33" s="38" t="s">
        <v>11</v>
      </c>
      <c r="E33" s="38">
        <v>40</v>
      </c>
      <c r="F33" s="38">
        <v>60000</v>
      </c>
      <c r="G33" s="38">
        <f>40*500</f>
        <v>20000</v>
      </c>
      <c r="H33" s="38">
        <v>40000</v>
      </c>
    </row>
    <row r="34" spans="1:8" x14ac:dyDescent="0.25">
      <c r="A34" s="38"/>
      <c r="B34" s="38"/>
      <c r="C34" s="38"/>
      <c r="D34" s="38" t="s">
        <v>12</v>
      </c>
      <c r="E34" s="38">
        <v>1</v>
      </c>
      <c r="F34" s="38">
        <v>3000</v>
      </c>
      <c r="G34" s="38">
        <v>2000</v>
      </c>
      <c r="H34" s="38">
        <v>1000</v>
      </c>
    </row>
    <row r="35" spans="1:8" x14ac:dyDescent="0.25">
      <c r="A35" s="38"/>
      <c r="B35" s="38"/>
      <c r="C35" s="38"/>
      <c r="D35" s="38" t="s">
        <v>25</v>
      </c>
      <c r="E35" s="38">
        <v>1</v>
      </c>
      <c r="F35" s="38">
        <v>13000</v>
      </c>
      <c r="G35" s="38">
        <v>10000</v>
      </c>
      <c r="H35" s="38">
        <v>3000</v>
      </c>
    </row>
    <row r="36" spans="1:8" x14ac:dyDescent="0.25">
      <c r="A36" s="38"/>
      <c r="B36" s="38"/>
      <c r="C36" s="38" t="s">
        <v>217</v>
      </c>
      <c r="D36" s="38" t="s">
        <v>13</v>
      </c>
      <c r="E36" s="38">
        <v>6</v>
      </c>
      <c r="F36" s="38">
        <v>39000</v>
      </c>
      <c r="G36" s="38">
        <f>6*4500</f>
        <v>27000</v>
      </c>
      <c r="H36" s="38">
        <v>12000</v>
      </c>
    </row>
    <row r="37" spans="1:8" x14ac:dyDescent="0.25">
      <c r="A37" s="38"/>
      <c r="B37" s="38"/>
      <c r="C37" s="38"/>
      <c r="D37" s="38" t="s">
        <v>14</v>
      </c>
      <c r="E37" s="38">
        <v>5</v>
      </c>
      <c r="F37" s="38">
        <v>40000</v>
      </c>
      <c r="G37" s="38">
        <f>5*5500</f>
        <v>27500</v>
      </c>
      <c r="H37" s="38">
        <v>12500</v>
      </c>
    </row>
    <row r="38" spans="1:8" x14ac:dyDescent="0.25">
      <c r="A38" s="38"/>
      <c r="B38" s="38"/>
      <c r="C38" s="38" t="s">
        <v>63</v>
      </c>
      <c r="D38" s="38" t="s">
        <v>13</v>
      </c>
      <c r="E38" s="38">
        <v>2</v>
      </c>
      <c r="F38" s="38">
        <v>13000</v>
      </c>
      <c r="G38" s="38">
        <v>9000</v>
      </c>
      <c r="H38" s="38">
        <v>4000</v>
      </c>
    </row>
    <row r="39" spans="1:8" x14ac:dyDescent="0.25">
      <c r="A39" s="38"/>
      <c r="B39" s="38"/>
      <c r="C39" s="38"/>
      <c r="D39" s="38" t="s">
        <v>11</v>
      </c>
      <c r="E39" s="38">
        <v>2</v>
      </c>
      <c r="F39" s="38">
        <v>3000</v>
      </c>
      <c r="G39" s="38">
        <v>1000</v>
      </c>
      <c r="H39" s="38">
        <v>2000</v>
      </c>
    </row>
    <row r="40" spans="1:8" x14ac:dyDescent="0.25">
      <c r="A40" s="38"/>
      <c r="B40" s="38"/>
      <c r="C40" s="38" t="s">
        <v>10</v>
      </c>
      <c r="D40" s="38" t="s">
        <v>11</v>
      </c>
      <c r="E40" s="38">
        <v>10</v>
      </c>
      <c r="F40" s="38">
        <v>15000</v>
      </c>
      <c r="G40" s="38">
        <v>5000</v>
      </c>
      <c r="H40" s="38">
        <v>10000</v>
      </c>
    </row>
    <row r="41" spans="1:8" x14ac:dyDescent="0.25">
      <c r="A41" s="38"/>
      <c r="B41" s="38"/>
      <c r="C41" s="38"/>
      <c r="D41" s="38" t="s">
        <v>13</v>
      </c>
      <c r="E41" s="38">
        <v>2</v>
      </c>
      <c r="F41" s="38">
        <v>13000</v>
      </c>
      <c r="G41" s="38">
        <v>9000</v>
      </c>
      <c r="H41" s="38">
        <v>4000</v>
      </c>
    </row>
    <row r="42" spans="1:8" x14ac:dyDescent="0.25">
      <c r="A42" s="38"/>
      <c r="B42" s="38"/>
      <c r="C42" s="38"/>
      <c r="D42" s="38" t="s">
        <v>14</v>
      </c>
      <c r="E42" s="38">
        <v>4</v>
      </c>
      <c r="F42" s="38">
        <v>32000</v>
      </c>
      <c r="G42" s="38">
        <f>4*5500</f>
        <v>22000</v>
      </c>
      <c r="H42" s="38">
        <v>10000</v>
      </c>
    </row>
    <row r="43" spans="1:8" x14ac:dyDescent="0.25">
      <c r="A43" s="125" t="s">
        <v>17</v>
      </c>
      <c r="B43" s="125"/>
      <c r="C43" s="125"/>
      <c r="D43" s="125"/>
      <c r="E43" s="125"/>
      <c r="F43" s="17">
        <f>SUM(F33:F42)</f>
        <v>231000</v>
      </c>
      <c r="G43" s="17">
        <f>SUM(G33:G42)</f>
        <v>132500</v>
      </c>
      <c r="H43" s="17">
        <f>SUM(H33:H42)</f>
        <v>98500</v>
      </c>
    </row>
    <row r="44" spans="1:8" x14ac:dyDescent="0.25">
      <c r="A44" s="38" t="s">
        <v>32</v>
      </c>
      <c r="B44" s="38">
        <v>44688</v>
      </c>
      <c r="C44" s="38" t="s">
        <v>10</v>
      </c>
      <c r="D44" s="38" t="s">
        <v>13</v>
      </c>
      <c r="E44" s="38">
        <v>9</v>
      </c>
      <c r="F44" s="38">
        <v>58500</v>
      </c>
      <c r="G44" s="38">
        <f>9*4500</f>
        <v>40500</v>
      </c>
      <c r="H44" s="38">
        <v>18000</v>
      </c>
    </row>
    <row r="45" spans="1:8" x14ac:dyDescent="0.25">
      <c r="A45" s="38"/>
      <c r="B45" s="38"/>
      <c r="C45" s="38"/>
      <c r="D45" s="38" t="s">
        <v>14</v>
      </c>
      <c r="E45" s="38">
        <v>4</v>
      </c>
      <c r="F45" s="38">
        <v>32000</v>
      </c>
      <c r="G45" s="38">
        <f>4*5500</f>
        <v>22000</v>
      </c>
      <c r="H45" s="38">
        <f>4*2500</f>
        <v>10000</v>
      </c>
    </row>
    <row r="46" spans="1:8" x14ac:dyDescent="0.25">
      <c r="A46" s="38"/>
      <c r="B46" s="38"/>
      <c r="C46" s="38" t="s">
        <v>217</v>
      </c>
      <c r="D46" s="38" t="s">
        <v>13</v>
      </c>
      <c r="E46" s="38">
        <v>7</v>
      </c>
      <c r="F46" s="38">
        <v>45500</v>
      </c>
      <c r="G46" s="38">
        <f>7*4500</f>
        <v>31500</v>
      </c>
      <c r="H46" s="38">
        <v>14000</v>
      </c>
    </row>
    <row r="47" spans="1:8" x14ac:dyDescent="0.25">
      <c r="A47" s="38"/>
      <c r="B47" s="38"/>
      <c r="C47" s="38"/>
      <c r="D47" s="38" t="s">
        <v>14</v>
      </c>
      <c r="E47" s="38">
        <v>6</v>
      </c>
      <c r="F47" s="38">
        <v>48000</v>
      </c>
      <c r="G47" s="38">
        <f>6*5500</f>
        <v>33000</v>
      </c>
      <c r="H47" s="38">
        <f>6*2500</f>
        <v>15000</v>
      </c>
    </row>
    <row r="48" spans="1:8" x14ac:dyDescent="0.25">
      <c r="A48" s="38"/>
      <c r="B48" s="38"/>
      <c r="C48" s="38" t="s">
        <v>16</v>
      </c>
      <c r="D48" s="38" t="s">
        <v>11</v>
      </c>
      <c r="E48" s="38">
        <v>71</v>
      </c>
      <c r="F48" s="38">
        <v>106500</v>
      </c>
      <c r="G48" s="38">
        <f>71*500</f>
        <v>35500</v>
      </c>
      <c r="H48" s="38">
        <v>71000</v>
      </c>
    </row>
    <row r="49" spans="1:8" x14ac:dyDescent="0.25">
      <c r="A49" s="38"/>
      <c r="B49" s="38"/>
      <c r="C49" s="38"/>
      <c r="D49" s="38" t="s">
        <v>12</v>
      </c>
      <c r="E49" s="38">
        <v>5</v>
      </c>
      <c r="F49" s="38">
        <v>15000</v>
      </c>
      <c r="G49" s="38">
        <v>10000</v>
      </c>
      <c r="H49" s="38">
        <v>5000</v>
      </c>
    </row>
    <row r="50" spans="1:8" x14ac:dyDescent="0.25">
      <c r="A50" s="38"/>
      <c r="B50" s="38"/>
      <c r="C50" s="38"/>
      <c r="D50" s="38" t="s">
        <v>13</v>
      </c>
      <c r="E50" s="38">
        <v>2</v>
      </c>
      <c r="F50" s="38">
        <v>13000</v>
      </c>
      <c r="G50" s="38">
        <v>9000</v>
      </c>
      <c r="H50" s="38">
        <v>4000</v>
      </c>
    </row>
    <row r="51" spans="1:8" x14ac:dyDescent="0.25">
      <c r="A51" s="125" t="s">
        <v>17</v>
      </c>
      <c r="B51" s="125"/>
      <c r="C51" s="125"/>
      <c r="D51" s="125"/>
      <c r="E51" s="125"/>
      <c r="F51" s="17">
        <f>SUM(F44:F50)</f>
        <v>318500</v>
      </c>
      <c r="G51" s="17">
        <f>SUM(G44:G50)</f>
        <v>181500</v>
      </c>
      <c r="H51" s="17">
        <f>SUM(H44:H50)</f>
        <v>137000</v>
      </c>
    </row>
    <row r="52" spans="1:8" x14ac:dyDescent="0.25">
      <c r="A52" s="38" t="s">
        <v>8</v>
      </c>
      <c r="B52" s="38">
        <v>44719</v>
      </c>
      <c r="C52" s="38" t="s">
        <v>16</v>
      </c>
      <c r="D52" s="38" t="s">
        <v>11</v>
      </c>
      <c r="E52" s="38">
        <v>55</v>
      </c>
      <c r="F52" s="38">
        <v>82500</v>
      </c>
      <c r="G52" s="38">
        <f>55*500</f>
        <v>27500</v>
      </c>
      <c r="H52" s="38">
        <v>55000</v>
      </c>
    </row>
    <row r="53" spans="1:8" x14ac:dyDescent="0.25">
      <c r="A53" s="38"/>
      <c r="B53" s="38"/>
      <c r="C53" s="38"/>
      <c r="D53" s="38" t="s">
        <v>12</v>
      </c>
      <c r="E53" s="38">
        <v>4</v>
      </c>
      <c r="F53" s="38">
        <v>12000</v>
      </c>
      <c r="G53" s="38">
        <v>8000</v>
      </c>
      <c r="H53" s="38">
        <v>4000</v>
      </c>
    </row>
    <row r="54" spans="1:8" x14ac:dyDescent="0.25">
      <c r="A54" s="38"/>
      <c r="B54" s="38"/>
      <c r="C54" s="38"/>
      <c r="D54" s="38" t="s">
        <v>13</v>
      </c>
      <c r="E54" s="38">
        <v>2</v>
      </c>
      <c r="F54" s="38">
        <v>13000</v>
      </c>
      <c r="G54" s="38">
        <v>9000</v>
      </c>
      <c r="H54" s="38">
        <v>4000</v>
      </c>
    </row>
    <row r="55" spans="1:8" x14ac:dyDescent="0.25">
      <c r="A55" s="38"/>
      <c r="B55" s="38"/>
      <c r="C55" s="38"/>
      <c r="D55" s="38" t="s">
        <v>21</v>
      </c>
      <c r="E55" s="38">
        <v>1</v>
      </c>
      <c r="F55" s="38">
        <v>15000</v>
      </c>
      <c r="G55" s="38">
        <v>11000</v>
      </c>
      <c r="H55" s="38">
        <v>4000</v>
      </c>
    </row>
    <row r="56" spans="1:8" x14ac:dyDescent="0.25">
      <c r="A56" s="38"/>
      <c r="B56" s="38"/>
      <c r="C56" s="38" t="s">
        <v>217</v>
      </c>
      <c r="D56" s="38" t="s">
        <v>13</v>
      </c>
      <c r="E56" s="38">
        <v>3</v>
      </c>
      <c r="F56" s="38">
        <v>19500</v>
      </c>
      <c r="G56" s="38">
        <f>3*4500</f>
        <v>13500</v>
      </c>
      <c r="H56" s="38">
        <v>6000</v>
      </c>
    </row>
    <row r="57" spans="1:8" x14ac:dyDescent="0.25">
      <c r="A57" s="38"/>
      <c r="B57" s="38"/>
      <c r="C57" s="38"/>
      <c r="D57" s="38" t="s">
        <v>14</v>
      </c>
      <c r="E57" s="38">
        <v>3</v>
      </c>
      <c r="F57" s="38">
        <v>24000</v>
      </c>
      <c r="G57" s="38">
        <f>3*5500</f>
        <v>16500</v>
      </c>
      <c r="H57" s="38">
        <v>7500</v>
      </c>
    </row>
    <row r="58" spans="1:8" x14ac:dyDescent="0.25">
      <c r="A58" s="38"/>
      <c r="B58" s="38"/>
      <c r="C58" s="38" t="s">
        <v>10</v>
      </c>
      <c r="D58" s="38" t="s">
        <v>13</v>
      </c>
      <c r="E58" s="38">
        <v>10</v>
      </c>
      <c r="F58" s="38">
        <v>65000</v>
      </c>
      <c r="G58" s="38">
        <v>45000</v>
      </c>
      <c r="H58" s="38">
        <v>20000</v>
      </c>
    </row>
    <row r="59" spans="1:8" x14ac:dyDescent="0.25">
      <c r="A59" s="38"/>
      <c r="B59" s="38"/>
      <c r="C59" s="38"/>
      <c r="D59" s="38" t="s">
        <v>14</v>
      </c>
      <c r="E59" s="38">
        <v>7</v>
      </c>
      <c r="F59" s="38">
        <v>56000</v>
      </c>
      <c r="G59" s="38">
        <f>7*5500</f>
        <v>38500</v>
      </c>
      <c r="H59" s="38">
        <f>7*2500</f>
        <v>17500</v>
      </c>
    </row>
    <row r="60" spans="1:8" x14ac:dyDescent="0.25">
      <c r="A60" s="38"/>
      <c r="B60" s="38"/>
      <c r="C60" s="38"/>
      <c r="D60" s="38" t="s">
        <v>11</v>
      </c>
      <c r="E60" s="38">
        <v>14</v>
      </c>
      <c r="F60" s="38">
        <v>21000</v>
      </c>
      <c r="G60" s="38">
        <f>14*500</f>
        <v>7000</v>
      </c>
      <c r="H60" s="38">
        <v>14000</v>
      </c>
    </row>
    <row r="61" spans="1:8" x14ac:dyDescent="0.25">
      <c r="A61" s="125" t="s">
        <v>17</v>
      </c>
      <c r="B61" s="125"/>
      <c r="C61" s="125"/>
      <c r="D61" s="125"/>
      <c r="E61" s="125"/>
      <c r="F61" s="17">
        <f>SUM(F52:F60)</f>
        <v>308000</v>
      </c>
      <c r="G61" s="17">
        <f>SUM(G52:G60)</f>
        <v>176000</v>
      </c>
      <c r="H61" s="17">
        <f>SUM(H52:H60)</f>
        <v>132000</v>
      </c>
    </row>
    <row r="62" spans="1:8" x14ac:dyDescent="0.25">
      <c r="A62" s="38" t="s">
        <v>18</v>
      </c>
      <c r="B62" s="38">
        <v>44749</v>
      </c>
      <c r="C62" s="38" t="s">
        <v>10</v>
      </c>
      <c r="D62" s="38" t="s">
        <v>11</v>
      </c>
      <c r="E62" s="38">
        <v>12</v>
      </c>
      <c r="F62" s="38">
        <v>18000</v>
      </c>
      <c r="G62" s="38">
        <f>12*500</f>
        <v>6000</v>
      </c>
      <c r="H62" s="38">
        <v>12000</v>
      </c>
    </row>
    <row r="63" spans="1:8" x14ac:dyDescent="0.25">
      <c r="A63" s="38"/>
      <c r="B63" s="38"/>
      <c r="C63" s="38"/>
      <c r="D63" s="38" t="s">
        <v>13</v>
      </c>
      <c r="E63" s="38">
        <v>10</v>
      </c>
      <c r="F63" s="38">
        <v>65000</v>
      </c>
      <c r="G63" s="38">
        <v>45000</v>
      </c>
      <c r="H63" s="38">
        <v>20000</v>
      </c>
    </row>
    <row r="64" spans="1:8" x14ac:dyDescent="0.25">
      <c r="A64" s="38"/>
      <c r="B64" s="38"/>
      <c r="C64" s="38"/>
      <c r="D64" s="38" t="s">
        <v>14</v>
      </c>
      <c r="E64" s="38">
        <v>6</v>
      </c>
      <c r="F64" s="38">
        <v>48000</v>
      </c>
      <c r="G64" s="38">
        <f>6*5500</f>
        <v>33000</v>
      </c>
      <c r="H64" s="38">
        <f>6*2500</f>
        <v>15000</v>
      </c>
    </row>
    <row r="65" spans="1:8" x14ac:dyDescent="0.25">
      <c r="A65" s="38"/>
      <c r="B65" s="38"/>
      <c r="C65" s="38" t="s">
        <v>16</v>
      </c>
      <c r="D65" s="38" t="s">
        <v>11</v>
      </c>
      <c r="E65" s="38">
        <v>28</v>
      </c>
      <c r="F65" s="38">
        <v>42000</v>
      </c>
      <c r="G65" s="38">
        <f>28*500</f>
        <v>14000</v>
      </c>
      <c r="H65" s="38">
        <v>28000</v>
      </c>
    </row>
    <row r="66" spans="1:8" x14ac:dyDescent="0.25">
      <c r="A66" s="38"/>
      <c r="B66" s="38"/>
      <c r="C66" s="38"/>
      <c r="D66" s="38" t="s">
        <v>12</v>
      </c>
      <c r="E66" s="38">
        <v>3</v>
      </c>
      <c r="F66" s="38">
        <v>9000</v>
      </c>
      <c r="G66" s="38">
        <v>6000</v>
      </c>
      <c r="H66" s="38">
        <v>3000</v>
      </c>
    </row>
    <row r="67" spans="1:8" x14ac:dyDescent="0.25">
      <c r="A67" s="38"/>
      <c r="B67" s="38"/>
      <c r="C67" s="38"/>
      <c r="D67" s="38" t="s">
        <v>13</v>
      </c>
      <c r="E67" s="38">
        <v>1</v>
      </c>
      <c r="F67" s="38">
        <v>6500</v>
      </c>
      <c r="G67" s="38">
        <v>4500</v>
      </c>
      <c r="H67" s="38">
        <v>2000</v>
      </c>
    </row>
    <row r="68" spans="1:8" x14ac:dyDescent="0.25">
      <c r="A68" s="38"/>
      <c r="B68" s="38"/>
      <c r="C68" s="38"/>
      <c r="D68" s="38" t="s">
        <v>21</v>
      </c>
      <c r="E68" s="38">
        <v>1</v>
      </c>
      <c r="F68" s="38">
        <v>15000</v>
      </c>
      <c r="G68" s="38">
        <v>11000</v>
      </c>
      <c r="H68" s="38">
        <v>4000</v>
      </c>
    </row>
    <row r="69" spans="1:8" x14ac:dyDescent="0.25">
      <c r="A69" s="125" t="s">
        <v>17</v>
      </c>
      <c r="B69" s="125"/>
      <c r="C69" s="125"/>
      <c r="D69" s="125"/>
      <c r="E69" s="125"/>
      <c r="F69" s="17">
        <f>SUM(F62:F68)</f>
        <v>203500</v>
      </c>
      <c r="G69" s="17">
        <f>SUM(G62:G68)</f>
        <v>119500</v>
      </c>
      <c r="H69" s="17">
        <f>SUM(H62:H68)</f>
        <v>84000</v>
      </c>
    </row>
    <row r="70" spans="1:8" x14ac:dyDescent="0.25">
      <c r="A70" s="38" t="s">
        <v>22</v>
      </c>
      <c r="B70" s="38">
        <v>44780</v>
      </c>
      <c r="C70" s="38" t="s">
        <v>16</v>
      </c>
      <c r="D70" s="38" t="s">
        <v>11</v>
      </c>
      <c r="E70" s="38">
        <v>47</v>
      </c>
      <c r="F70" s="38">
        <v>70500</v>
      </c>
      <c r="G70" s="38">
        <f>47*500</f>
        <v>23500</v>
      </c>
      <c r="H70" s="38">
        <v>47000</v>
      </c>
    </row>
    <row r="71" spans="1:8" x14ac:dyDescent="0.25">
      <c r="A71" s="38"/>
      <c r="B71" s="38"/>
      <c r="C71" s="38"/>
      <c r="D71" s="38" t="s">
        <v>12</v>
      </c>
      <c r="E71" s="38">
        <v>9</v>
      </c>
      <c r="F71" s="38">
        <v>27000</v>
      </c>
      <c r="G71" s="38">
        <v>18000</v>
      </c>
      <c r="H71" s="38">
        <v>9000</v>
      </c>
    </row>
    <row r="72" spans="1:8" x14ac:dyDescent="0.25">
      <c r="A72" s="38"/>
      <c r="B72" s="38"/>
      <c r="C72" s="38"/>
      <c r="D72" s="38" t="s">
        <v>13</v>
      </c>
      <c r="E72" s="38">
        <v>2</v>
      </c>
      <c r="F72" s="38">
        <v>13000</v>
      </c>
      <c r="G72" s="38">
        <v>9000</v>
      </c>
      <c r="H72" s="38">
        <v>4000</v>
      </c>
    </row>
    <row r="73" spans="1:8" x14ac:dyDescent="0.25">
      <c r="A73" s="38"/>
      <c r="B73" s="38"/>
      <c r="C73" s="38"/>
      <c r="D73" s="38" t="s">
        <v>14</v>
      </c>
      <c r="E73" s="38">
        <v>2</v>
      </c>
      <c r="F73" s="38">
        <v>20000</v>
      </c>
      <c r="G73" s="38">
        <v>11000</v>
      </c>
      <c r="H73" s="38">
        <v>9000</v>
      </c>
    </row>
    <row r="74" spans="1:8" x14ac:dyDescent="0.25">
      <c r="A74" s="38"/>
      <c r="B74" s="38"/>
      <c r="C74" s="38"/>
      <c r="D74" s="38" t="s">
        <v>25</v>
      </c>
      <c r="E74" s="38">
        <v>2</v>
      </c>
      <c r="F74" s="38">
        <v>26000</v>
      </c>
      <c r="G74" s="38">
        <v>20000</v>
      </c>
      <c r="H74" s="38">
        <v>6000</v>
      </c>
    </row>
    <row r="75" spans="1:8" x14ac:dyDescent="0.25">
      <c r="A75" s="38"/>
      <c r="B75" s="38"/>
      <c r="C75" s="38" t="s">
        <v>10</v>
      </c>
      <c r="D75" s="38" t="s">
        <v>13</v>
      </c>
      <c r="E75" s="38">
        <v>3</v>
      </c>
      <c r="F75" s="38">
        <v>19500</v>
      </c>
      <c r="G75" s="38">
        <f>3*4500</f>
        <v>13500</v>
      </c>
      <c r="H75" s="38">
        <v>6000</v>
      </c>
    </row>
    <row r="76" spans="1:8" x14ac:dyDescent="0.25">
      <c r="A76" s="38"/>
      <c r="B76" s="38"/>
      <c r="C76" s="38"/>
      <c r="D76" s="38" t="s">
        <v>14</v>
      </c>
      <c r="E76" s="38">
        <v>3</v>
      </c>
      <c r="F76" s="38">
        <v>24000</v>
      </c>
      <c r="G76" s="38">
        <f>3*5500</f>
        <v>16500</v>
      </c>
      <c r="H76" s="38">
        <f>3*2500</f>
        <v>7500</v>
      </c>
    </row>
    <row r="77" spans="1:8" x14ac:dyDescent="0.25">
      <c r="A77" s="38"/>
      <c r="B77" s="38"/>
      <c r="C77" s="38"/>
      <c r="D77" s="38" t="s">
        <v>11</v>
      </c>
      <c r="E77" s="38">
        <v>3</v>
      </c>
      <c r="F77" s="38">
        <v>4500</v>
      </c>
      <c r="G77" s="38">
        <v>1500</v>
      </c>
      <c r="H77" s="38">
        <v>3000</v>
      </c>
    </row>
    <row r="78" spans="1:8" x14ac:dyDescent="0.25">
      <c r="A78" s="38"/>
      <c r="B78" s="38"/>
      <c r="C78" s="38" t="s">
        <v>10</v>
      </c>
      <c r="D78" s="38" t="s">
        <v>11</v>
      </c>
      <c r="E78" s="38">
        <v>17</v>
      </c>
      <c r="F78" s="38">
        <v>25500</v>
      </c>
      <c r="G78" s="38">
        <f>17*500</f>
        <v>8500</v>
      </c>
      <c r="H78" s="38">
        <v>17000</v>
      </c>
    </row>
    <row r="79" spans="1:8" x14ac:dyDescent="0.25">
      <c r="A79" s="38"/>
      <c r="B79" s="38"/>
      <c r="C79" s="38" t="s">
        <v>277</v>
      </c>
      <c r="D79" s="38" t="s">
        <v>13</v>
      </c>
      <c r="E79" s="38">
        <v>19</v>
      </c>
      <c r="F79" s="38">
        <v>123500</v>
      </c>
      <c r="G79" s="38">
        <f>19*4500</f>
        <v>85500</v>
      </c>
      <c r="H79" s="38">
        <f>19*2000</f>
        <v>38000</v>
      </c>
    </row>
    <row r="80" spans="1:8" x14ac:dyDescent="0.25">
      <c r="A80" s="38"/>
      <c r="B80" s="38"/>
      <c r="C80" s="38"/>
      <c r="D80" s="38" t="s">
        <v>14</v>
      </c>
      <c r="E80" s="38">
        <v>18</v>
      </c>
      <c r="F80" s="38">
        <v>144000</v>
      </c>
      <c r="G80" s="38">
        <f>18*5500</f>
        <v>99000</v>
      </c>
      <c r="H80" s="38">
        <f>18*2500</f>
        <v>45000</v>
      </c>
    </row>
    <row r="81" spans="1:8" x14ac:dyDescent="0.25">
      <c r="A81" s="38"/>
      <c r="B81" s="38"/>
      <c r="C81" s="38" t="s">
        <v>44</v>
      </c>
      <c r="D81" s="38" t="s">
        <v>21</v>
      </c>
      <c r="E81" s="38">
        <v>3</v>
      </c>
      <c r="F81" s="38">
        <v>45000</v>
      </c>
      <c r="G81" s="38">
        <v>33000</v>
      </c>
      <c r="H81" s="38">
        <f>F81-G81</f>
        <v>12000</v>
      </c>
    </row>
    <row r="82" spans="1:8" x14ac:dyDescent="0.25">
      <c r="A82" s="38"/>
      <c r="B82" s="38"/>
      <c r="C82" s="38" t="s">
        <v>279</v>
      </c>
      <c r="D82" s="38" t="s">
        <v>25</v>
      </c>
      <c r="E82" s="38">
        <v>5</v>
      </c>
      <c r="F82" s="38">
        <v>65000</v>
      </c>
      <c r="G82" s="38">
        <v>50000</v>
      </c>
      <c r="H82" s="38">
        <v>15000</v>
      </c>
    </row>
    <row r="83" spans="1:8" x14ac:dyDescent="0.25">
      <c r="A83" s="38"/>
      <c r="B83" s="38"/>
      <c r="C83" s="38" t="s">
        <v>217</v>
      </c>
      <c r="D83" s="38" t="s">
        <v>13</v>
      </c>
      <c r="E83" s="38">
        <v>3</v>
      </c>
      <c r="F83" s="38">
        <v>19500</v>
      </c>
      <c r="G83" s="38">
        <v>13500</v>
      </c>
      <c r="H83" s="38">
        <v>6000</v>
      </c>
    </row>
    <row r="84" spans="1:8" x14ac:dyDescent="0.25">
      <c r="A84" s="38"/>
      <c r="B84" s="38"/>
      <c r="C84" s="38"/>
      <c r="D84" s="38" t="s">
        <v>14</v>
      </c>
      <c r="E84" s="38">
        <v>6</v>
      </c>
      <c r="F84" s="38">
        <v>48000</v>
      </c>
      <c r="G84" s="38">
        <f>6*5500</f>
        <v>33000</v>
      </c>
      <c r="H84" s="38">
        <f>6*2500</f>
        <v>15000</v>
      </c>
    </row>
    <row r="85" spans="1:8" x14ac:dyDescent="0.25">
      <c r="A85" s="125" t="s">
        <v>17</v>
      </c>
      <c r="B85" s="125"/>
      <c r="C85" s="125"/>
      <c r="D85" s="125"/>
      <c r="E85" s="125"/>
      <c r="F85" s="17">
        <f>SUM(F70:F84)</f>
        <v>675000</v>
      </c>
      <c r="G85" s="17">
        <f>SUM(G70:G84)</f>
        <v>435500</v>
      </c>
      <c r="H85" s="17">
        <f>SUM(H70:H84)</f>
        <v>239500</v>
      </c>
    </row>
    <row r="86" spans="1:8" x14ac:dyDescent="0.25">
      <c r="A86" s="38" t="s">
        <v>26</v>
      </c>
      <c r="B86" s="38">
        <v>44811</v>
      </c>
      <c r="C86" s="38" t="s">
        <v>16</v>
      </c>
      <c r="D86" s="38" t="s">
        <v>11</v>
      </c>
      <c r="E86" s="38">
        <v>39</v>
      </c>
      <c r="F86" s="38">
        <v>58500</v>
      </c>
      <c r="G86" s="38">
        <f>39*500</f>
        <v>19500</v>
      </c>
      <c r="H86" s="38">
        <v>39000</v>
      </c>
    </row>
    <row r="87" spans="1:8" x14ac:dyDescent="0.25">
      <c r="A87" s="38"/>
      <c r="B87" s="38"/>
      <c r="C87" s="38"/>
      <c r="D87" s="38" t="s">
        <v>12</v>
      </c>
      <c r="E87" s="38">
        <v>8</v>
      </c>
      <c r="F87" s="38">
        <v>24000</v>
      </c>
      <c r="G87" s="38">
        <v>16000</v>
      </c>
      <c r="H87" s="38">
        <v>8000</v>
      </c>
    </row>
    <row r="88" spans="1:8" x14ac:dyDescent="0.25">
      <c r="A88" s="38"/>
      <c r="B88" s="38"/>
      <c r="C88" s="38" t="s">
        <v>10</v>
      </c>
      <c r="D88" s="38" t="s">
        <v>11</v>
      </c>
      <c r="E88" s="38">
        <v>8</v>
      </c>
      <c r="F88" s="38">
        <v>12000</v>
      </c>
      <c r="G88" s="38">
        <v>4000</v>
      </c>
      <c r="H88" s="38">
        <v>8000</v>
      </c>
    </row>
    <row r="89" spans="1:8" x14ac:dyDescent="0.25">
      <c r="A89" s="38"/>
      <c r="B89" s="38"/>
      <c r="C89" s="38"/>
      <c r="D89" s="38" t="s">
        <v>13</v>
      </c>
      <c r="E89" s="38">
        <v>7</v>
      </c>
      <c r="F89" s="38">
        <v>44500</v>
      </c>
      <c r="G89" s="38">
        <f>7*4500</f>
        <v>31500</v>
      </c>
      <c r="H89" s="38">
        <v>14000</v>
      </c>
    </row>
    <row r="90" spans="1:8" x14ac:dyDescent="0.25">
      <c r="A90" s="38"/>
      <c r="B90" s="38"/>
      <c r="C90" s="38"/>
      <c r="D90" s="38" t="s">
        <v>14</v>
      </c>
      <c r="E90" s="38">
        <v>12</v>
      </c>
      <c r="F90" s="38">
        <v>96000</v>
      </c>
      <c r="G90" s="38">
        <f>12*5500</f>
        <v>66000</v>
      </c>
      <c r="H90" s="38">
        <f>12*2500</f>
        <v>30000</v>
      </c>
    </row>
    <row r="91" spans="1:8" x14ac:dyDescent="0.25">
      <c r="A91" s="38"/>
      <c r="B91" s="38"/>
      <c r="C91" s="38" t="s">
        <v>20</v>
      </c>
      <c r="D91" s="38" t="s">
        <v>13</v>
      </c>
      <c r="E91" s="38">
        <v>7</v>
      </c>
      <c r="F91" s="38">
        <v>45500</v>
      </c>
      <c r="G91" s="38">
        <f>7*4500</f>
        <v>31500</v>
      </c>
      <c r="H91" s="38">
        <v>14000</v>
      </c>
    </row>
    <row r="92" spans="1:8" x14ac:dyDescent="0.25">
      <c r="A92" s="38"/>
      <c r="B92" s="38"/>
      <c r="C92" s="38"/>
      <c r="D92" s="38" t="s">
        <v>14</v>
      </c>
      <c r="E92" s="38">
        <v>12</v>
      </c>
      <c r="F92" s="38">
        <v>120000</v>
      </c>
      <c r="G92" s="38">
        <f>12*5500</f>
        <v>66000</v>
      </c>
      <c r="H92" s="38">
        <f>12*4500</f>
        <v>54000</v>
      </c>
    </row>
    <row r="93" spans="1:8" x14ac:dyDescent="0.25">
      <c r="A93" s="125" t="s">
        <v>17</v>
      </c>
      <c r="B93" s="125"/>
      <c r="C93" s="125"/>
      <c r="D93" s="125"/>
      <c r="E93" s="125"/>
      <c r="F93" s="17">
        <f>SUM(F86:F92)</f>
        <v>400500</v>
      </c>
      <c r="G93" s="17">
        <f>SUM(G86:G92)</f>
        <v>234500</v>
      </c>
      <c r="H93" s="17">
        <f>SUM(H86:H92)</f>
        <v>167000</v>
      </c>
    </row>
    <row r="94" spans="1:8" x14ac:dyDescent="0.25">
      <c r="A94" s="38" t="s">
        <v>28</v>
      </c>
      <c r="B94" s="38">
        <v>44841</v>
      </c>
      <c r="C94" s="38" t="s">
        <v>10</v>
      </c>
      <c r="D94" s="38" t="s">
        <v>11</v>
      </c>
      <c r="E94" s="38">
        <v>5</v>
      </c>
      <c r="F94" s="38">
        <v>7500</v>
      </c>
      <c r="G94" s="38">
        <v>2500</v>
      </c>
      <c r="H94" s="38">
        <v>5000</v>
      </c>
    </row>
    <row r="95" spans="1:8" x14ac:dyDescent="0.25">
      <c r="A95" s="38"/>
      <c r="B95" s="38"/>
      <c r="C95" s="38"/>
      <c r="D95" s="38" t="s">
        <v>13</v>
      </c>
      <c r="E95" s="38">
        <v>9</v>
      </c>
      <c r="F95" s="38">
        <v>58500</v>
      </c>
      <c r="G95" s="38">
        <f>9*4500</f>
        <v>40500</v>
      </c>
      <c r="H95" s="38">
        <v>18000</v>
      </c>
    </row>
    <row r="96" spans="1:8" x14ac:dyDescent="0.25">
      <c r="A96" s="38" t="s">
        <v>278</v>
      </c>
      <c r="B96" s="38"/>
      <c r="C96" s="38"/>
      <c r="D96" s="38" t="s">
        <v>14</v>
      </c>
      <c r="E96" s="38">
        <v>10</v>
      </c>
      <c r="F96" s="38">
        <v>80000</v>
      </c>
      <c r="G96" s="38">
        <f>10*5500</f>
        <v>55000</v>
      </c>
      <c r="H96" s="38">
        <v>25000</v>
      </c>
    </row>
    <row r="97" spans="1:8" x14ac:dyDescent="0.25">
      <c r="A97" s="38"/>
      <c r="B97" s="38"/>
      <c r="C97" s="38" t="s">
        <v>20</v>
      </c>
      <c r="D97" s="38" t="s">
        <v>13</v>
      </c>
      <c r="E97" s="38">
        <v>7</v>
      </c>
      <c r="F97" s="38">
        <v>45500</v>
      </c>
      <c r="G97" s="38">
        <f>7*4500</f>
        <v>31500</v>
      </c>
      <c r="H97" s="38">
        <v>14000</v>
      </c>
    </row>
    <row r="98" spans="1:8" x14ac:dyDescent="0.25">
      <c r="A98" s="38"/>
      <c r="B98" s="38"/>
      <c r="C98" s="38"/>
      <c r="D98" s="38" t="s">
        <v>14</v>
      </c>
      <c r="E98" s="38">
        <v>7</v>
      </c>
      <c r="F98" s="38">
        <v>70000</v>
      </c>
      <c r="G98" s="38">
        <f>7*5500</f>
        <v>38500</v>
      </c>
      <c r="H98" s="38">
        <f>7*4500</f>
        <v>31500</v>
      </c>
    </row>
    <row r="99" spans="1:8" x14ac:dyDescent="0.25">
      <c r="A99" s="38"/>
      <c r="B99" s="38"/>
      <c r="C99" s="38" t="s">
        <v>273</v>
      </c>
      <c r="D99" s="38" t="s">
        <v>13</v>
      </c>
      <c r="E99" s="38">
        <v>10</v>
      </c>
      <c r="F99" s="38">
        <v>65000</v>
      </c>
      <c r="G99" s="38">
        <v>45000</v>
      </c>
      <c r="H99" s="38">
        <v>20000</v>
      </c>
    </row>
    <row r="100" spans="1:8" x14ac:dyDescent="0.25">
      <c r="A100" s="38"/>
      <c r="B100" s="38"/>
      <c r="C100" s="38"/>
      <c r="D100" s="38" t="s">
        <v>14</v>
      </c>
      <c r="E100" s="38">
        <v>5</v>
      </c>
      <c r="F100" s="38">
        <v>50000</v>
      </c>
      <c r="G100" s="38">
        <f>5*5500</f>
        <v>27500</v>
      </c>
      <c r="H100" s="38">
        <f>5*4500</f>
        <v>22500</v>
      </c>
    </row>
    <row r="101" spans="1:8" x14ac:dyDescent="0.25">
      <c r="A101" s="38"/>
      <c r="B101" s="38"/>
      <c r="C101" s="38" t="s">
        <v>16</v>
      </c>
      <c r="D101" s="38" t="s">
        <v>11</v>
      </c>
      <c r="E101" s="38">
        <v>40</v>
      </c>
      <c r="F101" s="38">
        <v>60000</v>
      </c>
      <c r="G101" s="38">
        <f>40*500</f>
        <v>20000</v>
      </c>
      <c r="H101" s="38">
        <v>40000</v>
      </c>
    </row>
    <row r="102" spans="1:8" x14ac:dyDescent="0.25">
      <c r="A102" s="38"/>
      <c r="B102" s="38"/>
      <c r="C102" s="38"/>
      <c r="D102" s="38" t="s">
        <v>12</v>
      </c>
      <c r="E102" s="38">
        <v>6</v>
      </c>
      <c r="F102" s="38">
        <v>18000</v>
      </c>
      <c r="G102" s="38">
        <v>12000</v>
      </c>
      <c r="H102" s="38">
        <v>6000</v>
      </c>
    </row>
    <row r="103" spans="1:8" x14ac:dyDescent="0.25">
      <c r="A103" s="38"/>
      <c r="B103" s="38"/>
      <c r="C103" s="38"/>
      <c r="D103" s="38" t="s">
        <v>13</v>
      </c>
      <c r="E103" s="38">
        <v>3</v>
      </c>
      <c r="F103" s="38">
        <v>19500</v>
      </c>
      <c r="G103" s="38">
        <f>3*4500</f>
        <v>13500</v>
      </c>
      <c r="H103" s="38">
        <v>6000</v>
      </c>
    </row>
    <row r="104" spans="1:8" x14ac:dyDescent="0.25">
      <c r="A104" s="38"/>
      <c r="B104" s="38"/>
      <c r="C104" s="38"/>
      <c r="D104" s="38" t="s">
        <v>14</v>
      </c>
      <c r="E104" s="38">
        <v>2</v>
      </c>
      <c r="F104" s="38">
        <v>20000</v>
      </c>
      <c r="G104" s="38">
        <v>11000</v>
      </c>
      <c r="H104" s="38">
        <v>9000</v>
      </c>
    </row>
    <row r="105" spans="1:8" x14ac:dyDescent="0.25">
      <c r="A105" s="125" t="s">
        <v>17</v>
      </c>
      <c r="B105" s="125"/>
      <c r="C105" s="125"/>
      <c r="D105" s="125"/>
      <c r="E105" s="125"/>
      <c r="F105" s="17">
        <f>SUM(F94:F104)</f>
        <v>494000</v>
      </c>
      <c r="G105" s="17">
        <f>SUM(G94:G104)</f>
        <v>297000</v>
      </c>
      <c r="H105" s="17">
        <f>SUM(H94:H104)</f>
        <v>197000</v>
      </c>
    </row>
    <row r="106" spans="1:8" x14ac:dyDescent="0.25">
      <c r="A106" s="38" t="s">
        <v>30</v>
      </c>
      <c r="B106" s="38">
        <v>44872</v>
      </c>
      <c r="C106" s="38" t="s">
        <v>10</v>
      </c>
      <c r="D106" s="38" t="s">
        <v>11</v>
      </c>
      <c r="E106" s="38">
        <v>30</v>
      </c>
      <c r="F106" s="38">
        <v>45000</v>
      </c>
      <c r="G106" s="38">
        <f>30*500</f>
        <v>15000</v>
      </c>
      <c r="H106" s="38">
        <v>30000</v>
      </c>
    </row>
    <row r="107" spans="1:8" x14ac:dyDescent="0.25">
      <c r="A107" s="38"/>
      <c r="B107" s="38"/>
      <c r="C107" s="38"/>
      <c r="D107" s="38" t="s">
        <v>13</v>
      </c>
      <c r="E107" s="38">
        <v>14</v>
      </c>
      <c r="F107" s="38">
        <v>91000</v>
      </c>
      <c r="G107" s="38">
        <f>14*4500</f>
        <v>63000</v>
      </c>
      <c r="H107" s="38">
        <f>14*2000</f>
        <v>28000</v>
      </c>
    </row>
    <row r="108" spans="1:8" x14ac:dyDescent="0.25">
      <c r="A108" s="38"/>
      <c r="B108" s="38"/>
      <c r="C108" s="38"/>
      <c r="D108" s="38" t="s">
        <v>14</v>
      </c>
      <c r="E108" s="38">
        <v>28</v>
      </c>
      <c r="F108" s="38">
        <v>280000</v>
      </c>
      <c r="G108" s="38">
        <f>28*5500</f>
        <v>154000</v>
      </c>
      <c r="H108" s="38">
        <f>28*4500</f>
        <v>126000</v>
      </c>
    </row>
    <row r="109" spans="1:8" x14ac:dyDescent="0.25">
      <c r="A109" s="38"/>
      <c r="B109" s="38"/>
      <c r="C109" s="38" t="s">
        <v>217</v>
      </c>
      <c r="D109" s="38" t="s">
        <v>11</v>
      </c>
      <c r="E109" s="38">
        <v>20</v>
      </c>
      <c r="F109" s="38">
        <v>30000</v>
      </c>
      <c r="G109" s="38">
        <f>20*500</f>
        <v>10000</v>
      </c>
      <c r="H109" s="38">
        <v>20000</v>
      </c>
    </row>
    <row r="110" spans="1:8" x14ac:dyDescent="0.25">
      <c r="A110" s="38"/>
      <c r="B110" s="38"/>
      <c r="C110" s="38"/>
      <c r="D110" s="38" t="s">
        <v>13</v>
      </c>
      <c r="E110" s="38">
        <v>4</v>
      </c>
      <c r="F110" s="38">
        <v>26000</v>
      </c>
      <c r="G110" s="38">
        <f>4*4500</f>
        <v>18000</v>
      </c>
      <c r="H110" s="38">
        <v>8000</v>
      </c>
    </row>
    <row r="111" spans="1:8" x14ac:dyDescent="0.25">
      <c r="A111" s="38"/>
      <c r="B111" s="38"/>
      <c r="C111" s="38"/>
      <c r="D111" s="38" t="s">
        <v>14</v>
      </c>
      <c r="E111" s="38">
        <v>6</v>
      </c>
      <c r="F111" s="38">
        <v>48000</v>
      </c>
      <c r="G111" s="38">
        <f>6*5500</f>
        <v>33000</v>
      </c>
      <c r="H111" s="38">
        <f>6*2500</f>
        <v>15000</v>
      </c>
    </row>
    <row r="112" spans="1:8" x14ac:dyDescent="0.25">
      <c r="A112" s="38"/>
      <c r="B112" s="38"/>
      <c r="C112" s="38" t="s">
        <v>273</v>
      </c>
      <c r="D112" s="38" t="s">
        <v>13</v>
      </c>
      <c r="E112" s="38">
        <v>3</v>
      </c>
      <c r="F112" s="38">
        <v>19500</v>
      </c>
      <c r="G112" s="38">
        <v>13500</v>
      </c>
      <c r="H112" s="38">
        <v>6000</v>
      </c>
    </row>
    <row r="113" spans="1:8" x14ac:dyDescent="0.25">
      <c r="A113" s="38"/>
      <c r="B113" s="38"/>
      <c r="C113" s="38"/>
      <c r="D113" s="38" t="s">
        <v>14</v>
      </c>
      <c r="E113" s="38">
        <v>3</v>
      </c>
      <c r="F113" s="38">
        <v>30000</v>
      </c>
      <c r="G113" s="38">
        <f>3*5500</f>
        <v>16500</v>
      </c>
      <c r="H113" s="38">
        <f>3*4500</f>
        <v>13500</v>
      </c>
    </row>
    <row r="114" spans="1:8" x14ac:dyDescent="0.25">
      <c r="A114" s="38"/>
      <c r="B114" s="38"/>
      <c r="C114" s="38" t="s">
        <v>16</v>
      </c>
      <c r="D114" s="38" t="s">
        <v>11</v>
      </c>
      <c r="E114" s="38">
        <v>80</v>
      </c>
      <c r="F114" s="38">
        <v>120000</v>
      </c>
      <c r="G114" s="38">
        <f>80*500</f>
        <v>40000</v>
      </c>
      <c r="H114" s="38">
        <v>80000</v>
      </c>
    </row>
    <row r="115" spans="1:8" x14ac:dyDescent="0.25">
      <c r="A115" s="38"/>
      <c r="B115" s="38"/>
      <c r="C115" s="38"/>
      <c r="D115" s="38" t="s">
        <v>12</v>
      </c>
      <c r="E115" s="38">
        <v>12</v>
      </c>
      <c r="F115" s="38">
        <v>36000</v>
      </c>
      <c r="G115" s="38">
        <f>12*2000</f>
        <v>24000</v>
      </c>
      <c r="H115" s="38">
        <v>12000</v>
      </c>
    </row>
    <row r="116" spans="1:8" x14ac:dyDescent="0.25">
      <c r="A116" s="38"/>
      <c r="B116" s="38"/>
      <c r="C116" s="38"/>
      <c r="D116" s="38" t="s">
        <v>13</v>
      </c>
      <c r="E116" s="38">
        <v>1</v>
      </c>
      <c r="F116" s="38">
        <v>6500</v>
      </c>
      <c r="G116" s="38">
        <v>4500</v>
      </c>
      <c r="H116" s="38">
        <v>2000</v>
      </c>
    </row>
    <row r="117" spans="1:8" x14ac:dyDescent="0.25">
      <c r="A117" s="125" t="s">
        <v>17</v>
      </c>
      <c r="B117" s="125"/>
      <c r="C117" s="125"/>
      <c r="D117" s="125"/>
      <c r="E117" s="125"/>
      <c r="F117" s="17">
        <f>SUM(F106:F116)</f>
        <v>732000</v>
      </c>
      <c r="G117" s="17">
        <f>SUM(G106:G116)</f>
        <v>391500</v>
      </c>
      <c r="H117" s="17">
        <f>SUM(H106:H116)</f>
        <v>340500</v>
      </c>
    </row>
    <row r="118" spans="1:8" x14ac:dyDescent="0.25">
      <c r="A118" s="38" t="s">
        <v>32</v>
      </c>
      <c r="B118" s="38">
        <v>44902</v>
      </c>
      <c r="C118" s="38" t="s">
        <v>10</v>
      </c>
      <c r="D118" s="38" t="s">
        <v>11</v>
      </c>
      <c r="E118" s="38">
        <v>35</v>
      </c>
      <c r="F118" s="38">
        <v>52500</v>
      </c>
      <c r="G118" s="38">
        <f>35*500</f>
        <v>17500</v>
      </c>
      <c r="H118" s="38">
        <v>35000</v>
      </c>
    </row>
    <row r="119" spans="1:8" x14ac:dyDescent="0.25">
      <c r="A119" s="38"/>
      <c r="B119" s="38"/>
      <c r="C119" s="38"/>
      <c r="D119" s="38" t="s">
        <v>13</v>
      </c>
      <c r="E119" s="38">
        <v>79</v>
      </c>
      <c r="F119" s="38">
        <v>632000</v>
      </c>
      <c r="G119" s="38">
        <f>79*4500</f>
        <v>355500</v>
      </c>
      <c r="H119" s="38">
        <f>79*2000</f>
        <v>158000</v>
      </c>
    </row>
    <row r="120" spans="1:8" x14ac:dyDescent="0.25">
      <c r="A120" s="38"/>
      <c r="B120" s="38"/>
      <c r="C120" s="38"/>
      <c r="D120" s="38" t="s">
        <v>14</v>
      </c>
      <c r="E120" s="38">
        <v>69</v>
      </c>
      <c r="F120" s="38">
        <v>690000</v>
      </c>
      <c r="G120" s="38">
        <f>69*5500</f>
        <v>379500</v>
      </c>
      <c r="H120" s="38">
        <f>69*4500</f>
        <v>310500</v>
      </c>
    </row>
    <row r="121" spans="1:8" x14ac:dyDescent="0.25">
      <c r="A121" s="38"/>
      <c r="B121" s="38"/>
      <c r="C121" s="38" t="s">
        <v>217</v>
      </c>
      <c r="D121" s="38" t="s">
        <v>13</v>
      </c>
      <c r="E121" s="38">
        <v>6</v>
      </c>
      <c r="F121" s="38">
        <v>39000</v>
      </c>
      <c r="G121" s="38">
        <f>6*4500</f>
        <v>27000</v>
      </c>
      <c r="H121" s="38">
        <v>12000</v>
      </c>
    </row>
    <row r="122" spans="1:8" x14ac:dyDescent="0.25">
      <c r="A122" s="38"/>
      <c r="B122" s="38"/>
      <c r="C122" s="38"/>
      <c r="D122" s="38" t="s">
        <v>14</v>
      </c>
      <c r="E122" s="38">
        <v>8</v>
      </c>
      <c r="F122" s="38">
        <v>80000</v>
      </c>
      <c r="G122" s="38">
        <f>8*5500</f>
        <v>44000</v>
      </c>
      <c r="H122" s="38">
        <f>8*4500</f>
        <v>36000</v>
      </c>
    </row>
    <row r="123" spans="1:8" x14ac:dyDescent="0.25">
      <c r="A123" s="38"/>
      <c r="B123" s="38"/>
      <c r="C123" s="38" t="s">
        <v>16</v>
      </c>
      <c r="D123" s="38" t="s">
        <v>11</v>
      </c>
      <c r="E123" s="38">
        <v>49</v>
      </c>
      <c r="F123" s="38">
        <v>73500</v>
      </c>
      <c r="G123" s="38">
        <f>49*500</f>
        <v>24500</v>
      </c>
      <c r="H123" s="38">
        <v>49000</v>
      </c>
    </row>
    <row r="124" spans="1:8" x14ac:dyDescent="0.25">
      <c r="A124" s="38"/>
      <c r="B124" s="38"/>
      <c r="C124" s="38"/>
      <c r="D124" s="38" t="s">
        <v>12</v>
      </c>
      <c r="E124" s="38">
        <v>9</v>
      </c>
      <c r="F124" s="38">
        <v>27000</v>
      </c>
      <c r="G124" s="38">
        <v>18000</v>
      </c>
      <c r="H124" s="38">
        <v>9000</v>
      </c>
    </row>
    <row r="125" spans="1:8" x14ac:dyDescent="0.25">
      <c r="A125" s="38"/>
      <c r="B125" s="38"/>
      <c r="C125" s="38"/>
      <c r="D125" s="38" t="s">
        <v>13</v>
      </c>
      <c r="E125" s="38">
        <v>2</v>
      </c>
      <c r="F125" s="38">
        <v>13000</v>
      </c>
      <c r="G125" s="38">
        <v>9000</v>
      </c>
      <c r="H125" s="38">
        <v>4000</v>
      </c>
    </row>
    <row r="126" spans="1:8" x14ac:dyDescent="0.25">
      <c r="A126" s="38"/>
      <c r="B126" s="38"/>
      <c r="C126" s="38"/>
      <c r="D126" s="38" t="s">
        <v>14</v>
      </c>
      <c r="E126" s="38">
        <v>1</v>
      </c>
      <c r="F126" s="38">
        <v>10000</v>
      </c>
      <c r="G126" s="38">
        <v>5500</v>
      </c>
      <c r="H126" s="38">
        <v>4500</v>
      </c>
    </row>
    <row r="127" spans="1:8" x14ac:dyDescent="0.25">
      <c r="A127" s="38"/>
      <c r="B127" s="38"/>
      <c r="C127" s="38"/>
      <c r="D127" s="38" t="s">
        <v>25</v>
      </c>
      <c r="E127" s="38">
        <v>1</v>
      </c>
      <c r="F127" s="38">
        <v>13000</v>
      </c>
      <c r="G127" s="38">
        <v>10000</v>
      </c>
      <c r="H127" s="38">
        <v>3000</v>
      </c>
    </row>
    <row r="128" spans="1:8" x14ac:dyDescent="0.25">
      <c r="A128" s="125" t="s">
        <v>17</v>
      </c>
      <c r="B128" s="125"/>
      <c r="C128" s="125"/>
      <c r="D128" s="125"/>
      <c r="E128" s="125"/>
      <c r="F128" s="17">
        <f>SUM(F118:F127)</f>
        <v>1630000</v>
      </c>
      <c r="G128" s="17">
        <f>SUM(G118:G127)</f>
        <v>890500</v>
      </c>
      <c r="H128" s="17">
        <f>SUM(H118:H127)</f>
        <v>621000</v>
      </c>
    </row>
    <row r="129" spans="1:8" x14ac:dyDescent="0.25">
      <c r="A129" s="38" t="s">
        <v>8</v>
      </c>
      <c r="B129" s="38" t="s">
        <v>280</v>
      </c>
      <c r="C129" s="38" t="s">
        <v>273</v>
      </c>
      <c r="D129" s="38" t="s">
        <v>13</v>
      </c>
      <c r="E129" s="38">
        <v>4</v>
      </c>
      <c r="F129" s="38">
        <v>26000</v>
      </c>
      <c r="G129" s="38">
        <f>4*4500</f>
        <v>18000</v>
      </c>
      <c r="H129" s="38">
        <v>8000</v>
      </c>
    </row>
    <row r="130" spans="1:8" x14ac:dyDescent="0.25">
      <c r="A130" s="38"/>
      <c r="B130" s="38"/>
      <c r="C130" s="38"/>
      <c r="D130" s="38" t="s">
        <v>14</v>
      </c>
      <c r="E130" s="38">
        <v>2</v>
      </c>
      <c r="F130" s="38">
        <v>20000</v>
      </c>
      <c r="G130" s="38">
        <v>11000</v>
      </c>
      <c r="H130" s="38">
        <v>9000</v>
      </c>
    </row>
    <row r="131" spans="1:8" x14ac:dyDescent="0.25">
      <c r="A131" s="38"/>
      <c r="B131" s="38"/>
      <c r="C131" s="38" t="s">
        <v>63</v>
      </c>
      <c r="D131" s="38" t="s">
        <v>25</v>
      </c>
      <c r="E131" s="38">
        <v>5</v>
      </c>
      <c r="F131" s="38">
        <v>65000</v>
      </c>
      <c r="G131" s="38">
        <v>50000</v>
      </c>
      <c r="H131" s="38">
        <v>15000</v>
      </c>
    </row>
    <row r="132" spans="1:8" x14ac:dyDescent="0.25">
      <c r="A132" s="38"/>
      <c r="B132" s="38"/>
      <c r="C132" s="38" t="s">
        <v>217</v>
      </c>
      <c r="D132" s="38" t="s">
        <v>13</v>
      </c>
      <c r="E132" s="38">
        <v>4</v>
      </c>
      <c r="F132" s="38">
        <v>26000</v>
      </c>
      <c r="G132" s="38">
        <f>4*4500</f>
        <v>18000</v>
      </c>
      <c r="H132" s="38">
        <v>8000</v>
      </c>
    </row>
    <row r="133" spans="1:8" x14ac:dyDescent="0.25">
      <c r="A133" s="38"/>
      <c r="B133" s="38"/>
      <c r="C133" s="38"/>
      <c r="D133" s="38" t="s">
        <v>14</v>
      </c>
      <c r="E133" s="38">
        <v>1</v>
      </c>
      <c r="F133" s="38">
        <v>8000</v>
      </c>
      <c r="G133" s="38">
        <v>5500</v>
      </c>
      <c r="H133" s="38">
        <v>2500</v>
      </c>
    </row>
    <row r="134" spans="1:8" x14ac:dyDescent="0.25">
      <c r="A134" s="38"/>
      <c r="B134" s="38"/>
      <c r="C134" s="38"/>
      <c r="D134" s="38" t="s">
        <v>14</v>
      </c>
      <c r="E134" s="38">
        <v>5</v>
      </c>
      <c r="F134" s="38">
        <v>50000</v>
      </c>
      <c r="G134" s="38">
        <f>5*5500</f>
        <v>27500</v>
      </c>
      <c r="H134" s="38">
        <f>5*4500</f>
        <v>22500</v>
      </c>
    </row>
    <row r="135" spans="1:8" x14ac:dyDescent="0.25">
      <c r="A135" s="38"/>
      <c r="B135" s="38"/>
      <c r="C135" s="38" t="s">
        <v>16</v>
      </c>
      <c r="D135" s="38" t="s">
        <v>11</v>
      </c>
      <c r="E135" s="38">
        <v>30</v>
      </c>
      <c r="F135" s="38">
        <v>45000</v>
      </c>
      <c r="G135" s="38">
        <f>30*500</f>
        <v>15000</v>
      </c>
      <c r="H135" s="38">
        <v>30000</v>
      </c>
    </row>
    <row r="136" spans="1:8" x14ac:dyDescent="0.25">
      <c r="A136" s="38"/>
      <c r="B136" s="38"/>
      <c r="C136" s="38"/>
      <c r="D136" s="38" t="s">
        <v>12</v>
      </c>
      <c r="E136" s="38">
        <v>4</v>
      </c>
      <c r="F136" s="38">
        <v>12000</v>
      </c>
      <c r="G136" s="38">
        <v>8000</v>
      </c>
      <c r="H136" s="38">
        <v>4000</v>
      </c>
    </row>
    <row r="137" spans="1:8" x14ac:dyDescent="0.25">
      <c r="A137" s="125" t="s">
        <v>17</v>
      </c>
      <c r="B137" s="125"/>
      <c r="C137" s="125"/>
      <c r="D137" s="125"/>
      <c r="E137" s="125"/>
      <c r="F137" s="17">
        <f>SUM(F129:F136)</f>
        <v>252000</v>
      </c>
      <c r="G137" s="17">
        <f>SUM(G129:G136)</f>
        <v>153000</v>
      </c>
      <c r="H137" s="17">
        <f>SUM(H129:H136)</f>
        <v>99000</v>
      </c>
    </row>
    <row r="138" spans="1:8" x14ac:dyDescent="0.25">
      <c r="A138" s="38" t="s">
        <v>18</v>
      </c>
      <c r="B138" s="38" t="s">
        <v>281</v>
      </c>
      <c r="C138" s="38" t="s">
        <v>10</v>
      </c>
      <c r="D138" s="38" t="s">
        <v>13</v>
      </c>
      <c r="E138" s="38">
        <v>1</v>
      </c>
      <c r="F138" s="38">
        <v>6500</v>
      </c>
      <c r="G138" s="38">
        <v>4500</v>
      </c>
      <c r="H138" s="38">
        <v>2000</v>
      </c>
    </row>
    <row r="139" spans="1:8" x14ac:dyDescent="0.25">
      <c r="A139" s="38"/>
      <c r="B139" s="38"/>
      <c r="C139" s="38" t="s">
        <v>8</v>
      </c>
      <c r="D139" s="38" t="s">
        <v>14</v>
      </c>
      <c r="E139" s="38">
        <v>2</v>
      </c>
      <c r="F139" s="38">
        <v>16000</v>
      </c>
      <c r="G139" s="38">
        <v>11000</v>
      </c>
      <c r="H139" s="38">
        <v>5000</v>
      </c>
    </row>
    <row r="140" spans="1:8" x14ac:dyDescent="0.25">
      <c r="A140" s="38"/>
      <c r="B140" s="38"/>
      <c r="C140" s="38" t="s">
        <v>10</v>
      </c>
      <c r="D140" s="38" t="s">
        <v>14</v>
      </c>
      <c r="E140" s="38">
        <v>6</v>
      </c>
      <c r="F140" s="38">
        <v>48000</v>
      </c>
      <c r="G140" s="38">
        <f>6*5500</f>
        <v>33000</v>
      </c>
      <c r="H140" s="38">
        <f>6*2500</f>
        <v>15000</v>
      </c>
    </row>
    <row r="141" spans="1:8" x14ac:dyDescent="0.25">
      <c r="A141" s="38"/>
      <c r="B141" s="38"/>
      <c r="C141" s="38" t="s">
        <v>16</v>
      </c>
      <c r="D141" s="38" t="s">
        <v>11</v>
      </c>
      <c r="E141" s="38">
        <v>34</v>
      </c>
      <c r="F141" s="38">
        <v>51000</v>
      </c>
      <c r="G141" s="38">
        <f>34*500</f>
        <v>17000</v>
      </c>
      <c r="H141" s="38">
        <v>34000</v>
      </c>
    </row>
    <row r="142" spans="1:8" x14ac:dyDescent="0.25">
      <c r="A142" s="38"/>
      <c r="B142" s="38"/>
      <c r="C142" s="38"/>
      <c r="D142" s="38" t="s">
        <v>12</v>
      </c>
      <c r="E142" s="38">
        <v>4</v>
      </c>
      <c r="F142" s="38">
        <v>12000</v>
      </c>
      <c r="G142" s="38">
        <v>8000</v>
      </c>
      <c r="H142" s="38">
        <v>4000</v>
      </c>
    </row>
    <row r="143" spans="1:8" x14ac:dyDescent="0.25">
      <c r="A143" s="38"/>
      <c r="B143" s="38"/>
      <c r="C143" s="38"/>
      <c r="D143" s="38" t="s">
        <v>13</v>
      </c>
      <c r="E143" s="38">
        <v>2</v>
      </c>
      <c r="F143" s="38">
        <v>13000</v>
      </c>
      <c r="G143" s="38">
        <v>9000</v>
      </c>
      <c r="H143" s="38">
        <v>4000</v>
      </c>
    </row>
    <row r="144" spans="1:8" x14ac:dyDescent="0.25">
      <c r="A144" s="38"/>
      <c r="B144" s="38"/>
      <c r="C144" s="38"/>
      <c r="D144" s="38" t="s">
        <v>14</v>
      </c>
      <c r="E144" s="38">
        <v>2</v>
      </c>
      <c r="F144" s="38">
        <v>20000</v>
      </c>
      <c r="G144" s="38">
        <v>11000</v>
      </c>
      <c r="H144" s="38">
        <v>9000</v>
      </c>
    </row>
    <row r="145" spans="1:8" x14ac:dyDescent="0.25">
      <c r="A145" s="38"/>
      <c r="B145" s="38"/>
      <c r="C145" s="38"/>
      <c r="D145" s="38" t="s">
        <v>25</v>
      </c>
      <c r="E145" s="38">
        <v>1</v>
      </c>
      <c r="F145" s="38">
        <v>13000</v>
      </c>
      <c r="G145" s="38">
        <v>10000</v>
      </c>
      <c r="H145" s="38">
        <v>3000</v>
      </c>
    </row>
    <row r="146" spans="1:8" x14ac:dyDescent="0.25">
      <c r="A146" s="125" t="s">
        <v>17</v>
      </c>
      <c r="B146" s="125"/>
      <c r="C146" s="125"/>
      <c r="D146" s="125"/>
      <c r="E146" s="125"/>
      <c r="F146" s="17">
        <f>SUM(F138:F145)</f>
        <v>179500</v>
      </c>
      <c r="G146" s="17">
        <f>SUM(G138:G145)</f>
        <v>103500</v>
      </c>
      <c r="H146" s="17">
        <f>SUM(H138:H145)</f>
        <v>76000</v>
      </c>
    </row>
    <row r="147" spans="1:8" x14ac:dyDescent="0.25">
      <c r="A147" s="38" t="s">
        <v>22</v>
      </c>
      <c r="B147" s="38" t="s">
        <v>282</v>
      </c>
      <c r="C147" s="38" t="s">
        <v>10</v>
      </c>
      <c r="D147" s="38" t="s">
        <v>13</v>
      </c>
      <c r="E147" s="38">
        <v>3</v>
      </c>
      <c r="F147" s="38">
        <v>19500</v>
      </c>
      <c r="G147" s="38">
        <f>3*4500</f>
        <v>13500</v>
      </c>
      <c r="H147" s="38">
        <v>6000</v>
      </c>
    </row>
    <row r="148" spans="1:8" x14ac:dyDescent="0.25">
      <c r="A148" s="38"/>
      <c r="B148" s="38"/>
      <c r="C148" s="38"/>
      <c r="D148" s="38" t="s">
        <v>14</v>
      </c>
      <c r="E148" s="38">
        <v>8</v>
      </c>
      <c r="F148" s="38">
        <v>64000</v>
      </c>
      <c r="G148" s="38">
        <f>8*5500</f>
        <v>44000</v>
      </c>
      <c r="H148" s="38">
        <f>8*2500</f>
        <v>20000</v>
      </c>
    </row>
    <row r="149" spans="1:8" x14ac:dyDescent="0.25">
      <c r="A149" s="38"/>
      <c r="B149" s="38"/>
      <c r="C149" s="38" t="s">
        <v>16</v>
      </c>
      <c r="D149" s="38" t="s">
        <v>11</v>
      </c>
      <c r="E149" s="38">
        <v>66</v>
      </c>
      <c r="F149" s="38">
        <v>99000</v>
      </c>
      <c r="G149" s="38">
        <f>66*500</f>
        <v>33000</v>
      </c>
      <c r="H149" s="38">
        <v>66000</v>
      </c>
    </row>
    <row r="150" spans="1:8" x14ac:dyDescent="0.25">
      <c r="A150" s="38"/>
      <c r="B150" s="38"/>
      <c r="C150" s="38"/>
      <c r="D150" s="38" t="s">
        <v>12</v>
      </c>
      <c r="E150" s="38">
        <v>7</v>
      </c>
      <c r="F150" s="38">
        <v>21000</v>
      </c>
      <c r="G150" s="38">
        <v>14000</v>
      </c>
      <c r="H150" s="38">
        <v>7000</v>
      </c>
    </row>
    <row r="151" spans="1:8" x14ac:dyDescent="0.25">
      <c r="A151" s="125" t="s">
        <v>17</v>
      </c>
      <c r="B151" s="125"/>
      <c r="C151" s="125"/>
      <c r="D151" s="125"/>
      <c r="E151" s="125"/>
      <c r="F151" s="17">
        <f>SUM(F147:F150)</f>
        <v>203500</v>
      </c>
      <c r="G151" s="17">
        <f>SUM(G147:G150)</f>
        <v>104500</v>
      </c>
      <c r="H151" s="17">
        <f>SUM(H147:H150)</f>
        <v>99000</v>
      </c>
    </row>
    <row r="152" spans="1:8" x14ac:dyDescent="0.25">
      <c r="A152" s="38" t="s">
        <v>26</v>
      </c>
      <c r="B152" s="38" t="s">
        <v>283</v>
      </c>
      <c r="C152" s="38" t="s">
        <v>217</v>
      </c>
      <c r="D152" s="38" t="s">
        <v>13</v>
      </c>
      <c r="E152" s="38">
        <v>28</v>
      </c>
      <c r="F152" s="38">
        <v>182000</v>
      </c>
      <c r="G152" s="38">
        <f>28*4500</f>
        <v>126000</v>
      </c>
      <c r="H152" s="38">
        <f>28*2000</f>
        <v>56000</v>
      </c>
    </row>
    <row r="153" spans="1:8" x14ac:dyDescent="0.25">
      <c r="A153" s="38"/>
      <c r="B153" s="38"/>
      <c r="C153" s="38"/>
      <c r="D153" s="38" t="s">
        <v>14</v>
      </c>
      <c r="E153" s="38">
        <v>2</v>
      </c>
      <c r="F153" s="38">
        <v>16000</v>
      </c>
      <c r="G153" s="38">
        <v>11000</v>
      </c>
      <c r="H153" s="38">
        <v>5000</v>
      </c>
    </row>
    <row r="154" spans="1:8" x14ac:dyDescent="0.25">
      <c r="A154" s="38"/>
      <c r="B154" s="38"/>
      <c r="C154" s="38"/>
      <c r="D154" s="38" t="s">
        <v>14</v>
      </c>
      <c r="E154" s="38">
        <v>23</v>
      </c>
      <c r="F154" s="38">
        <v>230000</v>
      </c>
      <c r="G154" s="38">
        <f>23*5500</f>
        <v>126500</v>
      </c>
      <c r="H154" s="38">
        <f>23*4500</f>
        <v>103500</v>
      </c>
    </row>
    <row r="155" spans="1:8" x14ac:dyDescent="0.25">
      <c r="A155" s="38"/>
      <c r="B155" s="38"/>
      <c r="C155" s="38" t="s">
        <v>10</v>
      </c>
      <c r="D155" s="38" t="s">
        <v>13</v>
      </c>
      <c r="E155" s="38">
        <v>9</v>
      </c>
      <c r="F155" s="38">
        <v>58500</v>
      </c>
      <c r="G155" s="38">
        <f>9*4500</f>
        <v>40500</v>
      </c>
      <c r="H155" s="38">
        <v>18000</v>
      </c>
    </row>
    <row r="156" spans="1:8" x14ac:dyDescent="0.25">
      <c r="A156" s="38"/>
      <c r="B156" s="38"/>
      <c r="C156" s="38"/>
      <c r="D156" s="38" t="s">
        <v>14</v>
      </c>
      <c r="E156" s="38">
        <v>20</v>
      </c>
      <c r="F156" s="38">
        <v>160000</v>
      </c>
      <c r="G156" s="38">
        <f>20*5500</f>
        <v>110000</v>
      </c>
      <c r="H156" s="38">
        <f>20*2500</f>
        <v>50000</v>
      </c>
    </row>
    <row r="157" spans="1:8" x14ac:dyDescent="0.25">
      <c r="A157" s="38"/>
      <c r="B157" s="38"/>
      <c r="C157" s="38" t="s">
        <v>20</v>
      </c>
      <c r="D157" s="38" t="s">
        <v>14</v>
      </c>
      <c r="E157" s="38">
        <v>2</v>
      </c>
      <c r="F157" s="38">
        <v>20000</v>
      </c>
      <c r="G157" s="38">
        <v>11000</v>
      </c>
      <c r="H157" s="38">
        <v>9000</v>
      </c>
    </row>
    <row r="158" spans="1:8" x14ac:dyDescent="0.25">
      <c r="A158" s="125" t="s">
        <v>17</v>
      </c>
      <c r="B158" s="125"/>
      <c r="C158" s="125"/>
      <c r="D158" s="125"/>
      <c r="E158" s="125"/>
      <c r="F158" s="17">
        <f>SUM(F152:F157)</f>
        <v>666500</v>
      </c>
      <c r="G158" s="17">
        <f>SUM(G152:G157)</f>
        <v>425000</v>
      </c>
      <c r="H158" s="17">
        <f>SUM(H152:H157)</f>
        <v>241500</v>
      </c>
    </row>
    <row r="159" spans="1:8" x14ac:dyDescent="0.25">
      <c r="A159" s="38" t="s">
        <v>28</v>
      </c>
      <c r="B159" s="38" t="s">
        <v>284</v>
      </c>
      <c r="C159" s="38" t="s">
        <v>10</v>
      </c>
      <c r="D159" s="38" t="s">
        <v>13</v>
      </c>
      <c r="E159" s="38">
        <v>7</v>
      </c>
      <c r="F159" s="38">
        <v>6500</v>
      </c>
      <c r="G159" s="38">
        <f>7*4500</f>
        <v>31500</v>
      </c>
      <c r="H159" s="38">
        <v>14000</v>
      </c>
    </row>
    <row r="160" spans="1:8" x14ac:dyDescent="0.25">
      <c r="A160" s="38"/>
      <c r="B160" s="38"/>
      <c r="C160" s="38"/>
      <c r="D160" s="38" t="s">
        <v>14</v>
      </c>
      <c r="E160" s="38">
        <v>11</v>
      </c>
      <c r="F160" s="38">
        <v>88000</v>
      </c>
      <c r="G160" s="38">
        <f>11*5500</f>
        <v>60500</v>
      </c>
      <c r="H160" s="38">
        <f>11*2500</f>
        <v>27500</v>
      </c>
    </row>
    <row r="161" spans="1:8" x14ac:dyDescent="0.25">
      <c r="A161" s="38"/>
      <c r="B161" s="38"/>
      <c r="C161" s="38" t="s">
        <v>10</v>
      </c>
      <c r="D161" s="38" t="s">
        <v>13</v>
      </c>
      <c r="E161" s="38">
        <v>2</v>
      </c>
      <c r="F161" s="38">
        <v>13000</v>
      </c>
      <c r="G161" s="38">
        <v>9000</v>
      </c>
      <c r="H161" s="38">
        <v>4000</v>
      </c>
    </row>
    <row r="162" spans="1:8" x14ac:dyDescent="0.25">
      <c r="A162" s="38"/>
      <c r="B162" s="38"/>
      <c r="C162" s="38"/>
      <c r="D162" s="38" t="s">
        <v>14</v>
      </c>
      <c r="E162" s="38">
        <v>1</v>
      </c>
      <c r="F162" s="38">
        <v>8000</v>
      </c>
      <c r="G162" s="38">
        <v>5500</v>
      </c>
      <c r="H162" s="38">
        <v>2500</v>
      </c>
    </row>
    <row r="163" spans="1:8" x14ac:dyDescent="0.25">
      <c r="A163" s="38"/>
      <c r="B163" s="38"/>
      <c r="C163" s="38" t="s">
        <v>217</v>
      </c>
      <c r="D163" s="38" t="s">
        <v>13</v>
      </c>
      <c r="E163" s="38">
        <v>4</v>
      </c>
      <c r="F163" s="38">
        <v>26000</v>
      </c>
      <c r="G163" s="38">
        <f>4*4500</f>
        <v>18000</v>
      </c>
      <c r="H163" s="38">
        <v>8000</v>
      </c>
    </row>
    <row r="164" spans="1:8" x14ac:dyDescent="0.25">
      <c r="A164" s="38"/>
      <c r="B164" s="38"/>
      <c r="C164" s="38"/>
      <c r="D164" s="38" t="s">
        <v>14</v>
      </c>
      <c r="E164" s="38">
        <v>2</v>
      </c>
      <c r="F164" s="38">
        <v>16000</v>
      </c>
      <c r="G164" s="38">
        <v>11000</v>
      </c>
      <c r="H164" s="38">
        <v>5000</v>
      </c>
    </row>
    <row r="165" spans="1:8" x14ac:dyDescent="0.25">
      <c r="A165" s="38"/>
      <c r="B165" s="38"/>
      <c r="C165" s="38" t="s">
        <v>217</v>
      </c>
      <c r="D165" s="38" t="s">
        <v>11</v>
      </c>
      <c r="E165" s="38">
        <f>21+12</f>
        <v>33</v>
      </c>
      <c r="F165" s="38">
        <f>33*1500</f>
        <v>49500</v>
      </c>
      <c r="G165" s="38">
        <f>33*500</f>
        <v>16500</v>
      </c>
      <c r="H165" s="38">
        <v>33000</v>
      </c>
    </row>
    <row r="166" spans="1:8" x14ac:dyDescent="0.25">
      <c r="A166" s="38"/>
      <c r="B166" s="38"/>
      <c r="C166" s="38"/>
      <c r="D166" s="38" t="s">
        <v>13</v>
      </c>
      <c r="E166" s="38">
        <v>10</v>
      </c>
      <c r="F166" s="38">
        <v>65000</v>
      </c>
      <c r="G166" s="38">
        <v>45000</v>
      </c>
      <c r="H166" s="38">
        <v>20000</v>
      </c>
    </row>
    <row r="167" spans="1:8" x14ac:dyDescent="0.25">
      <c r="A167" s="38"/>
      <c r="B167" s="38"/>
      <c r="C167" s="38"/>
      <c r="D167" s="38" t="s">
        <v>14</v>
      </c>
      <c r="E167" s="38">
        <v>7</v>
      </c>
      <c r="F167" s="38">
        <v>70000</v>
      </c>
      <c r="G167" s="38">
        <f>7*5500</f>
        <v>38500</v>
      </c>
      <c r="H167" s="38">
        <f>7*4500</f>
        <v>31500</v>
      </c>
    </row>
    <row r="168" spans="1:8" x14ac:dyDescent="0.25">
      <c r="A168" s="38"/>
      <c r="B168" s="38"/>
      <c r="C168" s="38" t="s">
        <v>16</v>
      </c>
      <c r="D168" s="38" t="s">
        <v>11</v>
      </c>
      <c r="E168" s="38">
        <v>69</v>
      </c>
      <c r="F168" s="38">
        <v>103500</v>
      </c>
      <c r="G168" s="38">
        <f>69*500</f>
        <v>34500</v>
      </c>
      <c r="H168" s="38">
        <v>69000</v>
      </c>
    </row>
    <row r="169" spans="1:8" x14ac:dyDescent="0.25">
      <c r="A169" s="38"/>
      <c r="B169" s="38"/>
      <c r="C169" s="38"/>
      <c r="D169" s="38" t="s">
        <v>12</v>
      </c>
      <c r="E169" s="38">
        <v>1</v>
      </c>
      <c r="F169" s="38">
        <v>3000</v>
      </c>
      <c r="G169" s="38">
        <v>2000</v>
      </c>
      <c r="H169" s="38">
        <v>1000</v>
      </c>
    </row>
    <row r="170" spans="1:8" x14ac:dyDescent="0.25">
      <c r="A170" s="38"/>
      <c r="B170" s="38"/>
      <c r="C170" s="38"/>
      <c r="D170" s="38" t="s">
        <v>13</v>
      </c>
      <c r="E170" s="38">
        <v>1</v>
      </c>
      <c r="F170" s="38">
        <v>6500</v>
      </c>
      <c r="G170" s="38">
        <v>4500</v>
      </c>
      <c r="H170" s="38">
        <v>2000</v>
      </c>
    </row>
    <row r="171" spans="1:8" x14ac:dyDescent="0.25">
      <c r="A171" s="38"/>
      <c r="B171" s="38"/>
      <c r="C171" s="38" t="s">
        <v>20</v>
      </c>
      <c r="D171" s="38" t="s">
        <v>13</v>
      </c>
      <c r="E171" s="38">
        <v>11</v>
      </c>
      <c r="F171" s="38">
        <f>11*6500</f>
        <v>71500</v>
      </c>
      <c r="G171" s="38">
        <f>11*4500</f>
        <v>49500</v>
      </c>
      <c r="H171" s="38">
        <f>11*2000</f>
        <v>22000</v>
      </c>
    </row>
    <row r="172" spans="1:8" x14ac:dyDescent="0.25">
      <c r="A172" s="38"/>
      <c r="B172" s="38"/>
      <c r="C172" s="38"/>
      <c r="D172" s="38" t="s">
        <v>14</v>
      </c>
      <c r="E172" s="38">
        <v>15</v>
      </c>
      <c r="F172" s="38">
        <v>150000</v>
      </c>
      <c r="G172" s="38">
        <f>15*5500</f>
        <v>82500</v>
      </c>
      <c r="H172" s="38">
        <f>15*4500</f>
        <v>67500</v>
      </c>
    </row>
    <row r="173" spans="1:8" x14ac:dyDescent="0.25">
      <c r="A173" s="38"/>
      <c r="B173" s="38"/>
      <c r="C173" s="38" t="s">
        <v>273</v>
      </c>
      <c r="D173" s="38" t="s">
        <v>13</v>
      </c>
      <c r="E173" s="38">
        <v>12</v>
      </c>
      <c r="F173" s="38">
        <v>78000</v>
      </c>
      <c r="G173" s="38">
        <f>12*4500</f>
        <v>54000</v>
      </c>
      <c r="H173" s="38">
        <f>12*2000</f>
        <v>24000</v>
      </c>
    </row>
    <row r="174" spans="1:8" x14ac:dyDescent="0.25">
      <c r="A174" s="38"/>
      <c r="B174" s="38"/>
      <c r="C174" s="38"/>
      <c r="D174" s="38" t="s">
        <v>14</v>
      </c>
      <c r="E174" s="38">
        <v>1</v>
      </c>
      <c r="F174" s="38">
        <v>10000</v>
      </c>
      <c r="G174" s="38">
        <v>5500</v>
      </c>
      <c r="H174" s="38">
        <v>4500</v>
      </c>
    </row>
    <row r="175" spans="1:8" x14ac:dyDescent="0.25">
      <c r="A175" s="38"/>
      <c r="B175" s="38"/>
      <c r="C175" s="38"/>
      <c r="D175" s="38" t="s">
        <v>25</v>
      </c>
      <c r="E175" s="38">
        <v>1</v>
      </c>
      <c r="F175" s="38">
        <v>13000</v>
      </c>
      <c r="G175" s="38">
        <v>10000</v>
      </c>
      <c r="H175" s="38">
        <v>3000</v>
      </c>
    </row>
    <row r="176" spans="1:8" x14ac:dyDescent="0.25">
      <c r="A176" s="125" t="s">
        <v>17</v>
      </c>
      <c r="B176" s="125"/>
      <c r="C176" s="125"/>
      <c r="D176" s="125"/>
      <c r="E176" s="125"/>
      <c r="F176" s="17">
        <f>SUM(F159:F175)</f>
        <v>777500</v>
      </c>
      <c r="G176" s="17">
        <f>SUM(G159:G175)</f>
        <v>478000</v>
      </c>
      <c r="H176" s="17">
        <f>SUM(H159:H175)</f>
        <v>338500</v>
      </c>
    </row>
    <row r="177" spans="1:8" x14ac:dyDescent="0.25">
      <c r="A177" s="38" t="s">
        <v>30</v>
      </c>
      <c r="B177" s="38" t="s">
        <v>285</v>
      </c>
      <c r="C177" s="38" t="s">
        <v>20</v>
      </c>
      <c r="D177" s="38" t="s">
        <v>13</v>
      </c>
      <c r="E177" s="38">
        <v>5</v>
      </c>
      <c r="F177" s="38">
        <v>32500</v>
      </c>
      <c r="G177" s="38">
        <f>5*4500</f>
        <v>22500</v>
      </c>
      <c r="H177" s="38">
        <v>10000</v>
      </c>
    </row>
    <row r="178" spans="1:8" x14ac:dyDescent="0.25">
      <c r="A178" s="38"/>
      <c r="B178" s="38"/>
      <c r="C178" s="38"/>
      <c r="D178" s="38" t="s">
        <v>14</v>
      </c>
      <c r="E178" s="38">
        <v>11</v>
      </c>
      <c r="F178" s="38">
        <v>110000</v>
      </c>
      <c r="G178" s="38">
        <f>11*5500</f>
        <v>60500</v>
      </c>
      <c r="H178" s="38">
        <f>11*4500</f>
        <v>49500</v>
      </c>
    </row>
    <row r="179" spans="1:8" x14ac:dyDescent="0.25">
      <c r="A179" s="38"/>
      <c r="B179" s="38"/>
      <c r="C179" s="38" t="s">
        <v>10</v>
      </c>
      <c r="D179" s="38" t="s">
        <v>11</v>
      </c>
      <c r="E179" s="38">
        <v>36</v>
      </c>
      <c r="F179" s="38">
        <v>54000</v>
      </c>
      <c r="G179" s="38">
        <f>36*500</f>
        <v>18000</v>
      </c>
      <c r="H179" s="38">
        <v>36000</v>
      </c>
    </row>
    <row r="180" spans="1:8" x14ac:dyDescent="0.25">
      <c r="A180" s="38"/>
      <c r="B180" s="38"/>
      <c r="C180" s="38"/>
      <c r="D180" s="38" t="s">
        <v>12</v>
      </c>
      <c r="E180" s="38">
        <v>6</v>
      </c>
      <c r="F180" s="38">
        <v>18000</v>
      </c>
      <c r="G180" s="38">
        <v>12000</v>
      </c>
      <c r="H180" s="38">
        <v>6000</v>
      </c>
    </row>
    <row r="181" spans="1:8" x14ac:dyDescent="0.25">
      <c r="A181" s="38"/>
      <c r="B181" s="38"/>
      <c r="C181" s="38"/>
      <c r="D181" s="38" t="s">
        <v>13</v>
      </c>
      <c r="E181" s="38">
        <v>11</v>
      </c>
      <c r="F181" s="38">
        <v>71500</v>
      </c>
      <c r="G181" s="38">
        <f>11*4500</f>
        <v>49500</v>
      </c>
      <c r="H181" s="38">
        <f>11*2000</f>
        <v>22000</v>
      </c>
    </row>
    <row r="182" spans="1:8" x14ac:dyDescent="0.25">
      <c r="A182" s="38"/>
      <c r="B182" s="38"/>
      <c r="C182" s="38"/>
      <c r="D182" s="38" t="s">
        <v>14</v>
      </c>
      <c r="E182" s="38">
        <v>7</v>
      </c>
      <c r="F182" s="38">
        <v>56000</v>
      </c>
      <c r="G182" s="38">
        <f>7*5500</f>
        <v>38500</v>
      </c>
      <c r="H182" s="38">
        <f>7*2500</f>
        <v>17500</v>
      </c>
    </row>
    <row r="183" spans="1:8" x14ac:dyDescent="0.25">
      <c r="A183" s="38"/>
      <c r="B183" s="38"/>
      <c r="C183" s="38" t="s">
        <v>236</v>
      </c>
      <c r="D183" s="38" t="s">
        <v>11</v>
      </c>
      <c r="E183" s="38">
        <f>501000/1500</f>
        <v>334</v>
      </c>
      <c r="F183" s="38">
        <v>501000</v>
      </c>
      <c r="G183" s="38">
        <f>334*500</f>
        <v>167000</v>
      </c>
      <c r="H183" s="38">
        <v>334000</v>
      </c>
    </row>
    <row r="184" spans="1:8" x14ac:dyDescent="0.25">
      <c r="A184" s="38"/>
      <c r="B184" s="38"/>
      <c r="C184" s="38" t="s">
        <v>16</v>
      </c>
      <c r="D184" s="38" t="s">
        <v>11</v>
      </c>
      <c r="E184" s="38">
        <v>35</v>
      </c>
      <c r="F184" s="38">
        <v>52500</v>
      </c>
      <c r="G184" s="38">
        <f>35*500</f>
        <v>17500</v>
      </c>
      <c r="H184" s="38">
        <v>35000</v>
      </c>
    </row>
    <row r="185" spans="1:8" x14ac:dyDescent="0.25">
      <c r="A185" s="38"/>
      <c r="B185" s="38"/>
      <c r="C185" s="38"/>
      <c r="D185" s="38" t="s">
        <v>12</v>
      </c>
      <c r="E185" s="38">
        <v>4</v>
      </c>
      <c r="F185" s="38">
        <v>12000</v>
      </c>
      <c r="G185" s="38">
        <v>8000</v>
      </c>
      <c r="H185" s="38">
        <v>4000</v>
      </c>
    </row>
    <row r="186" spans="1:8" x14ac:dyDescent="0.25">
      <c r="A186" s="125" t="s">
        <v>17</v>
      </c>
      <c r="B186" s="125"/>
      <c r="C186" s="125"/>
      <c r="D186" s="125"/>
      <c r="E186" s="125"/>
      <c r="F186" s="17">
        <f>SUM(F177:F185)</f>
        <v>907500</v>
      </c>
      <c r="G186" s="17">
        <f>SUM(G177:G185)</f>
        <v>393500</v>
      </c>
      <c r="H186" s="17">
        <f>SUM(H177:H185)</f>
        <v>514000</v>
      </c>
    </row>
    <row r="187" spans="1:8" x14ac:dyDescent="0.25">
      <c r="A187" s="38" t="s">
        <v>32</v>
      </c>
      <c r="B187" s="38" t="s">
        <v>286</v>
      </c>
      <c r="C187" s="38" t="s">
        <v>10</v>
      </c>
      <c r="D187" s="38" t="s">
        <v>11</v>
      </c>
      <c r="E187" s="38">
        <v>68</v>
      </c>
      <c r="F187" s="38">
        <v>102000</v>
      </c>
      <c r="G187" s="38">
        <f>68*500</f>
        <v>34000</v>
      </c>
      <c r="H187" s="38">
        <v>68000</v>
      </c>
    </row>
    <row r="188" spans="1:8" x14ac:dyDescent="0.25">
      <c r="A188" s="38"/>
      <c r="B188" s="38"/>
      <c r="C188" s="38"/>
      <c r="D188" s="38" t="s">
        <v>13</v>
      </c>
      <c r="E188" s="38">
        <v>3</v>
      </c>
      <c r="F188" s="38">
        <v>19500</v>
      </c>
      <c r="G188" s="38">
        <f>3*4500</f>
        <v>13500</v>
      </c>
      <c r="H188" s="38">
        <v>6000</v>
      </c>
    </row>
    <row r="189" spans="1:8" x14ac:dyDescent="0.25">
      <c r="A189" s="38"/>
      <c r="B189" s="38"/>
      <c r="C189" s="38"/>
      <c r="D189" s="38" t="s">
        <v>14</v>
      </c>
      <c r="E189" s="38">
        <v>3</v>
      </c>
      <c r="F189" s="38">
        <v>24000</v>
      </c>
      <c r="G189" s="38">
        <f>3*5500</f>
        <v>16500</v>
      </c>
      <c r="H189" s="38">
        <v>7500</v>
      </c>
    </row>
    <row r="190" spans="1:8" x14ac:dyDescent="0.25">
      <c r="A190" s="38"/>
      <c r="B190" s="38"/>
      <c r="C190" s="38" t="s">
        <v>10</v>
      </c>
      <c r="D190" s="38" t="s">
        <v>13</v>
      </c>
      <c r="E190" s="38">
        <v>4</v>
      </c>
      <c r="F190" s="38">
        <v>26000</v>
      </c>
      <c r="G190" s="38">
        <f>4*4500</f>
        <v>18000</v>
      </c>
      <c r="H190" s="38">
        <v>8000</v>
      </c>
    </row>
    <row r="191" spans="1:8" x14ac:dyDescent="0.25">
      <c r="A191" s="38"/>
      <c r="B191" s="38"/>
      <c r="C191" s="38"/>
      <c r="D191" s="38" t="s">
        <v>14</v>
      </c>
      <c r="E191" s="38">
        <v>4</v>
      </c>
      <c r="F191" s="38">
        <v>32000</v>
      </c>
      <c r="G191" s="38">
        <v>22000</v>
      </c>
      <c r="H191" s="38">
        <v>10000</v>
      </c>
    </row>
    <row r="192" spans="1:8" x14ac:dyDescent="0.25">
      <c r="A192" s="38"/>
      <c r="B192" s="38"/>
      <c r="C192" s="38" t="s">
        <v>217</v>
      </c>
      <c r="D192" s="38" t="s">
        <v>11</v>
      </c>
      <c r="E192" s="38">
        <v>30</v>
      </c>
      <c r="F192" s="38">
        <v>45000</v>
      </c>
      <c r="G192" s="38">
        <f>30*500</f>
        <v>15000</v>
      </c>
      <c r="H192" s="38">
        <v>30000</v>
      </c>
    </row>
    <row r="193" spans="1:8" x14ac:dyDescent="0.25">
      <c r="A193" s="38"/>
      <c r="B193" s="38"/>
      <c r="C193" s="38" t="s">
        <v>106</v>
      </c>
      <c r="D193" s="38" t="s">
        <v>11</v>
      </c>
      <c r="E193" s="38">
        <v>25</v>
      </c>
      <c r="F193" s="38">
        <f>25*1500</f>
        <v>37500</v>
      </c>
      <c r="G193" s="38">
        <f>25*500</f>
        <v>12500</v>
      </c>
      <c r="H193" s="38">
        <v>25000</v>
      </c>
    </row>
    <row r="194" spans="1:8" x14ac:dyDescent="0.25">
      <c r="A194" s="38"/>
      <c r="B194" s="38"/>
      <c r="C194" s="38" t="s">
        <v>108</v>
      </c>
      <c r="D194" s="38" t="s">
        <v>11</v>
      </c>
      <c r="E194" s="38">
        <v>45</v>
      </c>
      <c r="F194" s="38">
        <f>45*1500</f>
        <v>67500</v>
      </c>
      <c r="G194" s="38">
        <f>45*500</f>
        <v>22500</v>
      </c>
      <c r="H194" s="38">
        <v>45000</v>
      </c>
    </row>
    <row r="195" spans="1:8" x14ac:dyDescent="0.25">
      <c r="A195" s="38"/>
      <c r="B195" s="38"/>
      <c r="C195" s="38" t="s">
        <v>16</v>
      </c>
      <c r="D195" s="38" t="s">
        <v>11</v>
      </c>
      <c r="E195" s="38">
        <v>52</v>
      </c>
      <c r="F195" s="38">
        <v>78000</v>
      </c>
      <c r="G195" s="38">
        <f>52*500</f>
        <v>26000</v>
      </c>
      <c r="H195" s="38">
        <v>52000</v>
      </c>
    </row>
    <row r="196" spans="1:8" x14ac:dyDescent="0.25">
      <c r="A196" s="38"/>
      <c r="B196" s="38"/>
      <c r="C196" s="38"/>
      <c r="D196" s="38" t="s">
        <v>12</v>
      </c>
      <c r="E196" s="38">
        <v>5</v>
      </c>
      <c r="F196" s="38">
        <v>15000</v>
      </c>
      <c r="G196" s="38">
        <v>10000</v>
      </c>
      <c r="H196" s="38">
        <v>5000</v>
      </c>
    </row>
    <row r="197" spans="1:8" x14ac:dyDescent="0.25">
      <c r="A197" s="38"/>
      <c r="B197" s="38"/>
      <c r="C197" s="38" t="s">
        <v>235</v>
      </c>
      <c r="D197" s="38" t="s">
        <v>25</v>
      </c>
      <c r="E197" s="38">
        <v>5</v>
      </c>
      <c r="F197" s="38">
        <f>5*13000</f>
        <v>65000</v>
      </c>
      <c r="G197" s="38">
        <v>50000</v>
      </c>
      <c r="H197" s="38">
        <v>15000</v>
      </c>
    </row>
    <row r="198" spans="1:8" x14ac:dyDescent="0.25">
      <c r="A198" s="125" t="s">
        <v>17</v>
      </c>
      <c r="B198" s="125"/>
      <c r="C198" s="125"/>
      <c r="D198" s="125"/>
      <c r="E198" s="125"/>
      <c r="F198" s="17">
        <f>SUM(F187:F197)</f>
        <v>511500</v>
      </c>
      <c r="G198" s="17">
        <f>SUM(G187:G197)</f>
        <v>240000</v>
      </c>
      <c r="H198" s="17">
        <f>SUM(H187:H197)</f>
        <v>271500</v>
      </c>
    </row>
    <row r="199" spans="1:8" x14ac:dyDescent="0.25">
      <c r="A199" s="38" t="s">
        <v>8</v>
      </c>
      <c r="B199" s="38" t="s">
        <v>287</v>
      </c>
      <c r="C199" s="38" t="s">
        <v>288</v>
      </c>
      <c r="D199" s="38" t="s">
        <v>11</v>
      </c>
      <c r="E199" s="38">
        <v>35</v>
      </c>
      <c r="F199" s="38">
        <v>63000</v>
      </c>
      <c r="G199" s="38">
        <f>35*500</f>
        <v>17500</v>
      </c>
      <c r="H199" s="38">
        <v>35000</v>
      </c>
    </row>
    <row r="200" spans="1:8" x14ac:dyDescent="0.25">
      <c r="A200" s="38"/>
      <c r="B200" s="38"/>
      <c r="C200" s="38" t="s">
        <v>108</v>
      </c>
      <c r="D200" s="38" t="s">
        <v>11</v>
      </c>
      <c r="E200" s="38">
        <v>60</v>
      </c>
      <c r="F200" s="38">
        <v>90000</v>
      </c>
      <c r="G200" s="38">
        <f>60*500</f>
        <v>30000</v>
      </c>
      <c r="H200" s="38">
        <v>60000</v>
      </c>
    </row>
    <row r="201" spans="1:8" x14ac:dyDescent="0.25">
      <c r="A201" s="38"/>
      <c r="B201" s="38"/>
      <c r="C201" s="38" t="s">
        <v>106</v>
      </c>
      <c r="D201" s="38" t="s">
        <v>11</v>
      </c>
      <c r="E201" s="38">
        <v>25</v>
      </c>
      <c r="F201" s="38">
        <v>37500</v>
      </c>
      <c r="G201" s="38">
        <f>25*500</f>
        <v>12500</v>
      </c>
      <c r="H201" s="38">
        <v>25000</v>
      </c>
    </row>
    <row r="202" spans="1:8" x14ac:dyDescent="0.25">
      <c r="A202" s="38"/>
      <c r="B202" s="38"/>
      <c r="C202" s="38" t="s">
        <v>217</v>
      </c>
      <c r="D202" s="38" t="s">
        <v>11</v>
      </c>
      <c r="E202" s="38">
        <f>F202/1500</f>
        <v>42</v>
      </c>
      <c r="F202" s="38">
        <v>63000</v>
      </c>
      <c r="G202" s="38">
        <f>42*500</f>
        <v>21000</v>
      </c>
      <c r="H202" s="38">
        <v>42000</v>
      </c>
    </row>
    <row r="203" spans="1:8" x14ac:dyDescent="0.25">
      <c r="A203" s="38"/>
      <c r="B203" s="38"/>
      <c r="C203" s="38" t="s">
        <v>16</v>
      </c>
      <c r="D203" s="38" t="s">
        <v>11</v>
      </c>
      <c r="E203" s="38">
        <v>34</v>
      </c>
      <c r="F203" s="38">
        <v>51000</v>
      </c>
      <c r="G203" s="38">
        <f>34*500</f>
        <v>17000</v>
      </c>
      <c r="H203" s="38">
        <v>34000</v>
      </c>
    </row>
    <row r="204" spans="1:8" x14ac:dyDescent="0.25">
      <c r="A204" s="38"/>
      <c r="B204" s="38"/>
      <c r="C204" s="38"/>
      <c r="D204" s="38" t="s">
        <v>12</v>
      </c>
      <c r="E204" s="38">
        <v>5</v>
      </c>
      <c r="F204" s="38">
        <v>15000</v>
      </c>
      <c r="G204" s="38">
        <v>10000</v>
      </c>
      <c r="H204" s="38">
        <v>5000</v>
      </c>
    </row>
    <row r="205" spans="1:8" x14ac:dyDescent="0.25">
      <c r="A205" s="125" t="s">
        <v>17</v>
      </c>
      <c r="B205" s="125"/>
      <c r="C205" s="125"/>
      <c r="D205" s="125"/>
      <c r="E205" s="125"/>
      <c r="F205" s="17">
        <f>SUM(F199:F204)</f>
        <v>319500</v>
      </c>
      <c r="G205" s="17">
        <f>SUM(G199:G204)</f>
        <v>108000</v>
      </c>
      <c r="H205" s="17">
        <f>SUM(H199:H204)</f>
        <v>201000</v>
      </c>
    </row>
    <row r="206" spans="1:8" x14ac:dyDescent="0.25">
      <c r="A206" s="38" t="s">
        <v>18</v>
      </c>
      <c r="B206" s="38" t="s">
        <v>289</v>
      </c>
      <c r="C206" s="38" t="s">
        <v>288</v>
      </c>
      <c r="D206" s="38" t="s">
        <v>11</v>
      </c>
      <c r="E206" s="38">
        <v>35</v>
      </c>
      <c r="F206" s="38">
        <v>63000</v>
      </c>
      <c r="G206" s="38">
        <f>35*500</f>
        <v>17500</v>
      </c>
      <c r="H206" s="38">
        <f>35*1300</f>
        <v>45500</v>
      </c>
    </row>
    <row r="207" spans="1:8" x14ac:dyDescent="0.25">
      <c r="A207" s="38"/>
      <c r="B207" s="38"/>
      <c r="C207" s="38" t="s">
        <v>108</v>
      </c>
      <c r="D207" s="38" t="s">
        <v>11</v>
      </c>
      <c r="E207" s="38">
        <v>54</v>
      </c>
      <c r="F207" s="38">
        <v>81000</v>
      </c>
      <c r="G207" s="38">
        <f>54*500</f>
        <v>27000</v>
      </c>
      <c r="H207" s="38">
        <v>54000</v>
      </c>
    </row>
    <row r="208" spans="1:8" x14ac:dyDescent="0.25">
      <c r="A208" s="38"/>
      <c r="B208" s="38"/>
      <c r="C208" s="38" t="s">
        <v>106</v>
      </c>
      <c r="D208" s="38" t="s">
        <v>11</v>
      </c>
      <c r="E208" s="38">
        <v>24</v>
      </c>
      <c r="F208" s="38">
        <v>36000</v>
      </c>
      <c r="G208" s="38">
        <f>24*500</f>
        <v>12000</v>
      </c>
      <c r="H208" s="38">
        <v>24000</v>
      </c>
    </row>
    <row r="209" spans="1:8" x14ac:dyDescent="0.25">
      <c r="A209" s="38"/>
      <c r="B209" s="38"/>
      <c r="C209" s="38" t="s">
        <v>10</v>
      </c>
      <c r="D209" s="38" t="s">
        <v>11</v>
      </c>
      <c r="E209" s="38">
        <v>61</v>
      </c>
      <c r="F209" s="38">
        <v>91500</v>
      </c>
      <c r="G209" s="38">
        <f>61*500</f>
        <v>30500</v>
      </c>
      <c r="H209" s="38">
        <v>61000</v>
      </c>
    </row>
    <row r="210" spans="1:8" x14ac:dyDescent="0.25">
      <c r="A210" s="38"/>
      <c r="B210" s="38"/>
      <c r="C210" s="38"/>
      <c r="D210" s="38" t="s">
        <v>12</v>
      </c>
      <c r="E210" s="38">
        <v>2</v>
      </c>
      <c r="F210" s="38">
        <v>6000</v>
      </c>
      <c r="G210" s="38">
        <v>4000</v>
      </c>
      <c r="H210" s="38">
        <v>2000</v>
      </c>
    </row>
    <row r="211" spans="1:8" x14ac:dyDescent="0.25">
      <c r="A211" s="38"/>
      <c r="B211" s="38"/>
      <c r="C211" s="38"/>
      <c r="D211" s="38" t="s">
        <v>13</v>
      </c>
      <c r="E211" s="38">
        <v>1</v>
      </c>
      <c r="F211" s="38">
        <v>6500</v>
      </c>
      <c r="G211" s="38">
        <v>4500</v>
      </c>
      <c r="H211" s="38">
        <v>2000</v>
      </c>
    </row>
    <row r="212" spans="1:8" x14ac:dyDescent="0.25">
      <c r="A212" s="38"/>
      <c r="B212" s="38"/>
      <c r="C212" s="38"/>
      <c r="D212" s="38" t="s">
        <v>14</v>
      </c>
      <c r="E212" s="38">
        <v>6</v>
      </c>
      <c r="F212" s="38">
        <v>48000</v>
      </c>
      <c r="G212" s="38">
        <f>6*5500</f>
        <v>33000</v>
      </c>
      <c r="H212" s="38">
        <f>6*2500</f>
        <v>15000</v>
      </c>
    </row>
    <row r="213" spans="1:8" x14ac:dyDescent="0.25">
      <c r="A213" s="38"/>
      <c r="B213" s="38"/>
      <c r="C213" s="38" t="s">
        <v>10</v>
      </c>
      <c r="D213" s="38" t="s">
        <v>11</v>
      </c>
      <c r="E213" s="38">
        <v>70</v>
      </c>
      <c r="F213" s="38">
        <v>105000</v>
      </c>
      <c r="G213" s="38">
        <f>70*500</f>
        <v>35000</v>
      </c>
      <c r="H213" s="38">
        <v>70000</v>
      </c>
    </row>
    <row r="214" spans="1:8" x14ac:dyDescent="0.25">
      <c r="A214" s="38"/>
      <c r="B214" s="38"/>
      <c r="C214" s="38"/>
      <c r="D214" s="38" t="s">
        <v>13</v>
      </c>
      <c r="E214" s="38">
        <v>2</v>
      </c>
      <c r="F214" s="38">
        <v>13000</v>
      </c>
      <c r="G214" s="38">
        <v>9000</v>
      </c>
      <c r="H214" s="38">
        <v>4000</v>
      </c>
    </row>
    <row r="215" spans="1:8" x14ac:dyDescent="0.25">
      <c r="A215" s="38"/>
      <c r="B215" s="38"/>
      <c r="C215" s="38"/>
      <c r="D215" s="38" t="s">
        <v>14</v>
      </c>
      <c r="E215" s="38">
        <v>1</v>
      </c>
      <c r="F215" s="38">
        <v>8000</v>
      </c>
      <c r="G215" s="38">
        <v>5500</v>
      </c>
      <c r="H215" s="38">
        <v>2500</v>
      </c>
    </row>
    <row r="216" spans="1:8" x14ac:dyDescent="0.25">
      <c r="A216" s="38"/>
      <c r="B216" s="38"/>
      <c r="C216" s="38" t="s">
        <v>16</v>
      </c>
      <c r="D216" s="38" t="s">
        <v>11</v>
      </c>
      <c r="E216" s="38">
        <v>48</v>
      </c>
      <c r="F216" s="38">
        <v>72000</v>
      </c>
      <c r="G216" s="38">
        <f>48*500</f>
        <v>24000</v>
      </c>
      <c r="H216" s="38">
        <v>48000</v>
      </c>
    </row>
    <row r="217" spans="1:8" x14ac:dyDescent="0.25">
      <c r="A217" s="38"/>
      <c r="B217" s="38"/>
      <c r="C217" s="38"/>
      <c r="D217" s="38" t="s">
        <v>12</v>
      </c>
      <c r="E217" s="38">
        <v>5</v>
      </c>
      <c r="F217" s="38">
        <v>15000</v>
      </c>
      <c r="G217" s="38">
        <v>10000</v>
      </c>
      <c r="H217" s="38">
        <v>5000</v>
      </c>
    </row>
    <row r="218" spans="1:8" x14ac:dyDescent="0.25">
      <c r="A218" s="38"/>
      <c r="B218" s="38"/>
      <c r="C218" s="38"/>
      <c r="D218" s="38" t="s">
        <v>14</v>
      </c>
      <c r="E218" s="38">
        <v>1</v>
      </c>
      <c r="F218" s="38">
        <v>10000</v>
      </c>
      <c r="G218" s="38">
        <v>5500</v>
      </c>
      <c r="H218" s="38">
        <v>4500</v>
      </c>
    </row>
    <row r="219" spans="1:8" x14ac:dyDescent="0.25">
      <c r="A219" s="125" t="s">
        <v>17</v>
      </c>
      <c r="B219" s="125"/>
      <c r="C219" s="125"/>
      <c r="D219" s="125"/>
      <c r="E219" s="125"/>
      <c r="F219" s="17">
        <f>SUM(F206:F218)</f>
        <v>555000</v>
      </c>
      <c r="G219" s="17">
        <f>SUM(G206:G218)</f>
        <v>217500</v>
      </c>
      <c r="H219" s="17">
        <f>SUM(H206:H218)</f>
        <v>337500</v>
      </c>
    </row>
    <row r="220" spans="1:8" x14ac:dyDescent="0.25">
      <c r="A220" s="38" t="s">
        <v>22</v>
      </c>
      <c r="B220" s="38" t="s">
        <v>290</v>
      </c>
      <c r="C220" s="38" t="s">
        <v>108</v>
      </c>
      <c r="D220" s="38" t="s">
        <v>11</v>
      </c>
      <c r="E220" s="38">
        <f>F220/1500</f>
        <v>39</v>
      </c>
      <c r="F220" s="38">
        <v>58500</v>
      </c>
      <c r="G220" s="38">
        <f>39*500</f>
        <v>19500</v>
      </c>
      <c r="H220" s="38">
        <v>39000</v>
      </c>
    </row>
    <row r="221" spans="1:8" x14ac:dyDescent="0.25">
      <c r="A221" s="38"/>
      <c r="B221" s="38"/>
      <c r="C221" s="38" t="s">
        <v>288</v>
      </c>
      <c r="D221" s="38" t="s">
        <v>11</v>
      </c>
      <c r="E221" s="38">
        <f>F221/1800</f>
        <v>35</v>
      </c>
      <c r="F221" s="38">
        <v>63000</v>
      </c>
      <c r="G221" s="38">
        <f>35*500</f>
        <v>17500</v>
      </c>
      <c r="H221" s="38">
        <f>35*1300</f>
        <v>45500</v>
      </c>
    </row>
    <row r="222" spans="1:8" x14ac:dyDescent="0.25">
      <c r="A222" s="38"/>
      <c r="B222" s="38"/>
      <c r="C222" s="38" t="s">
        <v>63</v>
      </c>
      <c r="D222" s="38" t="s">
        <v>21</v>
      </c>
      <c r="E222" s="38">
        <v>1</v>
      </c>
      <c r="F222" s="38">
        <v>17000</v>
      </c>
      <c r="G222" s="38">
        <v>11000</v>
      </c>
      <c r="H222" s="38">
        <v>6000</v>
      </c>
    </row>
    <row r="223" spans="1:8" x14ac:dyDescent="0.25">
      <c r="A223" s="38"/>
      <c r="B223" s="38"/>
      <c r="C223" s="38"/>
      <c r="D223" s="38" t="s">
        <v>25</v>
      </c>
      <c r="E223" s="38">
        <v>1</v>
      </c>
      <c r="F223" s="38">
        <v>15000</v>
      </c>
      <c r="G223" s="38">
        <v>10000</v>
      </c>
      <c r="H223" s="38">
        <v>5000</v>
      </c>
    </row>
    <row r="224" spans="1:8" x14ac:dyDescent="0.25">
      <c r="A224" s="38"/>
      <c r="B224" s="38"/>
      <c r="C224" s="38" t="s">
        <v>106</v>
      </c>
      <c r="D224" s="38" t="s">
        <v>11</v>
      </c>
      <c r="E224" s="38">
        <v>24</v>
      </c>
      <c r="F224" s="38">
        <f>24*1500</f>
        <v>36000</v>
      </c>
      <c r="G224" s="38">
        <f>24*500</f>
        <v>12000</v>
      </c>
      <c r="H224" s="38">
        <v>24000</v>
      </c>
    </row>
    <row r="225" spans="1:8" x14ac:dyDescent="0.25">
      <c r="A225" s="38"/>
      <c r="B225" s="38"/>
      <c r="C225" s="38" t="s">
        <v>16</v>
      </c>
      <c r="D225" s="38" t="s">
        <v>11</v>
      </c>
      <c r="E225" s="38">
        <v>28</v>
      </c>
      <c r="F225" s="38">
        <v>42000</v>
      </c>
      <c r="G225" s="38">
        <f>28*500</f>
        <v>14000</v>
      </c>
      <c r="H225" s="38">
        <v>28000</v>
      </c>
    </row>
    <row r="226" spans="1:8" x14ac:dyDescent="0.25">
      <c r="A226" s="38"/>
      <c r="B226" s="38"/>
      <c r="C226" s="38"/>
      <c r="D226" s="38" t="s">
        <v>12</v>
      </c>
      <c r="E226" s="38">
        <v>4</v>
      </c>
      <c r="F226" s="38">
        <v>12000</v>
      </c>
      <c r="G226" s="38">
        <v>8000</v>
      </c>
      <c r="H226" s="38">
        <v>4000</v>
      </c>
    </row>
    <row r="227" spans="1:8" x14ac:dyDescent="0.25">
      <c r="A227" s="38"/>
      <c r="B227" s="38"/>
      <c r="C227" s="38"/>
      <c r="D227" s="38" t="s">
        <v>13</v>
      </c>
      <c r="E227" s="38">
        <v>1</v>
      </c>
      <c r="F227" s="38">
        <v>6500</v>
      </c>
      <c r="G227" s="38">
        <v>4500</v>
      </c>
      <c r="H227" s="38">
        <v>2000</v>
      </c>
    </row>
    <row r="228" spans="1:8" x14ac:dyDescent="0.25">
      <c r="A228" s="38"/>
      <c r="B228" s="38"/>
      <c r="C228" s="38"/>
      <c r="D228" s="38" t="s">
        <v>14</v>
      </c>
      <c r="E228" s="38">
        <v>1</v>
      </c>
      <c r="F228" s="38">
        <v>10000</v>
      </c>
      <c r="G228" s="38">
        <v>5500</v>
      </c>
      <c r="H228" s="38">
        <v>4500</v>
      </c>
    </row>
    <row r="229" spans="1:8" x14ac:dyDescent="0.25">
      <c r="A229" s="38"/>
      <c r="B229" s="38"/>
      <c r="C229" s="38" t="s">
        <v>10</v>
      </c>
      <c r="D229" s="38" t="s">
        <v>11</v>
      </c>
      <c r="E229" s="38">
        <v>40</v>
      </c>
      <c r="F229" s="38">
        <v>60000</v>
      </c>
      <c r="G229" s="38">
        <f>40*500</f>
        <v>20000</v>
      </c>
      <c r="H229" s="38">
        <v>40000</v>
      </c>
    </row>
    <row r="230" spans="1:8" x14ac:dyDescent="0.25">
      <c r="A230" s="38"/>
      <c r="B230" s="38"/>
      <c r="C230" s="38"/>
      <c r="D230" s="38" t="s">
        <v>12</v>
      </c>
      <c r="E230" s="38">
        <v>7</v>
      </c>
      <c r="F230" s="38">
        <v>21000</v>
      </c>
      <c r="G230" s="38">
        <v>14000</v>
      </c>
      <c r="H230" s="38">
        <v>7000</v>
      </c>
    </row>
    <row r="231" spans="1:8" x14ac:dyDescent="0.25">
      <c r="A231" s="38"/>
      <c r="B231" s="38"/>
      <c r="C231" s="38"/>
      <c r="D231" s="38" t="s">
        <v>14</v>
      </c>
      <c r="E231" s="38">
        <v>7</v>
      </c>
      <c r="F231" s="38">
        <v>56000</v>
      </c>
      <c r="G231" s="38">
        <f>7*5500</f>
        <v>38500</v>
      </c>
      <c r="H231" s="38">
        <f>7*2500</f>
        <v>17500</v>
      </c>
    </row>
    <row r="232" spans="1:8" x14ac:dyDescent="0.25">
      <c r="A232" s="125" t="s">
        <v>17</v>
      </c>
      <c r="B232" s="125"/>
      <c r="C232" s="125"/>
      <c r="D232" s="125"/>
      <c r="E232" s="125"/>
      <c r="F232" s="17">
        <f>SUM(F220:F231)</f>
        <v>397000</v>
      </c>
      <c r="G232" s="17">
        <f>SUM(G220:G231)</f>
        <v>174500</v>
      </c>
      <c r="H232" s="17">
        <f>SUM(H220:H231)</f>
        <v>222500</v>
      </c>
    </row>
    <row r="233" spans="1:8" x14ac:dyDescent="0.25">
      <c r="A233" s="38" t="s">
        <v>26</v>
      </c>
      <c r="B233" s="38" t="s">
        <v>291</v>
      </c>
      <c r="C233" s="38" t="s">
        <v>108</v>
      </c>
      <c r="D233" s="38" t="s">
        <v>11</v>
      </c>
      <c r="E233" s="38">
        <f>F233/1500</f>
        <v>44</v>
      </c>
      <c r="F233" s="38">
        <v>66000</v>
      </c>
      <c r="G233" s="38">
        <f>44*500</f>
        <v>22000</v>
      </c>
      <c r="H233" s="38">
        <v>44000</v>
      </c>
    </row>
    <row r="234" spans="1:8" x14ac:dyDescent="0.25">
      <c r="A234" s="38"/>
      <c r="B234" s="38"/>
      <c r="C234" s="38" t="s">
        <v>292</v>
      </c>
      <c r="D234" s="38" t="s">
        <v>11</v>
      </c>
      <c r="E234" s="38">
        <f>F234/1500</f>
        <v>25</v>
      </c>
      <c r="F234" s="38">
        <v>37500</v>
      </c>
      <c r="G234" s="38">
        <f>25*500</f>
        <v>12500</v>
      </c>
      <c r="H234" s="38">
        <v>25000</v>
      </c>
    </row>
    <row r="235" spans="1:8" x14ac:dyDescent="0.25">
      <c r="A235" s="38"/>
      <c r="B235" s="38"/>
      <c r="C235" s="38" t="s">
        <v>106</v>
      </c>
      <c r="D235" s="38" t="s">
        <v>11</v>
      </c>
      <c r="E235" s="38">
        <v>20</v>
      </c>
      <c r="F235" s="38">
        <v>30000</v>
      </c>
      <c r="G235" s="38">
        <f>20*500</f>
        <v>10000</v>
      </c>
      <c r="H235" s="38">
        <v>20000</v>
      </c>
    </row>
    <row r="236" spans="1:8" x14ac:dyDescent="0.25">
      <c r="A236" s="38"/>
      <c r="B236" s="38"/>
      <c r="C236" s="38" t="s">
        <v>217</v>
      </c>
      <c r="D236" s="38" t="s">
        <v>11</v>
      </c>
      <c r="E236" s="38">
        <v>22</v>
      </c>
      <c r="F236" s="38">
        <v>33000</v>
      </c>
      <c r="G236" s="38">
        <f>22*500</f>
        <v>11000</v>
      </c>
      <c r="H236" s="38">
        <v>22000</v>
      </c>
    </row>
    <row r="237" spans="1:8" x14ac:dyDescent="0.25">
      <c r="A237" s="38"/>
      <c r="B237" s="38"/>
      <c r="C237" s="38" t="s">
        <v>236</v>
      </c>
      <c r="D237" s="38" t="s">
        <v>11</v>
      </c>
      <c r="E237" s="38">
        <v>666</v>
      </c>
      <c r="F237" s="38">
        <f>666*1500</f>
        <v>999000</v>
      </c>
      <c r="G237" s="38">
        <f>666*500</f>
        <v>333000</v>
      </c>
      <c r="H237" s="38">
        <v>666000</v>
      </c>
    </row>
    <row r="238" spans="1:8" x14ac:dyDescent="0.25">
      <c r="A238" s="38"/>
      <c r="B238" s="38"/>
      <c r="C238" s="38" t="s">
        <v>10</v>
      </c>
      <c r="D238" s="38" t="s">
        <v>11</v>
      </c>
      <c r="E238" s="38">
        <v>17</v>
      </c>
      <c r="F238" s="38">
        <v>25500</v>
      </c>
      <c r="G238" s="38">
        <f>17*500</f>
        <v>8500</v>
      </c>
      <c r="H238" s="38">
        <v>17000</v>
      </c>
    </row>
    <row r="239" spans="1:8" x14ac:dyDescent="0.25">
      <c r="A239" s="38"/>
      <c r="B239" s="38"/>
      <c r="C239" s="38"/>
      <c r="D239" s="38" t="s">
        <v>13</v>
      </c>
      <c r="E239" s="38">
        <v>44</v>
      </c>
      <c r="F239" s="38">
        <v>286000</v>
      </c>
      <c r="G239" s="38">
        <f>44*4500</f>
        <v>198000</v>
      </c>
      <c r="H239" s="38">
        <f>44*2000</f>
        <v>88000</v>
      </c>
    </row>
    <row r="240" spans="1:8" x14ac:dyDescent="0.25">
      <c r="A240" s="38"/>
      <c r="B240" s="38"/>
      <c r="C240" s="38"/>
      <c r="D240" s="38" t="s">
        <v>14</v>
      </c>
      <c r="E240" s="38">
        <v>35</v>
      </c>
      <c r="F240" s="38">
        <v>350000</v>
      </c>
      <c r="G240" s="38">
        <f>35*5500</f>
        <v>192500</v>
      </c>
      <c r="H240" s="38">
        <f>35*4500</f>
        <v>157500</v>
      </c>
    </row>
    <row r="241" spans="1:8" x14ac:dyDescent="0.25">
      <c r="A241" s="38"/>
      <c r="B241" s="38"/>
      <c r="C241" s="38" t="s">
        <v>16</v>
      </c>
      <c r="D241" s="38" t="s">
        <v>11</v>
      </c>
      <c r="E241" s="38">
        <v>65</v>
      </c>
      <c r="F241" s="38">
        <v>97500</v>
      </c>
      <c r="G241" s="38">
        <f>65*500</f>
        <v>32500</v>
      </c>
      <c r="H241" s="38">
        <v>65000</v>
      </c>
    </row>
    <row r="242" spans="1:8" x14ac:dyDescent="0.25">
      <c r="A242" s="38"/>
      <c r="B242" s="38"/>
      <c r="C242" s="38"/>
      <c r="D242" s="38" t="s">
        <v>12</v>
      </c>
      <c r="E242" s="38">
        <v>8</v>
      </c>
      <c r="F242" s="38">
        <v>24000</v>
      </c>
      <c r="G242" s="38">
        <v>16000</v>
      </c>
      <c r="H242" s="38">
        <v>8000</v>
      </c>
    </row>
    <row r="243" spans="1:8" x14ac:dyDescent="0.25">
      <c r="A243" s="38"/>
      <c r="B243" s="38"/>
      <c r="C243" s="38"/>
      <c r="D243" s="38" t="s">
        <v>13</v>
      </c>
      <c r="E243" s="38">
        <v>2</v>
      </c>
      <c r="F243" s="38">
        <v>13000</v>
      </c>
      <c r="G243" s="38">
        <v>9000</v>
      </c>
      <c r="H243" s="38">
        <v>4000</v>
      </c>
    </row>
    <row r="244" spans="1:8" x14ac:dyDescent="0.25">
      <c r="A244" s="38"/>
      <c r="B244" s="38"/>
      <c r="C244" s="38"/>
      <c r="D244" s="38" t="s">
        <v>14</v>
      </c>
      <c r="E244" s="38">
        <v>2</v>
      </c>
      <c r="F244" s="38">
        <v>20000</v>
      </c>
      <c r="G244" s="38">
        <v>11000</v>
      </c>
      <c r="H244" s="38">
        <v>9000</v>
      </c>
    </row>
    <row r="245" spans="1:8" x14ac:dyDescent="0.25">
      <c r="A245" s="38"/>
      <c r="B245" s="38"/>
      <c r="C245" s="38"/>
      <c r="D245" s="38" t="s">
        <v>25</v>
      </c>
      <c r="E245" s="38">
        <v>1</v>
      </c>
      <c r="F245" s="38">
        <v>13000</v>
      </c>
      <c r="G245" s="38">
        <v>10000</v>
      </c>
      <c r="H245" s="38">
        <v>3000</v>
      </c>
    </row>
    <row r="246" spans="1:8" x14ac:dyDescent="0.25">
      <c r="A246" s="125" t="s">
        <v>17</v>
      </c>
      <c r="B246" s="125"/>
      <c r="C246" s="125"/>
      <c r="D246" s="125"/>
      <c r="E246" s="125"/>
      <c r="F246" s="17">
        <f>SUM(F233:F245)</f>
        <v>1994500</v>
      </c>
      <c r="G246" s="17">
        <f>SUM(G233:G245)</f>
        <v>866000</v>
      </c>
      <c r="H246" s="17">
        <f>SUM(H233:H245)</f>
        <v>1128500</v>
      </c>
    </row>
    <row r="247" spans="1:8" x14ac:dyDescent="0.25">
      <c r="A247" s="38"/>
      <c r="B247" s="38"/>
      <c r="C247" s="38" t="s">
        <v>10</v>
      </c>
      <c r="D247" s="38" t="s">
        <v>13</v>
      </c>
      <c r="E247" s="38">
        <v>5</v>
      </c>
      <c r="F247" s="38">
        <v>32500</v>
      </c>
      <c r="G247" s="38">
        <f>5*4500</f>
        <v>22500</v>
      </c>
      <c r="H247" s="38">
        <v>10000</v>
      </c>
    </row>
    <row r="248" spans="1:8" x14ac:dyDescent="0.25">
      <c r="A248" s="38"/>
      <c r="B248" s="38"/>
      <c r="C248" s="38"/>
      <c r="D248" s="38" t="s">
        <v>14</v>
      </c>
      <c r="E248" s="38">
        <v>8</v>
      </c>
      <c r="F248" s="38">
        <v>64000</v>
      </c>
      <c r="G248" s="38">
        <f>8*5500</f>
        <v>44000</v>
      </c>
      <c r="H248" s="38">
        <f>8*2500</f>
        <v>20000</v>
      </c>
    </row>
    <row r="249" spans="1:8" x14ac:dyDescent="0.25">
      <c r="A249" s="38"/>
      <c r="B249" s="38"/>
      <c r="C249" s="38" t="s">
        <v>217</v>
      </c>
      <c r="D249" s="38" t="s">
        <v>13</v>
      </c>
      <c r="E249" s="38">
        <v>4</v>
      </c>
      <c r="F249" s="38">
        <v>26000</v>
      </c>
      <c r="G249" s="38">
        <f>4*4500</f>
        <v>18000</v>
      </c>
      <c r="H249" s="38">
        <v>8000</v>
      </c>
    </row>
    <row r="250" spans="1:8" x14ac:dyDescent="0.25">
      <c r="A250" s="38"/>
      <c r="B250" s="38"/>
      <c r="C250" s="38"/>
      <c r="D250" s="38" t="s">
        <v>14</v>
      </c>
      <c r="E250" s="38">
        <v>2</v>
      </c>
      <c r="F250" s="38">
        <v>16000</v>
      </c>
      <c r="G250" s="38">
        <f>2*5500</f>
        <v>11000</v>
      </c>
      <c r="H250" s="38">
        <v>5000</v>
      </c>
    </row>
    <row r="251" spans="1:8" x14ac:dyDescent="0.25">
      <c r="A251" s="125" t="s">
        <v>17</v>
      </c>
      <c r="B251" s="125"/>
      <c r="C251" s="125"/>
      <c r="D251" s="125"/>
      <c r="E251" s="125"/>
      <c r="F251" s="17">
        <f>SUM(F247:F250)</f>
        <v>138500</v>
      </c>
      <c r="G251" s="17">
        <f>SUM(G247:G250)</f>
        <v>95500</v>
      </c>
      <c r="H251" s="17">
        <f>SUM(H247:H250)</f>
        <v>43000</v>
      </c>
    </row>
    <row r="252" spans="1:8" x14ac:dyDescent="0.25">
      <c r="A252" s="38" t="s">
        <v>28</v>
      </c>
      <c r="B252" s="38" t="s">
        <v>293</v>
      </c>
      <c r="C252" s="38" t="s">
        <v>20</v>
      </c>
      <c r="D252" s="38" t="s">
        <v>11</v>
      </c>
      <c r="E252" s="38">
        <v>5</v>
      </c>
      <c r="F252" s="38">
        <v>7500</v>
      </c>
      <c r="G252" s="38">
        <f>5*500</f>
        <v>2500</v>
      </c>
      <c r="H252" s="38">
        <v>5000</v>
      </c>
    </row>
    <row r="253" spans="1:8" x14ac:dyDescent="0.25">
      <c r="A253" s="38"/>
      <c r="B253" s="38"/>
      <c r="C253" s="38"/>
      <c r="D253" s="38" t="s">
        <v>13</v>
      </c>
      <c r="E253" s="38">
        <v>5</v>
      </c>
      <c r="F253" s="38">
        <v>32500</v>
      </c>
      <c r="G253" s="38">
        <f>5*4500</f>
        <v>22500</v>
      </c>
      <c r="H253" s="38">
        <v>10000</v>
      </c>
    </row>
    <row r="254" spans="1:8" x14ac:dyDescent="0.25">
      <c r="A254" s="38"/>
      <c r="B254" s="38"/>
      <c r="C254" s="38"/>
      <c r="D254" s="38" t="s">
        <v>14</v>
      </c>
      <c r="E254" s="38">
        <v>17</v>
      </c>
      <c r="F254" s="38">
        <v>170000</v>
      </c>
      <c r="G254" s="38">
        <f>17*5500</f>
        <v>93500</v>
      </c>
      <c r="H254" s="38">
        <f>17*4500</f>
        <v>76500</v>
      </c>
    </row>
    <row r="255" spans="1:8" x14ac:dyDescent="0.25">
      <c r="A255" s="38"/>
      <c r="B255" s="38"/>
      <c r="C255" s="38" t="s">
        <v>10</v>
      </c>
      <c r="D255" s="38" t="s">
        <v>13</v>
      </c>
      <c r="E255" s="38">
        <v>2</v>
      </c>
      <c r="F255" s="38">
        <v>13000</v>
      </c>
      <c r="G255" s="38">
        <v>9000</v>
      </c>
      <c r="H255" s="38">
        <v>4000</v>
      </c>
    </row>
    <row r="256" spans="1:8" x14ac:dyDescent="0.25">
      <c r="A256" s="38"/>
      <c r="B256" s="38"/>
      <c r="C256" s="38"/>
      <c r="D256" s="38" t="s">
        <v>14</v>
      </c>
      <c r="E256" s="38">
        <v>5</v>
      </c>
      <c r="F256" s="38">
        <v>40000</v>
      </c>
      <c r="G256" s="38">
        <f>5*5500</f>
        <v>27500</v>
      </c>
      <c r="H256" s="38">
        <v>12500</v>
      </c>
    </row>
    <row r="257" spans="1:8" x14ac:dyDescent="0.25">
      <c r="A257" s="38"/>
      <c r="B257" s="38"/>
      <c r="C257" s="38" t="s">
        <v>217</v>
      </c>
      <c r="D257" s="38" t="s">
        <v>13</v>
      </c>
      <c r="E257" s="38">
        <v>15</v>
      </c>
      <c r="F257" s="38">
        <v>97500</v>
      </c>
      <c r="G257" s="38">
        <f>15*4500</f>
        <v>67500</v>
      </c>
      <c r="H257" s="38">
        <f>15*2000</f>
        <v>30000</v>
      </c>
    </row>
    <row r="258" spans="1:8" x14ac:dyDescent="0.25">
      <c r="A258" s="38"/>
      <c r="B258" s="38"/>
      <c r="C258" s="38"/>
      <c r="D258" s="38" t="s">
        <v>14</v>
      </c>
      <c r="E258" s="38">
        <v>13</v>
      </c>
      <c r="F258" s="38">
        <v>130000</v>
      </c>
      <c r="G258" s="38">
        <f>13*5500</f>
        <v>71500</v>
      </c>
      <c r="H258" s="38">
        <f>13*4500</f>
        <v>58500</v>
      </c>
    </row>
    <row r="259" spans="1:8" x14ac:dyDescent="0.25">
      <c r="A259" s="38"/>
      <c r="B259" s="38"/>
      <c r="C259" s="38" t="s">
        <v>10</v>
      </c>
      <c r="D259" s="38" t="s">
        <v>11</v>
      </c>
      <c r="E259" s="38">
        <v>14</v>
      </c>
      <c r="F259" s="38">
        <v>21000</v>
      </c>
      <c r="G259" s="38">
        <f>14*500</f>
        <v>7000</v>
      </c>
      <c r="H259" s="38">
        <v>14000</v>
      </c>
    </row>
    <row r="260" spans="1:8" x14ac:dyDescent="0.25">
      <c r="A260" s="38"/>
      <c r="B260" s="38"/>
      <c r="C260" s="38"/>
      <c r="D260" s="38" t="s">
        <v>13</v>
      </c>
      <c r="E260" s="38">
        <v>11</v>
      </c>
      <c r="F260" s="38">
        <v>71500</v>
      </c>
      <c r="G260" s="38">
        <f>11*4500</f>
        <v>49500</v>
      </c>
      <c r="H260" s="38">
        <f>11*2000</f>
        <v>22000</v>
      </c>
    </row>
    <row r="261" spans="1:8" x14ac:dyDescent="0.25">
      <c r="A261" s="38"/>
      <c r="B261" s="38"/>
      <c r="C261" s="38"/>
      <c r="D261" s="38" t="s">
        <v>14</v>
      </c>
      <c r="E261" s="38">
        <v>12</v>
      </c>
      <c r="F261" s="38">
        <v>96000</v>
      </c>
      <c r="G261" s="38">
        <f>12*5500</f>
        <v>66000</v>
      </c>
      <c r="H261" s="38">
        <f>12*2500</f>
        <v>30000</v>
      </c>
    </row>
    <row r="262" spans="1:8" x14ac:dyDescent="0.25">
      <c r="A262" s="38"/>
      <c r="B262" s="38"/>
      <c r="C262" s="38" t="s">
        <v>16</v>
      </c>
      <c r="D262" s="38" t="s">
        <v>11</v>
      </c>
      <c r="E262" s="38">
        <v>36</v>
      </c>
      <c r="F262" s="38">
        <v>54000</v>
      </c>
      <c r="G262" s="38">
        <f>36*500</f>
        <v>18000</v>
      </c>
      <c r="H262" s="38">
        <v>36000</v>
      </c>
    </row>
    <row r="263" spans="1:8" x14ac:dyDescent="0.25">
      <c r="A263" s="38"/>
      <c r="B263" s="38"/>
      <c r="C263" s="38"/>
      <c r="D263" s="38" t="s">
        <v>12</v>
      </c>
      <c r="E263" s="38">
        <v>7</v>
      </c>
      <c r="F263" s="38">
        <v>21000</v>
      </c>
      <c r="G263" s="38">
        <v>14000</v>
      </c>
      <c r="H263" s="38">
        <v>7000</v>
      </c>
    </row>
    <row r="264" spans="1:8" x14ac:dyDescent="0.25">
      <c r="A264" s="38"/>
      <c r="B264" s="38"/>
      <c r="C264" s="38"/>
      <c r="D264" s="38" t="s">
        <v>13</v>
      </c>
      <c r="E264" s="38">
        <v>2</v>
      </c>
      <c r="F264" s="38">
        <v>13000</v>
      </c>
      <c r="G264" s="38">
        <v>9000</v>
      </c>
      <c r="H264" s="38">
        <v>4000</v>
      </c>
    </row>
    <row r="265" spans="1:8" x14ac:dyDescent="0.25">
      <c r="A265" s="38"/>
      <c r="B265" s="38"/>
      <c r="C265" s="38"/>
      <c r="D265" s="38" t="s">
        <v>14</v>
      </c>
      <c r="E265" s="38">
        <v>1</v>
      </c>
      <c r="F265" s="38">
        <v>10000</v>
      </c>
      <c r="G265" s="38">
        <v>5500</v>
      </c>
      <c r="H265" s="38">
        <v>4500</v>
      </c>
    </row>
    <row r="266" spans="1:8" x14ac:dyDescent="0.25">
      <c r="A266" s="38"/>
      <c r="B266" s="38"/>
      <c r="C266" s="38"/>
      <c r="D266" s="38" t="s">
        <v>21</v>
      </c>
      <c r="E266" s="38">
        <v>1</v>
      </c>
      <c r="F266" s="38">
        <v>15000</v>
      </c>
      <c r="G266" s="38">
        <v>11000</v>
      </c>
      <c r="H266" s="38">
        <v>4000</v>
      </c>
    </row>
    <row r="267" spans="1:8" x14ac:dyDescent="0.25">
      <c r="A267" s="38"/>
      <c r="B267" s="38"/>
      <c r="C267" s="38" t="s">
        <v>235</v>
      </c>
      <c r="D267" s="38" t="s">
        <v>25</v>
      </c>
      <c r="E267" s="38">
        <v>3</v>
      </c>
      <c r="F267" s="38">
        <v>39000</v>
      </c>
      <c r="G267" s="38">
        <v>30000</v>
      </c>
      <c r="H267" s="38">
        <v>9000</v>
      </c>
    </row>
    <row r="268" spans="1:8" x14ac:dyDescent="0.25">
      <c r="A268" s="125" t="s">
        <v>17</v>
      </c>
      <c r="B268" s="125"/>
      <c r="C268" s="125"/>
      <c r="D268" s="125"/>
      <c r="E268" s="125"/>
      <c r="F268" s="17">
        <f>SUM(F252:F267)</f>
        <v>831000</v>
      </c>
      <c r="G268" s="17">
        <f>SUM(G252:G267)</f>
        <v>504000</v>
      </c>
      <c r="H268" s="17">
        <f>SUM(H252:H267)</f>
        <v>327000</v>
      </c>
    </row>
    <row r="269" spans="1:8" x14ac:dyDescent="0.25">
      <c r="A269" s="38" t="s">
        <v>30</v>
      </c>
      <c r="B269" s="38" t="s">
        <v>294</v>
      </c>
      <c r="C269" s="38" t="s">
        <v>106</v>
      </c>
      <c r="D269" s="38" t="s">
        <v>11</v>
      </c>
      <c r="E269" s="38">
        <v>20</v>
      </c>
      <c r="F269" s="38">
        <v>30000</v>
      </c>
      <c r="G269" s="38">
        <f>20*500</f>
        <v>10000</v>
      </c>
      <c r="H269" s="38">
        <v>20000</v>
      </c>
    </row>
    <row r="270" spans="1:8" x14ac:dyDescent="0.25">
      <c r="A270" s="38"/>
      <c r="B270" s="38"/>
      <c r="C270" s="38" t="s">
        <v>108</v>
      </c>
      <c r="D270" s="38" t="s">
        <v>11</v>
      </c>
      <c r="E270" s="38">
        <v>45</v>
      </c>
      <c r="F270" s="38">
        <v>67500</v>
      </c>
      <c r="G270" s="38">
        <f>45*500</f>
        <v>22500</v>
      </c>
      <c r="H270" s="38">
        <v>45000</v>
      </c>
    </row>
    <row r="271" spans="1:8" x14ac:dyDescent="0.25">
      <c r="A271" s="38"/>
      <c r="B271" s="38"/>
      <c r="C271" s="38" t="s">
        <v>288</v>
      </c>
      <c r="D271" s="38" t="s">
        <v>11</v>
      </c>
      <c r="E271" s="38">
        <v>35</v>
      </c>
      <c r="F271" s="38">
        <v>63000</v>
      </c>
      <c r="G271" s="38">
        <f>35*500</f>
        <v>17500</v>
      </c>
      <c r="H271" s="38">
        <f>35*1300</f>
        <v>45500</v>
      </c>
    </row>
    <row r="272" spans="1:8" x14ac:dyDescent="0.25">
      <c r="A272" s="38"/>
      <c r="B272" s="38"/>
      <c r="C272" s="38" t="s">
        <v>292</v>
      </c>
      <c r="D272" s="38" t="s">
        <v>11</v>
      </c>
      <c r="E272" s="38">
        <v>35</v>
      </c>
      <c r="F272" s="38">
        <v>52500</v>
      </c>
      <c r="G272" s="38">
        <v>17500</v>
      </c>
      <c r="H272" s="38">
        <v>35000</v>
      </c>
    </row>
    <row r="273" spans="1:8" x14ac:dyDescent="0.25">
      <c r="A273" s="38"/>
      <c r="B273" s="38"/>
      <c r="C273" s="38" t="s">
        <v>81</v>
      </c>
      <c r="D273" s="38" t="s">
        <v>11</v>
      </c>
      <c r="E273" s="38">
        <v>450</v>
      </c>
      <c r="F273" s="38">
        <f>450*1800</f>
        <v>810000</v>
      </c>
      <c r="G273" s="38">
        <f>450*500</f>
        <v>225000</v>
      </c>
      <c r="H273" s="38">
        <f>450*1300</f>
        <v>585000</v>
      </c>
    </row>
    <row r="274" spans="1:8" x14ac:dyDescent="0.25">
      <c r="A274" s="125" t="s">
        <v>17</v>
      </c>
      <c r="B274" s="125"/>
      <c r="C274" s="125"/>
      <c r="D274" s="125"/>
      <c r="E274" s="125"/>
      <c r="F274" s="17">
        <f>SUM(F269:F273)</f>
        <v>1023000</v>
      </c>
      <c r="G274" s="17">
        <f>SUM(G269:G273)</f>
        <v>292500</v>
      </c>
      <c r="H274" s="17">
        <f>SUM(H269:H273)</f>
        <v>730500</v>
      </c>
    </row>
    <row r="275" spans="1:8" x14ac:dyDescent="0.25">
      <c r="A275" s="38"/>
      <c r="B275" s="38"/>
      <c r="C275" s="38" t="s">
        <v>16</v>
      </c>
      <c r="D275" s="38" t="s">
        <v>11</v>
      </c>
      <c r="E275" s="38">
        <v>68</v>
      </c>
      <c r="F275" s="38">
        <v>102000</v>
      </c>
      <c r="G275" s="38">
        <f>68*500</f>
        <v>34000</v>
      </c>
      <c r="H275" s="38">
        <v>68000</v>
      </c>
    </row>
    <row r="276" spans="1:8" x14ac:dyDescent="0.25">
      <c r="A276" s="38"/>
      <c r="B276" s="38"/>
      <c r="C276" s="38"/>
      <c r="D276" s="38" t="s">
        <v>12</v>
      </c>
      <c r="E276" s="38">
        <v>2</v>
      </c>
      <c r="F276" s="38">
        <v>6000</v>
      </c>
      <c r="G276" s="38">
        <v>4000</v>
      </c>
      <c r="H276" s="38">
        <v>2000</v>
      </c>
    </row>
    <row r="277" spans="1:8" x14ac:dyDescent="0.25">
      <c r="A277" s="38"/>
      <c r="B277" s="38"/>
      <c r="C277" s="38"/>
      <c r="D277" s="38" t="s">
        <v>13</v>
      </c>
      <c r="E277" s="38">
        <v>1</v>
      </c>
      <c r="F277" s="38">
        <v>6500</v>
      </c>
      <c r="G277" s="38">
        <v>4500</v>
      </c>
      <c r="H277" s="38">
        <v>2000</v>
      </c>
    </row>
    <row r="278" spans="1:8" x14ac:dyDescent="0.25">
      <c r="A278" s="38"/>
      <c r="B278" s="38"/>
      <c r="C278" s="38" t="s">
        <v>217</v>
      </c>
      <c r="D278" s="38" t="s">
        <v>11</v>
      </c>
      <c r="E278" s="38">
        <v>18</v>
      </c>
      <c r="F278" s="38">
        <v>27000</v>
      </c>
      <c r="G278" s="38">
        <f>18*500</f>
        <v>9000</v>
      </c>
      <c r="H278" s="38">
        <v>18000</v>
      </c>
    </row>
    <row r="279" spans="1:8" x14ac:dyDescent="0.25">
      <c r="A279" s="38"/>
      <c r="B279" s="38"/>
      <c r="C279" s="38"/>
      <c r="D279" s="38" t="s">
        <v>13</v>
      </c>
      <c r="E279" s="38">
        <v>9</v>
      </c>
      <c r="F279" s="38">
        <v>58500</v>
      </c>
      <c r="G279" s="38">
        <f>9*4500</f>
        <v>40500</v>
      </c>
      <c r="H279" s="38">
        <v>18000</v>
      </c>
    </row>
    <row r="280" spans="1:8" x14ac:dyDescent="0.25">
      <c r="A280" s="38"/>
      <c r="B280" s="38"/>
      <c r="C280" s="38"/>
      <c r="D280" s="38" t="s">
        <v>14</v>
      </c>
      <c r="E280" s="38">
        <v>2</v>
      </c>
      <c r="F280" s="38">
        <v>16000</v>
      </c>
      <c r="G280" s="38">
        <v>11000</v>
      </c>
      <c r="H280" s="38">
        <v>5000</v>
      </c>
    </row>
    <row r="281" spans="1:8" x14ac:dyDescent="0.25">
      <c r="A281" s="125" t="s">
        <v>17</v>
      </c>
      <c r="B281" s="125"/>
      <c r="C281" s="125"/>
      <c r="D281" s="125"/>
      <c r="E281" s="125"/>
      <c r="F281" s="17">
        <f>SUM(F275:F280)</f>
        <v>216000</v>
      </c>
      <c r="G281" s="17">
        <f>SUM(G275:G280)</f>
        <v>103000</v>
      </c>
      <c r="H281" s="17">
        <f>SUM(H275:H280)</f>
        <v>113000</v>
      </c>
    </row>
    <row r="282" spans="1:8" x14ac:dyDescent="0.25">
      <c r="A282" s="38" t="s">
        <v>32</v>
      </c>
      <c r="B282" s="38" t="s">
        <v>295</v>
      </c>
      <c r="C282" s="38" t="s">
        <v>106</v>
      </c>
      <c r="D282" s="38" t="s">
        <v>11</v>
      </c>
      <c r="E282" s="38">
        <v>24</v>
      </c>
      <c r="F282" s="38">
        <v>36000</v>
      </c>
      <c r="G282" s="38">
        <f>24*500</f>
        <v>12000</v>
      </c>
      <c r="H282" s="38">
        <v>24000</v>
      </c>
    </row>
    <row r="283" spans="1:8" x14ac:dyDescent="0.25">
      <c r="A283" s="38"/>
      <c r="B283" s="38"/>
      <c r="C283" s="38" t="s">
        <v>108</v>
      </c>
      <c r="D283" s="38" t="s">
        <v>11</v>
      </c>
      <c r="E283" s="38">
        <v>35</v>
      </c>
      <c r="F283" s="38">
        <v>52500</v>
      </c>
      <c r="G283" s="38">
        <f>35*500</f>
        <v>17500</v>
      </c>
      <c r="H283" s="38">
        <v>35000</v>
      </c>
    </row>
    <row r="284" spans="1:8" x14ac:dyDescent="0.25">
      <c r="A284" s="38"/>
      <c r="B284" s="38"/>
      <c r="C284" s="38" t="s">
        <v>288</v>
      </c>
      <c r="D284" s="38" t="s">
        <v>11</v>
      </c>
      <c r="E284" s="38">
        <v>40</v>
      </c>
      <c r="F284" s="38">
        <v>72000</v>
      </c>
      <c r="G284" s="38">
        <f>40*500</f>
        <v>20000</v>
      </c>
      <c r="H284" s="38">
        <f>40*1300</f>
        <v>52000</v>
      </c>
    </row>
    <row r="285" spans="1:8" x14ac:dyDescent="0.25">
      <c r="A285" s="38"/>
      <c r="B285" s="38"/>
      <c r="C285" s="38" t="s">
        <v>292</v>
      </c>
      <c r="D285" s="38" t="s">
        <v>11</v>
      </c>
      <c r="E285" s="38">
        <v>35</v>
      </c>
      <c r="F285" s="38">
        <v>52500</v>
      </c>
      <c r="G285" s="38">
        <v>17500</v>
      </c>
      <c r="H285" s="38">
        <v>35000</v>
      </c>
    </row>
    <row r="286" spans="1:8" x14ac:dyDescent="0.25">
      <c r="A286" s="38"/>
      <c r="B286" s="38"/>
      <c r="C286" s="38" t="s">
        <v>16</v>
      </c>
      <c r="D286" s="38" t="s">
        <v>11</v>
      </c>
      <c r="E286" s="38">
        <v>58</v>
      </c>
      <c r="F286" s="38">
        <v>87000</v>
      </c>
      <c r="G286" s="38">
        <f>58*500</f>
        <v>29000</v>
      </c>
      <c r="H286" s="38">
        <v>58000</v>
      </c>
    </row>
    <row r="287" spans="1:8" x14ac:dyDescent="0.25">
      <c r="A287" s="38"/>
      <c r="B287" s="38"/>
      <c r="C287" s="38"/>
      <c r="D287" s="38" t="s">
        <v>12</v>
      </c>
      <c r="E287" s="38">
        <v>2</v>
      </c>
      <c r="F287" s="38">
        <v>6000</v>
      </c>
      <c r="G287" s="38">
        <v>4000</v>
      </c>
      <c r="H287" s="38">
        <v>2000</v>
      </c>
    </row>
    <row r="288" spans="1:8" x14ac:dyDescent="0.25">
      <c r="A288" s="38"/>
      <c r="B288" s="38"/>
      <c r="C288" s="38" t="s">
        <v>10</v>
      </c>
      <c r="D288" s="38" t="s">
        <v>11</v>
      </c>
      <c r="E288" s="38">
        <v>70</v>
      </c>
      <c r="F288" s="38">
        <v>105000</v>
      </c>
      <c r="G288" s="38">
        <f>70*500</f>
        <v>35000</v>
      </c>
      <c r="H288" s="38">
        <v>70000</v>
      </c>
    </row>
    <row r="289" spans="1:8" x14ac:dyDescent="0.25">
      <c r="A289" s="38"/>
      <c r="B289" s="38"/>
      <c r="C289" s="38" t="s">
        <v>30</v>
      </c>
      <c r="D289" s="38" t="s">
        <v>13</v>
      </c>
      <c r="E289" s="38">
        <v>3</v>
      </c>
      <c r="F289" s="38">
        <v>19500</v>
      </c>
      <c r="G289" s="38">
        <f>3*4500</f>
        <v>13500</v>
      </c>
      <c r="H289" s="38">
        <v>6000</v>
      </c>
    </row>
    <row r="290" spans="1:8" x14ac:dyDescent="0.25">
      <c r="A290" s="38"/>
      <c r="B290" s="38"/>
      <c r="C290" s="38"/>
      <c r="D290" s="38" t="s">
        <v>14</v>
      </c>
      <c r="E290" s="38">
        <v>4</v>
      </c>
      <c r="F290" s="38">
        <v>32000</v>
      </c>
      <c r="G290" s="38">
        <f>4*5500</f>
        <v>22000</v>
      </c>
      <c r="H290" s="38">
        <v>10000</v>
      </c>
    </row>
    <row r="291" spans="1:8" x14ac:dyDescent="0.25">
      <c r="A291" s="38"/>
      <c r="B291" s="38"/>
      <c r="C291" s="38" t="s">
        <v>10</v>
      </c>
      <c r="D291" s="38" t="s">
        <v>11</v>
      </c>
      <c r="E291" s="38">
        <v>37</v>
      </c>
      <c r="F291" s="38">
        <v>55500</v>
      </c>
      <c r="G291" s="38">
        <f>37*500</f>
        <v>18500</v>
      </c>
      <c r="H291" s="38">
        <v>37000</v>
      </c>
    </row>
    <row r="292" spans="1:8" x14ac:dyDescent="0.25">
      <c r="A292" s="38"/>
      <c r="B292" s="38"/>
      <c r="C292" s="38" t="s">
        <v>32</v>
      </c>
      <c r="D292" s="38" t="s">
        <v>13</v>
      </c>
      <c r="E292" s="38">
        <v>16</v>
      </c>
      <c r="F292" s="38">
        <v>104000</v>
      </c>
      <c r="G292" s="38">
        <f>16*4500</f>
        <v>72000</v>
      </c>
      <c r="H292" s="38">
        <f>16*2000</f>
        <v>32000</v>
      </c>
    </row>
    <row r="293" spans="1:8" x14ac:dyDescent="0.25">
      <c r="A293" s="38"/>
      <c r="B293" s="38"/>
      <c r="C293" s="38"/>
      <c r="D293" s="38" t="s">
        <v>14</v>
      </c>
      <c r="E293" s="38">
        <v>24</v>
      </c>
      <c r="F293" s="38">
        <v>240000</v>
      </c>
      <c r="G293" s="38">
        <f>24*5500</f>
        <v>132000</v>
      </c>
      <c r="H293" s="38">
        <f>24*4500</f>
        <v>108000</v>
      </c>
    </row>
    <row r="294" spans="1:8" x14ac:dyDescent="0.25">
      <c r="A294" s="125" t="s">
        <v>17</v>
      </c>
      <c r="B294" s="125"/>
      <c r="C294" s="125"/>
      <c r="D294" s="125"/>
      <c r="E294" s="125"/>
      <c r="F294" s="17">
        <f>SUM(F282:F293)</f>
        <v>862000</v>
      </c>
      <c r="G294" s="17">
        <f>SUM(G282:G293)</f>
        <v>393000</v>
      </c>
      <c r="H294" s="17">
        <f>SUM(H282:H293)</f>
        <v>469000</v>
      </c>
    </row>
    <row r="295" spans="1:8" x14ac:dyDescent="0.25">
      <c r="A295" s="38" t="s">
        <v>8</v>
      </c>
      <c r="B295" s="38" t="s">
        <v>296</v>
      </c>
      <c r="C295" s="38" t="s">
        <v>288</v>
      </c>
      <c r="D295" s="38" t="s">
        <v>11</v>
      </c>
      <c r="E295" s="38">
        <v>40</v>
      </c>
      <c r="F295" s="38">
        <v>60000</v>
      </c>
      <c r="G295" s="38">
        <f>40*500</f>
        <v>20000</v>
      </c>
      <c r="H295" s="38">
        <v>40000</v>
      </c>
    </row>
    <row r="296" spans="1:8" x14ac:dyDescent="0.25">
      <c r="A296" s="38"/>
      <c r="B296" s="38"/>
      <c r="C296" s="38" t="s">
        <v>106</v>
      </c>
      <c r="D296" s="38" t="s">
        <v>11</v>
      </c>
      <c r="E296" s="38">
        <v>24</v>
      </c>
      <c r="F296" s="38">
        <v>36000</v>
      </c>
      <c r="G296" s="38">
        <f>24*500</f>
        <v>12000</v>
      </c>
      <c r="H296" s="38">
        <v>24000</v>
      </c>
    </row>
    <row r="297" spans="1:8" x14ac:dyDescent="0.25">
      <c r="A297" s="38"/>
      <c r="B297" s="38"/>
      <c r="C297" s="38" t="s">
        <v>292</v>
      </c>
      <c r="D297" s="38" t="s">
        <v>11</v>
      </c>
      <c r="E297" s="38">
        <v>40</v>
      </c>
      <c r="F297" s="38">
        <v>60000</v>
      </c>
      <c r="G297" s="38">
        <v>20000</v>
      </c>
      <c r="H297" s="38">
        <v>40000</v>
      </c>
    </row>
    <row r="298" spans="1:8" x14ac:dyDescent="0.25">
      <c r="A298" s="38"/>
      <c r="B298" s="38"/>
      <c r="C298" s="38" t="s">
        <v>108</v>
      </c>
      <c r="D298" s="38" t="s">
        <v>11</v>
      </c>
      <c r="E298" s="38">
        <v>39</v>
      </c>
      <c r="F298" s="38">
        <v>58500</v>
      </c>
      <c r="G298" s="38">
        <f>39*500</f>
        <v>19500</v>
      </c>
      <c r="H298" s="38">
        <v>39000</v>
      </c>
    </row>
    <row r="299" spans="1:8" x14ac:dyDescent="0.25">
      <c r="A299" s="38"/>
      <c r="B299" s="38"/>
      <c r="C299" s="38" t="s">
        <v>217</v>
      </c>
      <c r="D299" s="38" t="s">
        <v>11</v>
      </c>
      <c r="E299" s="38">
        <v>40</v>
      </c>
      <c r="F299" s="38">
        <v>60000</v>
      </c>
      <c r="G299" s="38">
        <f>40*500</f>
        <v>20000</v>
      </c>
      <c r="H299" s="38">
        <v>40000</v>
      </c>
    </row>
    <row r="300" spans="1:8" x14ac:dyDescent="0.25">
      <c r="A300" s="38"/>
      <c r="B300" s="38"/>
      <c r="C300" s="38" t="s">
        <v>10</v>
      </c>
      <c r="D300" s="38" t="s">
        <v>11</v>
      </c>
      <c r="E300" s="38">
        <v>50</v>
      </c>
      <c r="F300" s="38">
        <v>75000</v>
      </c>
      <c r="G300" s="38">
        <f>50*500</f>
        <v>25000</v>
      </c>
      <c r="H300" s="38">
        <v>50000</v>
      </c>
    </row>
    <row r="301" spans="1:8" x14ac:dyDescent="0.25">
      <c r="A301" s="38"/>
      <c r="B301" s="38"/>
      <c r="C301" s="38"/>
      <c r="D301" s="38" t="s">
        <v>13</v>
      </c>
      <c r="E301" s="38">
        <v>2</v>
      </c>
      <c r="F301" s="38">
        <v>13000</v>
      </c>
      <c r="G301" s="38">
        <v>9000</v>
      </c>
      <c r="H301" s="38">
        <v>4000</v>
      </c>
    </row>
    <row r="302" spans="1:8" x14ac:dyDescent="0.25">
      <c r="A302" s="38"/>
      <c r="B302" s="38"/>
      <c r="C302" s="38"/>
      <c r="D302" s="38" t="s">
        <v>14</v>
      </c>
      <c r="E302" s="38">
        <v>2</v>
      </c>
      <c r="F302" s="38">
        <v>16000</v>
      </c>
      <c r="G302" s="38">
        <v>11000</v>
      </c>
      <c r="H302" s="38">
        <v>5000</v>
      </c>
    </row>
    <row r="303" spans="1:8" x14ac:dyDescent="0.25">
      <c r="A303" s="38"/>
      <c r="B303" s="38"/>
      <c r="C303" s="38" t="s">
        <v>16</v>
      </c>
      <c r="D303" s="38" t="s">
        <v>11</v>
      </c>
      <c r="E303" s="38">
        <v>75</v>
      </c>
      <c r="F303" s="38">
        <v>112500</v>
      </c>
      <c r="G303" s="38">
        <f>75*500</f>
        <v>37500</v>
      </c>
      <c r="H303" s="38">
        <v>75000</v>
      </c>
    </row>
    <row r="304" spans="1:8" x14ac:dyDescent="0.25">
      <c r="A304" s="38"/>
      <c r="B304" s="38"/>
      <c r="C304" s="38"/>
      <c r="D304" s="38" t="s">
        <v>12</v>
      </c>
      <c r="E304" s="38">
        <v>3</v>
      </c>
      <c r="F304" s="38">
        <v>9000</v>
      </c>
      <c r="G304" s="38">
        <v>6000</v>
      </c>
      <c r="H304" s="38">
        <v>3000</v>
      </c>
    </row>
    <row r="305" spans="1:8" x14ac:dyDescent="0.25">
      <c r="A305" s="38"/>
      <c r="B305" s="38"/>
      <c r="C305" s="38"/>
      <c r="D305" s="38" t="s">
        <v>14</v>
      </c>
      <c r="E305" s="38">
        <v>1</v>
      </c>
      <c r="F305" s="38">
        <v>10000</v>
      </c>
      <c r="G305" s="38">
        <v>5500</v>
      </c>
      <c r="H305" s="38">
        <v>2500</v>
      </c>
    </row>
    <row r="306" spans="1:8" x14ac:dyDescent="0.25">
      <c r="A306" s="125" t="s">
        <v>17</v>
      </c>
      <c r="B306" s="125"/>
      <c r="C306" s="125"/>
      <c r="D306" s="125"/>
      <c r="E306" s="125"/>
      <c r="F306" s="17">
        <f>SUM(F295:F305)</f>
        <v>510000</v>
      </c>
      <c r="G306" s="17">
        <f>SUM(G295:G305)</f>
        <v>185500</v>
      </c>
      <c r="H306" s="17">
        <f>SUM(H295:H305)</f>
        <v>322500</v>
      </c>
    </row>
    <row r="307" spans="1:8" x14ac:dyDescent="0.25">
      <c r="A307" s="38" t="s">
        <v>18</v>
      </c>
      <c r="B307" s="38" t="s">
        <v>297</v>
      </c>
      <c r="C307" s="38" t="s">
        <v>108</v>
      </c>
      <c r="D307" s="38" t="s">
        <v>11</v>
      </c>
      <c r="E307" s="38">
        <v>19</v>
      </c>
      <c r="F307" s="38">
        <f>19*1500</f>
        <v>28500</v>
      </c>
      <c r="G307" s="38">
        <f>19*500</f>
        <v>9500</v>
      </c>
      <c r="H307" s="38">
        <v>19000</v>
      </c>
    </row>
    <row r="308" spans="1:8" x14ac:dyDescent="0.25">
      <c r="A308" s="38"/>
      <c r="B308" s="38"/>
      <c r="C308" s="38" t="s">
        <v>106</v>
      </c>
      <c r="D308" s="38" t="s">
        <v>11</v>
      </c>
      <c r="E308" s="38">
        <v>24</v>
      </c>
      <c r="F308" s="38">
        <v>36000</v>
      </c>
      <c r="G308" s="38">
        <f>24*500</f>
        <v>12000</v>
      </c>
      <c r="H308" s="38">
        <v>24000</v>
      </c>
    </row>
    <row r="309" spans="1:8" x14ac:dyDescent="0.25">
      <c r="A309" s="38"/>
      <c r="B309" s="38"/>
      <c r="C309" s="38" t="s">
        <v>292</v>
      </c>
      <c r="D309" s="38" t="s">
        <v>11</v>
      </c>
      <c r="E309" s="38">
        <v>40</v>
      </c>
      <c r="F309" s="38">
        <v>60000</v>
      </c>
      <c r="G309" s="38">
        <f>40*500</f>
        <v>20000</v>
      </c>
      <c r="H309" s="38">
        <v>40000</v>
      </c>
    </row>
    <row r="310" spans="1:8" x14ac:dyDescent="0.25">
      <c r="A310" s="38"/>
      <c r="B310" s="38"/>
      <c r="C310" s="38" t="s">
        <v>288</v>
      </c>
      <c r="D310" s="38" t="s">
        <v>11</v>
      </c>
      <c r="E310" s="38">
        <v>40</v>
      </c>
      <c r="F310" s="38">
        <v>60000</v>
      </c>
      <c r="G310" s="38">
        <v>20000</v>
      </c>
      <c r="H310" s="38">
        <v>40000</v>
      </c>
    </row>
    <row r="311" spans="1:8" x14ac:dyDescent="0.25">
      <c r="A311" s="38"/>
      <c r="B311" s="38"/>
      <c r="C311" s="38" t="s">
        <v>10</v>
      </c>
      <c r="D311" s="38" t="s">
        <v>11</v>
      </c>
      <c r="E311" s="38">
        <v>35</v>
      </c>
      <c r="F311" s="38">
        <v>52500</v>
      </c>
      <c r="G311" s="38">
        <f>35*500</f>
        <v>17500</v>
      </c>
      <c r="H311" s="38">
        <v>35000</v>
      </c>
    </row>
    <row r="312" spans="1:8" x14ac:dyDescent="0.25">
      <c r="A312" s="38"/>
      <c r="B312" s="38"/>
      <c r="C312" s="38"/>
      <c r="D312" s="38" t="s">
        <v>13</v>
      </c>
      <c r="E312" s="38">
        <v>3</v>
      </c>
      <c r="F312" s="38">
        <v>19500</v>
      </c>
      <c r="G312" s="38">
        <f>3*4500</f>
        <v>13500</v>
      </c>
      <c r="H312" s="38">
        <v>6000</v>
      </c>
    </row>
    <row r="313" spans="1:8" x14ac:dyDescent="0.25">
      <c r="A313" s="38"/>
      <c r="B313" s="38"/>
      <c r="C313" s="38"/>
      <c r="D313" s="38" t="s">
        <v>14</v>
      </c>
      <c r="E313" s="38">
        <v>3</v>
      </c>
      <c r="F313" s="38">
        <v>24000</v>
      </c>
      <c r="G313" s="38">
        <f>3*5500</f>
        <v>16500</v>
      </c>
      <c r="H313" s="38">
        <v>7500</v>
      </c>
    </row>
    <row r="314" spans="1:8" x14ac:dyDescent="0.25">
      <c r="A314" s="38"/>
      <c r="B314" s="38"/>
      <c r="C314" s="38" t="s">
        <v>16</v>
      </c>
      <c r="D314" s="38" t="s">
        <v>11</v>
      </c>
      <c r="E314" s="38">
        <v>61</v>
      </c>
      <c r="F314" s="38">
        <v>91500</v>
      </c>
      <c r="G314" s="38">
        <f>61*500</f>
        <v>30500</v>
      </c>
      <c r="H314" s="38">
        <v>61000</v>
      </c>
    </row>
    <row r="315" spans="1:8" x14ac:dyDescent="0.25">
      <c r="A315" s="38"/>
      <c r="B315" s="38"/>
      <c r="C315" s="38"/>
      <c r="D315" s="38" t="s">
        <v>12</v>
      </c>
      <c r="E315" s="38">
        <v>8</v>
      </c>
      <c r="F315" s="38">
        <v>24000</v>
      </c>
      <c r="G315" s="38">
        <v>16000</v>
      </c>
      <c r="H315" s="38">
        <v>8000</v>
      </c>
    </row>
    <row r="316" spans="1:8" x14ac:dyDescent="0.25">
      <c r="A316" s="38"/>
      <c r="B316" s="38"/>
      <c r="C316" s="38"/>
      <c r="D316" s="38" t="s">
        <v>13</v>
      </c>
      <c r="E316" s="38">
        <v>1</v>
      </c>
      <c r="F316" s="38">
        <v>6500</v>
      </c>
      <c r="G316" s="38">
        <v>4500</v>
      </c>
      <c r="H316" s="38">
        <v>2000</v>
      </c>
    </row>
    <row r="317" spans="1:8" x14ac:dyDescent="0.25">
      <c r="A317" s="125" t="s">
        <v>17</v>
      </c>
      <c r="B317" s="125"/>
      <c r="C317" s="125"/>
      <c r="D317" s="125"/>
      <c r="E317" s="125"/>
      <c r="F317" s="17">
        <f>SUM(F307:F316)</f>
        <v>402500</v>
      </c>
      <c r="G317" s="17">
        <f>SUM(G307:G316)</f>
        <v>160000</v>
      </c>
      <c r="H317" s="17">
        <f>SUM(H307:H316)</f>
        <v>242500</v>
      </c>
    </row>
    <row r="318" spans="1:8" x14ac:dyDescent="0.25">
      <c r="A318" s="38" t="s">
        <v>22</v>
      </c>
      <c r="B318" s="38" t="s">
        <v>298</v>
      </c>
      <c r="C318" s="38" t="s">
        <v>106</v>
      </c>
      <c r="D318" s="38" t="s">
        <v>11</v>
      </c>
      <c r="E318" s="38">
        <v>25</v>
      </c>
      <c r="F318" s="38">
        <v>37500</v>
      </c>
      <c r="G318" s="38">
        <f>25*500</f>
        <v>12500</v>
      </c>
      <c r="H318" s="38">
        <v>25000</v>
      </c>
    </row>
    <row r="319" spans="1:8" x14ac:dyDescent="0.25">
      <c r="A319" s="38"/>
      <c r="B319" s="38"/>
      <c r="C319" s="38" t="s">
        <v>288</v>
      </c>
      <c r="D319" s="38" t="s">
        <v>11</v>
      </c>
      <c r="E319" s="38">
        <v>45</v>
      </c>
      <c r="F319" s="38">
        <v>81000</v>
      </c>
      <c r="G319" s="38">
        <f>45*500</f>
        <v>22500</v>
      </c>
      <c r="H319" s="38">
        <f>45*1300</f>
        <v>58500</v>
      </c>
    </row>
    <row r="320" spans="1:8" x14ac:dyDescent="0.25">
      <c r="A320" s="38"/>
      <c r="B320" s="38"/>
      <c r="C320" s="38" t="s">
        <v>292</v>
      </c>
      <c r="D320" s="38" t="s">
        <v>11</v>
      </c>
      <c r="E320" s="38">
        <v>45</v>
      </c>
      <c r="F320" s="38">
        <v>67500</v>
      </c>
      <c r="G320" s="38">
        <f>45*500</f>
        <v>22500</v>
      </c>
      <c r="H320" s="38">
        <v>45000</v>
      </c>
    </row>
    <row r="321" spans="1:8" x14ac:dyDescent="0.25">
      <c r="A321" s="38"/>
      <c r="B321" s="38"/>
      <c r="C321" s="38" t="s">
        <v>108</v>
      </c>
      <c r="D321" s="38" t="s">
        <v>11</v>
      </c>
      <c r="E321" s="38">
        <v>19</v>
      </c>
      <c r="F321" s="38">
        <v>28500</v>
      </c>
      <c r="G321" s="38">
        <f>19*500</f>
        <v>9500</v>
      </c>
      <c r="H321" s="38">
        <v>19000</v>
      </c>
    </row>
    <row r="322" spans="1:8" x14ac:dyDescent="0.25">
      <c r="A322" s="38"/>
      <c r="B322" s="38"/>
      <c r="C322" s="38" t="s">
        <v>217</v>
      </c>
      <c r="D322" s="38" t="s">
        <v>13</v>
      </c>
      <c r="E322" s="38">
        <v>6</v>
      </c>
      <c r="F322" s="38">
        <v>39000</v>
      </c>
      <c r="G322" s="38">
        <f>6*4500</f>
        <v>27000</v>
      </c>
      <c r="H322" s="38">
        <f>6*2000</f>
        <v>12000</v>
      </c>
    </row>
    <row r="323" spans="1:8" x14ac:dyDescent="0.25">
      <c r="A323" s="38"/>
      <c r="B323" s="38"/>
      <c r="C323" s="38"/>
      <c r="D323" s="38" t="s">
        <v>14</v>
      </c>
      <c r="E323" s="38">
        <v>2</v>
      </c>
      <c r="F323" s="38">
        <v>16000</v>
      </c>
      <c r="G323" s="38">
        <f>2*5500</f>
        <v>11000</v>
      </c>
      <c r="H323" s="38">
        <v>5000</v>
      </c>
    </row>
    <row r="324" spans="1:8" x14ac:dyDescent="0.25">
      <c r="A324" s="38"/>
      <c r="B324" s="38"/>
      <c r="C324" s="38"/>
      <c r="D324" s="38" t="s">
        <v>25</v>
      </c>
      <c r="E324" s="38">
        <v>2</v>
      </c>
      <c r="F324" s="38">
        <v>26000</v>
      </c>
      <c r="G324" s="38">
        <v>20000</v>
      </c>
      <c r="H324" s="38">
        <v>6000</v>
      </c>
    </row>
    <row r="325" spans="1:8" x14ac:dyDescent="0.25">
      <c r="A325" s="38"/>
      <c r="B325" s="38"/>
      <c r="C325" s="38"/>
      <c r="D325" s="38" t="s">
        <v>21</v>
      </c>
      <c r="E325" s="38">
        <v>2</v>
      </c>
      <c r="F325" s="38">
        <v>30000</v>
      </c>
      <c r="G325" s="38">
        <v>22000</v>
      </c>
      <c r="H325" s="38">
        <v>8000</v>
      </c>
    </row>
    <row r="326" spans="1:8" x14ac:dyDescent="0.25">
      <c r="A326" s="38"/>
      <c r="B326" s="38"/>
      <c r="C326" s="38" t="s">
        <v>10</v>
      </c>
      <c r="D326" s="38" t="s">
        <v>11</v>
      </c>
      <c r="E326" s="38">
        <v>42</v>
      </c>
      <c r="F326" s="38">
        <v>63000</v>
      </c>
      <c r="G326" s="38">
        <f>42*500</f>
        <v>21000</v>
      </c>
      <c r="H326" s="38">
        <v>42000</v>
      </c>
    </row>
    <row r="327" spans="1:8" x14ac:dyDescent="0.25">
      <c r="A327" s="38"/>
      <c r="B327" s="38"/>
      <c r="C327" s="38"/>
      <c r="D327" s="38" t="s">
        <v>13</v>
      </c>
      <c r="E327" s="38">
        <v>14</v>
      </c>
      <c r="F327" s="38">
        <v>91000</v>
      </c>
      <c r="G327" s="38">
        <f>14*4500</f>
        <v>63000</v>
      </c>
      <c r="H327" s="38">
        <f>14*2000</f>
        <v>28000</v>
      </c>
    </row>
    <row r="328" spans="1:8" x14ac:dyDescent="0.25">
      <c r="A328" s="38"/>
      <c r="B328" s="38"/>
      <c r="C328" s="38"/>
      <c r="D328" s="38" t="s">
        <v>14</v>
      </c>
      <c r="E328" s="38">
        <v>8</v>
      </c>
      <c r="F328" s="38">
        <v>64000</v>
      </c>
      <c r="G328" s="38">
        <f>8*5500</f>
        <v>44000</v>
      </c>
      <c r="H328" s="38">
        <f>8*2500</f>
        <v>20000</v>
      </c>
    </row>
    <row r="329" spans="1:8" x14ac:dyDescent="0.25">
      <c r="A329" s="38"/>
      <c r="B329" s="38"/>
      <c r="C329" s="38" t="s">
        <v>16</v>
      </c>
      <c r="D329" s="38" t="s">
        <v>11</v>
      </c>
      <c r="E329" s="38">
        <v>38</v>
      </c>
      <c r="F329" s="38">
        <v>57000</v>
      </c>
      <c r="G329" s="38">
        <f>38*500</f>
        <v>19000</v>
      </c>
      <c r="H329" s="38">
        <v>38000</v>
      </c>
    </row>
    <row r="330" spans="1:8" x14ac:dyDescent="0.25">
      <c r="A330" s="38"/>
      <c r="B330" s="38"/>
      <c r="C330" s="38"/>
      <c r="D330" s="38" t="s">
        <v>12</v>
      </c>
      <c r="E330" s="38">
        <v>5</v>
      </c>
      <c r="F330" s="38">
        <v>15000</v>
      </c>
      <c r="G330" s="38">
        <v>10000</v>
      </c>
      <c r="H330" s="38">
        <v>5000</v>
      </c>
    </row>
    <row r="331" spans="1:8" x14ac:dyDescent="0.25">
      <c r="A331" s="38"/>
      <c r="B331" s="38"/>
      <c r="C331" s="38"/>
      <c r="D331" s="38" t="s">
        <v>13</v>
      </c>
      <c r="E331" s="38">
        <v>1</v>
      </c>
      <c r="F331" s="38">
        <v>6500</v>
      </c>
      <c r="G331" s="38">
        <v>4500</v>
      </c>
      <c r="H331" s="38">
        <v>2000</v>
      </c>
    </row>
    <row r="332" spans="1:8" x14ac:dyDescent="0.25">
      <c r="A332" s="38"/>
      <c r="B332" s="38"/>
      <c r="C332" s="38"/>
      <c r="D332" s="38" t="s">
        <v>14</v>
      </c>
      <c r="E332" s="38">
        <v>1</v>
      </c>
      <c r="F332" s="38">
        <v>10000</v>
      </c>
      <c r="G332" s="38">
        <v>5500</v>
      </c>
      <c r="H332" s="38">
        <v>4500</v>
      </c>
    </row>
    <row r="333" spans="1:8" x14ac:dyDescent="0.25">
      <c r="A333" s="125" t="s">
        <v>17</v>
      </c>
      <c r="B333" s="125"/>
      <c r="C333" s="125"/>
      <c r="D333" s="125"/>
      <c r="E333" s="125"/>
      <c r="F333" s="17">
        <f>SUM(F318:F332)</f>
        <v>632000</v>
      </c>
      <c r="G333" s="17">
        <f>SUM(G318:G332)</f>
        <v>314000</v>
      </c>
      <c r="H333" s="17">
        <f>SUM(H318:H332)</f>
        <v>318000</v>
      </c>
    </row>
    <row r="334" spans="1:8" x14ac:dyDescent="0.25">
      <c r="A334" s="38" t="s">
        <v>26</v>
      </c>
      <c r="B334" s="38" t="s">
        <v>299</v>
      </c>
      <c r="C334" s="38" t="s">
        <v>81</v>
      </c>
      <c r="D334" s="38" t="s">
        <v>11</v>
      </c>
      <c r="E334" s="38">
        <v>75</v>
      </c>
      <c r="F334" s="38">
        <v>135000</v>
      </c>
      <c r="G334" s="38">
        <f>75*500</f>
        <v>37500</v>
      </c>
      <c r="H334" s="38">
        <f>75*1300</f>
        <v>97500</v>
      </c>
    </row>
    <row r="335" spans="1:8" x14ac:dyDescent="0.25">
      <c r="A335" s="38"/>
      <c r="B335" s="38"/>
      <c r="C335" s="38"/>
      <c r="D335" s="38" t="s">
        <v>11</v>
      </c>
      <c r="E335" s="38">
        <v>75</v>
      </c>
      <c r="F335" s="38">
        <v>135000</v>
      </c>
      <c r="G335" s="38">
        <v>37500</v>
      </c>
      <c r="H335" s="38">
        <v>97500</v>
      </c>
    </row>
    <row r="336" spans="1:8" x14ac:dyDescent="0.25">
      <c r="A336" s="38"/>
      <c r="B336" s="38"/>
      <c r="C336" s="38"/>
      <c r="D336" s="38" t="s">
        <v>11</v>
      </c>
      <c r="E336" s="38">
        <v>73</v>
      </c>
      <c r="F336" s="38">
        <v>131400</v>
      </c>
      <c r="G336" s="38">
        <f>73*500</f>
        <v>36500</v>
      </c>
      <c r="H336" s="38">
        <f>73*1300</f>
        <v>94900</v>
      </c>
    </row>
    <row r="337" spans="1:8" x14ac:dyDescent="0.25">
      <c r="A337" s="38"/>
      <c r="B337" s="38"/>
      <c r="C337" s="38"/>
      <c r="D337" s="38" t="s">
        <v>11</v>
      </c>
      <c r="E337" s="38">
        <v>75</v>
      </c>
      <c r="F337" s="38">
        <v>135000</v>
      </c>
      <c r="G337" s="38">
        <v>37500</v>
      </c>
      <c r="H337" s="38">
        <v>97500</v>
      </c>
    </row>
    <row r="338" spans="1:8" x14ac:dyDescent="0.25">
      <c r="A338" s="125" t="s">
        <v>17</v>
      </c>
      <c r="B338" s="125"/>
      <c r="C338" s="125"/>
      <c r="D338" s="125"/>
      <c r="E338" s="125"/>
      <c r="F338" s="17">
        <f>SUM(F334:F337)</f>
        <v>536400</v>
      </c>
      <c r="G338" s="17">
        <f>SUM(G334:G337)</f>
        <v>149000</v>
      </c>
      <c r="H338" s="17">
        <f>SUM(H334:H337)</f>
        <v>387400</v>
      </c>
    </row>
    <row r="339" spans="1:8" x14ac:dyDescent="0.25">
      <c r="A339" s="38"/>
      <c r="B339" s="38"/>
      <c r="C339" s="38" t="s">
        <v>16</v>
      </c>
      <c r="D339" s="38" t="s">
        <v>11</v>
      </c>
      <c r="E339" s="38">
        <v>54</v>
      </c>
      <c r="F339" s="38">
        <v>81000</v>
      </c>
      <c r="G339" s="38">
        <f>54*500</f>
        <v>27000</v>
      </c>
      <c r="H339" s="38">
        <v>54000</v>
      </c>
    </row>
    <row r="340" spans="1:8" x14ac:dyDescent="0.25">
      <c r="A340" s="38"/>
      <c r="B340" s="38"/>
      <c r="C340" s="38"/>
      <c r="D340" s="38" t="s">
        <v>12</v>
      </c>
      <c r="E340" s="38">
        <v>9</v>
      </c>
      <c r="F340" s="38">
        <v>27000</v>
      </c>
      <c r="G340" s="38">
        <v>18000</v>
      </c>
      <c r="H340" s="38">
        <v>9000</v>
      </c>
    </row>
    <row r="341" spans="1:8" x14ac:dyDescent="0.25">
      <c r="A341" s="38"/>
      <c r="B341" s="38"/>
      <c r="C341" s="38"/>
      <c r="D341" s="38" t="s">
        <v>13</v>
      </c>
      <c r="E341" s="38">
        <v>1</v>
      </c>
      <c r="F341" s="38">
        <v>6500</v>
      </c>
      <c r="G341" s="38">
        <v>4500</v>
      </c>
      <c r="H341" s="38">
        <v>2000</v>
      </c>
    </row>
    <row r="342" spans="1:8" x14ac:dyDescent="0.25">
      <c r="A342" s="38"/>
      <c r="B342" s="38"/>
      <c r="C342" s="38" t="s">
        <v>10</v>
      </c>
      <c r="D342" s="38" t="s">
        <v>11</v>
      </c>
      <c r="E342" s="38">
        <v>12</v>
      </c>
      <c r="F342" s="38">
        <v>18000</v>
      </c>
      <c r="G342" s="38">
        <f>12*500</f>
        <v>6000</v>
      </c>
      <c r="H342" s="38">
        <v>12000</v>
      </c>
    </row>
    <row r="343" spans="1:8" x14ac:dyDescent="0.25">
      <c r="A343" s="38"/>
      <c r="B343" s="38"/>
      <c r="C343" s="38"/>
      <c r="D343" s="38" t="s">
        <v>13</v>
      </c>
      <c r="E343" s="38">
        <v>12</v>
      </c>
      <c r="F343" s="38">
        <v>78000</v>
      </c>
      <c r="G343" s="38">
        <f>12*4500</f>
        <v>54000</v>
      </c>
      <c r="H343" s="38">
        <f>12*2000</f>
        <v>24000</v>
      </c>
    </row>
    <row r="344" spans="1:8" x14ac:dyDescent="0.25">
      <c r="A344" s="38"/>
      <c r="B344" s="38"/>
      <c r="C344" s="38"/>
      <c r="D344" s="38" t="s">
        <v>14</v>
      </c>
      <c r="E344" s="38">
        <v>13</v>
      </c>
      <c r="F344" s="38">
        <v>104000</v>
      </c>
      <c r="G344" s="38">
        <f>13*5500</f>
        <v>71500</v>
      </c>
      <c r="H344" s="38">
        <f>13*2500</f>
        <v>32500</v>
      </c>
    </row>
    <row r="345" spans="1:8" x14ac:dyDescent="0.25">
      <c r="A345" s="38"/>
      <c r="B345" s="38"/>
      <c r="C345" s="38" t="s">
        <v>10</v>
      </c>
      <c r="D345" s="38" t="s">
        <v>13</v>
      </c>
      <c r="E345" s="38">
        <v>3</v>
      </c>
      <c r="F345" s="38">
        <v>19500</v>
      </c>
      <c r="G345" s="38">
        <f>3*4500</f>
        <v>13500</v>
      </c>
      <c r="H345" s="38">
        <v>6000</v>
      </c>
    </row>
    <row r="346" spans="1:8" x14ac:dyDescent="0.25">
      <c r="A346" s="38"/>
      <c r="B346" s="38"/>
      <c r="C346" s="38"/>
      <c r="D346" s="38" t="s">
        <v>14</v>
      </c>
      <c r="E346" s="38">
        <v>7</v>
      </c>
      <c r="F346" s="38">
        <v>56000</v>
      </c>
      <c r="G346" s="38">
        <f>7*5500</f>
        <v>38500</v>
      </c>
      <c r="H346" s="38">
        <f>7*2500</f>
        <v>17500</v>
      </c>
    </row>
    <row r="347" spans="1:8" x14ac:dyDescent="0.25">
      <c r="A347" s="38"/>
      <c r="B347" s="38"/>
      <c r="C347" s="38" t="s">
        <v>217</v>
      </c>
      <c r="D347" s="38" t="s">
        <v>13</v>
      </c>
      <c r="E347" s="38">
        <v>8</v>
      </c>
      <c r="F347" s="38">
        <v>52000</v>
      </c>
      <c r="G347" s="38">
        <f>8*4500</f>
        <v>36000</v>
      </c>
      <c r="H347" s="38">
        <v>16000</v>
      </c>
    </row>
    <row r="348" spans="1:8" x14ac:dyDescent="0.25">
      <c r="A348" s="38"/>
      <c r="B348" s="38"/>
      <c r="C348" s="38"/>
      <c r="D348" s="38" t="s">
        <v>14</v>
      </c>
      <c r="E348" s="38">
        <v>1</v>
      </c>
      <c r="F348" s="38">
        <v>8000</v>
      </c>
      <c r="G348" s="38">
        <v>5500</v>
      </c>
      <c r="H348" s="38">
        <v>2500</v>
      </c>
    </row>
    <row r="349" spans="1:8" x14ac:dyDescent="0.25">
      <c r="A349" s="38"/>
      <c r="B349" s="38"/>
      <c r="C349" s="38"/>
      <c r="D349" s="38" t="s">
        <v>14</v>
      </c>
      <c r="E349" s="38">
        <v>4</v>
      </c>
      <c r="F349" s="38">
        <v>40000</v>
      </c>
      <c r="G349" s="38">
        <f>4*5500</f>
        <v>22000</v>
      </c>
      <c r="H349" s="38">
        <f>4*4500</f>
        <v>18000</v>
      </c>
    </row>
    <row r="350" spans="1:8" x14ac:dyDescent="0.25">
      <c r="A350" s="38"/>
      <c r="B350" s="38"/>
      <c r="C350" s="38"/>
      <c r="D350" s="38" t="s">
        <v>11</v>
      </c>
      <c r="E350" s="38">
        <v>17</v>
      </c>
      <c r="F350" s="38">
        <v>25500</v>
      </c>
      <c r="G350" s="38">
        <f>17*500</f>
        <v>8500</v>
      </c>
      <c r="H350" s="38">
        <v>17000</v>
      </c>
    </row>
    <row r="351" spans="1:8" x14ac:dyDescent="0.25">
      <c r="A351" s="38"/>
      <c r="B351" s="38"/>
      <c r="C351" s="38" t="s">
        <v>20</v>
      </c>
      <c r="D351" s="38" t="s">
        <v>14</v>
      </c>
      <c r="E351" s="38">
        <v>3</v>
      </c>
      <c r="F351" s="38">
        <v>30000</v>
      </c>
      <c r="G351" s="38">
        <f>3*5500</f>
        <v>16500</v>
      </c>
      <c r="H351" s="38">
        <f>3*4500</f>
        <v>13500</v>
      </c>
    </row>
    <row r="352" spans="1:8" x14ac:dyDescent="0.25">
      <c r="A352" s="125" t="s">
        <v>17</v>
      </c>
      <c r="B352" s="125"/>
      <c r="C352" s="125"/>
      <c r="D352" s="125"/>
      <c r="E352" s="125"/>
      <c r="F352" s="17">
        <f>SUM(F339:F351)</f>
        <v>545500</v>
      </c>
      <c r="G352" s="17">
        <f>SUM(G339:G351)</f>
        <v>321500</v>
      </c>
      <c r="H352" s="17">
        <f>SUM(H339:H351)</f>
        <v>224000</v>
      </c>
    </row>
    <row r="353" spans="1:8" x14ac:dyDescent="0.25">
      <c r="A353" s="38" t="s">
        <v>28</v>
      </c>
      <c r="B353" s="38" t="s">
        <v>300</v>
      </c>
      <c r="C353" s="38" t="s">
        <v>20</v>
      </c>
      <c r="D353" s="38" t="s">
        <v>13</v>
      </c>
      <c r="E353" s="38">
        <v>13</v>
      </c>
      <c r="F353" s="38">
        <v>84500</v>
      </c>
      <c r="G353" s="38">
        <f>13*4500</f>
        <v>58500</v>
      </c>
      <c r="H353" s="38">
        <v>26000</v>
      </c>
    </row>
    <row r="354" spans="1:8" x14ac:dyDescent="0.25">
      <c r="A354" s="38"/>
      <c r="B354" s="38"/>
      <c r="C354" s="38"/>
      <c r="D354" s="38" t="s">
        <v>14</v>
      </c>
      <c r="E354" s="38">
        <v>28</v>
      </c>
      <c r="F354" s="38">
        <v>280000</v>
      </c>
      <c r="G354" s="38">
        <f>28*5500</f>
        <v>154000</v>
      </c>
      <c r="H354" s="38">
        <f>28*4500</f>
        <v>126000</v>
      </c>
    </row>
    <row r="355" spans="1:8" x14ac:dyDescent="0.25">
      <c r="A355" s="38"/>
      <c r="B355" s="38"/>
      <c r="C355" s="38" t="s">
        <v>10</v>
      </c>
      <c r="D355" s="38" t="s">
        <v>13</v>
      </c>
      <c r="E355" s="38">
        <v>11</v>
      </c>
      <c r="F355" s="38">
        <v>71500</v>
      </c>
      <c r="G355" s="38">
        <f>11*4500</f>
        <v>49500</v>
      </c>
      <c r="H355" s="38">
        <v>22000</v>
      </c>
    </row>
    <row r="356" spans="1:8" x14ac:dyDescent="0.25">
      <c r="A356" s="38"/>
      <c r="B356" s="38"/>
      <c r="C356" s="38"/>
      <c r="D356" s="38" t="s">
        <v>14</v>
      </c>
      <c r="E356" s="38">
        <v>17</v>
      </c>
      <c r="F356" s="38">
        <v>136000</v>
      </c>
      <c r="G356" s="38">
        <f>17*5500</f>
        <v>93500</v>
      </c>
      <c r="H356" s="38">
        <f>17*2500</f>
        <v>42500</v>
      </c>
    </row>
    <row r="357" spans="1:8" x14ac:dyDescent="0.25">
      <c r="A357" s="38"/>
      <c r="B357" s="38"/>
      <c r="C357" s="38" t="s">
        <v>217</v>
      </c>
      <c r="D357" s="38" t="s">
        <v>11</v>
      </c>
      <c r="E357" s="38">
        <v>18</v>
      </c>
      <c r="F357" s="38">
        <v>27000</v>
      </c>
      <c r="G357" s="38">
        <f>18*500</f>
        <v>9000</v>
      </c>
      <c r="H357" s="38">
        <v>18000</v>
      </c>
    </row>
    <row r="358" spans="1:8" x14ac:dyDescent="0.25">
      <c r="A358" s="38"/>
      <c r="B358" s="38"/>
      <c r="C358" s="38"/>
      <c r="D358" s="38" t="s">
        <v>13</v>
      </c>
      <c r="E358" s="38">
        <v>20</v>
      </c>
      <c r="F358" s="38">
        <v>130000</v>
      </c>
      <c r="G358" s="38">
        <f>20*4500</f>
        <v>90000</v>
      </c>
      <c r="H358" s="38">
        <f>20*2000</f>
        <v>40000</v>
      </c>
    </row>
    <row r="359" spans="1:8" x14ac:dyDescent="0.25">
      <c r="A359" s="38"/>
      <c r="B359" s="38"/>
      <c r="C359" s="38"/>
      <c r="D359" s="38" t="s">
        <v>14</v>
      </c>
      <c r="E359" s="38">
        <v>10</v>
      </c>
      <c r="F359" s="38">
        <v>80000</v>
      </c>
      <c r="G359" s="38">
        <f>10*5500</f>
        <v>55000</v>
      </c>
      <c r="H359" s="38">
        <f>10*2500</f>
        <v>25000</v>
      </c>
    </row>
    <row r="360" spans="1:8" x14ac:dyDescent="0.25">
      <c r="A360" s="38"/>
      <c r="B360" s="38"/>
      <c r="C360" s="38"/>
      <c r="D360" s="38" t="s">
        <v>14</v>
      </c>
      <c r="E360" s="38">
        <v>10</v>
      </c>
      <c r="F360" s="38">
        <v>100000</v>
      </c>
      <c r="G360" s="38">
        <v>55000</v>
      </c>
      <c r="H360" s="38">
        <v>45000</v>
      </c>
    </row>
    <row r="361" spans="1:8" x14ac:dyDescent="0.25">
      <c r="A361" s="38"/>
      <c r="B361" s="38"/>
      <c r="C361" s="38" t="s">
        <v>10</v>
      </c>
      <c r="D361" s="38" t="s">
        <v>13</v>
      </c>
      <c r="E361" s="38">
        <v>11</v>
      </c>
      <c r="F361" s="38">
        <f>11*6500</f>
        <v>71500</v>
      </c>
      <c r="G361" s="38">
        <f>11*4500</f>
        <v>49500</v>
      </c>
      <c r="H361" s="38">
        <f>11*2000</f>
        <v>22000</v>
      </c>
    </row>
    <row r="362" spans="1:8" x14ac:dyDescent="0.25">
      <c r="A362" s="38"/>
      <c r="B362" s="38"/>
      <c r="C362" s="38"/>
      <c r="D362" s="38" t="s">
        <v>14</v>
      </c>
      <c r="E362" s="38">
        <v>9</v>
      </c>
      <c r="F362" s="38">
        <v>72000</v>
      </c>
      <c r="G362" s="38">
        <f>9*5500</f>
        <v>49500</v>
      </c>
      <c r="H362" s="38">
        <f>9*2500</f>
        <v>22500</v>
      </c>
    </row>
    <row r="363" spans="1:8" x14ac:dyDescent="0.25">
      <c r="A363" s="125" t="s">
        <v>17</v>
      </c>
      <c r="B363" s="125"/>
      <c r="C363" s="125"/>
      <c r="D363" s="125"/>
      <c r="E363" s="125"/>
      <c r="F363" s="17">
        <f>SUM(F353:F362)</f>
        <v>1052500</v>
      </c>
      <c r="G363" s="17">
        <f>SUM(G353:G362)</f>
        <v>663500</v>
      </c>
      <c r="H363" s="17">
        <f>SUM(H353:H362)</f>
        <v>389000</v>
      </c>
    </row>
    <row r="364" spans="1:8" x14ac:dyDescent="0.25">
      <c r="A364" s="38"/>
      <c r="B364" s="38"/>
      <c r="C364" s="38"/>
      <c r="D364" s="38"/>
      <c r="E364" s="38"/>
      <c r="F364" s="38"/>
      <c r="G364" s="38"/>
      <c r="H364" s="38"/>
    </row>
    <row r="373" spans="1:8" x14ac:dyDescent="0.25">
      <c r="A373" s="111"/>
      <c r="B373" s="111"/>
      <c r="C373" s="111"/>
      <c r="D373" s="111"/>
      <c r="E373" s="111"/>
      <c r="F373" s="1"/>
      <c r="G373" s="1"/>
      <c r="H373" s="1"/>
    </row>
    <row r="389" spans="1:8" x14ac:dyDescent="0.25">
      <c r="A389" s="111"/>
      <c r="B389" s="111"/>
      <c r="C389" s="111"/>
      <c r="D389" s="111"/>
      <c r="E389" s="111"/>
      <c r="F389" s="1"/>
      <c r="G389" s="1"/>
      <c r="H389" s="1"/>
    </row>
    <row r="390" spans="1:8" x14ac:dyDescent="0.25">
      <c r="B390" s="3"/>
    </row>
    <row r="404" spans="1:8" x14ac:dyDescent="0.25">
      <c r="A404" s="111"/>
      <c r="B404" s="111"/>
      <c r="C404" s="111"/>
      <c r="D404" s="111"/>
      <c r="E404" s="111"/>
      <c r="F404" s="1"/>
      <c r="G404" s="1"/>
      <c r="H404" s="1"/>
    </row>
    <row r="405" spans="1:8" x14ac:dyDescent="0.25">
      <c r="B405" s="3"/>
    </row>
    <row r="411" spans="1:8" x14ac:dyDescent="0.25">
      <c r="A411" s="111"/>
      <c r="B411" s="111"/>
      <c r="C411" s="111"/>
      <c r="D411" s="111"/>
      <c r="E411" s="111"/>
      <c r="F411" s="1"/>
      <c r="G411" s="1"/>
      <c r="H411" s="1"/>
    </row>
    <row r="412" spans="1:8" x14ac:dyDescent="0.25">
      <c r="B412" s="3"/>
    </row>
    <row r="424" spans="1:8" x14ac:dyDescent="0.25">
      <c r="A424" s="111"/>
      <c r="B424" s="111"/>
      <c r="C424" s="111"/>
      <c r="D424" s="111"/>
      <c r="E424" s="111"/>
      <c r="F424" s="1"/>
      <c r="G424" s="1"/>
      <c r="H424" s="1"/>
    </row>
    <row r="425" spans="1:8" x14ac:dyDescent="0.25">
      <c r="B425" s="3"/>
    </row>
    <row r="437" spans="1:8" x14ac:dyDescent="0.25">
      <c r="A437" s="111"/>
      <c r="B437" s="111"/>
      <c r="C437" s="111"/>
      <c r="D437" s="111"/>
      <c r="E437" s="111"/>
      <c r="F437" s="1"/>
      <c r="G437" s="1"/>
      <c r="H437" s="1"/>
    </row>
  </sheetData>
  <mergeCells count="40">
    <mergeCell ref="A424:E424"/>
    <mergeCell ref="A437:E437"/>
    <mergeCell ref="A117:E117"/>
    <mergeCell ref="A105:E105"/>
    <mergeCell ref="A146:E146"/>
    <mergeCell ref="A232:E232"/>
    <mergeCell ref="A294:E294"/>
    <mergeCell ref="A128:E128"/>
    <mergeCell ref="A219:E219"/>
    <mergeCell ref="A205:E205"/>
    <mergeCell ref="A176:E176"/>
    <mergeCell ref="A186:E186"/>
    <mergeCell ref="A198:E198"/>
    <mergeCell ref="A281:E281"/>
    <mergeCell ref="A151:E151"/>
    <mergeCell ref="A158:E158"/>
    <mergeCell ref="A137:E137"/>
    <mergeCell ref="A9:E9"/>
    <mergeCell ref="A61:E61"/>
    <mergeCell ref="A43:E43"/>
    <mergeCell ref="A93:E93"/>
    <mergeCell ref="A85:E85"/>
    <mergeCell ref="A69:E69"/>
    <mergeCell ref="A51:E51"/>
    <mergeCell ref="A20:E20"/>
    <mergeCell ref="A32:E32"/>
    <mergeCell ref="A246:E246"/>
    <mergeCell ref="A268:E268"/>
    <mergeCell ref="A274:E274"/>
    <mergeCell ref="A251:E251"/>
    <mergeCell ref="A317:E317"/>
    <mergeCell ref="A306:E306"/>
    <mergeCell ref="A404:E404"/>
    <mergeCell ref="A411:E411"/>
    <mergeCell ref="A363:E363"/>
    <mergeCell ref="A373:E373"/>
    <mergeCell ref="A333:E333"/>
    <mergeCell ref="A338:E338"/>
    <mergeCell ref="A352:E352"/>
    <mergeCell ref="A389:E38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90"/>
  <sheetViews>
    <sheetView zoomScale="80" zoomScaleNormal="80" workbookViewId="0">
      <selection activeCell="L23" sqref="L23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20.140625" bestFit="1" customWidth="1"/>
    <col min="4" max="4" width="8.7109375" bestFit="1" customWidth="1"/>
    <col min="5" max="5" width="4.5703125" bestFit="1" customWidth="1"/>
    <col min="6" max="6" width="13.28515625" bestFit="1" customWidth="1"/>
    <col min="7" max="8" width="11.5703125" bestFit="1" customWidth="1"/>
  </cols>
  <sheetData>
    <row r="1" spans="1: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s="29" t="s">
        <v>30</v>
      </c>
      <c r="B2" s="37">
        <v>44569</v>
      </c>
      <c r="C2" s="29" t="s">
        <v>10</v>
      </c>
      <c r="D2" s="29" t="s">
        <v>13</v>
      </c>
      <c r="E2" s="29">
        <v>1</v>
      </c>
      <c r="F2" s="38">
        <v>6500</v>
      </c>
      <c r="G2" s="38">
        <v>4500</v>
      </c>
      <c r="H2" s="38">
        <v>2000</v>
      </c>
    </row>
    <row r="3" spans="1:8" x14ac:dyDescent="0.25">
      <c r="A3" s="29"/>
      <c r="B3" s="29"/>
      <c r="C3" s="29"/>
      <c r="D3" s="29" t="s">
        <v>14</v>
      </c>
      <c r="E3" s="29">
        <v>4</v>
      </c>
      <c r="F3" s="38">
        <v>32000</v>
      </c>
      <c r="G3" s="38">
        <f>4*5500</f>
        <v>22000</v>
      </c>
      <c r="H3" s="38">
        <f>4*2500</f>
        <v>10000</v>
      </c>
    </row>
    <row r="4" spans="1:8" x14ac:dyDescent="0.25">
      <c r="A4" s="29"/>
      <c r="B4" s="29"/>
      <c r="C4" s="29"/>
      <c r="D4" s="29" t="s">
        <v>25</v>
      </c>
      <c r="E4" s="29">
        <v>1</v>
      </c>
      <c r="F4" s="38">
        <v>13000</v>
      </c>
      <c r="G4" s="38">
        <v>10000</v>
      </c>
      <c r="H4" s="38">
        <v>3000</v>
      </c>
    </row>
    <row r="5" spans="1:8" x14ac:dyDescent="0.25">
      <c r="A5" s="29"/>
      <c r="B5" s="29"/>
      <c r="C5" s="29" t="s">
        <v>217</v>
      </c>
      <c r="D5" s="29" t="s">
        <v>13</v>
      </c>
      <c r="E5" s="29">
        <v>4</v>
      </c>
      <c r="F5" s="38">
        <v>26000</v>
      </c>
      <c r="G5" s="38">
        <f>4*4500</f>
        <v>18000</v>
      </c>
      <c r="H5" s="38">
        <v>8000</v>
      </c>
    </row>
    <row r="6" spans="1:8" x14ac:dyDescent="0.25">
      <c r="A6" s="29"/>
      <c r="B6" s="29"/>
      <c r="C6" s="29"/>
      <c r="D6" s="29" t="s">
        <v>14</v>
      </c>
      <c r="E6" s="29">
        <v>1</v>
      </c>
      <c r="F6" s="38">
        <v>8000</v>
      </c>
      <c r="G6" s="38">
        <v>5500</v>
      </c>
      <c r="H6" s="38">
        <v>2500</v>
      </c>
    </row>
    <row r="7" spans="1:8" x14ac:dyDescent="0.25">
      <c r="A7" s="29"/>
      <c r="B7" s="29"/>
      <c r="C7" s="29" t="s">
        <v>106</v>
      </c>
      <c r="D7" s="29" t="s">
        <v>11</v>
      </c>
      <c r="E7" s="29">
        <v>20</v>
      </c>
      <c r="F7" s="38">
        <v>30000</v>
      </c>
      <c r="G7" s="38">
        <v>10000</v>
      </c>
      <c r="H7" s="38">
        <v>20000</v>
      </c>
    </row>
    <row r="8" spans="1:8" x14ac:dyDescent="0.25">
      <c r="A8" s="29"/>
      <c r="B8" s="29"/>
      <c r="C8" s="29" t="s">
        <v>288</v>
      </c>
      <c r="D8" s="29" t="s">
        <v>11</v>
      </c>
      <c r="E8" s="29">
        <v>41</v>
      </c>
      <c r="F8" s="38">
        <v>73800</v>
      </c>
      <c r="G8" s="38">
        <f>41*500</f>
        <v>20500</v>
      </c>
      <c r="H8" s="38">
        <f>41*1300</f>
        <v>53300</v>
      </c>
    </row>
    <row r="9" spans="1:8" x14ac:dyDescent="0.25">
      <c r="A9" s="29"/>
      <c r="B9" s="29"/>
      <c r="C9" s="29" t="s">
        <v>292</v>
      </c>
      <c r="D9" s="29" t="s">
        <v>11</v>
      </c>
      <c r="E9" s="29">
        <v>40</v>
      </c>
      <c r="F9" s="38">
        <v>60000</v>
      </c>
      <c r="G9" s="38">
        <f>40*500</f>
        <v>20000</v>
      </c>
      <c r="H9" s="38">
        <v>40000</v>
      </c>
    </row>
    <row r="10" spans="1:8" x14ac:dyDescent="0.25">
      <c r="A10" s="29"/>
      <c r="B10" s="29"/>
      <c r="C10" s="29" t="s">
        <v>108</v>
      </c>
      <c r="D10" s="29" t="s">
        <v>11</v>
      </c>
      <c r="E10" s="29">
        <v>25</v>
      </c>
      <c r="F10" s="38">
        <v>37500</v>
      </c>
      <c r="G10" s="38">
        <f>25*500</f>
        <v>12500</v>
      </c>
      <c r="H10" s="38">
        <v>25000</v>
      </c>
    </row>
    <row r="11" spans="1:8" x14ac:dyDescent="0.25">
      <c r="A11" s="126" t="s">
        <v>17</v>
      </c>
      <c r="B11" s="126"/>
      <c r="C11" s="126"/>
      <c r="D11" s="126"/>
      <c r="E11" s="126"/>
      <c r="F11" s="17">
        <f>SUM(F2:F10)</f>
        <v>286800</v>
      </c>
      <c r="G11" s="17">
        <f>SUM(G2:G10)</f>
        <v>123000</v>
      </c>
      <c r="H11" s="17">
        <f>SUM(H2:H10)</f>
        <v>163800</v>
      </c>
    </row>
    <row r="12" spans="1:8" x14ac:dyDescent="0.25">
      <c r="A12" s="29"/>
      <c r="B12" s="29"/>
      <c r="C12" s="29" t="s">
        <v>236</v>
      </c>
      <c r="D12" s="29" t="s">
        <v>11</v>
      </c>
      <c r="E12" s="29">
        <v>130</v>
      </c>
      <c r="F12" s="38">
        <v>195000</v>
      </c>
      <c r="G12" s="38">
        <f>130*500</f>
        <v>65000</v>
      </c>
      <c r="H12" s="38">
        <v>130000</v>
      </c>
    </row>
    <row r="13" spans="1:8" x14ac:dyDescent="0.25">
      <c r="A13" s="29"/>
      <c r="B13" s="29"/>
      <c r="C13" s="29"/>
      <c r="D13" s="29" t="s">
        <v>11</v>
      </c>
      <c r="E13" s="29">
        <v>130</v>
      </c>
      <c r="F13" s="38">
        <v>195000</v>
      </c>
      <c r="G13" s="38">
        <f>130*500</f>
        <v>65000</v>
      </c>
      <c r="H13" s="38">
        <v>130000</v>
      </c>
    </row>
    <row r="14" spans="1:8" x14ac:dyDescent="0.25">
      <c r="A14" s="29"/>
      <c r="B14" s="29"/>
      <c r="C14" s="29"/>
      <c r="D14" s="29" t="s">
        <v>11</v>
      </c>
      <c r="E14" s="29">
        <v>130</v>
      </c>
      <c r="F14" s="38">
        <v>195000</v>
      </c>
      <c r="G14" s="38">
        <f>130*500</f>
        <v>65000</v>
      </c>
      <c r="H14" s="38">
        <v>130000</v>
      </c>
    </row>
    <row r="15" spans="1:8" x14ac:dyDescent="0.25">
      <c r="A15" s="29"/>
      <c r="B15" s="29"/>
      <c r="C15" s="29"/>
      <c r="D15" s="29" t="s">
        <v>11</v>
      </c>
      <c r="E15" s="29">
        <v>130</v>
      </c>
      <c r="F15" s="38">
        <v>195000</v>
      </c>
      <c r="G15" s="38">
        <f>130*500</f>
        <v>65000</v>
      </c>
      <c r="H15" s="38">
        <v>130000</v>
      </c>
    </row>
    <row r="16" spans="1:8" x14ac:dyDescent="0.25">
      <c r="A16" s="29"/>
      <c r="B16" s="29"/>
      <c r="C16" s="29"/>
      <c r="D16" s="29" t="s">
        <v>11</v>
      </c>
      <c r="E16" s="29">
        <v>120</v>
      </c>
      <c r="F16" s="38">
        <v>180000</v>
      </c>
      <c r="G16" s="38">
        <f>120*500</f>
        <v>60000</v>
      </c>
      <c r="H16" s="38">
        <v>120000</v>
      </c>
    </row>
    <row r="17" spans="1:8" x14ac:dyDescent="0.25">
      <c r="A17" s="29"/>
      <c r="B17" s="29"/>
      <c r="C17" s="29" t="s">
        <v>10</v>
      </c>
      <c r="D17" s="29" t="s">
        <v>11</v>
      </c>
      <c r="E17" s="29">
        <v>79</v>
      </c>
      <c r="F17" s="38">
        <v>118500</v>
      </c>
      <c r="G17" s="38">
        <f>79*500</f>
        <v>39500</v>
      </c>
      <c r="H17" s="38">
        <v>79000</v>
      </c>
    </row>
    <row r="18" spans="1:8" x14ac:dyDescent="0.25">
      <c r="A18" s="29"/>
      <c r="B18" s="29"/>
      <c r="C18" s="29"/>
      <c r="D18" s="29" t="s">
        <v>13</v>
      </c>
      <c r="E18" s="29">
        <v>2</v>
      </c>
      <c r="F18" s="38">
        <v>13000</v>
      </c>
      <c r="G18" s="38">
        <v>9000</v>
      </c>
      <c r="H18" s="38">
        <v>4000</v>
      </c>
    </row>
    <row r="19" spans="1:8" x14ac:dyDescent="0.25">
      <c r="A19" s="29"/>
      <c r="B19" s="29"/>
      <c r="C19" s="29"/>
      <c r="D19" s="29" t="s">
        <v>14</v>
      </c>
      <c r="E19" s="29">
        <v>3</v>
      </c>
      <c r="F19" s="38">
        <v>24000</v>
      </c>
      <c r="G19" s="38">
        <f>3*5500</f>
        <v>16500</v>
      </c>
      <c r="H19" s="38">
        <v>7500</v>
      </c>
    </row>
    <row r="20" spans="1:8" x14ac:dyDescent="0.25">
      <c r="A20" s="29"/>
      <c r="B20" s="29"/>
      <c r="C20" s="29" t="s">
        <v>20</v>
      </c>
      <c r="D20" s="29" t="s">
        <v>13</v>
      </c>
      <c r="E20" s="29">
        <v>4</v>
      </c>
      <c r="F20" s="38">
        <v>26000</v>
      </c>
      <c r="G20" s="38">
        <f>4*4500</f>
        <v>18000</v>
      </c>
      <c r="H20" s="38">
        <v>8000</v>
      </c>
    </row>
    <row r="21" spans="1:8" x14ac:dyDescent="0.25">
      <c r="A21" s="29"/>
      <c r="B21" s="29"/>
      <c r="C21" s="29"/>
      <c r="D21" s="29" t="s">
        <v>14</v>
      </c>
      <c r="E21" s="29">
        <v>2</v>
      </c>
      <c r="F21" s="38">
        <v>20000</v>
      </c>
      <c r="G21" s="38">
        <v>11000</v>
      </c>
      <c r="H21" s="38">
        <v>9000</v>
      </c>
    </row>
    <row r="22" spans="1:8" x14ac:dyDescent="0.25">
      <c r="A22" s="29"/>
      <c r="B22" s="29"/>
      <c r="C22" s="29"/>
      <c r="D22" s="29" t="s">
        <v>25</v>
      </c>
      <c r="E22" s="29">
        <v>3</v>
      </c>
      <c r="F22" s="38">
        <v>45000</v>
      </c>
      <c r="G22" s="38">
        <v>30000</v>
      </c>
      <c r="H22" s="38">
        <v>15000</v>
      </c>
    </row>
    <row r="23" spans="1:8" x14ac:dyDescent="0.25">
      <c r="A23" s="29"/>
      <c r="B23" s="29"/>
      <c r="C23" s="29" t="s">
        <v>16</v>
      </c>
      <c r="D23" s="29" t="s">
        <v>11</v>
      </c>
      <c r="E23" s="29">
        <v>44</v>
      </c>
      <c r="F23" s="38">
        <v>66000</v>
      </c>
      <c r="G23" s="38">
        <f>44*500</f>
        <v>22000</v>
      </c>
      <c r="H23" s="38">
        <v>44000</v>
      </c>
    </row>
    <row r="24" spans="1:8" x14ac:dyDescent="0.25">
      <c r="A24" s="29"/>
      <c r="B24" s="29"/>
      <c r="C24" s="29"/>
      <c r="D24" s="29" t="s">
        <v>12</v>
      </c>
      <c r="E24" s="29">
        <v>3</v>
      </c>
      <c r="F24" s="38">
        <v>9000</v>
      </c>
      <c r="G24" s="38">
        <v>6000</v>
      </c>
      <c r="H24" s="38">
        <v>3000</v>
      </c>
    </row>
    <row r="25" spans="1:8" x14ac:dyDescent="0.25">
      <c r="A25" s="29"/>
      <c r="B25" s="29"/>
      <c r="C25" s="29"/>
      <c r="D25" s="29" t="s">
        <v>14</v>
      </c>
      <c r="E25" s="29">
        <v>1</v>
      </c>
      <c r="F25" s="38">
        <v>10000</v>
      </c>
      <c r="G25" s="38">
        <v>5500</v>
      </c>
      <c r="H25" s="38">
        <v>4500</v>
      </c>
    </row>
    <row r="26" spans="1:8" x14ac:dyDescent="0.25">
      <c r="A26" s="29"/>
      <c r="B26" s="29"/>
      <c r="C26" s="29" t="s">
        <v>63</v>
      </c>
      <c r="D26" s="29" t="s">
        <v>21</v>
      </c>
      <c r="E26" s="29">
        <v>1</v>
      </c>
      <c r="F26" s="38">
        <v>15000</v>
      </c>
      <c r="G26" s="38">
        <v>11000</v>
      </c>
      <c r="H26" s="38">
        <v>4000</v>
      </c>
    </row>
    <row r="27" spans="1:8" x14ac:dyDescent="0.25">
      <c r="A27" s="126" t="s">
        <v>17</v>
      </c>
      <c r="B27" s="126"/>
      <c r="C27" s="126"/>
      <c r="D27" s="126"/>
      <c r="E27" s="126"/>
      <c r="F27" s="17">
        <f>SUM(F12:F26)</f>
        <v>1306500</v>
      </c>
      <c r="G27" s="17">
        <f>SUM(G12:G26)</f>
        <v>488500</v>
      </c>
      <c r="H27" s="17">
        <f>SUM(H12:H26)</f>
        <v>818000</v>
      </c>
    </row>
    <row r="28" spans="1:8" x14ac:dyDescent="0.25">
      <c r="A28" s="29" t="s">
        <v>32</v>
      </c>
      <c r="B28" s="37">
        <v>44600</v>
      </c>
      <c r="C28" s="29" t="s">
        <v>288</v>
      </c>
      <c r="D28" s="29" t="s">
        <v>11</v>
      </c>
      <c r="E28" s="29">
        <v>50</v>
      </c>
      <c r="F28" s="38">
        <v>90000</v>
      </c>
      <c r="G28" s="38">
        <f>50*500</f>
        <v>25000</v>
      </c>
      <c r="H28" s="38">
        <f>50*1300</f>
        <v>65000</v>
      </c>
    </row>
    <row r="29" spans="1:8" x14ac:dyDescent="0.25">
      <c r="A29" s="29"/>
      <c r="B29" s="29"/>
      <c r="C29" s="29" t="s">
        <v>292</v>
      </c>
      <c r="D29" s="29" t="s">
        <v>11</v>
      </c>
      <c r="E29" s="29">
        <v>50</v>
      </c>
      <c r="F29" s="38">
        <v>75000</v>
      </c>
      <c r="G29" s="38">
        <f>50*500</f>
        <v>25000</v>
      </c>
      <c r="H29" s="38">
        <v>50000</v>
      </c>
    </row>
    <row r="30" spans="1:8" x14ac:dyDescent="0.25">
      <c r="A30" s="29"/>
      <c r="B30" s="29"/>
      <c r="C30" s="29" t="s">
        <v>108</v>
      </c>
      <c r="D30" s="29" t="s">
        <v>11</v>
      </c>
      <c r="E30" s="29">
        <v>14</v>
      </c>
      <c r="F30" s="38">
        <v>21000</v>
      </c>
      <c r="G30" s="38">
        <f>14*500</f>
        <v>7000</v>
      </c>
      <c r="H30" s="38">
        <v>14000</v>
      </c>
    </row>
    <row r="31" spans="1:8" x14ac:dyDescent="0.25">
      <c r="A31" s="29"/>
      <c r="B31" s="29"/>
      <c r="C31" s="29" t="s">
        <v>106</v>
      </c>
      <c r="D31" s="29" t="s">
        <v>11</v>
      </c>
      <c r="E31" s="29">
        <v>23</v>
      </c>
      <c r="F31" s="38">
        <v>34500</v>
      </c>
      <c r="G31" s="38">
        <f>23*500</f>
        <v>11500</v>
      </c>
      <c r="H31" s="38">
        <v>23000</v>
      </c>
    </row>
    <row r="32" spans="1:8" x14ac:dyDescent="0.25">
      <c r="A32" s="29"/>
      <c r="B32" s="29"/>
      <c r="C32" s="29" t="s">
        <v>217</v>
      </c>
      <c r="D32" s="29" t="s">
        <v>11</v>
      </c>
      <c r="E32" s="29">
        <v>30</v>
      </c>
      <c r="F32" s="38">
        <v>45000</v>
      </c>
      <c r="G32" s="38">
        <f>30*500</f>
        <v>15000</v>
      </c>
      <c r="H32" s="38">
        <v>30000</v>
      </c>
    </row>
    <row r="33" spans="1:8" x14ac:dyDescent="0.25">
      <c r="A33" s="29"/>
      <c r="B33" s="29"/>
      <c r="C33" s="29" t="s">
        <v>10</v>
      </c>
      <c r="D33" s="29" t="s">
        <v>11</v>
      </c>
      <c r="E33" s="29">
        <v>61</v>
      </c>
      <c r="F33" s="38">
        <v>91500</v>
      </c>
      <c r="G33" s="38">
        <f>61*500</f>
        <v>30500</v>
      </c>
      <c r="H33" s="38">
        <v>61000</v>
      </c>
    </row>
    <row r="34" spans="1:8" x14ac:dyDescent="0.25">
      <c r="A34" s="29"/>
      <c r="B34" s="29"/>
      <c r="C34" s="29"/>
      <c r="D34" s="29" t="s">
        <v>13</v>
      </c>
      <c r="E34" s="29">
        <v>8</v>
      </c>
      <c r="F34" s="38">
        <v>52000</v>
      </c>
      <c r="G34" s="38">
        <f>8*4500</f>
        <v>36000</v>
      </c>
      <c r="H34" s="38">
        <v>16000</v>
      </c>
    </row>
    <row r="35" spans="1:8" x14ac:dyDescent="0.25">
      <c r="A35" s="29"/>
      <c r="B35" s="29"/>
      <c r="C35" s="29"/>
      <c r="D35" s="29" t="s">
        <v>14</v>
      </c>
      <c r="E35" s="29">
        <v>1</v>
      </c>
      <c r="F35" s="38">
        <v>8000</v>
      </c>
      <c r="G35" s="38">
        <v>5500</v>
      </c>
      <c r="H35" s="38">
        <v>2500</v>
      </c>
    </row>
    <row r="36" spans="1:8" x14ac:dyDescent="0.25">
      <c r="A36" s="29"/>
      <c r="B36" s="29"/>
      <c r="C36" s="29" t="s">
        <v>217</v>
      </c>
      <c r="D36" s="29" t="s">
        <v>11</v>
      </c>
      <c r="E36" s="29">
        <v>41</v>
      </c>
      <c r="F36" s="38">
        <v>61500</v>
      </c>
      <c r="G36" s="38">
        <f>41*500</f>
        <v>20500</v>
      </c>
      <c r="H36" s="38">
        <v>41000</v>
      </c>
    </row>
    <row r="37" spans="1:8" x14ac:dyDescent="0.25">
      <c r="A37" s="29"/>
      <c r="B37" s="29"/>
      <c r="C37" s="29"/>
      <c r="D37" s="29" t="s">
        <v>13</v>
      </c>
      <c r="E37" s="29">
        <v>10</v>
      </c>
      <c r="F37" s="38">
        <v>65000</v>
      </c>
      <c r="G37" s="38">
        <v>45000</v>
      </c>
      <c r="H37" s="38">
        <v>20000</v>
      </c>
    </row>
    <row r="38" spans="1:8" x14ac:dyDescent="0.25">
      <c r="A38" s="29"/>
      <c r="B38" s="29"/>
      <c r="C38" s="29"/>
      <c r="D38" s="29" t="s">
        <v>14</v>
      </c>
      <c r="E38" s="29">
        <v>7</v>
      </c>
      <c r="F38" s="38">
        <v>56000</v>
      </c>
      <c r="G38" s="38">
        <f>7*5500</f>
        <v>38500</v>
      </c>
      <c r="H38" s="38">
        <f>7*2500</f>
        <v>17500</v>
      </c>
    </row>
    <row r="39" spans="1:8" x14ac:dyDescent="0.25">
      <c r="A39" s="29"/>
      <c r="B39" s="29"/>
      <c r="C39" s="29" t="s">
        <v>16</v>
      </c>
      <c r="D39" s="29" t="s">
        <v>11</v>
      </c>
      <c r="E39" s="29">
        <v>62</v>
      </c>
      <c r="F39" s="38">
        <v>93000</v>
      </c>
      <c r="G39" s="38">
        <f>62*500</f>
        <v>31000</v>
      </c>
      <c r="H39" s="38">
        <v>62000</v>
      </c>
    </row>
    <row r="40" spans="1:8" x14ac:dyDescent="0.25">
      <c r="A40" s="29"/>
      <c r="B40" s="29"/>
      <c r="C40" s="29"/>
      <c r="D40" s="29" t="s">
        <v>12</v>
      </c>
      <c r="E40" s="29">
        <v>2</v>
      </c>
      <c r="F40" s="38">
        <v>6000</v>
      </c>
      <c r="G40" s="38">
        <v>4000</v>
      </c>
      <c r="H40" s="38">
        <v>2000</v>
      </c>
    </row>
    <row r="41" spans="1:8" x14ac:dyDescent="0.25">
      <c r="A41" s="29"/>
      <c r="B41" s="29"/>
      <c r="C41" s="29" t="s">
        <v>63</v>
      </c>
      <c r="D41" s="29" t="s">
        <v>25</v>
      </c>
      <c r="E41" s="29">
        <v>2</v>
      </c>
      <c r="F41" s="38">
        <v>30000</v>
      </c>
      <c r="G41" s="38">
        <v>20000</v>
      </c>
      <c r="H41" s="38">
        <v>10000</v>
      </c>
    </row>
    <row r="42" spans="1:8" x14ac:dyDescent="0.25">
      <c r="A42" s="126" t="s">
        <v>17</v>
      </c>
      <c r="B42" s="126"/>
      <c r="C42" s="126"/>
      <c r="D42" s="126"/>
      <c r="E42" s="126"/>
      <c r="F42" s="17">
        <f>SUM(F28:F41)</f>
        <v>728500</v>
      </c>
      <c r="G42" s="17">
        <f>SUM(G28:G41)</f>
        <v>314500</v>
      </c>
      <c r="H42" s="17">
        <f>SUM(H28:H41)</f>
        <v>414000</v>
      </c>
    </row>
    <row r="43" spans="1:8" x14ac:dyDescent="0.25">
      <c r="A43" s="29" t="s">
        <v>8</v>
      </c>
      <c r="B43" s="37">
        <v>44628</v>
      </c>
      <c r="C43" s="29" t="s">
        <v>288</v>
      </c>
      <c r="D43" s="29" t="s">
        <v>11</v>
      </c>
      <c r="E43" s="29">
        <v>50</v>
      </c>
      <c r="F43" s="38">
        <v>90000</v>
      </c>
      <c r="G43" s="38">
        <f>50*500</f>
        <v>25000</v>
      </c>
      <c r="H43" s="38">
        <f>50*1300</f>
        <v>65000</v>
      </c>
    </row>
    <row r="44" spans="1:8" x14ac:dyDescent="0.25">
      <c r="A44" s="29"/>
      <c r="B44" s="29"/>
      <c r="C44" s="29" t="s">
        <v>292</v>
      </c>
      <c r="D44" s="29" t="s">
        <v>11</v>
      </c>
      <c r="E44" s="29">
        <v>50</v>
      </c>
      <c r="F44" s="38">
        <v>75000</v>
      </c>
      <c r="G44" s="38">
        <v>25000</v>
      </c>
      <c r="H44" s="38">
        <v>50000</v>
      </c>
    </row>
    <row r="45" spans="1:8" x14ac:dyDescent="0.25">
      <c r="A45" s="29"/>
      <c r="B45" s="29"/>
      <c r="C45" s="29" t="s">
        <v>108</v>
      </c>
      <c r="D45" s="29" t="s">
        <v>11</v>
      </c>
      <c r="E45" s="29">
        <v>23</v>
      </c>
      <c r="F45" s="38">
        <v>34500</v>
      </c>
      <c r="G45" s="38">
        <f>23*500</f>
        <v>11500</v>
      </c>
      <c r="H45" s="38">
        <v>23000</v>
      </c>
    </row>
    <row r="46" spans="1:8" x14ac:dyDescent="0.25">
      <c r="A46" s="29"/>
      <c r="B46" s="29"/>
      <c r="C46" s="29" t="s">
        <v>106</v>
      </c>
      <c r="D46" s="29" t="s">
        <v>11</v>
      </c>
      <c r="E46" s="29">
        <v>25</v>
      </c>
      <c r="F46" s="38">
        <v>37500</v>
      </c>
      <c r="G46" s="38">
        <f>25*500</f>
        <v>12500</v>
      </c>
      <c r="H46" s="38">
        <v>25000</v>
      </c>
    </row>
    <row r="47" spans="1:8" x14ac:dyDescent="0.25">
      <c r="A47" s="29"/>
      <c r="B47" s="29"/>
      <c r="C47" s="29" t="s">
        <v>16</v>
      </c>
      <c r="D47" s="29" t="s">
        <v>11</v>
      </c>
      <c r="E47" s="29">
        <v>39</v>
      </c>
      <c r="F47" s="38">
        <v>58500</v>
      </c>
      <c r="G47" s="38">
        <f>39*500</f>
        <v>19500</v>
      </c>
      <c r="H47" s="38">
        <v>39000</v>
      </c>
    </row>
    <row r="48" spans="1:8" x14ac:dyDescent="0.25">
      <c r="A48" s="29"/>
      <c r="B48" s="29"/>
      <c r="C48" s="29"/>
      <c r="D48" s="29" t="s">
        <v>12</v>
      </c>
      <c r="E48" s="29">
        <v>2</v>
      </c>
      <c r="F48" s="38">
        <v>6000</v>
      </c>
      <c r="G48" s="38">
        <v>4000</v>
      </c>
      <c r="H48" s="38">
        <v>2000</v>
      </c>
    </row>
    <row r="49" spans="1:8" x14ac:dyDescent="0.25">
      <c r="A49" s="126" t="s">
        <v>17</v>
      </c>
      <c r="B49" s="126"/>
      <c r="C49" s="126"/>
      <c r="D49" s="126"/>
      <c r="E49" s="126"/>
      <c r="F49" s="17">
        <f>SUM(F43:F48)</f>
        <v>301500</v>
      </c>
      <c r="G49" s="17">
        <f>SUM(G43:G48)</f>
        <v>97500</v>
      </c>
      <c r="H49" s="17">
        <f>SUM(H43:H48)</f>
        <v>204000</v>
      </c>
    </row>
    <row r="50" spans="1:8" x14ac:dyDescent="0.25">
      <c r="A50" s="29" t="s">
        <v>18</v>
      </c>
      <c r="B50" s="37">
        <v>44659</v>
      </c>
      <c r="C50" s="29" t="s">
        <v>288</v>
      </c>
      <c r="D50" s="29" t="s">
        <v>11</v>
      </c>
      <c r="E50" s="29">
        <v>55</v>
      </c>
      <c r="F50" s="38">
        <v>99000</v>
      </c>
      <c r="G50" s="38">
        <f>55*500</f>
        <v>27500</v>
      </c>
      <c r="H50" s="38">
        <f>55*1300</f>
        <v>71500</v>
      </c>
    </row>
    <row r="51" spans="1:8" x14ac:dyDescent="0.25">
      <c r="A51" s="29"/>
      <c r="B51" s="29"/>
      <c r="C51" s="29" t="s">
        <v>292</v>
      </c>
      <c r="D51" s="29" t="s">
        <v>11</v>
      </c>
      <c r="E51" s="29">
        <v>55</v>
      </c>
      <c r="F51" s="38">
        <v>82500</v>
      </c>
      <c r="G51" s="38">
        <f>55*500</f>
        <v>27500</v>
      </c>
      <c r="H51" s="38">
        <f>E51*1000</f>
        <v>55000</v>
      </c>
    </row>
    <row r="52" spans="1:8" x14ac:dyDescent="0.25">
      <c r="A52" s="29"/>
      <c r="B52" s="29"/>
      <c r="C52" s="29" t="s">
        <v>108</v>
      </c>
      <c r="D52" s="29" t="s">
        <v>11</v>
      </c>
      <c r="E52" s="29">
        <v>30</v>
      </c>
      <c r="F52" s="38">
        <v>45000</v>
      </c>
      <c r="G52" s="38">
        <f>30*500</f>
        <v>15000</v>
      </c>
      <c r="H52" s="38">
        <v>30000</v>
      </c>
    </row>
    <row r="53" spans="1:8" x14ac:dyDescent="0.25">
      <c r="A53" s="29"/>
      <c r="B53" s="29"/>
      <c r="C53" s="29" t="s">
        <v>106</v>
      </c>
      <c r="D53" s="29" t="s">
        <v>11</v>
      </c>
      <c r="E53" s="29">
        <v>25</v>
      </c>
      <c r="F53" s="38">
        <v>37500</v>
      </c>
      <c r="G53" s="38">
        <f>25*500</f>
        <v>12500</v>
      </c>
      <c r="H53" s="38">
        <v>25000</v>
      </c>
    </row>
    <row r="54" spans="1:8" x14ac:dyDescent="0.25">
      <c r="A54" s="29"/>
      <c r="B54" s="29"/>
      <c r="C54" s="29" t="s">
        <v>217</v>
      </c>
      <c r="D54" s="29" t="s">
        <v>11</v>
      </c>
      <c r="E54" s="29">
        <v>41</v>
      </c>
      <c r="F54" s="38">
        <v>61500</v>
      </c>
      <c r="G54" s="38">
        <f>41*500</f>
        <v>20500</v>
      </c>
      <c r="H54" s="38">
        <v>41000</v>
      </c>
    </row>
    <row r="55" spans="1:8" x14ac:dyDescent="0.25">
      <c r="A55" s="29"/>
      <c r="B55" s="29"/>
      <c r="C55" s="29" t="s">
        <v>10</v>
      </c>
      <c r="D55" s="29" t="s">
        <v>11</v>
      </c>
      <c r="E55" s="29">
        <v>15</v>
      </c>
      <c r="F55" s="38">
        <v>22500</v>
      </c>
      <c r="G55" s="38">
        <f>15*500</f>
        <v>7500</v>
      </c>
      <c r="H55" s="38">
        <v>15000</v>
      </c>
    </row>
    <row r="56" spans="1:8" x14ac:dyDescent="0.25">
      <c r="A56" s="29"/>
      <c r="B56" s="29"/>
      <c r="C56" s="29"/>
      <c r="D56" s="29" t="s">
        <v>13</v>
      </c>
      <c r="E56" s="29">
        <v>5</v>
      </c>
      <c r="F56" s="38">
        <v>32500</v>
      </c>
      <c r="G56" s="38">
        <f>5*4500</f>
        <v>22500</v>
      </c>
      <c r="H56" s="38">
        <v>10000</v>
      </c>
    </row>
    <row r="57" spans="1:8" x14ac:dyDescent="0.25">
      <c r="A57" s="29"/>
      <c r="B57" s="29"/>
      <c r="C57" s="29"/>
      <c r="D57" s="29" t="s">
        <v>14</v>
      </c>
      <c r="E57" s="29">
        <v>13</v>
      </c>
      <c r="F57" s="38">
        <v>104000</v>
      </c>
      <c r="G57" s="38">
        <f>13*5500</f>
        <v>71500</v>
      </c>
      <c r="H57" s="38">
        <f>E57*2500</f>
        <v>32500</v>
      </c>
    </row>
    <row r="58" spans="1:8" x14ac:dyDescent="0.25">
      <c r="A58" s="29"/>
      <c r="B58" s="29"/>
      <c r="C58" s="29" t="s">
        <v>10</v>
      </c>
      <c r="D58" s="29" t="s">
        <v>11</v>
      </c>
      <c r="E58" s="29">
        <v>25</v>
      </c>
      <c r="F58" s="38">
        <v>37500</v>
      </c>
      <c r="G58" s="38">
        <f>25*500</f>
        <v>12500</v>
      </c>
      <c r="H58" s="38">
        <v>25000</v>
      </c>
    </row>
    <row r="59" spans="1:8" x14ac:dyDescent="0.25">
      <c r="A59" s="29"/>
      <c r="B59" s="29"/>
      <c r="C59" s="29" t="s">
        <v>8</v>
      </c>
      <c r="D59" s="29" t="s">
        <v>12</v>
      </c>
      <c r="E59" s="29">
        <v>2</v>
      </c>
      <c r="F59" s="38">
        <v>6000</v>
      </c>
      <c r="G59" s="38">
        <v>4000</v>
      </c>
      <c r="H59" s="38">
        <v>2000</v>
      </c>
    </row>
    <row r="60" spans="1:8" x14ac:dyDescent="0.25">
      <c r="A60" s="29"/>
      <c r="B60" s="29"/>
      <c r="C60" s="29"/>
      <c r="D60" s="29" t="s">
        <v>13</v>
      </c>
      <c r="E60" s="29">
        <v>2</v>
      </c>
      <c r="F60" s="38">
        <v>13000</v>
      </c>
      <c r="G60" s="38">
        <v>9000</v>
      </c>
      <c r="H60" s="38">
        <v>4000</v>
      </c>
    </row>
    <row r="61" spans="1:8" x14ac:dyDescent="0.25">
      <c r="A61" s="29"/>
      <c r="B61" s="29"/>
      <c r="C61" s="29" t="s">
        <v>16</v>
      </c>
      <c r="D61" s="29" t="s">
        <v>11</v>
      </c>
      <c r="E61" s="29">
        <v>55</v>
      </c>
      <c r="F61" s="38">
        <v>82500</v>
      </c>
      <c r="G61" s="38">
        <f>55*500</f>
        <v>27500</v>
      </c>
      <c r="H61" s="38">
        <v>55000</v>
      </c>
    </row>
    <row r="62" spans="1:8" x14ac:dyDescent="0.25">
      <c r="A62" s="29"/>
      <c r="B62" s="29"/>
      <c r="C62" s="29"/>
      <c r="D62" s="29" t="s">
        <v>13</v>
      </c>
      <c r="E62" s="29">
        <v>2</v>
      </c>
      <c r="F62" s="38">
        <v>13000</v>
      </c>
      <c r="G62" s="38">
        <f>E62*4500</f>
        <v>9000</v>
      </c>
      <c r="H62" s="38">
        <f>E62*2000</f>
        <v>4000</v>
      </c>
    </row>
    <row r="63" spans="1:8" x14ac:dyDescent="0.25">
      <c r="A63" s="29"/>
      <c r="B63" s="29"/>
      <c r="C63" s="29"/>
      <c r="D63" s="29" t="s">
        <v>12</v>
      </c>
      <c r="E63" s="29">
        <v>7</v>
      </c>
      <c r="F63" s="38">
        <v>21000</v>
      </c>
      <c r="G63" s="38">
        <v>14000</v>
      </c>
      <c r="H63" s="38">
        <v>7000</v>
      </c>
    </row>
    <row r="64" spans="1:8" x14ac:dyDescent="0.25">
      <c r="A64" s="29"/>
      <c r="B64" s="29"/>
      <c r="C64" s="29"/>
      <c r="D64" s="29" t="s">
        <v>25</v>
      </c>
      <c r="E64" s="29">
        <v>1</v>
      </c>
      <c r="F64" s="38">
        <v>13000</v>
      </c>
      <c r="G64" s="38">
        <v>10000</v>
      </c>
      <c r="H64" s="38">
        <v>3000</v>
      </c>
    </row>
    <row r="65" spans="1:8" x14ac:dyDescent="0.25">
      <c r="A65" s="126" t="s">
        <v>17</v>
      </c>
      <c r="B65" s="126"/>
      <c r="C65" s="126"/>
      <c r="D65" s="126"/>
      <c r="E65" s="126"/>
      <c r="F65" s="17">
        <f>SUM(F50:F64)</f>
        <v>670500</v>
      </c>
      <c r="G65" s="17">
        <f>SUM(G50:G64)</f>
        <v>290500</v>
      </c>
      <c r="H65" s="17">
        <f>SUM(H50:H64)</f>
        <v>380000</v>
      </c>
    </row>
    <row r="66" spans="1:8" x14ac:dyDescent="0.25">
      <c r="A66" s="29" t="s">
        <v>22</v>
      </c>
      <c r="B66" s="37">
        <v>44689</v>
      </c>
      <c r="C66" s="29" t="s">
        <v>288</v>
      </c>
      <c r="D66" s="29" t="s">
        <v>11</v>
      </c>
      <c r="E66" s="29">
        <v>55</v>
      </c>
      <c r="F66" s="38">
        <v>99000</v>
      </c>
      <c r="G66" s="38">
        <f>55*500</f>
        <v>27500</v>
      </c>
      <c r="H66" s="38">
        <f>55*1300</f>
        <v>71500</v>
      </c>
    </row>
    <row r="67" spans="1:8" x14ac:dyDescent="0.25">
      <c r="A67" s="29"/>
      <c r="B67" s="29"/>
      <c r="C67" s="29" t="s">
        <v>292</v>
      </c>
      <c r="D67" s="29" t="s">
        <v>11</v>
      </c>
      <c r="E67" s="29">
        <v>50</v>
      </c>
      <c r="F67" s="38">
        <v>75000</v>
      </c>
      <c r="G67" s="38">
        <f>50*500</f>
        <v>25000</v>
      </c>
      <c r="H67" s="38">
        <f>E67*1000</f>
        <v>50000</v>
      </c>
    </row>
    <row r="68" spans="1:8" x14ac:dyDescent="0.25">
      <c r="A68" s="29"/>
      <c r="B68" s="29"/>
      <c r="C68" s="29" t="s">
        <v>108</v>
      </c>
      <c r="D68" s="29" t="s">
        <v>11</v>
      </c>
      <c r="E68" s="29">
        <v>34</v>
      </c>
      <c r="F68" s="38">
        <v>51000</v>
      </c>
      <c r="G68" s="38">
        <f>34*500</f>
        <v>17000</v>
      </c>
      <c r="H68" s="38">
        <v>34000</v>
      </c>
    </row>
    <row r="69" spans="1:8" x14ac:dyDescent="0.25">
      <c r="A69" s="29"/>
      <c r="B69" s="29"/>
      <c r="C69" s="29" t="s">
        <v>106</v>
      </c>
      <c r="D69" s="29" t="s">
        <v>11</v>
      </c>
      <c r="E69" s="29">
        <v>25</v>
      </c>
      <c r="F69" s="38">
        <v>37500</v>
      </c>
      <c r="G69" s="38">
        <f>25*500</f>
        <v>12500</v>
      </c>
      <c r="H69" s="38">
        <v>25000</v>
      </c>
    </row>
    <row r="70" spans="1:8" x14ac:dyDescent="0.25">
      <c r="A70" s="29"/>
      <c r="B70" s="29"/>
      <c r="C70" s="29" t="s">
        <v>10</v>
      </c>
      <c r="D70" s="29" t="s">
        <v>11</v>
      </c>
      <c r="E70" s="29">
        <v>32</v>
      </c>
      <c r="F70" s="38">
        <v>48000</v>
      </c>
      <c r="G70" s="38">
        <f>32*500</f>
        <v>16000</v>
      </c>
      <c r="H70" s="38">
        <v>32000</v>
      </c>
    </row>
    <row r="71" spans="1:8" x14ac:dyDescent="0.25">
      <c r="A71" s="29"/>
      <c r="B71" s="29"/>
      <c r="C71" s="29" t="s">
        <v>217</v>
      </c>
      <c r="D71" s="29" t="s">
        <v>11</v>
      </c>
      <c r="E71" s="29">
        <v>23</v>
      </c>
      <c r="F71" s="38">
        <v>34500</v>
      </c>
      <c r="G71" s="38">
        <f>23*500</f>
        <v>11500</v>
      </c>
      <c r="H71" s="38">
        <v>23000</v>
      </c>
    </row>
    <row r="72" spans="1:8" x14ac:dyDescent="0.25">
      <c r="A72" s="29"/>
      <c r="B72" s="29"/>
      <c r="C72" s="29"/>
      <c r="D72" s="29" t="s">
        <v>13</v>
      </c>
      <c r="E72" s="29">
        <v>2</v>
      </c>
      <c r="F72" s="38">
        <v>13000</v>
      </c>
      <c r="G72" s="38">
        <v>9000</v>
      </c>
      <c r="H72" s="38">
        <v>4000</v>
      </c>
    </row>
    <row r="73" spans="1:8" x14ac:dyDescent="0.25">
      <c r="A73" s="29"/>
      <c r="B73" s="29"/>
      <c r="C73" s="29" t="s">
        <v>16</v>
      </c>
      <c r="D73" s="29" t="s">
        <v>11</v>
      </c>
      <c r="E73" s="29">
        <v>48</v>
      </c>
      <c r="F73" s="38">
        <v>72000</v>
      </c>
      <c r="G73" s="38">
        <f>48*500</f>
        <v>24000</v>
      </c>
      <c r="H73" s="38">
        <v>48000</v>
      </c>
    </row>
    <row r="74" spans="1:8" x14ac:dyDescent="0.25">
      <c r="A74" s="126" t="s">
        <v>17</v>
      </c>
      <c r="B74" s="126"/>
      <c r="C74" s="126"/>
      <c r="D74" s="126"/>
      <c r="E74" s="126"/>
      <c r="F74" s="17">
        <f>SUM(F66:F73)</f>
        <v>430000</v>
      </c>
      <c r="G74" s="17">
        <f>SUM(G66:G73)</f>
        <v>142500</v>
      </c>
      <c r="H74" s="17">
        <f>SUM(H66:H73)</f>
        <v>287500</v>
      </c>
    </row>
    <row r="75" spans="1:8" x14ac:dyDescent="0.25">
      <c r="A75" s="29" t="s">
        <v>26</v>
      </c>
      <c r="B75" s="37">
        <v>44720</v>
      </c>
      <c r="C75" s="29" t="s">
        <v>288</v>
      </c>
      <c r="D75" s="29" t="s">
        <v>11</v>
      </c>
      <c r="E75" s="29">
        <v>55</v>
      </c>
      <c r="F75" s="38">
        <v>82500</v>
      </c>
      <c r="G75" s="38">
        <f>55*500</f>
        <v>27500</v>
      </c>
      <c r="H75" s="38">
        <v>55000</v>
      </c>
    </row>
    <row r="76" spans="1:8" x14ac:dyDescent="0.25">
      <c r="A76" s="29"/>
      <c r="B76" s="29"/>
      <c r="C76" s="29" t="s">
        <v>292</v>
      </c>
      <c r="D76" s="29" t="s">
        <v>11</v>
      </c>
      <c r="E76" s="29">
        <v>50</v>
      </c>
      <c r="F76" s="38">
        <v>75000</v>
      </c>
      <c r="G76" s="38">
        <f>50*500</f>
        <v>25000</v>
      </c>
      <c r="H76" s="38">
        <v>50000</v>
      </c>
    </row>
    <row r="77" spans="1:8" x14ac:dyDescent="0.25">
      <c r="A77" s="29"/>
      <c r="B77" s="29"/>
      <c r="C77" s="29" t="s">
        <v>108</v>
      </c>
      <c r="D77" s="29" t="s">
        <v>11</v>
      </c>
      <c r="E77" s="29">
        <v>40</v>
      </c>
      <c r="F77" s="38">
        <v>60000</v>
      </c>
      <c r="G77" s="38">
        <f>40*500</f>
        <v>20000</v>
      </c>
      <c r="H77" s="38">
        <v>40000</v>
      </c>
    </row>
    <row r="78" spans="1:8" x14ac:dyDescent="0.25">
      <c r="A78" s="29"/>
      <c r="B78" s="29"/>
      <c r="C78" s="29" t="s">
        <v>106</v>
      </c>
      <c r="D78" s="29" t="s">
        <v>11</v>
      </c>
      <c r="E78" s="29">
        <v>25</v>
      </c>
      <c r="F78" s="38">
        <v>37500</v>
      </c>
      <c r="G78" s="38">
        <f>25*500</f>
        <v>12500</v>
      </c>
      <c r="H78" s="38">
        <v>25000</v>
      </c>
    </row>
    <row r="79" spans="1:8" x14ac:dyDescent="0.25">
      <c r="A79" s="29"/>
      <c r="B79" s="29"/>
      <c r="C79" s="29" t="s">
        <v>236</v>
      </c>
      <c r="D79" s="29" t="s">
        <v>11</v>
      </c>
      <c r="E79" s="29">
        <v>753</v>
      </c>
      <c r="F79" s="38">
        <f>753*1500</f>
        <v>1129500</v>
      </c>
      <c r="G79" s="38">
        <f>753*500</f>
        <v>376500</v>
      </c>
      <c r="H79" s="38">
        <v>753000</v>
      </c>
    </row>
    <row r="80" spans="1:8" x14ac:dyDescent="0.25">
      <c r="A80" s="29"/>
      <c r="B80" s="29"/>
      <c r="C80" s="29" t="s">
        <v>235</v>
      </c>
      <c r="D80" s="29" t="s">
        <v>25</v>
      </c>
      <c r="E80" s="29">
        <v>3</v>
      </c>
      <c r="F80" s="38">
        <v>39000</v>
      </c>
      <c r="G80" s="38">
        <v>30000</v>
      </c>
      <c r="H80" s="38">
        <v>9000</v>
      </c>
    </row>
    <row r="81" spans="1:8" x14ac:dyDescent="0.25">
      <c r="A81" s="29"/>
      <c r="B81" s="29"/>
      <c r="C81" s="29" t="s">
        <v>16</v>
      </c>
      <c r="D81" s="29" t="s">
        <v>11</v>
      </c>
      <c r="E81" s="29">
        <v>55</v>
      </c>
      <c r="F81" s="38">
        <v>82500</v>
      </c>
      <c r="G81" s="38">
        <f>55*500</f>
        <v>27500</v>
      </c>
      <c r="H81" s="38">
        <v>55000</v>
      </c>
    </row>
    <row r="82" spans="1:8" x14ac:dyDescent="0.25">
      <c r="A82" s="29"/>
      <c r="B82" s="29"/>
      <c r="C82" s="29"/>
      <c r="D82" s="29" t="s">
        <v>12</v>
      </c>
      <c r="E82" s="29">
        <v>4</v>
      </c>
      <c r="F82" s="38">
        <v>12000</v>
      </c>
      <c r="G82" s="38">
        <v>8000</v>
      </c>
      <c r="H82" s="38">
        <v>4000</v>
      </c>
    </row>
    <row r="83" spans="1:8" x14ac:dyDescent="0.25">
      <c r="A83" s="29"/>
      <c r="B83" s="29"/>
      <c r="C83" s="29"/>
      <c r="D83" s="29" t="s">
        <v>13</v>
      </c>
      <c r="E83" s="29">
        <v>1</v>
      </c>
      <c r="F83" s="38">
        <v>6500</v>
      </c>
      <c r="G83" s="38">
        <v>4500</v>
      </c>
      <c r="H83" s="38">
        <v>2000</v>
      </c>
    </row>
    <row r="84" spans="1:8" x14ac:dyDescent="0.25">
      <c r="A84" s="29"/>
      <c r="B84" s="29"/>
      <c r="C84" s="29"/>
      <c r="D84" s="29" t="s">
        <v>14</v>
      </c>
      <c r="E84" s="29">
        <v>1</v>
      </c>
      <c r="F84" s="38">
        <v>10000</v>
      </c>
      <c r="G84" s="38">
        <v>5500</v>
      </c>
      <c r="H84" s="38">
        <v>4500</v>
      </c>
    </row>
    <row r="85" spans="1:8" x14ac:dyDescent="0.25">
      <c r="A85" s="126" t="s">
        <v>17</v>
      </c>
      <c r="B85" s="126"/>
      <c r="C85" s="126"/>
      <c r="D85" s="126"/>
      <c r="E85" s="126"/>
      <c r="F85" s="17">
        <f>SUM(F75:F84)</f>
        <v>1534500</v>
      </c>
      <c r="G85" s="17">
        <f>SUM(G75:G84)</f>
        <v>537000</v>
      </c>
      <c r="H85" s="17">
        <f>SUM(H75:H84)</f>
        <v>997500</v>
      </c>
    </row>
    <row r="86" spans="1:8" x14ac:dyDescent="0.25">
      <c r="A86" s="29" t="s">
        <v>28</v>
      </c>
      <c r="B86" s="37">
        <v>44750</v>
      </c>
      <c r="C86" s="29" t="s">
        <v>10</v>
      </c>
      <c r="D86" s="29" t="s">
        <v>11</v>
      </c>
      <c r="E86" s="29">
        <v>15</v>
      </c>
      <c r="F86" s="38">
        <v>22500</v>
      </c>
      <c r="G86" s="38">
        <f>15*500</f>
        <v>7500</v>
      </c>
      <c r="H86" s="38">
        <v>15000</v>
      </c>
    </row>
    <row r="87" spans="1:8" x14ac:dyDescent="0.25">
      <c r="A87" s="29"/>
      <c r="B87" s="29"/>
      <c r="C87" s="29"/>
      <c r="D87" s="29" t="s">
        <v>12</v>
      </c>
      <c r="E87" s="29">
        <v>3</v>
      </c>
      <c r="F87" s="38">
        <v>9000</v>
      </c>
      <c r="G87" s="38">
        <v>6000</v>
      </c>
      <c r="H87" s="38">
        <v>3000</v>
      </c>
    </row>
    <row r="88" spans="1:8" x14ac:dyDescent="0.25">
      <c r="A88" s="29"/>
      <c r="B88" s="29"/>
      <c r="C88" s="29"/>
      <c r="D88" s="29" t="s">
        <v>13</v>
      </c>
      <c r="E88" s="29">
        <v>1</v>
      </c>
      <c r="F88" s="38">
        <v>6500</v>
      </c>
      <c r="G88" s="38">
        <v>4500</v>
      </c>
      <c r="H88" s="38">
        <v>2000</v>
      </c>
    </row>
    <row r="89" spans="1:8" x14ac:dyDescent="0.25">
      <c r="A89" s="29"/>
      <c r="B89" s="29"/>
      <c r="C89" s="29"/>
      <c r="D89" s="29" t="s">
        <v>14</v>
      </c>
      <c r="E89" s="29">
        <v>1</v>
      </c>
      <c r="F89" s="38">
        <v>8000</v>
      </c>
      <c r="G89" s="38">
        <v>5500</v>
      </c>
      <c r="H89" s="38">
        <v>2500</v>
      </c>
    </row>
    <row r="90" spans="1:8" x14ac:dyDescent="0.25">
      <c r="A90" s="29"/>
      <c r="B90" s="29"/>
      <c r="C90" s="29"/>
      <c r="D90" s="29" t="s">
        <v>13</v>
      </c>
      <c r="E90" s="29">
        <v>14</v>
      </c>
      <c r="F90" s="38">
        <v>91000</v>
      </c>
      <c r="G90" s="38">
        <f>14*4500</f>
        <v>63000</v>
      </c>
      <c r="H90" s="38">
        <f>14*2000</f>
        <v>28000</v>
      </c>
    </row>
    <row r="91" spans="1:8" x14ac:dyDescent="0.25">
      <c r="A91" s="29"/>
      <c r="B91" s="29"/>
      <c r="C91" s="29"/>
      <c r="D91" s="29" t="s">
        <v>14</v>
      </c>
      <c r="E91" s="29">
        <v>9</v>
      </c>
      <c r="F91" s="38">
        <v>72000</v>
      </c>
      <c r="G91" s="38">
        <f>9*5500</f>
        <v>49500</v>
      </c>
      <c r="H91" s="38">
        <f>9*2500</f>
        <v>22500</v>
      </c>
    </row>
    <row r="92" spans="1:8" x14ac:dyDescent="0.25">
      <c r="A92" s="29"/>
      <c r="B92" s="29"/>
      <c r="C92" s="29"/>
      <c r="D92" s="29" t="s">
        <v>13</v>
      </c>
      <c r="E92" s="29">
        <v>2</v>
      </c>
      <c r="F92" s="29">
        <v>13000</v>
      </c>
      <c r="G92" s="29">
        <v>9000</v>
      </c>
      <c r="H92" s="29">
        <v>4000</v>
      </c>
    </row>
    <row r="93" spans="1:8" x14ac:dyDescent="0.25">
      <c r="A93" s="29"/>
      <c r="B93" s="29"/>
      <c r="C93" s="29" t="s">
        <v>217</v>
      </c>
      <c r="D93" s="29" t="s">
        <v>13</v>
      </c>
      <c r="E93" s="29">
        <v>9</v>
      </c>
      <c r="F93" s="29">
        <v>58500</v>
      </c>
      <c r="G93" s="29">
        <f>9*4500</f>
        <v>40500</v>
      </c>
      <c r="H93" s="29">
        <v>18000</v>
      </c>
    </row>
    <row r="94" spans="1:8" x14ac:dyDescent="0.25">
      <c r="A94" s="29"/>
      <c r="B94" s="29"/>
      <c r="C94" s="29"/>
      <c r="D94" s="29" t="s">
        <v>14</v>
      </c>
      <c r="E94" s="29">
        <v>8</v>
      </c>
      <c r="F94" s="29">
        <v>64000</v>
      </c>
      <c r="G94" s="29">
        <f>8*5500</f>
        <v>44000</v>
      </c>
      <c r="H94" s="29">
        <f>8*2500</f>
        <v>20000</v>
      </c>
    </row>
    <row r="95" spans="1:8" x14ac:dyDescent="0.25">
      <c r="A95" s="29"/>
      <c r="B95" s="29"/>
      <c r="C95" s="29"/>
      <c r="D95" s="29" t="s">
        <v>11</v>
      </c>
      <c r="E95" s="29">
        <v>8</v>
      </c>
      <c r="F95" s="29">
        <v>12000</v>
      </c>
      <c r="G95" s="29">
        <f>8*500</f>
        <v>4000</v>
      </c>
      <c r="H95" s="29">
        <v>8000</v>
      </c>
    </row>
    <row r="96" spans="1:8" x14ac:dyDescent="0.25">
      <c r="A96" s="29"/>
      <c r="B96" s="29"/>
      <c r="C96" s="29"/>
      <c r="D96" s="29"/>
      <c r="E96" s="29"/>
      <c r="F96" s="16">
        <f>SUM(F86:F95)</f>
        <v>356500</v>
      </c>
      <c r="G96" s="16">
        <f>SUM(G86:G95)</f>
        <v>233500</v>
      </c>
      <c r="H96" s="16">
        <f>SUM(H86:H95)</f>
        <v>123000</v>
      </c>
    </row>
    <row r="97" spans="1:8" x14ac:dyDescent="0.25">
      <c r="A97" s="29" t="s">
        <v>30</v>
      </c>
      <c r="B97" s="37">
        <v>44781</v>
      </c>
      <c r="C97" s="29" t="s">
        <v>288</v>
      </c>
      <c r="D97" s="29" t="s">
        <v>11</v>
      </c>
      <c r="E97" s="29">
        <v>22</v>
      </c>
      <c r="F97" s="29">
        <v>39600</v>
      </c>
      <c r="G97" s="29">
        <f>22*500</f>
        <v>11000</v>
      </c>
      <c r="H97" s="29">
        <f>22*1300</f>
        <v>28600</v>
      </c>
    </row>
    <row r="98" spans="1:8" x14ac:dyDescent="0.25">
      <c r="A98" s="29"/>
      <c r="B98" s="29"/>
      <c r="C98" s="29" t="s">
        <v>292</v>
      </c>
      <c r="D98" s="29" t="s">
        <v>11</v>
      </c>
      <c r="E98" s="29">
        <v>50</v>
      </c>
      <c r="F98" s="29">
        <v>75000</v>
      </c>
      <c r="G98" s="29">
        <f>50*500</f>
        <v>25000</v>
      </c>
      <c r="H98" s="29">
        <v>50000</v>
      </c>
    </row>
    <row r="99" spans="1:8" x14ac:dyDescent="0.25">
      <c r="A99" s="29"/>
      <c r="B99" s="29"/>
      <c r="C99" s="29" t="s">
        <v>108</v>
      </c>
      <c r="D99" s="29" t="s">
        <v>11</v>
      </c>
      <c r="E99" s="29">
        <v>40</v>
      </c>
      <c r="F99" s="29">
        <v>60000</v>
      </c>
      <c r="G99" s="29">
        <f>40*500</f>
        <v>20000</v>
      </c>
      <c r="H99" s="29">
        <v>40000</v>
      </c>
    </row>
    <row r="100" spans="1:8" x14ac:dyDescent="0.25">
      <c r="A100" s="29"/>
      <c r="B100" s="29"/>
      <c r="C100" s="29" t="s">
        <v>106</v>
      </c>
      <c r="D100" s="29" t="s">
        <v>11</v>
      </c>
      <c r="E100" s="29">
        <v>20</v>
      </c>
      <c r="F100" s="29">
        <v>30000</v>
      </c>
      <c r="G100" s="29">
        <f>20*500</f>
        <v>10000</v>
      </c>
      <c r="H100" s="29">
        <v>20000</v>
      </c>
    </row>
    <row r="101" spans="1:8" x14ac:dyDescent="0.25">
      <c r="A101" s="29"/>
      <c r="B101" s="29"/>
      <c r="C101" s="29" t="s">
        <v>81</v>
      </c>
      <c r="D101" s="29" t="s">
        <v>11</v>
      </c>
      <c r="E101" s="29">
        <v>75</v>
      </c>
      <c r="F101" s="29">
        <v>135000</v>
      </c>
      <c r="G101" s="29">
        <f>75*500</f>
        <v>37500</v>
      </c>
      <c r="H101" s="29">
        <f>75*1300</f>
        <v>97500</v>
      </c>
    </row>
    <row r="102" spans="1:8" x14ac:dyDescent="0.25">
      <c r="A102" s="29"/>
      <c r="B102" s="29"/>
      <c r="C102" s="29" t="s">
        <v>217</v>
      </c>
      <c r="D102" s="29" t="s">
        <v>11</v>
      </c>
      <c r="E102" s="29">
        <v>59</v>
      </c>
      <c r="F102" s="29">
        <f>59*1500</f>
        <v>88500</v>
      </c>
      <c r="G102" s="29">
        <f>59*500</f>
        <v>29500</v>
      </c>
      <c r="H102" s="29">
        <v>59000</v>
      </c>
    </row>
    <row r="103" spans="1:8" x14ac:dyDescent="0.25">
      <c r="A103" s="29"/>
      <c r="B103" s="29"/>
      <c r="C103" s="29"/>
      <c r="D103" s="29" t="s">
        <v>13</v>
      </c>
      <c r="E103" s="29">
        <v>3</v>
      </c>
      <c r="F103" s="29">
        <v>19500</v>
      </c>
      <c r="G103" s="29">
        <f>3*4500</f>
        <v>13500</v>
      </c>
      <c r="H103" s="29">
        <v>6000</v>
      </c>
    </row>
    <row r="104" spans="1:8" x14ac:dyDescent="0.25">
      <c r="A104" s="29"/>
      <c r="B104" s="29"/>
      <c r="C104" s="29"/>
      <c r="D104" s="29" t="s">
        <v>14</v>
      </c>
      <c r="E104" s="29">
        <v>3</v>
      </c>
      <c r="F104" s="29">
        <v>24000</v>
      </c>
      <c r="G104" s="29">
        <f>3*5500</f>
        <v>16500</v>
      </c>
      <c r="H104" s="29">
        <f>3*2500</f>
        <v>7500</v>
      </c>
    </row>
    <row r="105" spans="1:8" x14ac:dyDescent="0.25">
      <c r="A105" s="29"/>
      <c r="B105" s="29"/>
      <c r="C105" s="29" t="s">
        <v>10</v>
      </c>
      <c r="D105" s="29" t="s">
        <v>11</v>
      </c>
      <c r="E105" s="29">
        <v>37</v>
      </c>
      <c r="F105" s="29">
        <v>55500</v>
      </c>
      <c r="G105" s="29">
        <f>37*500</f>
        <v>18500</v>
      </c>
      <c r="H105" s="29">
        <v>37000</v>
      </c>
    </row>
    <row r="106" spans="1:8" x14ac:dyDescent="0.25">
      <c r="A106" s="29"/>
      <c r="B106" s="29"/>
      <c r="C106" s="29"/>
      <c r="D106" s="29" t="s">
        <v>13</v>
      </c>
      <c r="E106" s="29">
        <v>4</v>
      </c>
      <c r="F106" s="29">
        <v>26000</v>
      </c>
      <c r="G106" s="29">
        <f>4*4500</f>
        <v>18000</v>
      </c>
      <c r="H106" s="29">
        <v>8000</v>
      </c>
    </row>
    <row r="107" spans="1:8" x14ac:dyDescent="0.25">
      <c r="A107" s="29"/>
      <c r="B107" s="29"/>
      <c r="C107" s="29"/>
      <c r="D107" s="29" t="s">
        <v>14</v>
      </c>
      <c r="E107" s="29">
        <v>2</v>
      </c>
      <c r="F107" s="29">
        <v>16000</v>
      </c>
      <c r="G107" s="29">
        <v>11000</v>
      </c>
      <c r="H107" s="29">
        <v>5000</v>
      </c>
    </row>
    <row r="108" spans="1:8" x14ac:dyDescent="0.25">
      <c r="A108" s="29"/>
      <c r="B108" s="29"/>
      <c r="C108" s="29"/>
      <c r="D108" s="29" t="s">
        <v>13</v>
      </c>
      <c r="E108" s="29">
        <v>6</v>
      </c>
      <c r="F108" s="29">
        <v>39000</v>
      </c>
      <c r="G108" s="29">
        <f>6*4500</f>
        <v>27000</v>
      </c>
      <c r="H108" s="29">
        <v>12000</v>
      </c>
    </row>
    <row r="109" spans="1:8" x14ac:dyDescent="0.25">
      <c r="A109" s="29"/>
      <c r="B109" s="29"/>
      <c r="C109" s="29"/>
      <c r="D109" s="29" t="s">
        <v>14</v>
      </c>
      <c r="E109" s="29">
        <v>4</v>
      </c>
      <c r="F109" s="29">
        <v>32000</v>
      </c>
      <c r="G109" s="29">
        <f>4*5500</f>
        <v>22000</v>
      </c>
      <c r="H109" s="29">
        <f>4*2500</f>
        <v>10000</v>
      </c>
    </row>
    <row r="110" spans="1:8" x14ac:dyDescent="0.25">
      <c r="A110" s="29"/>
      <c r="B110" s="29"/>
      <c r="C110" s="29" t="s">
        <v>63</v>
      </c>
      <c r="D110" s="29" t="s">
        <v>25</v>
      </c>
      <c r="E110" s="29">
        <v>2</v>
      </c>
      <c r="F110" s="29">
        <v>30000</v>
      </c>
      <c r="G110" s="29">
        <v>20000</v>
      </c>
      <c r="H110" s="29">
        <v>10000</v>
      </c>
    </row>
    <row r="111" spans="1:8" x14ac:dyDescent="0.25">
      <c r="A111" s="29"/>
      <c r="B111" s="29"/>
      <c r="C111" s="29" t="s">
        <v>16</v>
      </c>
      <c r="D111" s="29" t="s">
        <v>11</v>
      </c>
      <c r="E111" s="29">
        <v>41</v>
      </c>
      <c r="F111" s="29">
        <v>61500</v>
      </c>
      <c r="G111" s="29">
        <f>41*500</f>
        <v>20500</v>
      </c>
      <c r="H111" s="29">
        <v>41000</v>
      </c>
    </row>
    <row r="112" spans="1:8" x14ac:dyDescent="0.25">
      <c r="A112" s="29"/>
      <c r="B112" s="29"/>
      <c r="C112" s="29"/>
      <c r="D112" s="29" t="s">
        <v>12</v>
      </c>
      <c r="E112" s="29">
        <v>4</v>
      </c>
      <c r="F112" s="29">
        <v>12000</v>
      </c>
      <c r="G112" s="29">
        <v>8000</v>
      </c>
      <c r="H112" s="29">
        <v>4000</v>
      </c>
    </row>
    <row r="113" spans="1:8" x14ac:dyDescent="0.25">
      <c r="A113" s="126" t="s">
        <v>17</v>
      </c>
      <c r="B113" s="126"/>
      <c r="C113" s="126"/>
      <c r="D113" s="126"/>
      <c r="E113" s="126"/>
      <c r="F113" s="16">
        <f>SUM(F97:F112)</f>
        <v>743600</v>
      </c>
      <c r="G113" s="16">
        <f>SUM(G97:G112)</f>
        <v>308000</v>
      </c>
      <c r="H113" s="16">
        <f>SUM(H97:H112)</f>
        <v>435600</v>
      </c>
    </row>
    <row r="114" spans="1:8" x14ac:dyDescent="0.25">
      <c r="A114" s="29" t="s">
        <v>32</v>
      </c>
      <c r="B114" s="37">
        <v>44812</v>
      </c>
      <c r="C114" s="29" t="s">
        <v>288</v>
      </c>
      <c r="D114" s="29" t="s">
        <v>11</v>
      </c>
      <c r="E114" s="29">
        <v>78</v>
      </c>
      <c r="F114" s="29">
        <v>140400</v>
      </c>
      <c r="G114" s="29">
        <f>78*500</f>
        <v>39000</v>
      </c>
      <c r="H114" s="29">
        <v>78000</v>
      </c>
    </row>
    <row r="115" spans="1:8" x14ac:dyDescent="0.25">
      <c r="A115" s="29"/>
      <c r="B115" s="29"/>
      <c r="C115" s="29" t="s">
        <v>292</v>
      </c>
      <c r="D115" s="29" t="s">
        <v>11</v>
      </c>
      <c r="E115" s="29">
        <v>49</v>
      </c>
      <c r="F115" s="29">
        <v>73500</v>
      </c>
      <c r="G115" s="29">
        <f>49*500</f>
        <v>24500</v>
      </c>
      <c r="H115" s="29">
        <v>49000</v>
      </c>
    </row>
    <row r="116" spans="1:8" x14ac:dyDescent="0.25">
      <c r="A116" s="29"/>
      <c r="B116" s="29"/>
      <c r="C116" s="29" t="s">
        <v>108</v>
      </c>
      <c r="D116" s="29" t="s">
        <v>11</v>
      </c>
      <c r="E116" s="29">
        <v>32</v>
      </c>
      <c r="F116" s="29">
        <v>48000</v>
      </c>
      <c r="G116" s="29">
        <f>32*500</f>
        <v>16000</v>
      </c>
      <c r="H116" s="29">
        <v>32000</v>
      </c>
    </row>
    <row r="117" spans="1:8" x14ac:dyDescent="0.25">
      <c r="A117" s="29"/>
      <c r="B117" s="29"/>
      <c r="C117" s="29" t="s">
        <v>106</v>
      </c>
      <c r="D117" s="29" t="s">
        <v>11</v>
      </c>
      <c r="E117" s="29">
        <v>24</v>
      </c>
      <c r="F117" s="29">
        <v>36000</v>
      </c>
      <c r="G117" s="29">
        <f>24*500</f>
        <v>12000</v>
      </c>
      <c r="H117" s="29">
        <v>24000</v>
      </c>
    </row>
    <row r="118" spans="1:8" x14ac:dyDescent="0.25">
      <c r="A118" s="29"/>
      <c r="B118" s="29"/>
      <c r="C118" s="29" t="s">
        <v>81</v>
      </c>
      <c r="D118" s="29" t="s">
        <v>11</v>
      </c>
      <c r="E118" s="29">
        <f>74+75+75+75+68</f>
        <v>367</v>
      </c>
      <c r="F118" s="29">
        <f>367*1800</f>
        <v>660600</v>
      </c>
      <c r="G118" s="29">
        <f>367*500</f>
        <v>183500</v>
      </c>
      <c r="H118" s="29">
        <v>367000</v>
      </c>
    </row>
    <row r="119" spans="1:8" x14ac:dyDescent="0.25">
      <c r="A119" s="29"/>
      <c r="B119" s="29"/>
      <c r="C119" s="29" t="s">
        <v>81</v>
      </c>
      <c r="D119" s="29" t="s">
        <v>11</v>
      </c>
      <c r="E119" s="29">
        <v>70</v>
      </c>
      <c r="F119" s="29">
        <v>126000</v>
      </c>
      <c r="G119" s="29">
        <f>70*500</f>
        <v>35000</v>
      </c>
      <c r="H119" s="29">
        <v>70000</v>
      </c>
    </row>
    <row r="120" spans="1:8" x14ac:dyDescent="0.25">
      <c r="A120" s="29"/>
      <c r="B120" s="29"/>
      <c r="C120" s="29" t="s">
        <v>16</v>
      </c>
      <c r="D120" s="29" t="s">
        <v>11</v>
      </c>
      <c r="E120" s="29">
        <v>40</v>
      </c>
      <c r="F120" s="29">
        <v>60000</v>
      </c>
      <c r="G120" s="29">
        <f>40*500</f>
        <v>20000</v>
      </c>
      <c r="H120" s="29">
        <v>40000</v>
      </c>
    </row>
    <row r="121" spans="1:8" x14ac:dyDescent="0.25">
      <c r="A121" s="29"/>
      <c r="B121" s="29"/>
      <c r="C121" s="29"/>
      <c r="D121" s="29" t="s">
        <v>12</v>
      </c>
      <c r="E121" s="29">
        <v>7</v>
      </c>
      <c r="F121" s="29">
        <v>21000</v>
      </c>
      <c r="G121" s="29">
        <v>14000</v>
      </c>
      <c r="H121" s="29">
        <v>7000</v>
      </c>
    </row>
    <row r="122" spans="1:8" x14ac:dyDescent="0.25">
      <c r="A122" s="29"/>
      <c r="B122" s="29"/>
      <c r="C122" s="29"/>
      <c r="D122" s="29" t="s">
        <v>14</v>
      </c>
      <c r="E122" s="29">
        <v>2</v>
      </c>
      <c r="F122" s="29">
        <v>20000</v>
      </c>
      <c r="G122" s="29">
        <v>11000</v>
      </c>
      <c r="H122" s="29">
        <v>9000</v>
      </c>
    </row>
    <row r="123" spans="1:8" x14ac:dyDescent="0.25">
      <c r="A123" s="29"/>
      <c r="B123" s="29"/>
      <c r="C123" s="29" t="s">
        <v>217</v>
      </c>
      <c r="D123" s="29" t="s">
        <v>13</v>
      </c>
      <c r="E123" s="29">
        <v>2</v>
      </c>
      <c r="F123" s="29">
        <v>13000</v>
      </c>
      <c r="G123" s="29">
        <v>9000</v>
      </c>
      <c r="H123" s="29">
        <v>4000</v>
      </c>
    </row>
    <row r="124" spans="1:8" x14ac:dyDescent="0.25">
      <c r="A124" s="29"/>
      <c r="B124" s="29"/>
      <c r="C124" s="29"/>
      <c r="D124" s="29" t="s">
        <v>14</v>
      </c>
      <c r="E124" s="29">
        <v>1</v>
      </c>
      <c r="F124" s="29">
        <v>8000</v>
      </c>
      <c r="G124" s="29">
        <v>5500</v>
      </c>
      <c r="H124" s="29">
        <v>2500</v>
      </c>
    </row>
    <row r="125" spans="1:8" x14ac:dyDescent="0.25">
      <c r="A125" s="29"/>
      <c r="B125" s="29"/>
      <c r="C125" s="29"/>
      <c r="D125" s="29"/>
      <c r="E125" s="29"/>
      <c r="F125" s="16">
        <f>SUM(F114:F124)</f>
        <v>1206500</v>
      </c>
      <c r="G125" s="16">
        <f>SUM(G114:G124)</f>
        <v>369500</v>
      </c>
      <c r="H125" s="16">
        <f>SUM(H114:H124)</f>
        <v>682500</v>
      </c>
    </row>
    <row r="126" spans="1:8" x14ac:dyDescent="0.25">
      <c r="A126" s="29" t="s">
        <v>8</v>
      </c>
      <c r="B126" s="37">
        <v>44842</v>
      </c>
      <c r="C126" s="29" t="s">
        <v>288</v>
      </c>
      <c r="D126" s="29" t="s">
        <v>11</v>
      </c>
      <c r="E126" s="29">
        <v>50</v>
      </c>
      <c r="F126" s="29">
        <f>50*1800</f>
        <v>90000</v>
      </c>
      <c r="G126" s="29">
        <f>50*500</f>
        <v>25000</v>
      </c>
      <c r="H126" s="29">
        <f>50*1300</f>
        <v>65000</v>
      </c>
    </row>
    <row r="127" spans="1:8" x14ac:dyDescent="0.25">
      <c r="A127" s="29"/>
      <c r="B127" s="29"/>
      <c r="C127" s="29" t="s">
        <v>292</v>
      </c>
      <c r="D127" s="29" t="s">
        <v>11</v>
      </c>
      <c r="E127" s="29">
        <v>50</v>
      </c>
      <c r="F127" s="29">
        <v>75000</v>
      </c>
      <c r="G127" s="29">
        <f>50*500</f>
        <v>25000</v>
      </c>
      <c r="H127" s="29">
        <v>50000</v>
      </c>
    </row>
    <row r="128" spans="1:8" x14ac:dyDescent="0.25">
      <c r="A128" s="29"/>
      <c r="B128" s="29"/>
      <c r="C128" s="29" t="s">
        <v>108</v>
      </c>
      <c r="D128" s="29" t="s">
        <v>11</v>
      </c>
      <c r="E128" s="29">
        <v>23</v>
      </c>
      <c r="F128" s="29">
        <v>34500</v>
      </c>
      <c r="G128" s="29">
        <f>23*500</f>
        <v>11500</v>
      </c>
      <c r="H128" s="29">
        <v>23000</v>
      </c>
    </row>
    <row r="129" spans="1:8" x14ac:dyDescent="0.25">
      <c r="A129" s="29"/>
      <c r="B129" s="29"/>
      <c r="C129" s="29" t="s">
        <v>106</v>
      </c>
      <c r="D129" s="29" t="s">
        <v>11</v>
      </c>
      <c r="E129" s="29">
        <v>9</v>
      </c>
      <c r="F129" s="29">
        <v>13500</v>
      </c>
      <c r="G129" s="29">
        <f>9*500</f>
        <v>4500</v>
      </c>
      <c r="H129" s="29">
        <v>9000</v>
      </c>
    </row>
    <row r="130" spans="1:8" x14ac:dyDescent="0.25">
      <c r="A130" s="29"/>
      <c r="B130" s="29"/>
      <c r="C130" s="29" t="s">
        <v>217</v>
      </c>
      <c r="D130" s="29" t="s">
        <v>11</v>
      </c>
      <c r="E130" s="29">
        <v>42</v>
      </c>
      <c r="F130" s="29">
        <v>63000</v>
      </c>
      <c r="G130" s="29">
        <f>42*500</f>
        <v>21000</v>
      </c>
      <c r="H130" s="29">
        <v>42000</v>
      </c>
    </row>
    <row r="131" spans="1:8" x14ac:dyDescent="0.25">
      <c r="A131" s="29"/>
      <c r="B131" s="29"/>
      <c r="C131" s="29"/>
      <c r="D131" s="29" t="s">
        <v>13</v>
      </c>
      <c r="E131" s="29">
        <v>3</v>
      </c>
      <c r="F131" s="29">
        <v>19500</v>
      </c>
      <c r="G131" s="29">
        <f>3*4500</f>
        <v>13500</v>
      </c>
      <c r="H131" s="29">
        <v>6000</v>
      </c>
    </row>
    <row r="132" spans="1:8" x14ac:dyDescent="0.25">
      <c r="A132" s="29"/>
      <c r="B132" s="29"/>
      <c r="C132" s="29"/>
      <c r="D132" s="29" t="s">
        <v>14</v>
      </c>
      <c r="E132" s="29">
        <v>1</v>
      </c>
      <c r="F132" s="29">
        <v>8000</v>
      </c>
      <c r="G132" s="29">
        <v>5500</v>
      </c>
      <c r="H132" s="29">
        <v>2500</v>
      </c>
    </row>
    <row r="133" spans="1:8" x14ac:dyDescent="0.25">
      <c r="A133" s="29"/>
      <c r="B133" s="29"/>
      <c r="C133" s="29"/>
      <c r="D133" s="29" t="s">
        <v>25</v>
      </c>
      <c r="E133" s="29">
        <v>3</v>
      </c>
      <c r="F133" s="29">
        <v>39000</v>
      </c>
      <c r="G133" s="29">
        <v>30000</v>
      </c>
      <c r="H133" s="29">
        <v>9000</v>
      </c>
    </row>
    <row r="134" spans="1:8" x14ac:dyDescent="0.25">
      <c r="A134" s="29"/>
      <c r="B134" s="29"/>
      <c r="C134" s="29" t="s">
        <v>16</v>
      </c>
      <c r="D134" s="29" t="s">
        <v>11</v>
      </c>
      <c r="E134" s="29">
        <v>13</v>
      </c>
      <c r="F134" s="29">
        <v>19500</v>
      </c>
      <c r="G134" s="29">
        <f>13*500</f>
        <v>6500</v>
      </c>
      <c r="H134" s="29">
        <v>13000</v>
      </c>
    </row>
    <row r="135" spans="1:8" x14ac:dyDescent="0.25">
      <c r="A135" s="29"/>
      <c r="B135" s="29"/>
      <c r="C135" s="29"/>
      <c r="D135" s="29" t="s">
        <v>12</v>
      </c>
      <c r="E135" s="29">
        <v>5</v>
      </c>
      <c r="F135" s="29">
        <v>15000</v>
      </c>
      <c r="G135" s="29">
        <v>10000</v>
      </c>
      <c r="H135" s="29">
        <v>5000</v>
      </c>
    </row>
    <row r="136" spans="1:8" x14ac:dyDescent="0.25">
      <c r="A136" s="29"/>
      <c r="B136" s="29"/>
      <c r="C136" s="29"/>
      <c r="D136" s="29" t="s">
        <v>13</v>
      </c>
      <c r="E136" s="29">
        <v>2</v>
      </c>
      <c r="F136" s="29">
        <v>13000</v>
      </c>
      <c r="G136" s="29">
        <v>9000</v>
      </c>
      <c r="H136" s="29">
        <v>4000</v>
      </c>
    </row>
    <row r="137" spans="1:8" x14ac:dyDescent="0.25">
      <c r="A137" s="126" t="s">
        <v>17</v>
      </c>
      <c r="B137" s="126"/>
      <c r="C137" s="126"/>
      <c r="D137" s="126"/>
      <c r="E137" s="126"/>
      <c r="F137" s="16">
        <f>SUM(F126:F136)</f>
        <v>390000</v>
      </c>
      <c r="G137" s="16">
        <f>SUM(G126:G136)</f>
        <v>161500</v>
      </c>
      <c r="H137" s="16">
        <f>SUM(H126:H136)</f>
        <v>228500</v>
      </c>
    </row>
    <row r="138" spans="1:8" x14ac:dyDescent="0.25">
      <c r="A138" s="29" t="s">
        <v>18</v>
      </c>
      <c r="B138" s="37">
        <v>44873</v>
      </c>
      <c r="C138" s="29" t="s">
        <v>288</v>
      </c>
      <c r="D138" s="29" t="s">
        <v>11</v>
      </c>
      <c r="E138" s="29">
        <v>65</v>
      </c>
      <c r="F138" s="29">
        <v>117000</v>
      </c>
      <c r="G138" s="29">
        <f>65*500</f>
        <v>32500</v>
      </c>
      <c r="H138" s="29">
        <f>65*1300</f>
        <v>84500</v>
      </c>
    </row>
    <row r="139" spans="1:8" x14ac:dyDescent="0.25">
      <c r="A139" s="29"/>
      <c r="B139" s="29"/>
      <c r="C139" s="29" t="s">
        <v>292</v>
      </c>
      <c r="D139" s="29" t="s">
        <v>11</v>
      </c>
      <c r="E139" s="29">
        <v>50</v>
      </c>
      <c r="F139" s="29">
        <v>75000</v>
      </c>
      <c r="G139" s="29">
        <f>50*500</f>
        <v>25000</v>
      </c>
      <c r="H139" s="29">
        <v>50000</v>
      </c>
    </row>
    <row r="140" spans="1:8" x14ac:dyDescent="0.25">
      <c r="A140" s="29"/>
      <c r="B140" s="29"/>
      <c r="C140" s="29" t="s">
        <v>108</v>
      </c>
      <c r="D140" s="29" t="s">
        <v>11</v>
      </c>
      <c r="E140" s="29">
        <v>18</v>
      </c>
      <c r="F140" s="29">
        <v>27000</v>
      </c>
      <c r="G140" s="29">
        <f>18*500</f>
        <v>9000</v>
      </c>
      <c r="H140" s="29">
        <v>18000</v>
      </c>
    </row>
    <row r="141" spans="1:8" x14ac:dyDescent="0.25">
      <c r="A141" s="29"/>
      <c r="B141" s="29"/>
      <c r="C141" s="29" t="s">
        <v>106</v>
      </c>
      <c r="D141" s="29" t="s">
        <v>11</v>
      </c>
      <c r="E141" s="29">
        <v>25</v>
      </c>
      <c r="F141" s="29">
        <v>37500</v>
      </c>
      <c r="G141" s="29">
        <f>25*500</f>
        <v>12500</v>
      </c>
      <c r="H141" s="29">
        <v>25000</v>
      </c>
    </row>
    <row r="142" spans="1:8" x14ac:dyDescent="0.25">
      <c r="A142" s="29"/>
      <c r="B142" s="29"/>
      <c r="C142" s="29" t="s">
        <v>16</v>
      </c>
      <c r="D142" s="29" t="s">
        <v>11</v>
      </c>
      <c r="E142" s="29">
        <v>43</v>
      </c>
      <c r="F142" s="29">
        <v>64500</v>
      </c>
      <c r="G142" s="29">
        <f>43*500</f>
        <v>21500</v>
      </c>
      <c r="H142" s="29">
        <v>43000</v>
      </c>
    </row>
    <row r="143" spans="1:8" x14ac:dyDescent="0.25">
      <c r="A143" s="29"/>
      <c r="B143" s="29"/>
      <c r="C143" s="29"/>
      <c r="D143" s="29" t="s">
        <v>12</v>
      </c>
      <c r="E143" s="29">
        <v>2</v>
      </c>
      <c r="F143" s="29">
        <v>6000</v>
      </c>
      <c r="G143" s="29">
        <v>4000</v>
      </c>
      <c r="H143" s="29">
        <v>2000</v>
      </c>
    </row>
    <row r="144" spans="1:8" x14ac:dyDescent="0.25">
      <c r="A144" s="29"/>
      <c r="B144" s="29"/>
      <c r="C144" s="29"/>
      <c r="D144" s="29" t="s">
        <v>13</v>
      </c>
      <c r="E144" s="29">
        <v>2</v>
      </c>
      <c r="F144" s="29">
        <v>13000</v>
      </c>
      <c r="G144" s="29">
        <v>9000</v>
      </c>
      <c r="H144" s="29">
        <v>4000</v>
      </c>
    </row>
    <row r="145" spans="1:8" x14ac:dyDescent="0.25">
      <c r="A145" s="29"/>
      <c r="B145" s="29"/>
      <c r="C145" s="29" t="s">
        <v>10</v>
      </c>
      <c r="D145" s="29" t="s">
        <v>11</v>
      </c>
      <c r="E145" s="29">
        <v>34</v>
      </c>
      <c r="F145" s="29">
        <v>51000</v>
      </c>
      <c r="G145" s="29">
        <f>34*500</f>
        <v>17000</v>
      </c>
      <c r="H145" s="29">
        <v>34000</v>
      </c>
    </row>
    <row r="146" spans="1:8" x14ac:dyDescent="0.25">
      <c r="A146" s="29"/>
      <c r="B146" s="29"/>
      <c r="C146" s="29"/>
      <c r="D146" s="29" t="s">
        <v>13</v>
      </c>
      <c r="E146" s="29">
        <v>3</v>
      </c>
      <c r="F146" s="29">
        <v>19500</v>
      </c>
      <c r="G146" s="29">
        <f>3*4500</f>
        <v>13500</v>
      </c>
      <c r="H146" s="29">
        <v>6000</v>
      </c>
    </row>
    <row r="147" spans="1:8" x14ac:dyDescent="0.25">
      <c r="A147" s="29"/>
      <c r="B147" s="29"/>
      <c r="C147" s="29"/>
      <c r="D147" s="29" t="s">
        <v>14</v>
      </c>
      <c r="E147" s="29">
        <v>9</v>
      </c>
      <c r="F147" s="29">
        <v>72000</v>
      </c>
      <c r="G147" s="29">
        <f>9*5500</f>
        <v>49500</v>
      </c>
      <c r="H147" s="29">
        <f>9*2500</f>
        <v>22500</v>
      </c>
    </row>
    <row r="148" spans="1:8" x14ac:dyDescent="0.25">
      <c r="A148" s="126" t="s">
        <v>17</v>
      </c>
      <c r="B148" s="126"/>
      <c r="C148" s="126"/>
      <c r="D148" s="126"/>
      <c r="E148" s="126"/>
      <c r="F148" s="16">
        <f>SUM(F138:F147)</f>
        <v>482500</v>
      </c>
      <c r="G148" s="16">
        <f>SUM(G138:G147)</f>
        <v>193500</v>
      </c>
      <c r="H148" s="16">
        <f>SUM(H138:H147)</f>
        <v>289000</v>
      </c>
    </row>
    <row r="149" spans="1:8" x14ac:dyDescent="0.25">
      <c r="A149" s="29" t="s">
        <v>22</v>
      </c>
      <c r="B149" s="37">
        <v>44903</v>
      </c>
      <c r="C149" s="29" t="s">
        <v>288</v>
      </c>
      <c r="D149" s="29" t="s">
        <v>11</v>
      </c>
      <c r="E149" s="29">
        <v>65</v>
      </c>
      <c r="F149" s="29">
        <v>117000</v>
      </c>
      <c r="G149" s="29">
        <f>65*500</f>
        <v>32500</v>
      </c>
      <c r="H149" s="29">
        <f>65*1300</f>
        <v>84500</v>
      </c>
    </row>
    <row r="150" spans="1:8" x14ac:dyDescent="0.25">
      <c r="A150" s="29"/>
      <c r="B150" s="29"/>
      <c r="C150" s="29" t="s">
        <v>292</v>
      </c>
      <c r="D150" s="29" t="s">
        <v>11</v>
      </c>
      <c r="E150" s="29">
        <v>50</v>
      </c>
      <c r="F150" s="29">
        <v>75000</v>
      </c>
      <c r="G150" s="29">
        <f>50*500</f>
        <v>25000</v>
      </c>
      <c r="H150" s="29">
        <v>50000</v>
      </c>
    </row>
    <row r="151" spans="1:8" x14ac:dyDescent="0.25">
      <c r="A151" s="29"/>
      <c r="B151" s="29"/>
      <c r="C151" s="29" t="s">
        <v>108</v>
      </c>
      <c r="D151" s="29" t="s">
        <v>11</v>
      </c>
      <c r="E151" s="29">
        <v>18</v>
      </c>
      <c r="F151" s="29">
        <v>27000</v>
      </c>
      <c r="G151" s="29">
        <f>18*500</f>
        <v>9000</v>
      </c>
      <c r="H151" s="29">
        <v>18000</v>
      </c>
    </row>
    <row r="152" spans="1:8" x14ac:dyDescent="0.25">
      <c r="A152" s="29"/>
      <c r="B152" s="29"/>
      <c r="C152" s="29" t="s">
        <v>106</v>
      </c>
      <c r="D152" s="29" t="s">
        <v>11</v>
      </c>
      <c r="E152" s="29">
        <v>25</v>
      </c>
      <c r="F152" s="29">
        <v>37500</v>
      </c>
      <c r="G152" s="29">
        <f>25*500</f>
        <v>12500</v>
      </c>
      <c r="H152" s="29">
        <v>25000</v>
      </c>
    </row>
    <row r="153" spans="1:8" x14ac:dyDescent="0.25">
      <c r="A153" s="29"/>
      <c r="B153" s="29"/>
      <c r="C153" s="29" t="s">
        <v>16</v>
      </c>
      <c r="D153" s="29" t="s">
        <v>11</v>
      </c>
      <c r="E153" s="29">
        <v>38</v>
      </c>
      <c r="F153" s="29">
        <v>57000</v>
      </c>
      <c r="G153" s="29">
        <f>38*500</f>
        <v>19000</v>
      </c>
      <c r="H153" s="29">
        <v>38000</v>
      </c>
    </row>
    <row r="154" spans="1:8" x14ac:dyDescent="0.25">
      <c r="A154" s="29"/>
      <c r="B154" s="29"/>
      <c r="C154" s="29"/>
      <c r="D154" s="29" t="s">
        <v>12</v>
      </c>
      <c r="E154" s="29">
        <v>1</v>
      </c>
      <c r="F154" s="29">
        <v>3000</v>
      </c>
      <c r="G154" s="29">
        <v>2000</v>
      </c>
      <c r="H154" s="29">
        <v>1000</v>
      </c>
    </row>
    <row r="155" spans="1:8" x14ac:dyDescent="0.25">
      <c r="A155" s="29"/>
      <c r="B155" s="29"/>
      <c r="C155" s="29"/>
      <c r="D155" s="29" t="s">
        <v>25</v>
      </c>
      <c r="E155" s="29">
        <v>1</v>
      </c>
      <c r="F155" s="29">
        <v>13000</v>
      </c>
      <c r="G155" s="29">
        <v>10000</v>
      </c>
      <c r="H155" s="29">
        <v>3000</v>
      </c>
    </row>
    <row r="156" spans="1:8" x14ac:dyDescent="0.25">
      <c r="A156" s="29"/>
      <c r="B156" s="29"/>
      <c r="C156" s="29" t="s">
        <v>217</v>
      </c>
      <c r="D156" s="29" t="s">
        <v>13</v>
      </c>
      <c r="E156" s="29">
        <v>42</v>
      </c>
      <c r="F156" s="29">
        <v>336000</v>
      </c>
      <c r="G156" s="29">
        <f>42*5000</f>
        <v>210000</v>
      </c>
      <c r="H156" s="29">
        <f>42*3000</f>
        <v>126000</v>
      </c>
    </row>
    <row r="157" spans="1:8" x14ac:dyDescent="0.25">
      <c r="A157" s="29"/>
      <c r="B157" s="29"/>
      <c r="C157" s="29"/>
      <c r="D157" s="29" t="s">
        <v>14</v>
      </c>
      <c r="E157" s="29">
        <v>17</v>
      </c>
      <c r="F157" s="29">
        <v>170000</v>
      </c>
      <c r="G157" s="29">
        <f>17*5500</f>
        <v>93500</v>
      </c>
      <c r="H157" s="29">
        <f>17*4500</f>
        <v>76500</v>
      </c>
    </row>
    <row r="158" spans="1:8" x14ac:dyDescent="0.25">
      <c r="A158" s="29"/>
      <c r="B158" s="29"/>
      <c r="C158" s="29" t="s">
        <v>10</v>
      </c>
      <c r="D158" s="29" t="s">
        <v>13</v>
      </c>
      <c r="E158" s="29">
        <v>37</v>
      </c>
      <c r="F158" s="29">
        <v>296000</v>
      </c>
      <c r="G158" s="29">
        <f>37*5000</f>
        <v>185000</v>
      </c>
      <c r="H158" s="29">
        <f>37*3000</f>
        <v>111000</v>
      </c>
    </row>
    <row r="159" spans="1:8" x14ac:dyDescent="0.25">
      <c r="A159" s="29"/>
      <c r="B159" s="29"/>
      <c r="C159" s="29"/>
      <c r="D159" s="29" t="s">
        <v>14</v>
      </c>
      <c r="E159" s="29">
        <v>20</v>
      </c>
      <c r="F159" s="29">
        <v>16000</v>
      </c>
      <c r="G159" s="29">
        <f>20*5500</f>
        <v>110000</v>
      </c>
      <c r="H159" s="29">
        <f>20*2500</f>
        <v>50000</v>
      </c>
    </row>
    <row r="160" spans="1:8" x14ac:dyDescent="0.25">
      <c r="A160" s="29"/>
      <c r="B160" s="29"/>
      <c r="C160" s="29"/>
      <c r="D160" s="29" t="s">
        <v>14</v>
      </c>
      <c r="E160" s="29">
        <v>41</v>
      </c>
      <c r="F160" s="29">
        <v>410000</v>
      </c>
      <c r="G160" s="29">
        <f>41*5500</f>
        <v>225500</v>
      </c>
      <c r="H160" s="29">
        <f>41*4500</f>
        <v>184500</v>
      </c>
    </row>
    <row r="161" spans="1:8" x14ac:dyDescent="0.25">
      <c r="A161" s="126" t="s">
        <v>17</v>
      </c>
      <c r="B161" s="126"/>
      <c r="C161" s="126"/>
      <c r="D161" s="126"/>
      <c r="E161" s="126"/>
      <c r="F161" s="17">
        <f>SUM(F149:F160)</f>
        <v>1557500</v>
      </c>
      <c r="G161" s="17">
        <f>SUM(G149:G160)</f>
        <v>934000</v>
      </c>
      <c r="H161" s="17">
        <f>SUM(H149:H160)</f>
        <v>767500</v>
      </c>
    </row>
    <row r="162" spans="1:8" x14ac:dyDescent="0.25">
      <c r="A162" s="29" t="s">
        <v>26</v>
      </c>
      <c r="B162" s="29" t="s">
        <v>301</v>
      </c>
      <c r="C162" s="29" t="s">
        <v>217</v>
      </c>
      <c r="D162" s="29" t="s">
        <v>11</v>
      </c>
      <c r="E162" s="29">
        <v>22</v>
      </c>
      <c r="F162" s="29">
        <v>33000</v>
      </c>
      <c r="G162" s="29">
        <f>22*500</f>
        <v>11000</v>
      </c>
      <c r="H162" s="29">
        <v>22000</v>
      </c>
    </row>
    <row r="163" spans="1:8" x14ac:dyDescent="0.25">
      <c r="A163" s="29"/>
      <c r="B163" s="29"/>
      <c r="C163" s="29"/>
      <c r="D163" s="29" t="s">
        <v>13</v>
      </c>
      <c r="E163" s="29">
        <v>43</v>
      </c>
      <c r="F163" s="29">
        <v>344000</v>
      </c>
      <c r="G163" s="29">
        <f>43*5000</f>
        <v>215000</v>
      </c>
      <c r="H163" s="29">
        <f>43*3000</f>
        <v>129000</v>
      </c>
    </row>
    <row r="164" spans="1:8" x14ac:dyDescent="0.25">
      <c r="A164" s="29"/>
      <c r="B164" s="29"/>
      <c r="C164" s="29"/>
      <c r="D164" s="29" t="s">
        <v>14</v>
      </c>
      <c r="E164" s="29">
        <v>29</v>
      </c>
      <c r="F164" s="29">
        <v>290000</v>
      </c>
      <c r="G164" s="29">
        <f>29*5500</f>
        <v>159500</v>
      </c>
      <c r="H164" s="29">
        <f>29*4500</f>
        <v>130500</v>
      </c>
    </row>
    <row r="165" spans="1:8" x14ac:dyDescent="0.25">
      <c r="A165" s="29"/>
      <c r="B165" s="29"/>
      <c r="C165" s="29"/>
      <c r="D165" s="29" t="s">
        <v>11</v>
      </c>
      <c r="E165" s="29">
        <v>52</v>
      </c>
      <c r="F165" s="29">
        <v>78000</v>
      </c>
      <c r="G165" s="29">
        <f>52*500</f>
        <v>26000</v>
      </c>
      <c r="H165" s="29">
        <v>52000</v>
      </c>
    </row>
    <row r="166" spans="1:8" x14ac:dyDescent="0.25">
      <c r="A166" s="29"/>
      <c r="B166" s="29"/>
      <c r="C166" s="29" t="s">
        <v>10</v>
      </c>
      <c r="D166" s="29" t="s">
        <v>13</v>
      </c>
      <c r="E166" s="29">
        <v>72</v>
      </c>
      <c r="F166" s="29">
        <v>576000</v>
      </c>
      <c r="G166" s="29">
        <f>72*5000</f>
        <v>360000</v>
      </c>
      <c r="H166" s="29">
        <f>72*3000</f>
        <v>216000</v>
      </c>
    </row>
    <row r="167" spans="1:8" x14ac:dyDescent="0.25">
      <c r="A167" s="29"/>
      <c r="B167" s="29"/>
      <c r="C167" s="29"/>
      <c r="D167" s="29" t="s">
        <v>14</v>
      </c>
      <c r="E167" s="29">
        <v>20</v>
      </c>
      <c r="F167" s="29">
        <v>160000</v>
      </c>
      <c r="G167" s="29">
        <f>20*5500</f>
        <v>110000</v>
      </c>
      <c r="H167" s="29">
        <f>20*2500</f>
        <v>50000</v>
      </c>
    </row>
    <row r="168" spans="1:8" x14ac:dyDescent="0.25">
      <c r="A168" s="29"/>
      <c r="B168" s="29"/>
      <c r="C168" s="29"/>
      <c r="D168" s="29" t="s">
        <v>14</v>
      </c>
      <c r="E168" s="29">
        <v>55</v>
      </c>
      <c r="F168" s="29">
        <v>550000</v>
      </c>
      <c r="G168" s="29">
        <f>55*5500</f>
        <v>302500</v>
      </c>
      <c r="H168" s="29">
        <f>55*4500</f>
        <v>247500</v>
      </c>
    </row>
    <row r="169" spans="1:8" x14ac:dyDescent="0.25">
      <c r="A169" s="126" t="s">
        <v>17</v>
      </c>
      <c r="B169" s="126"/>
      <c r="C169" s="126"/>
      <c r="D169" s="126"/>
      <c r="E169" s="126"/>
      <c r="F169" s="17">
        <f>SUM(F162:F168)</f>
        <v>2031000</v>
      </c>
      <c r="G169" s="17">
        <f>SUM(G162:G168)</f>
        <v>1184000</v>
      </c>
      <c r="H169" s="17">
        <f>SUM(H162:H168)</f>
        <v>847000</v>
      </c>
    </row>
    <row r="170" spans="1:8" x14ac:dyDescent="0.25">
      <c r="A170" s="29" t="s">
        <v>28</v>
      </c>
      <c r="B170" s="29" t="s">
        <v>302</v>
      </c>
      <c r="C170" s="29" t="s">
        <v>10</v>
      </c>
      <c r="D170" s="29" t="s">
        <v>13</v>
      </c>
      <c r="E170" s="29">
        <v>44</v>
      </c>
      <c r="F170" s="29">
        <v>352000</v>
      </c>
      <c r="G170" s="29">
        <f>44*5000</f>
        <v>220000</v>
      </c>
      <c r="H170" s="29">
        <f>E170*3000</f>
        <v>132000</v>
      </c>
    </row>
    <row r="171" spans="1:8" x14ac:dyDescent="0.25">
      <c r="A171" s="29"/>
      <c r="B171" s="29"/>
      <c r="C171" s="29"/>
      <c r="D171" s="29" t="s">
        <v>14</v>
      </c>
      <c r="E171" s="29">
        <v>30</v>
      </c>
      <c r="F171" s="29">
        <v>240000</v>
      </c>
      <c r="G171" s="29">
        <f>E171*5500</f>
        <v>165000</v>
      </c>
      <c r="H171" s="29">
        <f>E171*2500</f>
        <v>75000</v>
      </c>
    </row>
    <row r="172" spans="1:8" x14ac:dyDescent="0.25">
      <c r="A172" s="29"/>
      <c r="B172" s="29"/>
      <c r="C172" s="29"/>
      <c r="D172" s="29" t="s">
        <v>14</v>
      </c>
      <c r="E172" s="29">
        <v>47</v>
      </c>
      <c r="F172" s="29">
        <v>470000</v>
      </c>
      <c r="G172" s="29">
        <f>E172*5500</f>
        <v>258500</v>
      </c>
      <c r="H172" s="29">
        <f>47*4500</f>
        <v>211500</v>
      </c>
    </row>
    <row r="173" spans="1:8" x14ac:dyDescent="0.25">
      <c r="A173" s="29"/>
      <c r="B173" s="29"/>
      <c r="C173" s="29" t="s">
        <v>303</v>
      </c>
      <c r="D173" s="29" t="s">
        <v>13</v>
      </c>
      <c r="E173" s="29">
        <v>30</v>
      </c>
      <c r="F173" s="29">
        <v>240000</v>
      </c>
      <c r="G173" s="29">
        <f>E173*5000</f>
        <v>150000</v>
      </c>
      <c r="H173" s="29">
        <f>E173*3000</f>
        <v>90000</v>
      </c>
    </row>
    <row r="174" spans="1:8" x14ac:dyDescent="0.25">
      <c r="A174" s="29"/>
      <c r="B174" s="29"/>
      <c r="C174" s="29"/>
      <c r="D174" s="29" t="s">
        <v>14</v>
      </c>
      <c r="E174" s="29">
        <v>17</v>
      </c>
      <c r="F174" s="29">
        <v>170000</v>
      </c>
      <c r="G174" s="29">
        <f>E174*5500</f>
        <v>93500</v>
      </c>
      <c r="H174" s="29">
        <f>17*4500</f>
        <v>76500</v>
      </c>
    </row>
    <row r="175" spans="1:8" x14ac:dyDescent="0.25">
      <c r="A175" s="29"/>
      <c r="B175" s="29"/>
      <c r="C175" s="29" t="s">
        <v>16</v>
      </c>
      <c r="D175" s="29" t="s">
        <v>11</v>
      </c>
      <c r="E175" s="29">
        <v>65</v>
      </c>
      <c r="F175" s="29">
        <v>97500</v>
      </c>
      <c r="G175" s="29">
        <f>E175*500</f>
        <v>32500</v>
      </c>
      <c r="H175" s="29">
        <v>65000</v>
      </c>
    </row>
    <row r="176" spans="1:8" x14ac:dyDescent="0.25">
      <c r="A176" s="29"/>
      <c r="B176" s="29"/>
      <c r="C176" s="29"/>
      <c r="D176" s="29" t="s">
        <v>12</v>
      </c>
      <c r="E176" s="29">
        <v>6</v>
      </c>
      <c r="F176" s="29">
        <v>18000</v>
      </c>
      <c r="G176" s="29">
        <f>E176*2000</f>
        <v>12000</v>
      </c>
      <c r="H176" s="29">
        <v>6000</v>
      </c>
    </row>
    <row r="177" spans="1:8" x14ac:dyDescent="0.25">
      <c r="A177" s="29"/>
      <c r="B177" s="29"/>
      <c r="C177" s="29"/>
      <c r="D177" s="29" t="s">
        <v>13</v>
      </c>
      <c r="E177" s="29">
        <v>1</v>
      </c>
      <c r="F177" s="29">
        <v>6500</v>
      </c>
      <c r="G177" s="29">
        <v>4500</v>
      </c>
      <c r="H177" s="29">
        <v>2000</v>
      </c>
    </row>
    <row r="178" spans="1:8" x14ac:dyDescent="0.25">
      <c r="A178" s="29"/>
      <c r="B178" s="29"/>
      <c r="C178" s="29"/>
      <c r="D178" s="29" t="s">
        <v>11</v>
      </c>
      <c r="E178" s="29">
        <v>30</v>
      </c>
      <c r="F178" s="29">
        <v>45000</v>
      </c>
      <c r="G178" s="29">
        <f>E178*500</f>
        <v>15000</v>
      </c>
      <c r="H178" s="29">
        <v>30000</v>
      </c>
    </row>
    <row r="179" spans="1:8" x14ac:dyDescent="0.25">
      <c r="A179" s="29"/>
      <c r="B179" s="29"/>
      <c r="C179" s="29"/>
      <c r="D179" s="29" t="s">
        <v>12</v>
      </c>
      <c r="E179" s="29">
        <v>5</v>
      </c>
      <c r="F179" s="29">
        <v>15000</v>
      </c>
      <c r="G179" s="29">
        <v>10000</v>
      </c>
      <c r="H179" s="29">
        <v>5000</v>
      </c>
    </row>
    <row r="180" spans="1:8" x14ac:dyDescent="0.25">
      <c r="A180" s="126" t="s">
        <v>17</v>
      </c>
      <c r="B180" s="126"/>
      <c r="C180" s="126"/>
      <c r="D180" s="126"/>
      <c r="E180" s="126"/>
      <c r="F180" s="17">
        <f>SUM(F170:F179)</f>
        <v>1654000</v>
      </c>
      <c r="G180" s="17">
        <f>SUM(G170:G177)</f>
        <v>936000</v>
      </c>
      <c r="H180" s="17">
        <f>SUM(H170:H179)</f>
        <v>693000</v>
      </c>
    </row>
    <row r="181" spans="1:8" x14ac:dyDescent="0.25">
      <c r="A181" s="29" t="s">
        <v>30</v>
      </c>
      <c r="B181" s="29" t="s">
        <v>304</v>
      </c>
      <c r="C181" s="29" t="s">
        <v>236</v>
      </c>
      <c r="D181" s="29" t="s">
        <v>11</v>
      </c>
      <c r="E181" s="29">
        <v>88</v>
      </c>
      <c r="F181" s="29">
        <v>132000</v>
      </c>
      <c r="G181" s="29">
        <f>88*500</f>
        <v>44000</v>
      </c>
      <c r="H181" s="29">
        <v>88000</v>
      </c>
    </row>
    <row r="182" spans="1:8" x14ac:dyDescent="0.25">
      <c r="A182" s="29"/>
      <c r="B182" s="29"/>
      <c r="C182" s="29"/>
      <c r="D182" s="29" t="s">
        <v>11</v>
      </c>
      <c r="E182" s="29">
        <v>130</v>
      </c>
      <c r="F182" s="29">
        <v>195000</v>
      </c>
      <c r="G182" s="29">
        <f>130*500</f>
        <v>65000</v>
      </c>
      <c r="H182" s="29">
        <v>130000</v>
      </c>
    </row>
    <row r="183" spans="1:8" x14ac:dyDescent="0.25">
      <c r="A183" s="29"/>
      <c r="B183" s="29"/>
      <c r="C183" s="29"/>
      <c r="D183" s="29" t="s">
        <v>11</v>
      </c>
      <c r="E183" s="29">
        <v>46</v>
      </c>
      <c r="F183" s="29">
        <v>69000</v>
      </c>
      <c r="G183" s="29">
        <f>46*500</f>
        <v>23000</v>
      </c>
      <c r="H183" s="29">
        <v>46000</v>
      </c>
    </row>
    <row r="184" spans="1:8" x14ac:dyDescent="0.25">
      <c r="A184" s="29"/>
      <c r="B184" s="29"/>
      <c r="C184" s="29"/>
      <c r="D184" s="29" t="s">
        <v>11</v>
      </c>
      <c r="E184" s="29">
        <v>60</v>
      </c>
      <c r="F184" s="29">
        <v>90000</v>
      </c>
      <c r="G184" s="29">
        <f>60*500</f>
        <v>30000</v>
      </c>
      <c r="H184" s="29">
        <v>60000</v>
      </c>
    </row>
    <row r="185" spans="1:8" x14ac:dyDescent="0.25">
      <c r="A185" s="29"/>
      <c r="B185" s="29"/>
      <c r="C185" s="29"/>
      <c r="D185" s="29" t="s">
        <v>11</v>
      </c>
      <c r="E185" s="29">
        <v>78</v>
      </c>
      <c r="F185" s="29">
        <v>117000</v>
      </c>
      <c r="G185" s="29">
        <f>78*500</f>
        <v>39000</v>
      </c>
      <c r="H185" s="29">
        <v>78000</v>
      </c>
    </row>
    <row r="186" spans="1:8" x14ac:dyDescent="0.25">
      <c r="A186" s="29"/>
      <c r="B186" s="29"/>
      <c r="C186" s="29"/>
      <c r="D186" s="29" t="s">
        <v>11</v>
      </c>
      <c r="E186" s="29">
        <v>100</v>
      </c>
      <c r="F186" s="29">
        <v>150000</v>
      </c>
      <c r="G186" s="29">
        <f>100*500</f>
        <v>50000</v>
      </c>
      <c r="H186" s="29">
        <v>100000</v>
      </c>
    </row>
    <row r="187" spans="1:8" x14ac:dyDescent="0.25">
      <c r="A187" s="29"/>
      <c r="B187" s="29"/>
      <c r="C187" s="29" t="s">
        <v>81</v>
      </c>
      <c r="D187" s="29" t="s">
        <v>11</v>
      </c>
      <c r="E187" s="29">
        <v>75</v>
      </c>
      <c r="F187" s="29">
        <f>75*1800</f>
        <v>135000</v>
      </c>
      <c r="G187" s="29">
        <f>75*500</f>
        <v>37500</v>
      </c>
      <c r="H187" s="29">
        <f>75*1300</f>
        <v>97500</v>
      </c>
    </row>
    <row r="188" spans="1:8" x14ac:dyDescent="0.25">
      <c r="A188" s="29"/>
      <c r="B188" s="29"/>
      <c r="C188" s="29"/>
      <c r="D188" s="29" t="s">
        <v>11</v>
      </c>
      <c r="E188" s="29">
        <f>F188/1800</f>
        <v>71</v>
      </c>
      <c r="F188" s="29">
        <v>127800</v>
      </c>
      <c r="G188" s="29">
        <f>71*500</f>
        <v>35500</v>
      </c>
      <c r="H188" s="29">
        <f>71*1300</f>
        <v>92300</v>
      </c>
    </row>
    <row r="189" spans="1:8" x14ac:dyDescent="0.25">
      <c r="A189" s="29"/>
      <c r="B189" s="29"/>
      <c r="C189" s="29"/>
      <c r="D189" s="29" t="s">
        <v>11</v>
      </c>
      <c r="E189" s="29">
        <v>75</v>
      </c>
      <c r="F189" s="29">
        <v>135000</v>
      </c>
      <c r="G189" s="29">
        <f>75*500</f>
        <v>37500</v>
      </c>
      <c r="H189" s="29">
        <v>97500</v>
      </c>
    </row>
    <row r="190" spans="1:8" x14ac:dyDescent="0.25">
      <c r="A190" s="29"/>
      <c r="B190" s="29"/>
      <c r="C190" s="29"/>
      <c r="D190" s="29" t="s">
        <v>11</v>
      </c>
      <c r="E190" s="29">
        <f>F190/1800</f>
        <v>70</v>
      </c>
      <c r="F190" s="29">
        <v>126000</v>
      </c>
      <c r="G190" s="29">
        <f>70*500</f>
        <v>35000</v>
      </c>
      <c r="H190" s="29">
        <f>70*1300</f>
        <v>91000</v>
      </c>
    </row>
    <row r="191" spans="1:8" x14ac:dyDescent="0.25">
      <c r="A191" s="29"/>
      <c r="B191" s="29"/>
      <c r="C191" s="29" t="s">
        <v>16</v>
      </c>
      <c r="D191" s="29" t="s">
        <v>11</v>
      </c>
      <c r="E191" s="29">
        <v>56</v>
      </c>
      <c r="F191" s="29">
        <v>84000</v>
      </c>
      <c r="G191" s="29">
        <f>56*500</f>
        <v>28000</v>
      </c>
      <c r="H191" s="29">
        <v>56000</v>
      </c>
    </row>
    <row r="192" spans="1:8" x14ac:dyDescent="0.25">
      <c r="A192" s="29"/>
      <c r="B192" s="29"/>
      <c r="C192" s="29"/>
      <c r="D192" s="29" t="s">
        <v>12</v>
      </c>
      <c r="E192" s="29">
        <v>5</v>
      </c>
      <c r="F192" s="29">
        <v>15000</v>
      </c>
      <c r="G192" s="29">
        <v>10000</v>
      </c>
      <c r="H192" s="29">
        <v>5000</v>
      </c>
    </row>
    <row r="193" spans="1:8" x14ac:dyDescent="0.25">
      <c r="A193" s="29"/>
      <c r="B193" s="29"/>
      <c r="C193" s="29"/>
      <c r="D193" s="29" t="s">
        <v>25</v>
      </c>
      <c r="E193" s="29">
        <v>1</v>
      </c>
      <c r="F193" s="29">
        <v>13000</v>
      </c>
      <c r="G193" s="29">
        <v>10000</v>
      </c>
      <c r="H193" s="29">
        <v>3000</v>
      </c>
    </row>
    <row r="194" spans="1:8" x14ac:dyDescent="0.25">
      <c r="A194" s="29"/>
      <c r="B194" s="29"/>
      <c r="C194" s="29" t="s">
        <v>10</v>
      </c>
      <c r="D194" s="29" t="s">
        <v>13</v>
      </c>
      <c r="E194" s="29">
        <v>45</v>
      </c>
      <c r="F194" s="29">
        <v>360000</v>
      </c>
      <c r="G194" s="29">
        <f>45*5000</f>
        <v>225000</v>
      </c>
      <c r="H194" s="29">
        <f>45*3000</f>
        <v>135000</v>
      </c>
    </row>
    <row r="195" spans="1:8" x14ac:dyDescent="0.25">
      <c r="A195" s="29"/>
      <c r="B195" s="29"/>
      <c r="C195" s="29"/>
      <c r="D195" s="29" t="s">
        <v>14</v>
      </c>
      <c r="E195" s="29">
        <v>10</v>
      </c>
      <c r="F195" s="29">
        <v>80000</v>
      </c>
      <c r="G195" s="29">
        <v>55000</v>
      </c>
      <c r="H195" s="29">
        <v>25000</v>
      </c>
    </row>
    <row r="196" spans="1:8" x14ac:dyDescent="0.25">
      <c r="A196" s="29"/>
      <c r="B196" s="29"/>
      <c r="C196" s="29"/>
      <c r="D196" s="29" t="s">
        <v>14</v>
      </c>
      <c r="E196" s="29">
        <v>56</v>
      </c>
      <c r="F196" s="29">
        <v>560000</v>
      </c>
      <c r="G196" s="29">
        <f>56*5500</f>
        <v>308000</v>
      </c>
      <c r="H196" s="29">
        <f>56*4500</f>
        <v>252000</v>
      </c>
    </row>
    <row r="197" spans="1:8" x14ac:dyDescent="0.25">
      <c r="A197" s="29"/>
      <c r="B197" s="29"/>
      <c r="C197" s="29" t="s">
        <v>63</v>
      </c>
      <c r="D197" s="29" t="s">
        <v>25</v>
      </c>
      <c r="E197" s="29">
        <v>1</v>
      </c>
      <c r="F197" s="29">
        <v>15000</v>
      </c>
      <c r="G197" s="29">
        <v>10000</v>
      </c>
      <c r="H197" s="29">
        <v>5000</v>
      </c>
    </row>
    <row r="198" spans="1:8" x14ac:dyDescent="0.25">
      <c r="A198" s="126" t="s">
        <v>17</v>
      </c>
      <c r="B198" s="126"/>
      <c r="C198" s="126"/>
      <c r="D198" s="126"/>
      <c r="E198" s="126"/>
      <c r="F198" s="16">
        <f>SUM(F181:F197)</f>
        <v>2403800</v>
      </c>
      <c r="G198" s="16">
        <f>SUM(G181:G197)</f>
        <v>1042500</v>
      </c>
      <c r="H198" s="16">
        <f>SUM(H181:H197)</f>
        <v>1361300</v>
      </c>
    </row>
    <row r="199" spans="1:8" x14ac:dyDescent="0.25">
      <c r="A199" s="29" t="s">
        <v>32</v>
      </c>
      <c r="B199" s="29" t="s">
        <v>305</v>
      </c>
      <c r="C199" s="29" t="s">
        <v>306</v>
      </c>
      <c r="D199" s="29" t="s">
        <v>11</v>
      </c>
      <c r="E199" s="29">
        <v>60</v>
      </c>
      <c r="F199" s="29">
        <f>E199*1800</f>
        <v>108000</v>
      </c>
      <c r="G199" s="29">
        <f>E199*500</f>
        <v>30000</v>
      </c>
      <c r="H199" s="29">
        <f>E199*1300</f>
        <v>78000</v>
      </c>
    </row>
    <row r="200" spans="1:8" x14ac:dyDescent="0.25">
      <c r="A200" s="29"/>
      <c r="B200" s="29"/>
      <c r="C200" s="29" t="s">
        <v>307</v>
      </c>
      <c r="D200" s="29" t="s">
        <v>11</v>
      </c>
      <c r="E200" s="29">
        <v>50</v>
      </c>
      <c r="F200" s="29">
        <f>E200*1500</f>
        <v>75000</v>
      </c>
      <c r="G200" s="29">
        <f>E200*500</f>
        <v>25000</v>
      </c>
      <c r="H200" s="29">
        <f>E200*1000</f>
        <v>50000</v>
      </c>
    </row>
    <row r="201" spans="1:8" x14ac:dyDescent="0.25">
      <c r="A201" s="29"/>
      <c r="B201" s="29"/>
      <c r="C201" s="29" t="s">
        <v>308</v>
      </c>
      <c r="D201" s="29" t="s">
        <v>11</v>
      </c>
      <c r="E201" s="29">
        <v>25</v>
      </c>
      <c r="F201" s="29">
        <f>E201*1500</f>
        <v>37500</v>
      </c>
      <c r="G201" s="29">
        <f>E201*500</f>
        <v>12500</v>
      </c>
      <c r="H201" s="29">
        <f>E201*1000</f>
        <v>25000</v>
      </c>
    </row>
    <row r="202" spans="1:8" x14ac:dyDescent="0.25">
      <c r="A202" s="29"/>
      <c r="B202" s="29"/>
      <c r="C202" s="29" t="s">
        <v>16</v>
      </c>
      <c r="D202" s="29" t="s">
        <v>11</v>
      </c>
      <c r="E202" s="29">
        <v>32</v>
      </c>
      <c r="F202" s="29">
        <f>E202*1500</f>
        <v>48000</v>
      </c>
      <c r="G202" s="29">
        <f>E202*500</f>
        <v>16000</v>
      </c>
      <c r="H202" s="29">
        <f>E202*1000</f>
        <v>32000</v>
      </c>
    </row>
    <row r="203" spans="1:8" x14ac:dyDescent="0.25">
      <c r="A203" s="29"/>
      <c r="B203" s="29"/>
      <c r="C203" s="29"/>
      <c r="D203" s="29" t="s">
        <v>12</v>
      </c>
      <c r="E203" s="29">
        <v>3</v>
      </c>
      <c r="F203" s="29">
        <f>E203*3000</f>
        <v>9000</v>
      </c>
      <c r="G203" s="29">
        <v>6000</v>
      </c>
      <c r="H203" s="29">
        <v>3000</v>
      </c>
    </row>
    <row r="204" spans="1:8" x14ac:dyDescent="0.25">
      <c r="A204" s="29"/>
      <c r="B204" s="29"/>
      <c r="C204" s="29"/>
      <c r="D204" s="29" t="s">
        <v>13</v>
      </c>
      <c r="E204" s="29">
        <v>1</v>
      </c>
      <c r="F204" s="29">
        <v>6500</v>
      </c>
      <c r="G204" s="29">
        <v>4500</v>
      </c>
      <c r="H204" s="29">
        <v>1500</v>
      </c>
    </row>
    <row r="205" spans="1:8" x14ac:dyDescent="0.25">
      <c r="A205" s="126" t="s">
        <v>17</v>
      </c>
      <c r="B205" s="126"/>
      <c r="C205" s="126"/>
      <c r="D205" s="126"/>
      <c r="E205" s="126"/>
      <c r="F205" s="16">
        <f>SUM(F199:F204)</f>
        <v>284000</v>
      </c>
      <c r="G205" s="16">
        <f>SUM(G199:G204)</f>
        <v>94000</v>
      </c>
      <c r="H205" s="16">
        <f>SUM(H199:H204)</f>
        <v>189500</v>
      </c>
    </row>
    <row r="206" spans="1:8" x14ac:dyDescent="0.25">
      <c r="A206" s="47" t="s">
        <v>8</v>
      </c>
      <c r="B206" s="47" t="s">
        <v>309</v>
      </c>
      <c r="C206" s="47"/>
      <c r="D206" s="47"/>
      <c r="E206" s="47"/>
      <c r="F206" s="47"/>
      <c r="G206" s="47"/>
      <c r="H206" s="47"/>
    </row>
    <row r="207" spans="1:8" x14ac:dyDescent="0.25">
      <c r="A207" s="29" t="s">
        <v>18</v>
      </c>
      <c r="B207" s="29" t="s">
        <v>311</v>
      </c>
      <c r="C207" s="29" t="s">
        <v>288</v>
      </c>
      <c r="D207" s="29" t="s">
        <v>11</v>
      </c>
      <c r="E207" s="29">
        <v>65</v>
      </c>
      <c r="F207" s="29">
        <v>117000</v>
      </c>
      <c r="G207" s="29">
        <f>65*500</f>
        <v>32500</v>
      </c>
      <c r="H207" s="29">
        <f>65*1300</f>
        <v>84500</v>
      </c>
    </row>
    <row r="208" spans="1:8" x14ac:dyDescent="0.25">
      <c r="A208" s="29"/>
      <c r="B208" s="29"/>
      <c r="C208" s="29" t="s">
        <v>292</v>
      </c>
      <c r="D208" s="29" t="s">
        <v>11</v>
      </c>
      <c r="E208" s="29">
        <v>50</v>
      </c>
      <c r="F208" s="29">
        <v>75000</v>
      </c>
      <c r="G208" s="29">
        <f>50*500</f>
        <v>25000</v>
      </c>
      <c r="H208" s="29">
        <v>50000</v>
      </c>
    </row>
    <row r="209" spans="1:8" x14ac:dyDescent="0.25">
      <c r="A209" s="29"/>
      <c r="B209" s="29"/>
      <c r="C209" s="29" t="s">
        <v>108</v>
      </c>
      <c r="D209" s="29" t="s">
        <v>11</v>
      </c>
      <c r="E209" s="29">
        <v>39</v>
      </c>
      <c r="F209" s="29">
        <v>58500</v>
      </c>
      <c r="G209" s="29">
        <f>39*500</f>
        <v>19500</v>
      </c>
      <c r="H209" s="29">
        <v>39000</v>
      </c>
    </row>
    <row r="210" spans="1:8" x14ac:dyDescent="0.25">
      <c r="A210" s="29"/>
      <c r="B210" s="29"/>
      <c r="C210" s="29" t="s">
        <v>106</v>
      </c>
      <c r="D210" s="29" t="s">
        <v>11</v>
      </c>
      <c r="E210" s="29">
        <v>25</v>
      </c>
      <c r="F210" s="29">
        <v>37500</v>
      </c>
      <c r="G210" s="29">
        <f>25*500</f>
        <v>12500</v>
      </c>
      <c r="H210" s="29">
        <v>25000</v>
      </c>
    </row>
    <row r="211" spans="1:8" x14ac:dyDescent="0.25">
      <c r="A211" s="29"/>
      <c r="B211" s="29"/>
      <c r="C211" s="29" t="s">
        <v>16</v>
      </c>
      <c r="D211" s="29" t="s">
        <v>11</v>
      </c>
      <c r="E211" s="29">
        <v>51</v>
      </c>
      <c r="F211" s="29">
        <v>76500</v>
      </c>
      <c r="G211" s="29">
        <f>51*500</f>
        <v>25500</v>
      </c>
      <c r="H211" s="29">
        <v>51000</v>
      </c>
    </row>
    <row r="212" spans="1:8" x14ac:dyDescent="0.25">
      <c r="A212" s="29"/>
      <c r="B212" s="29"/>
      <c r="C212" s="29" t="s">
        <v>8</v>
      </c>
      <c r="D212" s="29" t="s">
        <v>12</v>
      </c>
      <c r="E212" s="29">
        <v>8</v>
      </c>
      <c r="F212" s="29">
        <v>24000</v>
      </c>
      <c r="G212" s="29">
        <v>16000</v>
      </c>
      <c r="H212" s="29">
        <v>8000</v>
      </c>
    </row>
    <row r="213" spans="1:8" x14ac:dyDescent="0.25">
      <c r="A213" s="29"/>
      <c r="B213" s="29"/>
      <c r="C213" s="29"/>
      <c r="D213" s="29" t="s">
        <v>13</v>
      </c>
      <c r="E213" s="29">
        <v>1</v>
      </c>
      <c r="F213" s="29">
        <v>6500</v>
      </c>
      <c r="G213" s="29">
        <v>4500</v>
      </c>
      <c r="H213" s="29">
        <v>2000</v>
      </c>
    </row>
    <row r="214" spans="1:8" x14ac:dyDescent="0.25">
      <c r="A214" s="29"/>
      <c r="B214" s="29"/>
      <c r="C214" s="29"/>
      <c r="D214" s="29" t="s">
        <v>14</v>
      </c>
      <c r="E214" s="29">
        <v>2</v>
      </c>
      <c r="F214" s="29">
        <v>20000</v>
      </c>
      <c r="G214" s="29">
        <v>11000</v>
      </c>
      <c r="H214" s="29">
        <v>9000</v>
      </c>
    </row>
    <row r="215" spans="1:8" x14ac:dyDescent="0.25">
      <c r="A215" s="29"/>
      <c r="B215" s="29"/>
      <c r="C215" s="29" t="s">
        <v>16</v>
      </c>
      <c r="D215" s="29" t="s">
        <v>11</v>
      </c>
      <c r="E215" s="29">
        <v>46</v>
      </c>
      <c r="F215" s="29">
        <v>69000</v>
      </c>
      <c r="G215" s="29">
        <f>46*500</f>
        <v>23000</v>
      </c>
      <c r="H215" s="29">
        <v>46000</v>
      </c>
    </row>
    <row r="216" spans="1:8" x14ac:dyDescent="0.25">
      <c r="A216" s="29"/>
      <c r="B216" s="29"/>
      <c r="C216" s="29"/>
      <c r="D216" s="29" t="s">
        <v>12</v>
      </c>
      <c r="E216" s="29">
        <v>2</v>
      </c>
      <c r="F216" s="29">
        <v>6000</v>
      </c>
      <c r="G216" s="29">
        <v>4000</v>
      </c>
      <c r="H216" s="29">
        <v>2000</v>
      </c>
    </row>
    <row r="217" spans="1:8" x14ac:dyDescent="0.25">
      <c r="A217" s="29"/>
      <c r="B217" s="29"/>
      <c r="C217" s="29"/>
      <c r="D217" s="29" t="s">
        <v>13</v>
      </c>
      <c r="E217" s="29">
        <v>1</v>
      </c>
      <c r="F217" s="29">
        <v>6500</v>
      </c>
      <c r="G217" s="29">
        <v>4500</v>
      </c>
      <c r="H217" s="29">
        <v>2000</v>
      </c>
    </row>
    <row r="218" spans="1:8" x14ac:dyDescent="0.25">
      <c r="A218" s="29"/>
      <c r="B218" s="29"/>
      <c r="C218" s="29" t="s">
        <v>217</v>
      </c>
      <c r="D218" s="29" t="s">
        <v>13</v>
      </c>
      <c r="E218" s="29">
        <v>16</v>
      </c>
      <c r="F218" s="29">
        <v>104000</v>
      </c>
      <c r="G218" s="29">
        <f>16*4500</f>
        <v>72000</v>
      </c>
      <c r="H218" s="29">
        <f>16*2000</f>
        <v>32000</v>
      </c>
    </row>
    <row r="219" spans="1:8" x14ac:dyDescent="0.25">
      <c r="A219" s="29"/>
      <c r="B219" s="29"/>
      <c r="C219" s="29"/>
      <c r="D219" s="29" t="s">
        <v>14</v>
      </c>
      <c r="E219" s="29">
        <v>20</v>
      </c>
      <c r="F219" s="29">
        <v>200000</v>
      </c>
      <c r="G219" s="29">
        <f>20*5500</f>
        <v>110000</v>
      </c>
      <c r="H219" s="29">
        <f>20*4500</f>
        <v>90000</v>
      </c>
    </row>
    <row r="220" spans="1:8" x14ac:dyDescent="0.25">
      <c r="A220" s="29"/>
      <c r="B220" s="29"/>
      <c r="C220" s="29"/>
      <c r="D220" s="29" t="s">
        <v>11</v>
      </c>
      <c r="E220" s="29">
        <v>30</v>
      </c>
      <c r="F220" s="29">
        <f>30*1500</f>
        <v>45000</v>
      </c>
      <c r="G220" s="29">
        <v>15000</v>
      </c>
      <c r="H220" s="29">
        <v>30000</v>
      </c>
    </row>
    <row r="221" spans="1:8" x14ac:dyDescent="0.25">
      <c r="A221" s="29"/>
      <c r="B221" s="29"/>
      <c r="C221" s="29" t="s">
        <v>195</v>
      </c>
      <c r="D221" s="29" t="s">
        <v>25</v>
      </c>
      <c r="E221" s="29">
        <v>4</v>
      </c>
      <c r="F221" s="29">
        <f>4*13000</f>
        <v>52000</v>
      </c>
      <c r="G221" s="29">
        <v>40000</v>
      </c>
      <c r="H221" s="29">
        <v>12000</v>
      </c>
    </row>
    <row r="222" spans="1:8" x14ac:dyDescent="0.25">
      <c r="A222" s="29"/>
      <c r="B222" s="29"/>
      <c r="C222" s="29" t="s">
        <v>310</v>
      </c>
      <c r="D222" s="29" t="s">
        <v>12</v>
      </c>
      <c r="E222" s="29">
        <v>125</v>
      </c>
      <c r="F222" s="29">
        <f>125*3000</f>
        <v>375000</v>
      </c>
      <c r="G222" s="29">
        <f>125*2000</f>
        <v>250000</v>
      </c>
      <c r="H222" s="29">
        <v>125000</v>
      </c>
    </row>
    <row r="223" spans="1:8" x14ac:dyDescent="0.25">
      <c r="A223" s="126" t="s">
        <v>17</v>
      </c>
      <c r="B223" s="126"/>
      <c r="C223" s="126"/>
      <c r="D223" s="126"/>
      <c r="E223" s="126"/>
      <c r="F223" s="16">
        <f>SUM(F207:F222)</f>
        <v>1272500</v>
      </c>
      <c r="G223" s="16">
        <f>SUM(G207:G222)</f>
        <v>665000</v>
      </c>
      <c r="H223" s="16">
        <f>SUM(H207:H222)</f>
        <v>607500</v>
      </c>
    </row>
    <row r="224" spans="1:8" x14ac:dyDescent="0.25">
      <c r="A224" s="29" t="s">
        <v>22</v>
      </c>
      <c r="B224" s="29" t="s">
        <v>312</v>
      </c>
      <c r="C224" s="29" t="s">
        <v>10</v>
      </c>
      <c r="D224" s="29" t="s">
        <v>11</v>
      </c>
      <c r="E224" s="29">
        <v>32</v>
      </c>
      <c r="F224" s="29">
        <f>32*1500</f>
        <v>48000</v>
      </c>
      <c r="G224" s="29">
        <f>32*500</f>
        <v>16000</v>
      </c>
      <c r="H224" s="29">
        <v>32000</v>
      </c>
    </row>
    <row r="225" spans="1:8" x14ac:dyDescent="0.25">
      <c r="A225" s="29"/>
      <c r="B225" s="29"/>
      <c r="C225" s="29"/>
      <c r="D225" s="29" t="s">
        <v>12</v>
      </c>
      <c r="E225" s="29">
        <v>1</v>
      </c>
      <c r="F225" s="29">
        <v>3000</v>
      </c>
      <c r="G225" s="29">
        <v>2000</v>
      </c>
      <c r="H225" s="29">
        <v>1000</v>
      </c>
    </row>
    <row r="226" spans="1:8" x14ac:dyDescent="0.25">
      <c r="A226" s="29"/>
      <c r="B226" s="29"/>
      <c r="C226" s="29"/>
      <c r="D226" s="29" t="s">
        <v>13</v>
      </c>
      <c r="E226" s="29">
        <v>8</v>
      </c>
      <c r="F226" s="29">
        <f>8*6500</f>
        <v>52000</v>
      </c>
      <c r="G226" s="29">
        <f>8*4500</f>
        <v>36000</v>
      </c>
      <c r="H226" s="29">
        <f>8*2000</f>
        <v>16000</v>
      </c>
    </row>
    <row r="227" spans="1:8" x14ac:dyDescent="0.25">
      <c r="A227" s="29"/>
      <c r="B227" s="29"/>
      <c r="C227" s="29"/>
      <c r="D227" s="29" t="s">
        <v>14</v>
      </c>
      <c r="E227" s="29">
        <v>1</v>
      </c>
      <c r="F227" s="29">
        <v>8000</v>
      </c>
      <c r="G227" s="29">
        <v>5500</v>
      </c>
      <c r="H227" s="29">
        <v>2500</v>
      </c>
    </row>
    <row r="228" spans="1:8" x14ac:dyDescent="0.25">
      <c r="A228" s="29"/>
      <c r="B228" s="29"/>
      <c r="C228" s="29" t="s">
        <v>16</v>
      </c>
      <c r="D228" s="29" t="s">
        <v>11</v>
      </c>
      <c r="E228" s="29">
        <v>43</v>
      </c>
      <c r="F228" s="29">
        <f>43*1500</f>
        <v>64500</v>
      </c>
      <c r="G228" s="29">
        <f>43*500</f>
        <v>21500</v>
      </c>
      <c r="H228" s="29">
        <v>43000</v>
      </c>
    </row>
    <row r="229" spans="1:8" x14ac:dyDescent="0.25">
      <c r="A229" s="29"/>
      <c r="B229" s="29"/>
      <c r="C229" s="29" t="s">
        <v>288</v>
      </c>
      <c r="D229" s="29" t="s">
        <v>11</v>
      </c>
      <c r="E229" s="29">
        <v>65</v>
      </c>
      <c r="F229" s="29">
        <v>117000</v>
      </c>
      <c r="G229" s="29">
        <f>65*500</f>
        <v>32500</v>
      </c>
      <c r="H229" s="29">
        <f>65*1300</f>
        <v>84500</v>
      </c>
    </row>
    <row r="230" spans="1:8" x14ac:dyDescent="0.25">
      <c r="A230" s="29"/>
      <c r="B230" s="29"/>
      <c r="C230" s="29" t="s">
        <v>292</v>
      </c>
      <c r="D230" s="29" t="s">
        <v>11</v>
      </c>
      <c r="E230" s="29">
        <v>50</v>
      </c>
      <c r="F230" s="29">
        <v>75000</v>
      </c>
      <c r="G230" s="29">
        <f>50*500</f>
        <v>25000</v>
      </c>
      <c r="H230" s="29">
        <v>50000</v>
      </c>
    </row>
    <row r="231" spans="1:8" x14ac:dyDescent="0.25">
      <c r="A231" s="29"/>
      <c r="B231" s="29"/>
      <c r="C231" s="29" t="s">
        <v>108</v>
      </c>
      <c r="D231" s="29" t="s">
        <v>11</v>
      </c>
      <c r="E231" s="29">
        <v>32</v>
      </c>
      <c r="F231" s="29">
        <v>48000</v>
      </c>
      <c r="G231" s="29">
        <f>32*500</f>
        <v>16000</v>
      </c>
      <c r="H231" s="29">
        <v>32000</v>
      </c>
    </row>
    <row r="232" spans="1:8" x14ac:dyDescent="0.25">
      <c r="A232" s="29"/>
      <c r="B232" s="29"/>
      <c r="C232" s="29" t="s">
        <v>217</v>
      </c>
      <c r="D232" s="29" t="s">
        <v>11</v>
      </c>
      <c r="E232" s="29">
        <v>53</v>
      </c>
      <c r="F232" s="29">
        <v>79500</v>
      </c>
      <c r="G232" s="29">
        <f>53*500</f>
        <v>26500</v>
      </c>
      <c r="H232" s="29">
        <v>53000</v>
      </c>
    </row>
    <row r="233" spans="1:8" x14ac:dyDescent="0.25">
      <c r="A233" s="29"/>
      <c r="B233" s="29"/>
      <c r="C233" s="29"/>
      <c r="D233" s="29" t="s">
        <v>11</v>
      </c>
      <c r="E233" s="29">
        <v>54</v>
      </c>
      <c r="F233" s="29">
        <v>81000</v>
      </c>
      <c r="G233" s="29">
        <f>54*500</f>
        <v>27000</v>
      </c>
      <c r="H233" s="29">
        <v>54000</v>
      </c>
    </row>
    <row r="234" spans="1:8" x14ac:dyDescent="0.25">
      <c r="A234" s="29"/>
      <c r="B234" s="29"/>
      <c r="C234" s="29" t="s">
        <v>236</v>
      </c>
      <c r="D234" s="29" t="s">
        <v>11</v>
      </c>
      <c r="E234" s="29">
        <f>705000/1500</f>
        <v>470</v>
      </c>
      <c r="F234" s="29">
        <v>705000</v>
      </c>
      <c r="G234" s="29">
        <f>470*500</f>
        <v>235000</v>
      </c>
      <c r="H234" s="29">
        <v>470000</v>
      </c>
    </row>
    <row r="235" spans="1:8" x14ac:dyDescent="0.25">
      <c r="A235" s="126" t="s">
        <v>17</v>
      </c>
      <c r="B235" s="126"/>
      <c r="C235" s="126"/>
      <c r="D235" s="126"/>
      <c r="E235" s="126"/>
      <c r="F235" s="16">
        <f>SUM(F224:F234)</f>
        <v>1281000</v>
      </c>
      <c r="G235" s="16">
        <f>SUM(G224:G234)</f>
        <v>443000</v>
      </c>
      <c r="H235" s="16">
        <f>SUM(H224:H234)</f>
        <v>838000</v>
      </c>
    </row>
    <row r="236" spans="1:8" x14ac:dyDescent="0.25">
      <c r="A236" s="29" t="s">
        <v>26</v>
      </c>
      <c r="B236" s="29" t="s">
        <v>313</v>
      </c>
      <c r="C236" s="29" t="s">
        <v>288</v>
      </c>
      <c r="D236" s="29" t="s">
        <v>11</v>
      </c>
      <c r="E236" s="29">
        <v>60</v>
      </c>
      <c r="F236" s="29">
        <v>108000</v>
      </c>
      <c r="G236" s="29">
        <f>60*500</f>
        <v>30000</v>
      </c>
      <c r="H236" s="29">
        <f>60*1300</f>
        <v>78000</v>
      </c>
    </row>
    <row r="237" spans="1:8" x14ac:dyDescent="0.25">
      <c r="A237" s="29"/>
      <c r="B237" s="29"/>
      <c r="C237" s="29" t="s">
        <v>292</v>
      </c>
      <c r="D237" s="29" t="s">
        <v>11</v>
      </c>
      <c r="E237" s="29">
        <v>45</v>
      </c>
      <c r="F237" s="29">
        <v>67500</v>
      </c>
      <c r="G237" s="29">
        <f>45*500</f>
        <v>22500</v>
      </c>
      <c r="H237" s="29">
        <v>45000</v>
      </c>
    </row>
    <row r="238" spans="1:8" x14ac:dyDescent="0.25">
      <c r="A238" s="29"/>
      <c r="B238" s="29"/>
      <c r="C238" s="29" t="s">
        <v>108</v>
      </c>
      <c r="D238" s="29" t="s">
        <v>11</v>
      </c>
      <c r="E238" s="29">
        <v>18</v>
      </c>
      <c r="F238" s="29">
        <v>27000</v>
      </c>
      <c r="G238" s="29">
        <f>18*500</f>
        <v>9000</v>
      </c>
      <c r="H238" s="29">
        <v>18000</v>
      </c>
    </row>
    <row r="239" spans="1:8" x14ac:dyDescent="0.25">
      <c r="A239" s="29"/>
      <c r="B239" s="29"/>
      <c r="C239" s="29" t="s">
        <v>10</v>
      </c>
      <c r="D239" s="29" t="s">
        <v>11</v>
      </c>
      <c r="E239" s="29">
        <v>15</v>
      </c>
      <c r="F239" s="29">
        <v>22500</v>
      </c>
      <c r="G239" s="29">
        <f>15*500</f>
        <v>7500</v>
      </c>
      <c r="H239" s="29">
        <v>15000</v>
      </c>
    </row>
    <row r="240" spans="1:8" x14ac:dyDescent="0.25">
      <c r="A240" s="29"/>
      <c r="B240" s="29"/>
      <c r="C240" s="29" t="s">
        <v>22</v>
      </c>
      <c r="D240" s="29" t="s">
        <v>14</v>
      </c>
      <c r="E240" s="29">
        <v>2</v>
      </c>
      <c r="F240" s="29">
        <v>16000</v>
      </c>
      <c r="G240" s="29">
        <v>11000</v>
      </c>
      <c r="H240" s="29">
        <v>5000</v>
      </c>
    </row>
    <row r="241" spans="1:8" x14ac:dyDescent="0.25">
      <c r="A241" s="29"/>
      <c r="B241" s="29"/>
      <c r="C241" s="29" t="s">
        <v>10</v>
      </c>
      <c r="D241" s="29" t="s">
        <v>11</v>
      </c>
      <c r="E241" s="29">
        <v>18</v>
      </c>
      <c r="F241" s="29">
        <v>27000</v>
      </c>
      <c r="G241" s="29">
        <f>18*500</f>
        <v>9000</v>
      </c>
      <c r="H241" s="29">
        <v>18000</v>
      </c>
    </row>
    <row r="242" spans="1:8" x14ac:dyDescent="0.25">
      <c r="A242" s="29"/>
      <c r="B242" s="29"/>
      <c r="C242" s="29"/>
      <c r="D242" s="29" t="s">
        <v>13</v>
      </c>
      <c r="E242" s="29">
        <v>14</v>
      </c>
      <c r="F242" s="29">
        <v>91000</v>
      </c>
      <c r="G242" s="29">
        <f>14*4500</f>
        <v>63000</v>
      </c>
      <c r="H242" s="29">
        <f>14*2000</f>
        <v>28000</v>
      </c>
    </row>
    <row r="243" spans="1:8" x14ac:dyDescent="0.25">
      <c r="A243" s="29"/>
      <c r="B243" s="29"/>
      <c r="C243" s="29"/>
      <c r="D243" s="29" t="s">
        <v>14</v>
      </c>
      <c r="E243" s="29">
        <v>4</v>
      </c>
      <c r="F243" s="29">
        <v>32000</v>
      </c>
      <c r="G243" s="29">
        <f>4*5500</f>
        <v>22000</v>
      </c>
      <c r="H243" s="29">
        <v>10000</v>
      </c>
    </row>
    <row r="244" spans="1:8" x14ac:dyDescent="0.25">
      <c r="A244" s="29"/>
      <c r="B244" s="29"/>
      <c r="C244" s="29" t="s">
        <v>16</v>
      </c>
      <c r="D244" s="29" t="s">
        <v>11</v>
      </c>
      <c r="E244" s="29">
        <v>70</v>
      </c>
      <c r="F244" s="29">
        <v>105000</v>
      </c>
      <c r="G244" s="29">
        <f>70*500</f>
        <v>35000</v>
      </c>
      <c r="H244" s="29">
        <v>70000</v>
      </c>
    </row>
    <row r="245" spans="1:8" x14ac:dyDescent="0.25">
      <c r="A245" s="29"/>
      <c r="B245" s="29"/>
      <c r="C245" s="29"/>
      <c r="D245" s="29" t="s">
        <v>12</v>
      </c>
      <c r="E245" s="29">
        <v>3</v>
      </c>
      <c r="F245" s="29">
        <v>9000</v>
      </c>
      <c r="G245" s="29">
        <v>6000</v>
      </c>
      <c r="H245" s="29">
        <v>3000</v>
      </c>
    </row>
    <row r="246" spans="1:8" x14ac:dyDescent="0.25">
      <c r="A246" s="29"/>
      <c r="B246" s="29"/>
      <c r="C246" s="29"/>
      <c r="D246" s="29" t="s">
        <v>13</v>
      </c>
      <c r="E246" s="29">
        <v>1</v>
      </c>
      <c r="F246" s="29">
        <v>6500</v>
      </c>
      <c r="G246" s="29">
        <v>4500</v>
      </c>
      <c r="H246" s="29">
        <v>2000</v>
      </c>
    </row>
    <row r="247" spans="1:8" x14ac:dyDescent="0.25">
      <c r="A247" s="126" t="s">
        <v>17</v>
      </c>
      <c r="B247" s="126"/>
      <c r="C247" s="126"/>
      <c r="D247" s="126"/>
      <c r="E247" s="126"/>
      <c r="F247" s="16">
        <f>SUM(F236:F246)</f>
        <v>511500</v>
      </c>
      <c r="G247" s="16">
        <f>SUM(G236:G246)</f>
        <v>219500</v>
      </c>
      <c r="H247" s="16">
        <f>SUM(H236:H246)</f>
        <v>292000</v>
      </c>
    </row>
    <row r="248" spans="1:8" x14ac:dyDescent="0.25">
      <c r="A248" s="29" t="s">
        <v>28</v>
      </c>
      <c r="B248" s="29" t="s">
        <v>314</v>
      </c>
      <c r="C248" s="29" t="s">
        <v>217</v>
      </c>
      <c r="D248" s="29" t="s">
        <v>13</v>
      </c>
      <c r="E248" s="29">
        <v>10</v>
      </c>
      <c r="F248" s="29">
        <v>65000</v>
      </c>
      <c r="G248" s="29">
        <v>45000</v>
      </c>
      <c r="H248" s="29">
        <v>20000</v>
      </c>
    </row>
    <row r="249" spans="1:8" x14ac:dyDescent="0.25">
      <c r="A249" s="29"/>
      <c r="B249" s="29"/>
      <c r="C249" s="29"/>
      <c r="D249" s="29" t="s">
        <v>14</v>
      </c>
      <c r="E249" s="29">
        <v>11</v>
      </c>
      <c r="F249" s="29">
        <v>88000</v>
      </c>
      <c r="G249" s="29">
        <f>11*5500</f>
        <v>60500</v>
      </c>
      <c r="H249" s="29">
        <f>11*2500</f>
        <v>27500</v>
      </c>
    </row>
    <row r="250" spans="1:8" x14ac:dyDescent="0.25">
      <c r="A250" s="29"/>
      <c r="B250" s="29"/>
      <c r="C250" s="29" t="s">
        <v>10</v>
      </c>
      <c r="D250" s="29" t="s">
        <v>13</v>
      </c>
      <c r="E250" s="29">
        <v>7</v>
      </c>
      <c r="F250" s="29">
        <v>45500</v>
      </c>
      <c r="G250" s="29">
        <f>7*4500</f>
        <v>31500</v>
      </c>
      <c r="H250" s="29">
        <v>14000</v>
      </c>
    </row>
    <row r="251" spans="1:8" x14ac:dyDescent="0.25">
      <c r="A251" s="29"/>
      <c r="B251" s="29"/>
      <c r="C251" s="29"/>
      <c r="D251" s="29" t="s">
        <v>14</v>
      </c>
      <c r="E251" s="29">
        <v>3</v>
      </c>
      <c r="F251" s="29">
        <v>24000</v>
      </c>
      <c r="G251" s="29">
        <f>3*5500</f>
        <v>16500</v>
      </c>
      <c r="H251" s="29">
        <v>7500</v>
      </c>
    </row>
    <row r="252" spans="1:8" x14ac:dyDescent="0.25">
      <c r="A252" s="29"/>
      <c r="B252" s="29"/>
      <c r="C252" s="29" t="s">
        <v>315</v>
      </c>
      <c r="D252" s="29" t="s">
        <v>11</v>
      </c>
      <c r="E252" s="29">
        <v>27</v>
      </c>
      <c r="F252" s="29">
        <v>40500</v>
      </c>
      <c r="G252" s="29">
        <f>27*500</f>
        <v>13500</v>
      </c>
      <c r="H252" s="29">
        <v>27000</v>
      </c>
    </row>
    <row r="253" spans="1:8" x14ac:dyDescent="0.25">
      <c r="A253" s="29"/>
      <c r="B253" s="29"/>
      <c r="C253" s="29"/>
      <c r="D253" s="29" t="s">
        <v>12</v>
      </c>
      <c r="E253" s="29">
        <v>1</v>
      </c>
      <c r="F253" s="29">
        <v>3000</v>
      </c>
      <c r="G253" s="29">
        <v>2000</v>
      </c>
      <c r="H253" s="29">
        <v>1000</v>
      </c>
    </row>
    <row r="254" spans="1:8" x14ac:dyDescent="0.25">
      <c r="A254" s="29"/>
      <c r="B254" s="29"/>
      <c r="C254" s="29"/>
      <c r="D254" s="29" t="s">
        <v>13</v>
      </c>
      <c r="E254" s="29">
        <v>11</v>
      </c>
      <c r="F254" s="29">
        <v>71500</v>
      </c>
      <c r="G254" s="29">
        <f>11*4500</f>
        <v>49500</v>
      </c>
      <c r="H254" s="29">
        <f>11*2000</f>
        <v>22000</v>
      </c>
    </row>
    <row r="255" spans="1:8" x14ac:dyDescent="0.25">
      <c r="A255" s="29"/>
      <c r="B255" s="29"/>
      <c r="C255" s="29"/>
      <c r="D255" s="29" t="s">
        <v>14</v>
      </c>
      <c r="E255" s="29">
        <v>9</v>
      </c>
      <c r="F255" s="29">
        <v>72000</v>
      </c>
      <c r="G255" s="29">
        <f>9*5500</f>
        <v>49500</v>
      </c>
      <c r="H255" s="29">
        <f>9*2500</f>
        <v>22500</v>
      </c>
    </row>
    <row r="256" spans="1:8" x14ac:dyDescent="0.25">
      <c r="A256" s="29"/>
      <c r="B256" s="29"/>
      <c r="C256" s="29" t="s">
        <v>16</v>
      </c>
      <c r="D256" s="29" t="s">
        <v>11</v>
      </c>
      <c r="E256" s="29">
        <v>106</v>
      </c>
      <c r="F256" s="29">
        <v>159000</v>
      </c>
      <c r="G256" s="29">
        <f>106*500</f>
        <v>53000</v>
      </c>
      <c r="H256" s="29">
        <v>106000</v>
      </c>
    </row>
    <row r="257" spans="1:8" x14ac:dyDescent="0.25">
      <c r="A257" s="29"/>
      <c r="B257" s="29"/>
      <c r="C257" s="29"/>
      <c r="D257" s="29" t="s">
        <v>12</v>
      </c>
      <c r="E257" s="29">
        <v>9</v>
      </c>
      <c r="F257" s="29">
        <v>27000</v>
      </c>
      <c r="G257" s="29">
        <v>18000</v>
      </c>
      <c r="H257" s="29">
        <v>9000</v>
      </c>
    </row>
    <row r="258" spans="1:8" x14ac:dyDescent="0.25">
      <c r="A258" s="29"/>
      <c r="B258" s="29"/>
      <c r="C258" s="29"/>
      <c r="D258" s="29" t="s">
        <v>14</v>
      </c>
      <c r="E258" s="29">
        <v>1</v>
      </c>
      <c r="F258" s="29">
        <v>10000</v>
      </c>
      <c r="G258" s="29">
        <v>5500</v>
      </c>
      <c r="H258" s="29">
        <v>4500</v>
      </c>
    </row>
    <row r="259" spans="1:8" x14ac:dyDescent="0.25">
      <c r="A259" s="29"/>
      <c r="B259" s="29"/>
      <c r="C259" s="29" t="s">
        <v>217</v>
      </c>
      <c r="D259" s="29" t="s">
        <v>13</v>
      </c>
      <c r="E259" s="29">
        <v>1</v>
      </c>
      <c r="F259" s="29">
        <v>6500</v>
      </c>
      <c r="G259" s="29">
        <v>4500</v>
      </c>
      <c r="H259" s="29">
        <v>2000</v>
      </c>
    </row>
    <row r="260" spans="1:8" x14ac:dyDescent="0.25">
      <c r="A260" s="29"/>
      <c r="B260" s="29"/>
      <c r="C260" s="29"/>
      <c r="D260" s="29" t="s">
        <v>14</v>
      </c>
      <c r="E260" s="29">
        <v>3</v>
      </c>
      <c r="F260" s="29">
        <v>24000</v>
      </c>
      <c r="G260" s="29">
        <f>3*5500</f>
        <v>16500</v>
      </c>
      <c r="H260" s="29">
        <f>3*2500</f>
        <v>7500</v>
      </c>
    </row>
    <row r="261" spans="1:8" x14ac:dyDescent="0.25">
      <c r="A261" s="126" t="s">
        <v>17</v>
      </c>
      <c r="B261" s="126"/>
      <c r="C261" s="126"/>
      <c r="D261" s="126"/>
      <c r="E261" s="126"/>
      <c r="F261" s="16">
        <f>SUM(F248:F260)</f>
        <v>636000</v>
      </c>
      <c r="G261" s="16">
        <f>SUM(G248:G260)</f>
        <v>365500</v>
      </c>
      <c r="H261" s="16">
        <f>SUM(H248:H260)</f>
        <v>270500</v>
      </c>
    </row>
    <row r="262" spans="1:8" x14ac:dyDescent="0.25">
      <c r="A262" s="29" t="s">
        <v>30</v>
      </c>
      <c r="B262" s="29" t="s">
        <v>316</v>
      </c>
      <c r="C262" s="29" t="s">
        <v>288</v>
      </c>
      <c r="D262" s="29" t="s">
        <v>11</v>
      </c>
      <c r="E262" s="29">
        <v>24</v>
      </c>
      <c r="F262" s="29">
        <v>43200</v>
      </c>
      <c r="G262" s="29">
        <f>24*500</f>
        <v>12000</v>
      </c>
      <c r="H262" s="29">
        <f>24*1300</f>
        <v>31200</v>
      </c>
    </row>
    <row r="263" spans="1:8" x14ac:dyDescent="0.25">
      <c r="A263" s="29"/>
      <c r="B263" s="29"/>
      <c r="C263" s="29" t="s">
        <v>292</v>
      </c>
      <c r="D263" s="29" t="s">
        <v>11</v>
      </c>
      <c r="E263" s="29">
        <v>55</v>
      </c>
      <c r="F263" s="29">
        <v>82500</v>
      </c>
      <c r="G263" s="29">
        <f>55*500</f>
        <v>27500</v>
      </c>
      <c r="H263" s="29">
        <v>55000</v>
      </c>
    </row>
    <row r="264" spans="1:8" x14ac:dyDescent="0.25">
      <c r="A264" s="29"/>
      <c r="B264" s="29"/>
      <c r="C264" s="29" t="s">
        <v>81</v>
      </c>
      <c r="D264" s="29" t="s">
        <v>11</v>
      </c>
      <c r="E264" s="29">
        <f>F264/1800</f>
        <v>62</v>
      </c>
      <c r="F264" s="29">
        <v>111600</v>
      </c>
      <c r="G264" s="29">
        <f>E264*500</f>
        <v>31000</v>
      </c>
      <c r="H264" s="29">
        <f>E264*1300</f>
        <v>80600</v>
      </c>
    </row>
    <row r="265" spans="1:8" x14ac:dyDescent="0.25">
      <c r="A265" s="29"/>
      <c r="B265" s="29"/>
      <c r="C265" s="29"/>
      <c r="D265" s="29" t="s">
        <v>11</v>
      </c>
      <c r="E265" s="29">
        <f>F265/1800</f>
        <v>71</v>
      </c>
      <c r="F265" s="29">
        <v>127800</v>
      </c>
      <c r="G265" s="29">
        <f>E265*500</f>
        <v>35500</v>
      </c>
      <c r="H265" s="29">
        <f>E265*1300</f>
        <v>92300</v>
      </c>
    </row>
    <row r="266" spans="1:8" x14ac:dyDescent="0.25">
      <c r="A266" s="29"/>
      <c r="B266" s="29"/>
      <c r="C266" s="29"/>
      <c r="D266" s="29" t="s">
        <v>11</v>
      </c>
      <c r="E266" s="29">
        <f>F266/1800</f>
        <v>70</v>
      </c>
      <c r="F266" s="29">
        <v>126000</v>
      </c>
      <c r="G266" s="29">
        <f>E266*500</f>
        <v>35000</v>
      </c>
      <c r="H266" s="29">
        <f>E266*1300</f>
        <v>91000</v>
      </c>
    </row>
    <row r="267" spans="1:8" x14ac:dyDescent="0.25">
      <c r="A267" s="29"/>
      <c r="B267" s="29"/>
      <c r="C267" s="29"/>
      <c r="D267" s="29" t="s">
        <v>11</v>
      </c>
      <c r="E267" s="29">
        <f>F267/1800</f>
        <v>61</v>
      </c>
      <c r="F267" s="29">
        <v>109800</v>
      </c>
      <c r="G267" s="29">
        <f>E267*500</f>
        <v>30500</v>
      </c>
      <c r="H267" s="29">
        <f>E267*1300</f>
        <v>79300</v>
      </c>
    </row>
    <row r="268" spans="1:8" x14ac:dyDescent="0.25">
      <c r="A268" s="29"/>
      <c r="B268" s="29"/>
      <c r="C268" s="29"/>
      <c r="D268" s="29" t="s">
        <v>11</v>
      </c>
      <c r="E268" s="29">
        <f>F268/1800</f>
        <v>70</v>
      </c>
      <c r="F268" s="29">
        <v>126000</v>
      </c>
      <c r="G268" s="29">
        <f>E268*500</f>
        <v>35000</v>
      </c>
      <c r="H268" s="29">
        <f>E268*1300</f>
        <v>91000</v>
      </c>
    </row>
    <row r="269" spans="1:8" x14ac:dyDescent="0.25">
      <c r="A269" s="29"/>
      <c r="B269" s="29"/>
      <c r="C269" s="29"/>
      <c r="D269" s="29" t="s">
        <v>11</v>
      </c>
      <c r="E269" s="29">
        <v>70</v>
      </c>
      <c r="F269" s="29">
        <v>126000</v>
      </c>
      <c r="G269" s="29">
        <v>35000</v>
      </c>
      <c r="H269" s="29">
        <v>91000</v>
      </c>
    </row>
    <row r="270" spans="1:8" x14ac:dyDescent="0.25">
      <c r="A270" s="29"/>
      <c r="B270" s="29"/>
      <c r="C270" s="29" t="s">
        <v>10</v>
      </c>
      <c r="D270" s="29" t="s">
        <v>14</v>
      </c>
      <c r="E270" s="29">
        <v>4</v>
      </c>
      <c r="F270" s="29">
        <v>32000</v>
      </c>
      <c r="G270" s="29">
        <f>4*5500</f>
        <v>22000</v>
      </c>
      <c r="H270" s="29">
        <f>4*2500</f>
        <v>10000</v>
      </c>
    </row>
    <row r="271" spans="1:8" x14ac:dyDescent="0.25">
      <c r="A271" s="29"/>
      <c r="B271" s="29"/>
      <c r="C271" s="29"/>
      <c r="D271" s="29" t="s">
        <v>11</v>
      </c>
      <c r="E271" s="29">
        <v>39</v>
      </c>
      <c r="F271" s="29">
        <v>58500</v>
      </c>
      <c r="G271" s="29">
        <f>39*500</f>
        <v>19500</v>
      </c>
      <c r="H271" s="29">
        <v>39000</v>
      </c>
    </row>
    <row r="272" spans="1:8" x14ac:dyDescent="0.25">
      <c r="A272" s="29"/>
      <c r="B272" s="29"/>
      <c r="C272" s="29"/>
      <c r="D272" s="29" t="s">
        <v>12</v>
      </c>
      <c r="E272" s="29">
        <v>2</v>
      </c>
      <c r="F272" s="29">
        <v>6000</v>
      </c>
      <c r="G272" s="29">
        <v>4000</v>
      </c>
      <c r="H272" s="29">
        <v>2000</v>
      </c>
    </row>
    <row r="273" spans="1:8" x14ac:dyDescent="0.25">
      <c r="A273" s="29"/>
      <c r="B273" s="29"/>
      <c r="C273" s="29"/>
      <c r="D273" s="29" t="s">
        <v>13</v>
      </c>
      <c r="E273" s="29">
        <v>2</v>
      </c>
      <c r="F273" s="29">
        <v>13000</v>
      </c>
      <c r="G273" s="29">
        <v>9000</v>
      </c>
      <c r="H273" s="29">
        <v>4000</v>
      </c>
    </row>
    <row r="274" spans="1:8" x14ac:dyDescent="0.25">
      <c r="A274" s="126" t="s">
        <v>17</v>
      </c>
      <c r="B274" s="126"/>
      <c r="C274" s="126"/>
      <c r="D274" s="126"/>
      <c r="E274" s="126"/>
      <c r="F274" s="16">
        <f>SUM(F262:F273)</f>
        <v>962400</v>
      </c>
      <c r="G274" s="16">
        <f>SUM(G262:G273)</f>
        <v>296000</v>
      </c>
      <c r="H274" s="16">
        <f>SUM(H262:H273)</f>
        <v>666400</v>
      </c>
    </row>
    <row r="275" spans="1:8" x14ac:dyDescent="0.25">
      <c r="A275" s="29" t="s">
        <v>32</v>
      </c>
      <c r="B275" s="29" t="s">
        <v>317</v>
      </c>
      <c r="C275" s="29" t="s">
        <v>288</v>
      </c>
      <c r="D275" s="29" t="s">
        <v>11</v>
      </c>
      <c r="E275" s="29">
        <v>71</v>
      </c>
      <c r="F275" s="29">
        <f>E275*1800</f>
        <v>127800</v>
      </c>
      <c r="G275" s="29">
        <f>E275*500</f>
        <v>35500</v>
      </c>
      <c r="H275" s="29">
        <f>E275*1300</f>
        <v>92300</v>
      </c>
    </row>
    <row r="276" spans="1:8" x14ac:dyDescent="0.25">
      <c r="A276" s="29"/>
      <c r="B276" s="29"/>
      <c r="C276" s="29" t="s">
        <v>292</v>
      </c>
      <c r="D276" s="29" t="s">
        <v>11</v>
      </c>
      <c r="E276" s="29">
        <v>45</v>
      </c>
      <c r="F276" s="29">
        <f>E276*1500</f>
        <v>67500</v>
      </c>
      <c r="G276" s="29">
        <f>E276*500</f>
        <v>22500</v>
      </c>
      <c r="H276" s="29">
        <v>45000</v>
      </c>
    </row>
    <row r="277" spans="1:8" x14ac:dyDescent="0.25">
      <c r="A277" s="29"/>
      <c r="B277" s="29"/>
      <c r="C277" s="29" t="s">
        <v>108</v>
      </c>
      <c r="D277" s="29" t="s">
        <v>11</v>
      </c>
      <c r="E277" s="29">
        <v>29</v>
      </c>
      <c r="F277" s="29">
        <f>E277*1500</f>
        <v>43500</v>
      </c>
      <c r="G277" s="29">
        <f>E277*500</f>
        <v>14500</v>
      </c>
      <c r="H277" s="29">
        <v>29000</v>
      </c>
    </row>
    <row r="278" spans="1:8" x14ac:dyDescent="0.25">
      <c r="A278" s="29"/>
      <c r="B278" s="29"/>
      <c r="C278" s="29" t="s">
        <v>106</v>
      </c>
      <c r="D278" s="29" t="s">
        <v>11</v>
      </c>
      <c r="E278" s="29">
        <v>25</v>
      </c>
      <c r="F278" s="29">
        <f>E278*1500</f>
        <v>37500</v>
      </c>
      <c r="G278" s="29">
        <f>E278*500</f>
        <v>12500</v>
      </c>
      <c r="H278" s="29">
        <v>25000</v>
      </c>
    </row>
    <row r="279" spans="1:8" x14ac:dyDescent="0.25">
      <c r="A279" s="29"/>
      <c r="B279" s="29"/>
      <c r="C279" s="29" t="s">
        <v>167</v>
      </c>
      <c r="D279" s="29" t="s">
        <v>11</v>
      </c>
      <c r="E279" s="29">
        <v>36</v>
      </c>
      <c r="F279" s="29">
        <v>54000</v>
      </c>
      <c r="G279" s="29">
        <f>E279*500</f>
        <v>18000</v>
      </c>
      <c r="H279" s="29">
        <v>36000</v>
      </c>
    </row>
    <row r="280" spans="1:8" x14ac:dyDescent="0.25">
      <c r="A280" s="29"/>
      <c r="B280" s="29"/>
      <c r="C280" s="29"/>
      <c r="D280" s="29" t="s">
        <v>13</v>
      </c>
      <c r="E280" s="29">
        <v>8</v>
      </c>
      <c r="F280" s="29">
        <f>E280*6500</f>
        <v>52000</v>
      </c>
      <c r="G280" s="29">
        <f>E280*4500</f>
        <v>36000</v>
      </c>
      <c r="H280" s="29">
        <v>16000</v>
      </c>
    </row>
    <row r="281" spans="1:8" x14ac:dyDescent="0.25">
      <c r="A281" s="29"/>
      <c r="B281" s="29"/>
      <c r="C281" s="29"/>
      <c r="D281" s="29" t="s">
        <v>14</v>
      </c>
      <c r="E281" s="29">
        <v>1</v>
      </c>
      <c r="F281" s="29">
        <v>8000</v>
      </c>
      <c r="G281" s="29">
        <v>5500</v>
      </c>
      <c r="H281" s="29">
        <v>2500</v>
      </c>
    </row>
    <row r="282" spans="1:8" x14ac:dyDescent="0.25">
      <c r="A282" s="29"/>
      <c r="B282" s="29"/>
      <c r="C282" s="29" t="s">
        <v>16</v>
      </c>
      <c r="D282" s="29" t="s">
        <v>11</v>
      </c>
      <c r="E282" s="29">
        <v>22</v>
      </c>
      <c r="F282" s="29">
        <f>E282*1500</f>
        <v>33000</v>
      </c>
      <c r="G282" s="29">
        <f>E282*500</f>
        <v>11000</v>
      </c>
      <c r="H282" s="29">
        <v>22000</v>
      </c>
    </row>
    <row r="283" spans="1:8" x14ac:dyDescent="0.25">
      <c r="A283" s="29"/>
      <c r="B283" s="29"/>
      <c r="C283" s="29" t="s">
        <v>30</v>
      </c>
      <c r="D283" s="29" t="s">
        <v>318</v>
      </c>
      <c r="E283" s="29">
        <v>10</v>
      </c>
      <c r="F283" s="29">
        <f>E283*3000</f>
        <v>30000</v>
      </c>
      <c r="G283" s="29">
        <v>20000</v>
      </c>
      <c r="H283" s="29">
        <v>10000</v>
      </c>
    </row>
    <row r="284" spans="1:8" x14ac:dyDescent="0.25">
      <c r="A284" s="29"/>
      <c r="B284" s="29"/>
      <c r="C284" s="29"/>
      <c r="D284" s="29" t="s">
        <v>13</v>
      </c>
      <c r="E284" s="29">
        <v>3</v>
      </c>
      <c r="F284" s="29">
        <f>E284*6500</f>
        <v>19500</v>
      </c>
      <c r="G284" s="29">
        <f>E284*4500</f>
        <v>13500</v>
      </c>
      <c r="H284" s="29">
        <v>6000</v>
      </c>
    </row>
    <row r="285" spans="1:8" x14ac:dyDescent="0.25">
      <c r="A285" s="29"/>
      <c r="B285" s="29"/>
      <c r="C285" s="29"/>
      <c r="D285" s="29" t="s">
        <v>14</v>
      </c>
      <c r="E285" s="29">
        <v>3</v>
      </c>
      <c r="F285" s="29">
        <v>30000</v>
      </c>
      <c r="G285" s="29">
        <f>E285*5500</f>
        <v>16500</v>
      </c>
      <c r="H285" s="29">
        <f>E285*4500</f>
        <v>13500</v>
      </c>
    </row>
    <row r="286" spans="1:8" x14ac:dyDescent="0.25">
      <c r="A286" s="29"/>
      <c r="B286" s="29"/>
      <c r="C286" s="29"/>
      <c r="D286" s="29" t="s">
        <v>111</v>
      </c>
      <c r="E286" s="29">
        <v>1</v>
      </c>
      <c r="F286" s="29">
        <v>13000</v>
      </c>
      <c r="G286" s="29">
        <v>10000</v>
      </c>
      <c r="H286" s="29">
        <v>3000</v>
      </c>
    </row>
    <row r="287" spans="1:8" x14ac:dyDescent="0.25">
      <c r="A287" s="29"/>
      <c r="B287" s="29"/>
      <c r="C287" s="29" t="s">
        <v>16</v>
      </c>
      <c r="D287" s="29" t="s">
        <v>11</v>
      </c>
      <c r="E287" s="29">
        <v>26</v>
      </c>
      <c r="F287" s="29">
        <v>39000</v>
      </c>
      <c r="G287" s="29">
        <f>26*500</f>
        <v>13000</v>
      </c>
      <c r="H287" s="29">
        <v>26000</v>
      </c>
    </row>
    <row r="288" spans="1:8" x14ac:dyDescent="0.25">
      <c r="A288" s="29"/>
      <c r="B288" s="46"/>
      <c r="C288" s="29"/>
      <c r="D288" s="29" t="s">
        <v>12</v>
      </c>
      <c r="E288" s="29">
        <v>3</v>
      </c>
      <c r="F288" s="29">
        <v>9000</v>
      </c>
      <c r="G288" s="29">
        <v>6000</v>
      </c>
      <c r="H288" s="29">
        <v>3000</v>
      </c>
    </row>
    <row r="289" spans="1:8" x14ac:dyDescent="0.25">
      <c r="A289" s="29"/>
      <c r="B289" s="29"/>
      <c r="C289" s="29"/>
      <c r="D289" s="29" t="s">
        <v>25</v>
      </c>
      <c r="E289" s="29">
        <v>1</v>
      </c>
      <c r="F289" s="29">
        <v>13000</v>
      </c>
      <c r="G289" s="29">
        <v>10000</v>
      </c>
      <c r="H289" s="29">
        <v>3000</v>
      </c>
    </row>
    <row r="290" spans="1:8" x14ac:dyDescent="0.25">
      <c r="A290" s="126" t="s">
        <v>17</v>
      </c>
      <c r="B290" s="126"/>
      <c r="C290" s="126"/>
      <c r="D290" s="126"/>
      <c r="E290" s="126"/>
      <c r="F290" s="16">
        <f>SUM(F275:F289)</f>
        <v>576800</v>
      </c>
      <c r="G290" s="16">
        <f>SUM(G275:G289)</f>
        <v>244500</v>
      </c>
      <c r="H290" s="16">
        <f>SUM(H275:H289)</f>
        <v>332300</v>
      </c>
    </row>
    <row r="291" spans="1:8" x14ac:dyDescent="0.25">
      <c r="A291" s="29" t="s">
        <v>8</v>
      </c>
      <c r="B291" s="29" t="s">
        <v>319</v>
      </c>
      <c r="C291" s="29" t="s">
        <v>288</v>
      </c>
      <c r="D291" s="29" t="s">
        <v>11</v>
      </c>
      <c r="E291" s="29">
        <v>50</v>
      </c>
      <c r="F291" s="29">
        <v>90000</v>
      </c>
      <c r="G291" s="29">
        <f>50*500</f>
        <v>25000</v>
      </c>
      <c r="H291" s="29">
        <f>50*1300</f>
        <v>65000</v>
      </c>
    </row>
    <row r="292" spans="1:8" x14ac:dyDescent="0.25">
      <c r="A292" s="29"/>
      <c r="B292" s="29"/>
      <c r="C292" s="29" t="s">
        <v>108</v>
      </c>
      <c r="D292" s="29" t="s">
        <v>11</v>
      </c>
      <c r="E292" s="29">
        <v>21</v>
      </c>
      <c r="F292" s="29">
        <v>31500</v>
      </c>
      <c r="G292" s="29">
        <f>21*500</f>
        <v>10500</v>
      </c>
      <c r="H292" s="29">
        <v>21000</v>
      </c>
    </row>
    <row r="293" spans="1:8" x14ac:dyDescent="0.25">
      <c r="A293" s="29"/>
      <c r="B293" s="29"/>
      <c r="C293" s="29" t="s">
        <v>106</v>
      </c>
      <c r="D293" s="29" t="s">
        <v>11</v>
      </c>
      <c r="E293" s="29">
        <v>25</v>
      </c>
      <c r="F293" s="29">
        <v>37500</v>
      </c>
      <c r="G293" s="29">
        <f>25*500</f>
        <v>12500</v>
      </c>
      <c r="H293" s="29">
        <v>25000</v>
      </c>
    </row>
    <row r="294" spans="1:8" x14ac:dyDescent="0.25">
      <c r="A294" s="29"/>
      <c r="B294" s="29"/>
      <c r="C294" s="29" t="s">
        <v>217</v>
      </c>
      <c r="D294" s="29" t="s">
        <v>11</v>
      </c>
      <c r="E294" s="29">
        <v>54</v>
      </c>
      <c r="F294" s="29">
        <v>81000</v>
      </c>
      <c r="G294" s="29">
        <f>54*500</f>
        <v>27000</v>
      </c>
      <c r="H294" s="29">
        <v>54000</v>
      </c>
    </row>
    <row r="295" spans="1:8" x14ac:dyDescent="0.25">
      <c r="A295" s="29"/>
      <c r="B295" s="29"/>
      <c r="C295" s="29"/>
      <c r="D295" s="29" t="s">
        <v>13</v>
      </c>
      <c r="E295" s="29">
        <v>1</v>
      </c>
      <c r="F295" s="29">
        <v>6500</v>
      </c>
      <c r="G295" s="29">
        <v>4500</v>
      </c>
      <c r="H295" s="29">
        <v>2000</v>
      </c>
    </row>
    <row r="296" spans="1:8" x14ac:dyDescent="0.25">
      <c r="A296" s="29"/>
      <c r="B296" s="29"/>
      <c r="C296" s="29"/>
      <c r="D296" s="29" t="s">
        <v>14</v>
      </c>
      <c r="E296" s="29">
        <v>3</v>
      </c>
      <c r="F296" s="29">
        <v>24000</v>
      </c>
      <c r="G296" s="29">
        <f>3*5500</f>
        <v>16500</v>
      </c>
      <c r="H296" s="29">
        <f>3*2500</f>
        <v>7500</v>
      </c>
    </row>
    <row r="297" spans="1:8" x14ac:dyDescent="0.25">
      <c r="A297" s="126" t="s">
        <v>17</v>
      </c>
      <c r="B297" s="126"/>
      <c r="C297" s="126"/>
      <c r="D297" s="126"/>
      <c r="E297" s="126"/>
      <c r="F297" s="16">
        <f>SUM(F291:F296)</f>
        <v>270500</v>
      </c>
      <c r="G297" s="16">
        <f>SUM(G291:G296)</f>
        <v>96000</v>
      </c>
      <c r="H297" s="16">
        <f>SUM(H291:H296)</f>
        <v>174500</v>
      </c>
    </row>
    <row r="298" spans="1:8" x14ac:dyDescent="0.25">
      <c r="A298" s="29" t="s">
        <v>18</v>
      </c>
      <c r="B298" s="29" t="s">
        <v>320</v>
      </c>
      <c r="C298" s="29" t="s">
        <v>288</v>
      </c>
      <c r="D298" s="29" t="s">
        <v>11</v>
      </c>
      <c r="E298" s="29">
        <v>57</v>
      </c>
      <c r="F298" s="29">
        <v>102600</v>
      </c>
      <c r="G298" s="29">
        <f>57*500</f>
        <v>28500</v>
      </c>
      <c r="H298" s="29">
        <f>57*1300</f>
        <v>74100</v>
      </c>
    </row>
    <row r="299" spans="1:8" x14ac:dyDescent="0.25">
      <c r="A299" s="29"/>
      <c r="B299" s="29"/>
      <c r="C299" s="29" t="s">
        <v>292</v>
      </c>
      <c r="D299" s="29" t="s">
        <v>11</v>
      </c>
      <c r="E299" s="29">
        <v>45</v>
      </c>
      <c r="F299" s="29">
        <v>67500</v>
      </c>
      <c r="G299" s="29">
        <f>45*500</f>
        <v>22500</v>
      </c>
      <c r="H299" s="29">
        <v>45000</v>
      </c>
    </row>
    <row r="300" spans="1:8" x14ac:dyDescent="0.25">
      <c r="A300" s="29"/>
      <c r="B300" s="29"/>
      <c r="C300" s="29" t="s">
        <v>108</v>
      </c>
      <c r="D300" s="29" t="s">
        <v>11</v>
      </c>
      <c r="E300" s="29">
        <v>11</v>
      </c>
      <c r="F300" s="29">
        <v>16500</v>
      </c>
      <c r="G300" s="29">
        <f>11*500</f>
        <v>5500</v>
      </c>
      <c r="H300" s="29">
        <v>11000</v>
      </c>
    </row>
    <row r="301" spans="1:8" x14ac:dyDescent="0.25">
      <c r="A301" s="29"/>
      <c r="B301" s="29"/>
      <c r="C301" s="29" t="s">
        <v>106</v>
      </c>
      <c r="D301" s="29" t="s">
        <v>11</v>
      </c>
      <c r="E301" s="29">
        <v>25</v>
      </c>
      <c r="F301" s="29">
        <v>37500</v>
      </c>
      <c r="G301" s="29">
        <f>25*500</f>
        <v>12500</v>
      </c>
      <c r="H301" s="29">
        <v>25000</v>
      </c>
    </row>
    <row r="302" spans="1:8" x14ac:dyDescent="0.25">
      <c r="A302" s="29"/>
      <c r="B302" s="29"/>
      <c r="C302" s="29" t="s">
        <v>10</v>
      </c>
      <c r="D302" s="29" t="s">
        <v>11</v>
      </c>
      <c r="E302" s="29">
        <v>14</v>
      </c>
      <c r="F302" s="29">
        <v>21000</v>
      </c>
      <c r="G302" s="29">
        <f>14*500</f>
        <v>7000</v>
      </c>
      <c r="H302" s="29">
        <v>14000</v>
      </c>
    </row>
    <row r="303" spans="1:8" x14ac:dyDescent="0.25">
      <c r="A303" s="29"/>
      <c r="B303" s="29"/>
      <c r="C303" s="29" t="s">
        <v>32</v>
      </c>
      <c r="D303" s="29" t="s">
        <v>13</v>
      </c>
      <c r="E303" s="29">
        <v>3</v>
      </c>
      <c r="F303" s="29">
        <v>19500</v>
      </c>
      <c r="G303" s="29">
        <f>3*4500</f>
        <v>13500</v>
      </c>
      <c r="H303" s="29">
        <v>6000</v>
      </c>
    </row>
    <row r="304" spans="1:8" x14ac:dyDescent="0.25">
      <c r="A304" s="29"/>
      <c r="B304" s="29"/>
      <c r="C304" s="29"/>
      <c r="D304" s="29" t="s">
        <v>14</v>
      </c>
      <c r="E304" s="29">
        <v>4</v>
      </c>
      <c r="F304" s="29">
        <v>32000</v>
      </c>
      <c r="G304" s="29">
        <f>4*5500</f>
        <v>22000</v>
      </c>
      <c r="H304" s="29">
        <f>4*2500</f>
        <v>10000</v>
      </c>
    </row>
    <row r="305" spans="1:8" x14ac:dyDescent="0.25">
      <c r="A305" s="29"/>
      <c r="B305" s="29"/>
      <c r="C305" s="29"/>
      <c r="D305" s="29" t="s">
        <v>13</v>
      </c>
      <c r="E305" s="29">
        <v>2</v>
      </c>
      <c r="F305" s="29">
        <v>13000</v>
      </c>
      <c r="G305" s="29">
        <v>9000</v>
      </c>
      <c r="H305" s="29">
        <v>4000</v>
      </c>
    </row>
    <row r="306" spans="1:8" x14ac:dyDescent="0.25">
      <c r="A306" s="29"/>
      <c r="B306" s="29"/>
      <c r="C306" s="29"/>
      <c r="D306" s="29" t="s">
        <v>14</v>
      </c>
      <c r="E306" s="29">
        <v>4</v>
      </c>
      <c r="F306" s="29">
        <v>32000</v>
      </c>
      <c r="G306" s="29">
        <v>22000</v>
      </c>
      <c r="H306" s="29">
        <v>10000</v>
      </c>
    </row>
    <row r="307" spans="1:8" x14ac:dyDescent="0.25">
      <c r="A307" s="29"/>
      <c r="B307" s="29"/>
      <c r="C307" s="29" t="s">
        <v>10</v>
      </c>
      <c r="D307" s="29" t="s">
        <v>11</v>
      </c>
      <c r="E307" s="29">
        <v>48</v>
      </c>
      <c r="F307" s="29">
        <v>72000</v>
      </c>
      <c r="G307" s="29">
        <f>48*500</f>
        <v>24000</v>
      </c>
      <c r="H307" s="29">
        <v>48000</v>
      </c>
    </row>
    <row r="308" spans="1:8" x14ac:dyDescent="0.25">
      <c r="A308" s="29"/>
      <c r="B308" s="29"/>
      <c r="C308" s="29" t="s">
        <v>8</v>
      </c>
      <c r="D308" s="29" t="s">
        <v>13</v>
      </c>
      <c r="E308" s="29">
        <v>1</v>
      </c>
      <c r="F308" s="29">
        <v>6500</v>
      </c>
      <c r="G308" s="29">
        <v>4500</v>
      </c>
      <c r="H308" s="29">
        <v>2000</v>
      </c>
    </row>
    <row r="309" spans="1:8" x14ac:dyDescent="0.25">
      <c r="A309" s="29"/>
      <c r="B309" s="29"/>
      <c r="C309" s="29"/>
      <c r="D309" s="29" t="s">
        <v>14</v>
      </c>
      <c r="E309" s="29">
        <v>6</v>
      </c>
      <c r="F309" s="29">
        <v>48000</v>
      </c>
      <c r="G309" s="29">
        <f>6*5500</f>
        <v>33000</v>
      </c>
      <c r="H309" s="29">
        <f>6*2500</f>
        <v>15000</v>
      </c>
    </row>
    <row r="310" spans="1:8" x14ac:dyDescent="0.25">
      <c r="A310" s="29"/>
      <c r="B310" s="29"/>
      <c r="C310" s="29" t="s">
        <v>18</v>
      </c>
      <c r="D310" s="29" t="s">
        <v>11</v>
      </c>
      <c r="E310" s="29">
        <v>50</v>
      </c>
      <c r="F310" s="29">
        <v>75000</v>
      </c>
      <c r="G310" s="29">
        <f>50*500</f>
        <v>25000</v>
      </c>
      <c r="H310" s="29">
        <v>50000</v>
      </c>
    </row>
    <row r="311" spans="1:8" x14ac:dyDescent="0.25">
      <c r="A311" s="29"/>
      <c r="B311" s="29"/>
      <c r="C311" s="29"/>
      <c r="D311" s="29" t="s">
        <v>13</v>
      </c>
      <c r="E311" s="29">
        <v>28</v>
      </c>
      <c r="F311" s="29">
        <v>182000</v>
      </c>
      <c r="G311" s="29">
        <f>28*4500</f>
        <v>126000</v>
      </c>
      <c r="H311" s="29">
        <f>28*2000</f>
        <v>56000</v>
      </c>
    </row>
    <row r="312" spans="1:8" x14ac:dyDescent="0.25">
      <c r="A312" s="29"/>
      <c r="B312" s="29"/>
      <c r="C312" s="29"/>
      <c r="D312" s="29" t="s">
        <v>14</v>
      </c>
      <c r="E312" s="29">
        <v>28</v>
      </c>
      <c r="F312" s="29">
        <v>224000</v>
      </c>
      <c r="G312" s="29">
        <f>28*5500</f>
        <v>154000</v>
      </c>
      <c r="H312" s="29">
        <f>28*2500</f>
        <v>70000</v>
      </c>
    </row>
    <row r="313" spans="1:8" x14ac:dyDescent="0.25">
      <c r="A313" s="29"/>
      <c r="B313" s="29"/>
      <c r="C313" s="29" t="s">
        <v>20</v>
      </c>
      <c r="D313" s="29" t="s">
        <v>13</v>
      </c>
      <c r="E313" s="29">
        <v>4</v>
      </c>
      <c r="F313" s="29">
        <v>26000</v>
      </c>
      <c r="G313" s="29">
        <f>4*4500</f>
        <v>18000</v>
      </c>
      <c r="H313" s="29">
        <v>8000</v>
      </c>
    </row>
    <row r="314" spans="1:8" x14ac:dyDescent="0.25">
      <c r="A314" s="29"/>
      <c r="B314" s="29"/>
      <c r="C314" s="29"/>
      <c r="D314" s="29" t="s">
        <v>14</v>
      </c>
      <c r="E314" s="29">
        <v>5</v>
      </c>
      <c r="F314" s="29">
        <v>50000</v>
      </c>
      <c r="G314" s="29">
        <f>5*5500</f>
        <v>27500</v>
      </c>
      <c r="H314" s="29">
        <f>5*4500</f>
        <v>22500</v>
      </c>
    </row>
    <row r="315" spans="1:8" x14ac:dyDescent="0.25">
      <c r="A315" s="29"/>
      <c r="B315" s="29"/>
      <c r="C315" s="29" t="s">
        <v>16</v>
      </c>
      <c r="D315" s="29" t="s">
        <v>11</v>
      </c>
      <c r="E315" s="29">
        <v>38</v>
      </c>
      <c r="F315" s="29">
        <v>57000</v>
      </c>
      <c r="G315" s="29">
        <f>38*500</f>
        <v>19000</v>
      </c>
      <c r="H315" s="29">
        <v>38000</v>
      </c>
    </row>
    <row r="316" spans="1:8" x14ac:dyDescent="0.25">
      <c r="A316" s="29"/>
      <c r="B316" s="29"/>
      <c r="C316" s="29"/>
      <c r="D316" s="29" t="s">
        <v>12</v>
      </c>
      <c r="E316" s="29">
        <v>2</v>
      </c>
      <c r="F316" s="29">
        <v>6000</v>
      </c>
      <c r="G316" s="29">
        <v>4000</v>
      </c>
      <c r="H316" s="29">
        <v>2000</v>
      </c>
    </row>
    <row r="317" spans="1:8" x14ac:dyDescent="0.25">
      <c r="A317" s="29"/>
      <c r="B317" s="29"/>
      <c r="C317" s="29" t="s">
        <v>16</v>
      </c>
      <c r="D317" s="29" t="s">
        <v>11</v>
      </c>
      <c r="E317" s="29">
        <v>52</v>
      </c>
      <c r="F317" s="29">
        <v>78000</v>
      </c>
      <c r="G317" s="29">
        <f>52*500</f>
        <v>26000</v>
      </c>
      <c r="H317" s="29">
        <v>52000</v>
      </c>
    </row>
    <row r="318" spans="1:8" x14ac:dyDescent="0.25">
      <c r="A318" s="126" t="s">
        <v>17</v>
      </c>
      <c r="B318" s="126"/>
      <c r="C318" s="126"/>
      <c r="D318" s="126"/>
      <c r="E318" s="126"/>
      <c r="F318" s="16">
        <f>SUM(F298:F317)</f>
        <v>1166100</v>
      </c>
      <c r="G318" s="16">
        <f>SUM(G298:G317)</f>
        <v>603500</v>
      </c>
      <c r="H318" s="16">
        <f>SUM(H298:H317)</f>
        <v>562600</v>
      </c>
    </row>
    <row r="319" spans="1:8" x14ac:dyDescent="0.25">
      <c r="A319" s="29" t="s">
        <v>22</v>
      </c>
      <c r="B319" s="29" t="s">
        <v>321</v>
      </c>
      <c r="C319" s="29" t="s">
        <v>288</v>
      </c>
      <c r="D319" s="29" t="s">
        <v>11</v>
      </c>
      <c r="E319" s="29">
        <v>58</v>
      </c>
      <c r="F319" s="29">
        <v>104400</v>
      </c>
      <c r="G319" s="29">
        <f>58*500</f>
        <v>29000</v>
      </c>
      <c r="H319" s="29">
        <f>58*1300</f>
        <v>75400</v>
      </c>
    </row>
    <row r="320" spans="1:8" x14ac:dyDescent="0.25">
      <c r="A320" s="29"/>
      <c r="B320" s="29"/>
      <c r="C320" s="29" t="s">
        <v>292</v>
      </c>
      <c r="D320" s="29" t="s">
        <v>11</v>
      </c>
      <c r="E320" s="29">
        <v>45</v>
      </c>
      <c r="F320" s="29">
        <v>67500</v>
      </c>
      <c r="G320" s="29">
        <f>45*500</f>
        <v>22500</v>
      </c>
      <c r="H320" s="29">
        <v>45000</v>
      </c>
    </row>
    <row r="321" spans="1:8" x14ac:dyDescent="0.25">
      <c r="A321" s="29"/>
      <c r="B321" s="29"/>
      <c r="C321" s="29" t="s">
        <v>108</v>
      </c>
      <c r="D321" s="29" t="s">
        <v>11</v>
      </c>
      <c r="E321" s="29">
        <v>17</v>
      </c>
      <c r="F321" s="29">
        <v>25500</v>
      </c>
      <c r="G321" s="29">
        <f>17*500</f>
        <v>8500</v>
      </c>
      <c r="H321" s="29">
        <v>17000</v>
      </c>
    </row>
    <row r="322" spans="1:8" x14ac:dyDescent="0.25">
      <c r="A322" s="29"/>
      <c r="B322" s="29"/>
      <c r="C322" s="29" t="s">
        <v>16</v>
      </c>
      <c r="D322" s="29" t="s">
        <v>11</v>
      </c>
      <c r="E322" s="29">
        <v>22</v>
      </c>
      <c r="F322" s="29">
        <v>33000</v>
      </c>
      <c r="G322" s="29">
        <f>22*500</f>
        <v>11000</v>
      </c>
      <c r="H322" s="29">
        <v>22000</v>
      </c>
    </row>
    <row r="323" spans="1:8" x14ac:dyDescent="0.25">
      <c r="A323" s="126" t="s">
        <v>17</v>
      </c>
      <c r="B323" s="126"/>
      <c r="C323" s="126"/>
      <c r="D323" s="126"/>
      <c r="E323" s="126"/>
      <c r="F323" s="16">
        <f>SUM(F319:F322)</f>
        <v>230400</v>
      </c>
      <c r="G323" s="16">
        <f>SUM(G319:G322)</f>
        <v>71000</v>
      </c>
      <c r="H323" s="16">
        <f>SUM(H319:H322)</f>
        <v>159400</v>
      </c>
    </row>
    <row r="324" spans="1:8" x14ac:dyDescent="0.25">
      <c r="A324" s="29" t="s">
        <v>26</v>
      </c>
      <c r="B324" s="29" t="s">
        <v>322</v>
      </c>
      <c r="C324" s="29" t="s">
        <v>288</v>
      </c>
      <c r="D324" s="29" t="s">
        <v>11</v>
      </c>
      <c r="E324" s="29">
        <v>45</v>
      </c>
      <c r="F324" s="29">
        <v>81000</v>
      </c>
      <c r="G324" s="29">
        <f>E324*500</f>
        <v>22500</v>
      </c>
      <c r="H324" s="29">
        <f>45*1300</f>
        <v>58500</v>
      </c>
    </row>
    <row r="325" spans="1:8" x14ac:dyDescent="0.25">
      <c r="A325" s="29"/>
      <c r="B325" s="29"/>
      <c r="C325" s="29" t="s">
        <v>108</v>
      </c>
      <c r="D325" s="29" t="s">
        <v>11</v>
      </c>
      <c r="E325" s="29">
        <v>13</v>
      </c>
      <c r="F325" s="29">
        <v>19500</v>
      </c>
      <c r="G325" s="29">
        <f t="shared" ref="G325:G332" si="0">E325*500</f>
        <v>6500</v>
      </c>
      <c r="H325" s="29">
        <f>E325*1000</f>
        <v>13000</v>
      </c>
    </row>
    <row r="326" spans="1:8" x14ac:dyDescent="0.25">
      <c r="A326" s="29"/>
      <c r="B326" s="29"/>
      <c r="C326" s="29" t="s">
        <v>236</v>
      </c>
      <c r="D326" s="29" t="s">
        <v>11</v>
      </c>
      <c r="E326" s="29">
        <v>120</v>
      </c>
      <c r="F326" s="29">
        <f>E326*1500</f>
        <v>180000</v>
      </c>
      <c r="G326" s="29">
        <f t="shared" si="0"/>
        <v>60000</v>
      </c>
      <c r="H326" s="29">
        <f t="shared" ref="H326:H332" si="1">E326*1000</f>
        <v>120000</v>
      </c>
    </row>
    <row r="327" spans="1:8" x14ac:dyDescent="0.25">
      <c r="A327" s="29"/>
      <c r="B327" s="29"/>
      <c r="C327" s="29"/>
      <c r="D327" s="29" t="s">
        <v>11</v>
      </c>
      <c r="E327" s="29">
        <v>130</v>
      </c>
      <c r="F327" s="29">
        <f t="shared" ref="F327:F332" si="2">E327*1500</f>
        <v>195000</v>
      </c>
      <c r="G327" s="29">
        <f t="shared" si="0"/>
        <v>65000</v>
      </c>
      <c r="H327" s="29">
        <f t="shared" si="1"/>
        <v>130000</v>
      </c>
    </row>
    <row r="328" spans="1:8" x14ac:dyDescent="0.25">
      <c r="A328" s="29"/>
      <c r="B328" s="29"/>
      <c r="C328" s="29"/>
      <c r="D328" s="29" t="s">
        <v>11</v>
      </c>
      <c r="E328" s="29">
        <v>124</v>
      </c>
      <c r="F328" s="29">
        <f t="shared" si="2"/>
        <v>186000</v>
      </c>
      <c r="G328" s="29">
        <f t="shared" si="0"/>
        <v>62000</v>
      </c>
      <c r="H328" s="29">
        <f t="shared" si="1"/>
        <v>124000</v>
      </c>
    </row>
    <row r="329" spans="1:8" x14ac:dyDescent="0.25">
      <c r="A329" s="29"/>
      <c r="B329" s="29"/>
      <c r="C329" s="29"/>
      <c r="D329" s="29" t="s">
        <v>11</v>
      </c>
      <c r="E329" s="29">
        <v>130</v>
      </c>
      <c r="F329" s="29">
        <f t="shared" si="2"/>
        <v>195000</v>
      </c>
      <c r="G329" s="29">
        <f t="shared" si="0"/>
        <v>65000</v>
      </c>
      <c r="H329" s="29">
        <f t="shared" si="1"/>
        <v>130000</v>
      </c>
    </row>
    <row r="330" spans="1:8" x14ac:dyDescent="0.25">
      <c r="A330" s="29"/>
      <c r="B330" s="29"/>
      <c r="C330" s="29"/>
      <c r="D330" s="29" t="s">
        <v>11</v>
      </c>
      <c r="E330" s="29">
        <v>97</v>
      </c>
      <c r="F330" s="29">
        <f t="shared" si="2"/>
        <v>145500</v>
      </c>
      <c r="G330" s="29">
        <f t="shared" si="0"/>
        <v>48500</v>
      </c>
      <c r="H330" s="29">
        <f t="shared" si="1"/>
        <v>97000</v>
      </c>
    </row>
    <row r="331" spans="1:8" x14ac:dyDescent="0.25">
      <c r="A331" s="29"/>
      <c r="B331" s="29"/>
      <c r="C331" s="29"/>
      <c r="D331" s="29" t="s">
        <v>11</v>
      </c>
      <c r="E331" s="29">
        <v>107</v>
      </c>
      <c r="F331" s="29">
        <f t="shared" si="2"/>
        <v>160500</v>
      </c>
      <c r="G331" s="29">
        <f t="shared" si="0"/>
        <v>53500</v>
      </c>
      <c r="H331" s="29">
        <f t="shared" si="1"/>
        <v>107000</v>
      </c>
    </row>
    <row r="332" spans="1:8" x14ac:dyDescent="0.25">
      <c r="A332" s="29"/>
      <c r="B332" s="29"/>
      <c r="C332" s="29" t="s">
        <v>217</v>
      </c>
      <c r="D332" s="29" t="s">
        <v>11</v>
      </c>
      <c r="E332" s="29">
        <v>87</v>
      </c>
      <c r="F332" s="29">
        <f t="shared" si="2"/>
        <v>130500</v>
      </c>
      <c r="G332" s="29">
        <f t="shared" si="0"/>
        <v>43500</v>
      </c>
      <c r="H332" s="29">
        <f t="shared" si="1"/>
        <v>87000</v>
      </c>
    </row>
    <row r="333" spans="1:8" x14ac:dyDescent="0.25">
      <c r="A333" s="29"/>
      <c r="B333" s="29"/>
      <c r="C333" s="29"/>
      <c r="D333" s="29" t="s">
        <v>13</v>
      </c>
      <c r="E333" s="29">
        <v>3</v>
      </c>
      <c r="F333" s="29">
        <v>19500</v>
      </c>
      <c r="G333" s="29">
        <f>3*4500</f>
        <v>13500</v>
      </c>
      <c r="H333" s="29">
        <v>6000</v>
      </c>
    </row>
    <row r="334" spans="1:8" x14ac:dyDescent="0.25">
      <c r="A334" s="29"/>
      <c r="B334" s="29"/>
      <c r="C334" s="29"/>
      <c r="D334" s="29" t="s">
        <v>14</v>
      </c>
      <c r="E334" s="29">
        <v>6</v>
      </c>
      <c r="F334" s="29">
        <v>48000</v>
      </c>
      <c r="G334" s="29">
        <f>6*5500</f>
        <v>33000</v>
      </c>
      <c r="H334" s="29">
        <f>6*2500</f>
        <v>15000</v>
      </c>
    </row>
    <row r="335" spans="1:8" x14ac:dyDescent="0.25">
      <c r="A335" s="29"/>
      <c r="B335" s="29"/>
      <c r="C335" s="29"/>
      <c r="D335" s="29" t="s">
        <v>25</v>
      </c>
      <c r="E335" s="29">
        <v>1</v>
      </c>
      <c r="F335" s="29">
        <v>13000</v>
      </c>
      <c r="G335" s="29">
        <v>10000</v>
      </c>
      <c r="H335" s="29">
        <v>3000</v>
      </c>
    </row>
    <row r="336" spans="1:8" x14ac:dyDescent="0.25">
      <c r="A336" s="29"/>
      <c r="B336" s="29"/>
      <c r="C336" s="29" t="s">
        <v>10</v>
      </c>
      <c r="D336" s="29" t="s">
        <v>11</v>
      </c>
      <c r="E336" s="29">
        <v>53</v>
      </c>
      <c r="F336" s="29">
        <v>79500</v>
      </c>
      <c r="G336" s="29">
        <f>53*500</f>
        <v>26500</v>
      </c>
      <c r="H336" s="29">
        <v>53000</v>
      </c>
    </row>
    <row r="337" spans="1:8" x14ac:dyDescent="0.25">
      <c r="A337" s="29"/>
      <c r="B337" s="29"/>
      <c r="C337" s="29"/>
      <c r="D337" s="29" t="s">
        <v>13</v>
      </c>
      <c r="E337" s="29">
        <v>12</v>
      </c>
      <c r="F337" s="29">
        <v>78000</v>
      </c>
      <c r="G337" s="29">
        <f>12*4500</f>
        <v>54000</v>
      </c>
      <c r="H337" s="29">
        <v>24000</v>
      </c>
    </row>
    <row r="338" spans="1:8" x14ac:dyDescent="0.25">
      <c r="A338" s="29"/>
      <c r="B338" s="29"/>
      <c r="C338" s="29"/>
      <c r="D338" s="29" t="s">
        <v>14</v>
      </c>
      <c r="E338" s="29">
        <v>7</v>
      </c>
      <c r="F338" s="29">
        <v>56000</v>
      </c>
      <c r="G338" s="29">
        <f>7*5500</f>
        <v>38500</v>
      </c>
      <c r="H338" s="29">
        <f>7*2500</f>
        <v>17500</v>
      </c>
    </row>
    <row r="339" spans="1:8" x14ac:dyDescent="0.25">
      <c r="A339" s="29"/>
      <c r="B339" s="29"/>
      <c r="C339" s="29" t="s">
        <v>16</v>
      </c>
      <c r="D339" s="29" t="s">
        <v>11</v>
      </c>
      <c r="E339" s="29">
        <v>94</v>
      </c>
      <c r="F339" s="29">
        <v>141000</v>
      </c>
      <c r="G339" s="29">
        <f>94*500</f>
        <v>47000</v>
      </c>
      <c r="H339" s="29">
        <v>94000</v>
      </c>
    </row>
    <row r="340" spans="1:8" x14ac:dyDescent="0.25">
      <c r="A340" s="29"/>
      <c r="B340" s="29"/>
      <c r="C340" s="29"/>
      <c r="D340" s="29" t="s">
        <v>12</v>
      </c>
      <c r="E340" s="29">
        <v>3</v>
      </c>
      <c r="F340" s="29">
        <v>9000</v>
      </c>
      <c r="G340" s="29">
        <v>6000</v>
      </c>
      <c r="H340" s="29">
        <v>3000</v>
      </c>
    </row>
    <row r="341" spans="1:8" x14ac:dyDescent="0.25">
      <c r="A341" s="29"/>
      <c r="B341" s="29"/>
      <c r="C341" s="29"/>
      <c r="D341" s="29" t="s">
        <v>14</v>
      </c>
      <c r="E341" s="29">
        <v>2</v>
      </c>
      <c r="F341" s="29">
        <v>20000</v>
      </c>
      <c r="G341" s="29">
        <v>11000</v>
      </c>
      <c r="H341" s="29">
        <v>9000</v>
      </c>
    </row>
    <row r="342" spans="1:8" x14ac:dyDescent="0.25">
      <c r="A342" s="29"/>
      <c r="B342" s="29"/>
      <c r="C342" s="29" t="s">
        <v>63</v>
      </c>
      <c r="D342" s="29" t="s">
        <v>25</v>
      </c>
      <c r="E342" s="29">
        <v>1</v>
      </c>
      <c r="F342" s="29">
        <v>15000</v>
      </c>
      <c r="G342" s="29">
        <v>10000</v>
      </c>
      <c r="H342" s="29">
        <v>5000</v>
      </c>
    </row>
    <row r="343" spans="1:8" x14ac:dyDescent="0.25">
      <c r="A343" s="126" t="s">
        <v>17</v>
      </c>
      <c r="B343" s="126"/>
      <c r="C343" s="126"/>
      <c r="D343" s="126"/>
      <c r="E343" s="126"/>
      <c r="F343" s="16">
        <f>SUM(F324:F342)</f>
        <v>1772000</v>
      </c>
      <c r="G343" s="16">
        <f>SUM(G324:G342)</f>
        <v>676000</v>
      </c>
      <c r="H343" s="16">
        <f>SUM(H324:H342)</f>
        <v>1096000</v>
      </c>
    </row>
    <row r="344" spans="1:8" x14ac:dyDescent="0.25">
      <c r="A344" s="29" t="s">
        <v>28</v>
      </c>
      <c r="B344" s="29" t="s">
        <v>323</v>
      </c>
      <c r="C344" s="29" t="s">
        <v>217</v>
      </c>
      <c r="D344" s="29" t="s">
        <v>11</v>
      </c>
      <c r="E344" s="29">
        <v>12</v>
      </c>
      <c r="F344" s="29">
        <v>18000</v>
      </c>
      <c r="G344" s="29">
        <f>12*500</f>
        <v>6000</v>
      </c>
      <c r="H344" s="29">
        <v>12000</v>
      </c>
    </row>
    <row r="345" spans="1:8" x14ac:dyDescent="0.25">
      <c r="A345" s="29"/>
      <c r="B345" s="29"/>
      <c r="C345" s="29"/>
      <c r="D345" s="29" t="s">
        <v>13</v>
      </c>
      <c r="E345" s="29">
        <v>17</v>
      </c>
      <c r="F345" s="29">
        <v>110500</v>
      </c>
      <c r="G345" s="29">
        <f>17*4500</f>
        <v>76500</v>
      </c>
      <c r="H345" s="29">
        <f>17*2000</f>
        <v>34000</v>
      </c>
    </row>
    <row r="346" spans="1:8" x14ac:dyDescent="0.25">
      <c r="A346" s="29"/>
      <c r="B346" s="29"/>
      <c r="C346" s="29"/>
      <c r="D346" s="29" t="s">
        <v>14</v>
      </c>
      <c r="E346" s="29">
        <v>5</v>
      </c>
      <c r="F346" s="29">
        <v>50000</v>
      </c>
      <c r="G346" s="29">
        <f>5*5500</f>
        <v>27500</v>
      </c>
      <c r="H346" s="29">
        <f>5*4500</f>
        <v>22500</v>
      </c>
    </row>
    <row r="347" spans="1:8" x14ac:dyDescent="0.25">
      <c r="A347" s="29"/>
      <c r="B347" s="29"/>
      <c r="C347" s="29" t="s">
        <v>303</v>
      </c>
      <c r="D347" s="29" t="s">
        <v>11</v>
      </c>
      <c r="E347" s="29">
        <v>6</v>
      </c>
      <c r="F347" s="29">
        <v>9000</v>
      </c>
      <c r="G347" s="29">
        <v>3000</v>
      </c>
      <c r="H347" s="29">
        <v>6000</v>
      </c>
    </row>
    <row r="348" spans="1:8" x14ac:dyDescent="0.25">
      <c r="A348" s="29"/>
      <c r="B348" s="29"/>
      <c r="C348" s="29"/>
      <c r="D348" s="29" t="s">
        <v>13</v>
      </c>
      <c r="E348" s="29">
        <v>14</v>
      </c>
      <c r="F348" s="29">
        <v>91000</v>
      </c>
      <c r="G348" s="29">
        <f>14*4500</f>
        <v>63000</v>
      </c>
      <c r="H348" s="29">
        <f>14*2000</f>
        <v>28000</v>
      </c>
    </row>
    <row r="349" spans="1:8" x14ac:dyDescent="0.25">
      <c r="A349" s="29"/>
      <c r="B349" s="29"/>
      <c r="C349" s="29"/>
      <c r="D349" s="29" t="s">
        <v>14</v>
      </c>
      <c r="E349" s="29">
        <v>15</v>
      </c>
      <c r="F349" s="29">
        <v>120000</v>
      </c>
      <c r="G349" s="29">
        <f>15*5500</f>
        <v>82500</v>
      </c>
      <c r="H349" s="29">
        <f>15*2500</f>
        <v>37500</v>
      </c>
    </row>
    <row r="350" spans="1:8" x14ac:dyDescent="0.25">
      <c r="A350" s="29"/>
      <c r="B350" s="29"/>
      <c r="C350" s="29" t="s">
        <v>217</v>
      </c>
      <c r="D350" s="29" t="s">
        <v>13</v>
      </c>
      <c r="E350" s="29">
        <v>7</v>
      </c>
      <c r="F350" s="29">
        <v>45500</v>
      </c>
      <c r="G350" s="29">
        <f>7*4500</f>
        <v>31500</v>
      </c>
      <c r="H350" s="29">
        <v>14000</v>
      </c>
    </row>
    <row r="351" spans="1:8" x14ac:dyDescent="0.25">
      <c r="A351" s="29"/>
      <c r="B351" s="29"/>
      <c r="C351" s="29"/>
      <c r="D351" s="29" t="s">
        <v>14</v>
      </c>
      <c r="E351" s="29">
        <v>2</v>
      </c>
      <c r="F351" s="29">
        <v>20000</v>
      </c>
      <c r="G351" s="29">
        <v>11000</v>
      </c>
      <c r="H351" s="29">
        <v>9000</v>
      </c>
    </row>
    <row r="352" spans="1:8" x14ac:dyDescent="0.25">
      <c r="A352" s="29"/>
      <c r="B352" s="29"/>
      <c r="C352" s="29"/>
      <c r="D352" s="29" t="s">
        <v>14</v>
      </c>
      <c r="E352" s="29">
        <v>3</v>
      </c>
      <c r="F352" s="29">
        <v>24000</v>
      </c>
      <c r="G352" s="29">
        <f>3*5500</f>
        <v>16500</v>
      </c>
      <c r="H352" s="29">
        <f>3*2500</f>
        <v>7500</v>
      </c>
    </row>
    <row r="353" spans="1:8" x14ac:dyDescent="0.25">
      <c r="A353" s="29"/>
      <c r="B353" s="29"/>
      <c r="C353" s="29" t="s">
        <v>16</v>
      </c>
      <c r="D353" s="29" t="s">
        <v>11</v>
      </c>
      <c r="E353" s="29">
        <v>82</v>
      </c>
      <c r="F353" s="29">
        <v>123000</v>
      </c>
      <c r="G353" s="29">
        <f>82*500</f>
        <v>41000</v>
      </c>
      <c r="H353" s="29">
        <v>82000</v>
      </c>
    </row>
    <row r="354" spans="1:8" x14ac:dyDescent="0.25">
      <c r="A354" s="29"/>
      <c r="B354" s="29"/>
      <c r="C354" s="29"/>
      <c r="D354" s="29" t="s">
        <v>12</v>
      </c>
      <c r="E354" s="29">
        <v>7</v>
      </c>
      <c r="F354" s="29">
        <v>21000</v>
      </c>
      <c r="G354" s="29">
        <v>14000</v>
      </c>
      <c r="H354" s="29">
        <v>7000</v>
      </c>
    </row>
    <row r="355" spans="1:8" x14ac:dyDescent="0.25">
      <c r="A355" s="29"/>
      <c r="B355" s="29"/>
      <c r="C355" s="29"/>
      <c r="D355" s="29" t="s">
        <v>13</v>
      </c>
      <c r="E355" s="29">
        <v>2</v>
      </c>
      <c r="F355" s="29">
        <v>13000</v>
      </c>
      <c r="G355" s="29">
        <v>9000</v>
      </c>
      <c r="H355" s="29">
        <v>4000</v>
      </c>
    </row>
    <row r="356" spans="1:8" x14ac:dyDescent="0.25">
      <c r="A356" s="29"/>
      <c r="B356" s="29"/>
      <c r="C356" s="29"/>
      <c r="D356" s="29" t="s">
        <v>25</v>
      </c>
      <c r="E356" s="29">
        <v>1</v>
      </c>
      <c r="F356" s="29">
        <v>13000</v>
      </c>
      <c r="G356" s="29">
        <v>10000</v>
      </c>
      <c r="H356" s="29">
        <v>3000</v>
      </c>
    </row>
    <row r="357" spans="1:8" x14ac:dyDescent="0.25">
      <c r="A357" s="29"/>
      <c r="B357" s="29"/>
      <c r="C357" s="29" t="s">
        <v>81</v>
      </c>
      <c r="D357" s="29" t="s">
        <v>11</v>
      </c>
      <c r="E357" s="29">
        <v>75</v>
      </c>
      <c r="F357" s="29">
        <v>135000</v>
      </c>
      <c r="G357" s="29">
        <f>E357*500</f>
        <v>37500</v>
      </c>
      <c r="H357" s="29">
        <f>E357*1300</f>
        <v>97500</v>
      </c>
    </row>
    <row r="358" spans="1:8" x14ac:dyDescent="0.25">
      <c r="A358" s="29"/>
      <c r="B358" s="29"/>
      <c r="C358" s="29"/>
      <c r="D358" s="29" t="s">
        <v>11</v>
      </c>
      <c r="E358" s="29">
        <v>71</v>
      </c>
      <c r="F358" s="29">
        <v>127800</v>
      </c>
      <c r="G358" s="29">
        <f>E358*500</f>
        <v>35500</v>
      </c>
      <c r="H358" s="29">
        <f>E358*1300</f>
        <v>92300</v>
      </c>
    </row>
    <row r="359" spans="1:8" x14ac:dyDescent="0.25">
      <c r="A359" s="29"/>
      <c r="B359" s="29"/>
      <c r="C359" s="29"/>
      <c r="D359" s="29" t="s">
        <v>11</v>
      </c>
      <c r="E359" s="29">
        <v>75</v>
      </c>
      <c r="F359" s="29">
        <v>135000</v>
      </c>
      <c r="G359" s="29">
        <f>E359*500</f>
        <v>37500</v>
      </c>
      <c r="H359" s="29">
        <f>E359*1300</f>
        <v>97500</v>
      </c>
    </row>
    <row r="360" spans="1:8" x14ac:dyDescent="0.25">
      <c r="A360" s="29"/>
      <c r="B360" s="29"/>
      <c r="C360" s="29"/>
      <c r="D360" s="29" t="s">
        <v>11</v>
      </c>
      <c r="E360" s="29">
        <v>71</v>
      </c>
      <c r="F360" s="29">
        <v>127800</v>
      </c>
      <c r="G360" s="29">
        <f>E360*500</f>
        <v>35500</v>
      </c>
      <c r="H360" s="29">
        <f>E360*1300</f>
        <v>92300</v>
      </c>
    </row>
    <row r="361" spans="1:8" x14ac:dyDescent="0.25">
      <c r="A361" s="29"/>
      <c r="B361" s="29"/>
      <c r="C361" s="29"/>
      <c r="D361" s="29" t="s">
        <v>11</v>
      </c>
      <c r="E361" s="29">
        <v>37</v>
      </c>
      <c r="F361" s="29">
        <v>66600</v>
      </c>
      <c r="G361" s="29">
        <f>E361*500</f>
        <v>18500</v>
      </c>
      <c r="H361" s="29">
        <f>E361*1300</f>
        <v>48100</v>
      </c>
    </row>
    <row r="362" spans="1:8" x14ac:dyDescent="0.25">
      <c r="A362" s="29"/>
      <c r="B362" s="29"/>
      <c r="C362" s="29"/>
      <c r="D362" s="29" t="s">
        <v>13</v>
      </c>
      <c r="E362" s="29">
        <f>189000/7000</f>
        <v>27</v>
      </c>
      <c r="F362" s="29">
        <v>189000</v>
      </c>
      <c r="G362" s="29">
        <f>27*4500</f>
        <v>121500</v>
      </c>
      <c r="H362" s="29">
        <f>27*2500</f>
        <v>67500</v>
      </c>
    </row>
    <row r="363" spans="1:8" x14ac:dyDescent="0.25">
      <c r="A363" s="126" t="s">
        <v>17</v>
      </c>
      <c r="B363" s="126"/>
      <c r="C363" s="126"/>
      <c r="D363" s="126"/>
      <c r="E363" s="126"/>
      <c r="F363" s="16">
        <f>SUM(F344:F362)</f>
        <v>1439200</v>
      </c>
      <c r="G363" s="16">
        <f>SUM(G344:G362)</f>
        <v>677500</v>
      </c>
      <c r="H363" s="16">
        <f>SUM(H344:H362)</f>
        <v>761700</v>
      </c>
    </row>
    <row r="364" spans="1:8" x14ac:dyDescent="0.25">
      <c r="A364" s="29" t="s">
        <v>30</v>
      </c>
      <c r="B364" s="29" t="s">
        <v>324</v>
      </c>
      <c r="C364" s="29" t="s">
        <v>63</v>
      </c>
      <c r="D364" s="29" t="s">
        <v>13</v>
      </c>
      <c r="E364" s="29">
        <v>5</v>
      </c>
      <c r="F364" s="29">
        <v>40000</v>
      </c>
      <c r="G364" s="29">
        <f>5*4500</f>
        <v>22500</v>
      </c>
      <c r="H364" s="29">
        <f>5*3500</f>
        <v>17500</v>
      </c>
    </row>
    <row r="365" spans="1:8" x14ac:dyDescent="0.25">
      <c r="A365" s="29"/>
      <c r="B365" s="29"/>
      <c r="C365" s="29" t="s">
        <v>10</v>
      </c>
      <c r="D365" s="29" t="s">
        <v>14</v>
      </c>
      <c r="E365" s="29">
        <v>13</v>
      </c>
      <c r="F365" s="29">
        <v>104000</v>
      </c>
      <c r="G365" s="29">
        <f>13*5500</f>
        <v>71500</v>
      </c>
      <c r="H365" s="29">
        <f>13*2500</f>
        <v>32500</v>
      </c>
    </row>
    <row r="366" spans="1:8" x14ac:dyDescent="0.25">
      <c r="A366" s="29"/>
      <c r="B366" s="29"/>
      <c r="C366" s="29"/>
      <c r="D366" s="29" t="s">
        <v>13</v>
      </c>
      <c r="E366" s="29">
        <v>6</v>
      </c>
      <c r="F366" s="29">
        <v>39000</v>
      </c>
      <c r="G366" s="29">
        <f>6*4500</f>
        <v>27000</v>
      </c>
      <c r="H366" s="29">
        <v>12000</v>
      </c>
    </row>
    <row r="367" spans="1:8" x14ac:dyDescent="0.25">
      <c r="A367" s="29"/>
      <c r="B367" s="29"/>
      <c r="C367" s="29"/>
      <c r="D367" s="29" t="s">
        <v>11</v>
      </c>
      <c r="E367" s="29">
        <v>10</v>
      </c>
      <c r="F367" s="29">
        <v>15000</v>
      </c>
      <c r="G367" s="29">
        <v>5000</v>
      </c>
      <c r="H367" s="29">
        <v>10000</v>
      </c>
    </row>
    <row r="368" spans="1:8" x14ac:dyDescent="0.25">
      <c r="A368" s="29"/>
      <c r="B368" s="29"/>
      <c r="C368" s="29" t="s">
        <v>217</v>
      </c>
      <c r="D368" s="29" t="s">
        <v>14</v>
      </c>
      <c r="E368" s="29">
        <v>2</v>
      </c>
      <c r="F368" s="29">
        <v>16000</v>
      </c>
      <c r="G368" s="29">
        <v>11000</v>
      </c>
      <c r="H368" s="29">
        <v>5000</v>
      </c>
    </row>
    <row r="369" spans="1:8" x14ac:dyDescent="0.25">
      <c r="A369" s="29"/>
      <c r="B369" s="29"/>
      <c r="C369" s="29"/>
      <c r="D369" s="29" t="s">
        <v>11</v>
      </c>
      <c r="E369" s="29">
        <v>53</v>
      </c>
      <c r="F369" s="29">
        <v>79500</v>
      </c>
      <c r="G369" s="29">
        <f>53*500</f>
        <v>26500</v>
      </c>
      <c r="H369" s="29">
        <v>53000</v>
      </c>
    </row>
    <row r="370" spans="1:8" x14ac:dyDescent="0.25">
      <c r="A370" s="29"/>
      <c r="B370" s="29"/>
      <c r="C370" s="29" t="s">
        <v>288</v>
      </c>
      <c r="D370" s="29" t="s">
        <v>11</v>
      </c>
      <c r="E370" s="29">
        <v>20</v>
      </c>
      <c r="F370" s="29">
        <v>36000</v>
      </c>
      <c r="G370" s="29">
        <f>20*500</f>
        <v>10000</v>
      </c>
      <c r="H370" s="29">
        <f>20*1300</f>
        <v>26000</v>
      </c>
    </row>
    <row r="371" spans="1:8" x14ac:dyDescent="0.25">
      <c r="A371" s="29"/>
      <c r="B371" s="29"/>
      <c r="C371" s="29" t="s">
        <v>292</v>
      </c>
      <c r="D371" s="29" t="s">
        <v>11</v>
      </c>
      <c r="E371" s="29">
        <v>20</v>
      </c>
      <c r="F371" s="29">
        <v>30000</v>
      </c>
      <c r="G371" s="29">
        <v>10000</v>
      </c>
      <c r="H371" s="29">
        <v>20000</v>
      </c>
    </row>
    <row r="372" spans="1:8" x14ac:dyDescent="0.25">
      <c r="A372" s="29"/>
      <c r="B372" s="29"/>
      <c r="C372" s="29" t="s">
        <v>108</v>
      </c>
      <c r="D372" s="29" t="s">
        <v>11</v>
      </c>
      <c r="E372" s="29">
        <v>20</v>
      </c>
      <c r="F372" s="29">
        <v>30000</v>
      </c>
      <c r="G372" s="29">
        <v>10000</v>
      </c>
      <c r="H372" s="29">
        <v>20000</v>
      </c>
    </row>
    <row r="373" spans="1:8" x14ac:dyDescent="0.25">
      <c r="A373" s="29"/>
      <c r="B373" s="29"/>
      <c r="C373" s="29" t="s">
        <v>106</v>
      </c>
      <c r="D373" s="29" t="s">
        <v>11</v>
      </c>
      <c r="E373" s="29">
        <v>25</v>
      </c>
      <c r="F373" s="29">
        <v>37500</v>
      </c>
      <c r="G373" s="29">
        <f>25*500</f>
        <v>12500</v>
      </c>
      <c r="H373" s="29">
        <v>25000</v>
      </c>
    </row>
    <row r="374" spans="1:8" x14ac:dyDescent="0.25">
      <c r="A374" s="126" t="s">
        <v>17</v>
      </c>
      <c r="B374" s="126"/>
      <c r="C374" s="126"/>
      <c r="D374" s="126"/>
      <c r="E374" s="126"/>
      <c r="F374" s="16">
        <f>SUM(F364:F373)</f>
        <v>427000</v>
      </c>
      <c r="G374" s="16">
        <f>SUM(G364:G373)</f>
        <v>206000</v>
      </c>
      <c r="H374" s="16">
        <f>SUM(H364:H373)</f>
        <v>221000</v>
      </c>
    </row>
    <row r="375" spans="1:8" x14ac:dyDescent="0.25">
      <c r="A375" s="29" t="s">
        <v>32</v>
      </c>
      <c r="B375" s="29" t="s">
        <v>325</v>
      </c>
      <c r="C375" s="29" t="s">
        <v>217</v>
      </c>
      <c r="D375" s="29" t="s">
        <v>11</v>
      </c>
      <c r="E375" s="29">
        <v>37</v>
      </c>
      <c r="F375" s="29">
        <v>55500</v>
      </c>
      <c r="G375" s="29">
        <f>37*500</f>
        <v>18500</v>
      </c>
      <c r="H375" s="29">
        <v>37000</v>
      </c>
    </row>
    <row r="376" spans="1:8" x14ac:dyDescent="0.25">
      <c r="A376" s="29"/>
      <c r="B376" s="29"/>
      <c r="C376" s="29"/>
      <c r="D376" s="29" t="s">
        <v>14</v>
      </c>
      <c r="E376" s="29">
        <v>4</v>
      </c>
      <c r="F376" s="29">
        <v>32000</v>
      </c>
      <c r="G376" s="29">
        <f>4*5500</f>
        <v>22000</v>
      </c>
      <c r="H376" s="29">
        <v>10000</v>
      </c>
    </row>
    <row r="377" spans="1:8" x14ac:dyDescent="0.25">
      <c r="A377" s="29"/>
      <c r="B377" s="29"/>
      <c r="C377" s="29" t="s">
        <v>326</v>
      </c>
      <c r="D377" s="29" t="s">
        <v>25</v>
      </c>
      <c r="E377" s="29">
        <v>3</v>
      </c>
      <c r="F377" s="29">
        <v>45000</v>
      </c>
      <c r="G377" s="29">
        <v>30000</v>
      </c>
      <c r="H377" s="29">
        <v>15000</v>
      </c>
    </row>
    <row r="378" spans="1:8" x14ac:dyDescent="0.25">
      <c r="A378" s="126" t="s">
        <v>17</v>
      </c>
      <c r="B378" s="126"/>
      <c r="C378" s="126"/>
      <c r="D378" s="126"/>
      <c r="E378" s="126"/>
      <c r="F378" s="16">
        <f>SUM(F375:F377)</f>
        <v>132500</v>
      </c>
      <c r="G378" s="16">
        <f>SUM(G375:G377)</f>
        <v>70500</v>
      </c>
      <c r="H378" s="16">
        <f>SUM(H375:H377)</f>
        <v>62000</v>
      </c>
    </row>
    <row r="379" spans="1:8" x14ac:dyDescent="0.25">
      <c r="A379" s="29" t="s">
        <v>8</v>
      </c>
      <c r="B379" s="29" t="s">
        <v>327</v>
      </c>
      <c r="C379" s="29" t="s">
        <v>292</v>
      </c>
      <c r="D379" s="29" t="s">
        <v>11</v>
      </c>
      <c r="E379" s="29">
        <f>F379/1500</f>
        <v>75</v>
      </c>
      <c r="F379" s="29">
        <v>112500</v>
      </c>
      <c r="G379" s="29">
        <f>75*500</f>
        <v>37500</v>
      </c>
      <c r="H379" s="29">
        <v>75000</v>
      </c>
    </row>
    <row r="380" spans="1:8" x14ac:dyDescent="0.25">
      <c r="A380" s="29"/>
      <c r="B380" s="29"/>
      <c r="C380" s="29" t="s">
        <v>108</v>
      </c>
      <c r="D380" s="29" t="s">
        <v>11</v>
      </c>
      <c r="E380" s="29">
        <v>30</v>
      </c>
      <c r="F380" s="29">
        <v>45000</v>
      </c>
      <c r="G380" s="29">
        <f>30*500</f>
        <v>15000</v>
      </c>
      <c r="H380" s="29">
        <v>30000</v>
      </c>
    </row>
    <row r="381" spans="1:8" x14ac:dyDescent="0.25">
      <c r="A381" s="29"/>
      <c r="B381" s="29"/>
      <c r="C381" s="29" t="s">
        <v>106</v>
      </c>
      <c r="D381" s="29" t="s">
        <v>11</v>
      </c>
      <c r="E381" s="29">
        <v>17</v>
      </c>
      <c r="F381" s="29">
        <v>25500</v>
      </c>
      <c r="G381" s="29">
        <f>17*500</f>
        <v>8500</v>
      </c>
      <c r="H381" s="29">
        <v>17000</v>
      </c>
    </row>
    <row r="382" spans="1:8" x14ac:dyDescent="0.25">
      <c r="A382" s="29"/>
      <c r="B382" s="29"/>
      <c r="C382" s="29" t="s">
        <v>217</v>
      </c>
      <c r="D382" s="29" t="s">
        <v>13</v>
      </c>
      <c r="E382" s="29">
        <v>3</v>
      </c>
      <c r="F382" s="29">
        <v>19500</v>
      </c>
      <c r="G382" s="29">
        <f>3*4500</f>
        <v>13500</v>
      </c>
      <c r="H382" s="29">
        <v>6000</v>
      </c>
    </row>
    <row r="383" spans="1:8" x14ac:dyDescent="0.25">
      <c r="A383" s="29"/>
      <c r="B383" s="29"/>
      <c r="C383" s="29"/>
      <c r="D383" s="29" t="s">
        <v>14</v>
      </c>
      <c r="E383" s="29">
        <v>3</v>
      </c>
      <c r="F383" s="29">
        <v>24000</v>
      </c>
      <c r="G383" s="29">
        <f>3*5500</f>
        <v>16500</v>
      </c>
      <c r="H383" s="29">
        <v>7500</v>
      </c>
    </row>
    <row r="384" spans="1:8" x14ac:dyDescent="0.25">
      <c r="A384" s="29"/>
      <c r="B384" s="29"/>
      <c r="C384" s="29" t="s">
        <v>10</v>
      </c>
      <c r="D384" s="29" t="s">
        <v>11</v>
      </c>
      <c r="E384" s="29">
        <v>25</v>
      </c>
      <c r="F384" s="29">
        <v>37500</v>
      </c>
      <c r="G384" s="29">
        <f>25*500</f>
        <v>12500</v>
      </c>
      <c r="H384" s="29">
        <v>25000</v>
      </c>
    </row>
    <row r="385" spans="1:8" x14ac:dyDescent="0.25">
      <c r="A385" s="29"/>
      <c r="B385" s="29"/>
      <c r="C385" s="29"/>
      <c r="D385" s="29" t="s">
        <v>13</v>
      </c>
      <c r="E385" s="29">
        <v>1</v>
      </c>
      <c r="F385" s="29">
        <v>6500</v>
      </c>
      <c r="G385" s="29">
        <v>4500</v>
      </c>
      <c r="H385" s="29">
        <v>2000</v>
      </c>
    </row>
    <row r="386" spans="1:8" x14ac:dyDescent="0.25">
      <c r="A386" s="29"/>
      <c r="B386" s="29"/>
      <c r="C386" s="29"/>
      <c r="D386" s="29" t="s">
        <v>14</v>
      </c>
      <c r="E386" s="29">
        <v>4</v>
      </c>
      <c r="F386" s="29">
        <v>32000</v>
      </c>
      <c r="G386" s="29">
        <f>4*5500</f>
        <v>22000</v>
      </c>
      <c r="H386" s="29">
        <v>10000</v>
      </c>
    </row>
    <row r="387" spans="1:8" x14ac:dyDescent="0.25">
      <c r="A387" s="29"/>
      <c r="B387" s="29"/>
      <c r="C387" s="29" t="s">
        <v>16</v>
      </c>
      <c r="D387" s="29" t="s">
        <v>11</v>
      </c>
      <c r="E387" s="29">
        <v>57</v>
      </c>
      <c r="F387" s="29">
        <v>85500</v>
      </c>
      <c r="G387" s="29">
        <f>57*500</f>
        <v>28500</v>
      </c>
      <c r="H387" s="29">
        <v>57000</v>
      </c>
    </row>
    <row r="388" spans="1:8" x14ac:dyDescent="0.25">
      <c r="A388" s="29"/>
      <c r="B388" s="29"/>
      <c r="C388" s="29"/>
      <c r="D388" s="29" t="s">
        <v>13</v>
      </c>
      <c r="E388" s="29">
        <v>1</v>
      </c>
      <c r="F388" s="29">
        <v>6500</v>
      </c>
      <c r="G388" s="29">
        <v>4500</v>
      </c>
      <c r="H388" s="29">
        <v>2000</v>
      </c>
    </row>
    <row r="389" spans="1:8" x14ac:dyDescent="0.25">
      <c r="A389" s="29"/>
      <c r="B389" s="29"/>
      <c r="C389" s="29"/>
      <c r="D389" s="29" t="s">
        <v>25</v>
      </c>
      <c r="E389" s="29">
        <v>1</v>
      </c>
      <c r="F389" s="29">
        <v>13000</v>
      </c>
      <c r="G389" s="29">
        <v>10000</v>
      </c>
      <c r="H389" s="29">
        <v>3000</v>
      </c>
    </row>
    <row r="390" spans="1:8" x14ac:dyDescent="0.25">
      <c r="A390" s="126" t="s">
        <v>17</v>
      </c>
      <c r="B390" s="126"/>
      <c r="C390" s="126"/>
      <c r="D390" s="126"/>
      <c r="E390" s="126"/>
      <c r="F390" s="16">
        <f>SUM(F379:F389)</f>
        <v>407500</v>
      </c>
      <c r="G390" s="16">
        <f>SUM(G379:G389)</f>
        <v>173000</v>
      </c>
      <c r="H390" s="16">
        <f>SUM(H379:H389)</f>
        <v>234500</v>
      </c>
    </row>
  </sheetData>
  <mergeCells count="29">
    <mergeCell ref="A390:E390"/>
    <mergeCell ref="A323:E323"/>
    <mergeCell ref="A343:E343"/>
    <mergeCell ref="A363:E363"/>
    <mergeCell ref="A318:E318"/>
    <mergeCell ref="A290:E290"/>
    <mergeCell ref="A297:E297"/>
    <mergeCell ref="A374:E374"/>
    <mergeCell ref="A378:E378"/>
    <mergeCell ref="A11:E11"/>
    <mergeCell ref="A27:E27"/>
    <mergeCell ref="A42:E42"/>
    <mergeCell ref="A49:E49"/>
    <mergeCell ref="A65:E65"/>
    <mergeCell ref="A180:E180"/>
    <mergeCell ref="A205:E205"/>
    <mergeCell ref="A274:E274"/>
    <mergeCell ref="A247:E247"/>
    <mergeCell ref="A261:E261"/>
    <mergeCell ref="A235:E235"/>
    <mergeCell ref="A223:E223"/>
    <mergeCell ref="A198:E198"/>
    <mergeCell ref="A169:E169"/>
    <mergeCell ref="A74:E74"/>
    <mergeCell ref="A148:E148"/>
    <mergeCell ref="A161:E161"/>
    <mergeCell ref="A137:E137"/>
    <mergeCell ref="A113:E113"/>
    <mergeCell ref="A85:E8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89"/>
  <sheetViews>
    <sheetView topLeftCell="A372" workbookViewId="0">
      <selection activeCell="A384" sqref="A1:H384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16.85546875" bestFit="1" customWidth="1"/>
    <col min="4" max="4" width="8.7109375" bestFit="1" customWidth="1"/>
    <col min="5" max="5" width="4.5703125" bestFit="1" customWidth="1"/>
    <col min="6" max="6" width="10.5703125" bestFit="1" customWidth="1"/>
    <col min="7" max="7" width="9" bestFit="1" customWidth="1"/>
    <col min="8" max="9" width="10.5703125" bestFit="1" customWidth="1"/>
  </cols>
  <sheetData>
    <row r="1" spans="1: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s="29" t="s">
        <v>18</v>
      </c>
      <c r="B2" s="37">
        <v>44570</v>
      </c>
      <c r="C2" s="29" t="s">
        <v>81</v>
      </c>
      <c r="D2" s="29" t="s">
        <v>11</v>
      </c>
      <c r="E2" s="29">
        <f>F2/1800</f>
        <v>54</v>
      </c>
      <c r="F2" s="38">
        <v>97200</v>
      </c>
      <c r="G2" s="38">
        <f t="shared" ref="G2:G10" si="0">E2*500</f>
        <v>27000</v>
      </c>
      <c r="H2" s="38">
        <f>E2*1300</f>
        <v>70200</v>
      </c>
    </row>
    <row r="3" spans="1:8" x14ac:dyDescent="0.25">
      <c r="A3" s="29"/>
      <c r="B3" s="29"/>
      <c r="C3" s="29"/>
      <c r="D3" s="29" t="s">
        <v>11</v>
      </c>
      <c r="E3" s="29">
        <f>F3/1800</f>
        <v>49</v>
      </c>
      <c r="F3" s="38">
        <v>88200</v>
      </c>
      <c r="G3" s="38">
        <f t="shared" si="0"/>
        <v>24500</v>
      </c>
      <c r="H3" s="38">
        <f>E3*1300</f>
        <v>63700</v>
      </c>
    </row>
    <row r="4" spans="1:8" x14ac:dyDescent="0.25">
      <c r="A4" s="29"/>
      <c r="B4" s="29"/>
      <c r="C4" s="29"/>
      <c r="D4" s="29" t="s">
        <v>11</v>
      </c>
      <c r="E4" s="29">
        <f>F4/1800</f>
        <v>60</v>
      </c>
      <c r="F4" s="38">
        <v>108000</v>
      </c>
      <c r="G4" s="38">
        <f t="shared" si="0"/>
        <v>30000</v>
      </c>
      <c r="H4" s="38">
        <f>E4*1300</f>
        <v>78000</v>
      </c>
    </row>
    <row r="5" spans="1:8" x14ac:dyDescent="0.25">
      <c r="A5" s="29"/>
      <c r="B5" s="29"/>
      <c r="C5" s="29"/>
      <c r="D5" s="29" t="s">
        <v>11</v>
      </c>
      <c r="E5" s="29">
        <f>F5/1800</f>
        <v>57</v>
      </c>
      <c r="F5" s="38">
        <v>102600</v>
      </c>
      <c r="G5" s="38">
        <f t="shared" si="0"/>
        <v>28500</v>
      </c>
      <c r="H5" s="38">
        <f>E5*1300</f>
        <v>74100</v>
      </c>
    </row>
    <row r="6" spans="1:8" x14ac:dyDescent="0.25">
      <c r="A6" s="29"/>
      <c r="B6" s="29"/>
      <c r="C6" s="29" t="s">
        <v>108</v>
      </c>
      <c r="D6" s="29" t="s">
        <v>11</v>
      </c>
      <c r="E6" s="29">
        <v>26</v>
      </c>
      <c r="F6" s="38">
        <v>39000</v>
      </c>
      <c r="G6" s="38">
        <f t="shared" si="0"/>
        <v>13000</v>
      </c>
      <c r="H6" s="38">
        <f>E6*1000</f>
        <v>26000</v>
      </c>
    </row>
    <row r="7" spans="1:8" x14ac:dyDescent="0.25">
      <c r="A7" s="29"/>
      <c r="B7" s="29"/>
      <c r="C7" s="29" t="s">
        <v>106</v>
      </c>
      <c r="D7" s="29" t="s">
        <v>11</v>
      </c>
      <c r="E7" s="29">
        <v>23</v>
      </c>
      <c r="F7" s="38">
        <f>23*1500</f>
        <v>34500</v>
      </c>
      <c r="G7" s="38">
        <f t="shared" si="0"/>
        <v>11500</v>
      </c>
      <c r="H7" s="38">
        <v>23000</v>
      </c>
    </row>
    <row r="8" spans="1:8" x14ac:dyDescent="0.25">
      <c r="A8" s="29"/>
      <c r="B8" s="29"/>
      <c r="C8" s="29" t="s">
        <v>288</v>
      </c>
      <c r="D8" s="29" t="s">
        <v>11</v>
      </c>
      <c r="E8" s="29">
        <v>14</v>
      </c>
      <c r="F8" s="38">
        <v>25200</v>
      </c>
      <c r="G8" s="38">
        <f t="shared" si="0"/>
        <v>7000</v>
      </c>
      <c r="H8" s="38">
        <f>14*1300</f>
        <v>18200</v>
      </c>
    </row>
    <row r="9" spans="1:8" x14ac:dyDescent="0.25">
      <c r="A9" s="29"/>
      <c r="B9" s="29"/>
      <c r="C9" s="29" t="s">
        <v>292</v>
      </c>
      <c r="D9" s="29" t="s">
        <v>11</v>
      </c>
      <c r="E9" s="29">
        <v>49</v>
      </c>
      <c r="F9" s="38">
        <v>73500</v>
      </c>
      <c r="G9" s="38">
        <f t="shared" si="0"/>
        <v>24500</v>
      </c>
      <c r="H9" s="38">
        <v>49000</v>
      </c>
    </row>
    <row r="10" spans="1:8" x14ac:dyDescent="0.25">
      <c r="A10" s="29"/>
      <c r="B10" s="29"/>
      <c r="C10" s="29" t="s">
        <v>16</v>
      </c>
      <c r="D10" s="29" t="s">
        <v>11</v>
      </c>
      <c r="E10" s="29">
        <v>41</v>
      </c>
      <c r="F10" s="38">
        <v>61500</v>
      </c>
      <c r="G10" s="38">
        <f t="shared" si="0"/>
        <v>20500</v>
      </c>
      <c r="H10" s="38">
        <v>41000</v>
      </c>
    </row>
    <row r="11" spans="1:8" x14ac:dyDescent="0.25">
      <c r="A11" s="29"/>
      <c r="B11" s="29"/>
      <c r="C11" s="29"/>
      <c r="D11" s="29" t="s">
        <v>12</v>
      </c>
      <c r="E11" s="29">
        <v>6</v>
      </c>
      <c r="F11" s="38">
        <v>18000</v>
      </c>
      <c r="G11" s="38">
        <v>12000</v>
      </c>
      <c r="H11" s="38">
        <v>6000</v>
      </c>
    </row>
    <row r="12" spans="1:8" x14ac:dyDescent="0.25">
      <c r="A12" s="29"/>
      <c r="B12" s="29"/>
      <c r="C12" s="29"/>
      <c r="D12" s="29" t="s">
        <v>13</v>
      </c>
      <c r="E12" s="29">
        <v>1</v>
      </c>
      <c r="F12" s="38">
        <v>6500</v>
      </c>
      <c r="G12" s="38">
        <v>4500</v>
      </c>
      <c r="H12" s="38">
        <v>2000</v>
      </c>
    </row>
    <row r="13" spans="1:8" x14ac:dyDescent="0.25">
      <c r="A13" s="29"/>
      <c r="B13" s="29"/>
      <c r="C13" s="29" t="s">
        <v>235</v>
      </c>
      <c r="D13" s="29" t="s">
        <v>25</v>
      </c>
      <c r="E13" s="29">
        <v>6</v>
      </c>
      <c r="F13" s="38">
        <f>6*13000</f>
        <v>78000</v>
      </c>
      <c r="G13" s="38">
        <v>60000</v>
      </c>
      <c r="H13" s="38">
        <v>18000</v>
      </c>
    </row>
    <row r="14" spans="1:8" x14ac:dyDescent="0.25">
      <c r="A14" s="126" t="s">
        <v>17</v>
      </c>
      <c r="B14" s="126"/>
      <c r="C14" s="126"/>
      <c r="D14" s="126"/>
      <c r="E14" s="126"/>
      <c r="F14" s="17">
        <f>SUM(F2:F13)</f>
        <v>732200</v>
      </c>
      <c r="G14" s="17">
        <f>SUM(G2:G13)</f>
        <v>263000</v>
      </c>
      <c r="H14" s="17">
        <f>SUM(H2:H13)</f>
        <v>469200</v>
      </c>
    </row>
    <row r="15" spans="1:8" x14ac:dyDescent="0.25">
      <c r="A15" s="29" t="s">
        <v>22</v>
      </c>
      <c r="B15" s="37">
        <v>44601</v>
      </c>
      <c r="C15" s="29" t="s">
        <v>288</v>
      </c>
      <c r="D15" s="29" t="s">
        <v>11</v>
      </c>
      <c r="E15" s="29">
        <v>80</v>
      </c>
      <c r="F15" s="38">
        <v>144000</v>
      </c>
      <c r="G15" s="38">
        <f t="shared" ref="G15:G20" si="1">E15*500</f>
        <v>40000</v>
      </c>
      <c r="H15" s="38">
        <f>80*1300</f>
        <v>104000</v>
      </c>
    </row>
    <row r="16" spans="1:8" x14ac:dyDescent="0.25">
      <c r="A16" s="29"/>
      <c r="B16" s="29"/>
      <c r="C16" s="29" t="s">
        <v>292</v>
      </c>
      <c r="D16" s="29" t="s">
        <v>11</v>
      </c>
      <c r="E16" s="29">
        <v>49</v>
      </c>
      <c r="F16" s="38">
        <v>73500</v>
      </c>
      <c r="G16" s="38">
        <f t="shared" si="1"/>
        <v>24500</v>
      </c>
      <c r="H16" s="38">
        <f>E16*1000</f>
        <v>49000</v>
      </c>
    </row>
    <row r="17" spans="1:8" x14ac:dyDescent="0.25">
      <c r="A17" s="29"/>
      <c r="B17" s="29"/>
      <c r="C17" s="29" t="s">
        <v>108</v>
      </c>
      <c r="D17" s="29" t="s">
        <v>11</v>
      </c>
      <c r="E17" s="29">
        <v>40</v>
      </c>
      <c r="F17" s="38">
        <v>60000</v>
      </c>
      <c r="G17" s="38">
        <f t="shared" si="1"/>
        <v>20000</v>
      </c>
      <c r="H17" s="38">
        <f>E17*1000</f>
        <v>40000</v>
      </c>
    </row>
    <row r="18" spans="1:8" x14ac:dyDescent="0.25">
      <c r="A18" s="29"/>
      <c r="B18" s="29"/>
      <c r="C18" s="29" t="s">
        <v>106</v>
      </c>
      <c r="D18" s="29" t="s">
        <v>11</v>
      </c>
      <c r="E18" s="29">
        <v>23</v>
      </c>
      <c r="F18" s="38">
        <v>34500</v>
      </c>
      <c r="G18" s="38">
        <f t="shared" si="1"/>
        <v>11500</v>
      </c>
      <c r="H18" s="38">
        <f>E18*1000</f>
        <v>23000</v>
      </c>
    </row>
    <row r="19" spans="1:8" x14ac:dyDescent="0.25">
      <c r="A19" s="29"/>
      <c r="B19" s="29"/>
      <c r="C19" s="29" t="s">
        <v>217</v>
      </c>
      <c r="D19" s="29" t="s">
        <v>11</v>
      </c>
      <c r="E19" s="29">
        <f>108000/1500</f>
        <v>72</v>
      </c>
      <c r="F19" s="38">
        <v>108000</v>
      </c>
      <c r="G19" s="38">
        <f t="shared" si="1"/>
        <v>36000</v>
      </c>
      <c r="H19" s="38">
        <f>E19*1000</f>
        <v>72000</v>
      </c>
    </row>
    <row r="20" spans="1:8" x14ac:dyDescent="0.25">
      <c r="A20" s="29"/>
      <c r="B20" s="29"/>
      <c r="C20" s="29" t="s">
        <v>16</v>
      </c>
      <c r="D20" s="29" t="s">
        <v>11</v>
      </c>
      <c r="E20" s="29">
        <v>60</v>
      </c>
      <c r="F20" s="38">
        <v>90000</v>
      </c>
      <c r="G20" s="38">
        <f t="shared" si="1"/>
        <v>30000</v>
      </c>
      <c r="H20" s="38">
        <f>E20*1000</f>
        <v>60000</v>
      </c>
    </row>
    <row r="21" spans="1:8" x14ac:dyDescent="0.25">
      <c r="A21" s="29"/>
      <c r="B21" s="29"/>
      <c r="C21" s="29"/>
      <c r="D21" s="29" t="s">
        <v>12</v>
      </c>
      <c r="E21" s="29">
        <v>1</v>
      </c>
      <c r="F21" s="38">
        <v>3000</v>
      </c>
      <c r="G21" s="38">
        <v>2000</v>
      </c>
      <c r="H21" s="38">
        <v>1000</v>
      </c>
    </row>
    <row r="22" spans="1:8" x14ac:dyDescent="0.25">
      <c r="A22" s="29"/>
      <c r="B22" s="29"/>
      <c r="C22" s="29"/>
      <c r="D22" s="29" t="s">
        <v>25</v>
      </c>
      <c r="E22" s="29">
        <v>1</v>
      </c>
      <c r="F22" s="38">
        <v>13000</v>
      </c>
      <c r="G22" s="38">
        <v>10000</v>
      </c>
      <c r="H22" s="38">
        <v>3000</v>
      </c>
    </row>
    <row r="23" spans="1:8" x14ac:dyDescent="0.25">
      <c r="A23" s="126" t="s">
        <v>17</v>
      </c>
      <c r="B23" s="126"/>
      <c r="C23" s="126"/>
      <c r="D23" s="126"/>
      <c r="E23" s="126"/>
      <c r="F23" s="17">
        <f>SUM(F15:F22)</f>
        <v>526000</v>
      </c>
      <c r="G23" s="17">
        <f>SUM(G15:G22)</f>
        <v>174000</v>
      </c>
      <c r="H23" s="17">
        <f>SUM(H15:H22)</f>
        <v>352000</v>
      </c>
    </row>
    <row r="24" spans="1:8" x14ac:dyDescent="0.25">
      <c r="A24" s="29" t="s">
        <v>26</v>
      </c>
      <c r="B24" s="37">
        <v>44629</v>
      </c>
      <c r="C24" s="29" t="s">
        <v>81</v>
      </c>
      <c r="D24" s="29" t="s">
        <v>11</v>
      </c>
      <c r="E24" s="29">
        <v>60</v>
      </c>
      <c r="F24" s="38">
        <v>108000</v>
      </c>
      <c r="G24" s="38">
        <f t="shared" ref="G24:G35" si="2">E24*500</f>
        <v>30000</v>
      </c>
      <c r="H24" s="38">
        <f>60*1300</f>
        <v>78000</v>
      </c>
    </row>
    <row r="25" spans="1:8" x14ac:dyDescent="0.25">
      <c r="A25" s="29"/>
      <c r="B25" s="29"/>
      <c r="C25" s="29"/>
      <c r="D25" s="29" t="s">
        <v>11</v>
      </c>
      <c r="E25" s="29">
        <v>60</v>
      </c>
      <c r="F25" s="38">
        <v>108000</v>
      </c>
      <c r="G25" s="38">
        <f t="shared" si="2"/>
        <v>30000</v>
      </c>
      <c r="H25" s="38">
        <f>60*1300</f>
        <v>78000</v>
      </c>
    </row>
    <row r="26" spans="1:8" x14ac:dyDescent="0.25">
      <c r="A26" s="29"/>
      <c r="B26" s="29"/>
      <c r="C26" s="29" t="s">
        <v>292</v>
      </c>
      <c r="D26" s="29" t="s">
        <v>11</v>
      </c>
      <c r="E26" s="29">
        <v>40</v>
      </c>
      <c r="F26" s="38">
        <f>40*1500</f>
        <v>60000</v>
      </c>
      <c r="G26" s="38">
        <f t="shared" si="2"/>
        <v>20000</v>
      </c>
      <c r="H26" s="38">
        <f t="shared" ref="H26:H35" si="3">E26*1000</f>
        <v>40000</v>
      </c>
    </row>
    <row r="27" spans="1:8" x14ac:dyDescent="0.25">
      <c r="A27" s="29"/>
      <c r="B27" s="29"/>
      <c r="C27" s="29" t="s">
        <v>106</v>
      </c>
      <c r="D27" s="29" t="s">
        <v>11</v>
      </c>
      <c r="E27" s="29">
        <v>26</v>
      </c>
      <c r="F27" s="38">
        <f>26*1500</f>
        <v>39000</v>
      </c>
      <c r="G27" s="38">
        <f t="shared" si="2"/>
        <v>13000</v>
      </c>
      <c r="H27" s="38">
        <f t="shared" si="3"/>
        <v>26000</v>
      </c>
    </row>
    <row r="28" spans="1:8" x14ac:dyDescent="0.25">
      <c r="A28" s="29"/>
      <c r="B28" s="29"/>
      <c r="C28" s="29" t="s">
        <v>236</v>
      </c>
      <c r="D28" s="29" t="s">
        <v>11</v>
      </c>
      <c r="E28" s="29">
        <v>85</v>
      </c>
      <c r="F28" s="38">
        <v>127500</v>
      </c>
      <c r="G28" s="38">
        <f t="shared" si="2"/>
        <v>42500</v>
      </c>
      <c r="H28" s="38">
        <f t="shared" si="3"/>
        <v>85000</v>
      </c>
    </row>
    <row r="29" spans="1:8" x14ac:dyDescent="0.25">
      <c r="A29" s="29"/>
      <c r="B29" s="29"/>
      <c r="C29" s="29"/>
      <c r="D29" s="29" t="s">
        <v>11</v>
      </c>
      <c r="E29" s="29">
        <v>125</v>
      </c>
      <c r="F29" s="38">
        <v>187500</v>
      </c>
      <c r="G29" s="38">
        <f t="shared" si="2"/>
        <v>62500</v>
      </c>
      <c r="H29" s="38">
        <f t="shared" si="3"/>
        <v>125000</v>
      </c>
    </row>
    <row r="30" spans="1:8" x14ac:dyDescent="0.25">
      <c r="A30" s="29"/>
      <c r="B30" s="29"/>
      <c r="C30" s="29"/>
      <c r="D30" s="29" t="s">
        <v>11</v>
      </c>
      <c r="E30" s="29">
        <v>124</v>
      </c>
      <c r="F30" s="38">
        <v>186000</v>
      </c>
      <c r="G30" s="38">
        <f t="shared" si="2"/>
        <v>62000</v>
      </c>
      <c r="H30" s="38">
        <f t="shared" si="3"/>
        <v>124000</v>
      </c>
    </row>
    <row r="31" spans="1:8" x14ac:dyDescent="0.25">
      <c r="A31" s="29"/>
      <c r="B31" s="29"/>
      <c r="C31" s="29"/>
      <c r="D31" s="29" t="s">
        <v>11</v>
      </c>
      <c r="E31" s="29">
        <v>128</v>
      </c>
      <c r="F31" s="38">
        <v>192000</v>
      </c>
      <c r="G31" s="38">
        <f t="shared" si="2"/>
        <v>64000</v>
      </c>
      <c r="H31" s="38">
        <f t="shared" si="3"/>
        <v>128000</v>
      </c>
    </row>
    <row r="32" spans="1:8" x14ac:dyDescent="0.25">
      <c r="A32" s="29"/>
      <c r="B32" s="29"/>
      <c r="C32" s="29"/>
      <c r="D32" s="29" t="s">
        <v>11</v>
      </c>
      <c r="E32" s="29">
        <v>96</v>
      </c>
      <c r="F32" s="38">
        <v>144000</v>
      </c>
      <c r="G32" s="38">
        <f t="shared" si="2"/>
        <v>48000</v>
      </c>
      <c r="H32" s="38">
        <f t="shared" si="3"/>
        <v>96000</v>
      </c>
    </row>
    <row r="33" spans="1:8" x14ac:dyDescent="0.25">
      <c r="A33" s="29"/>
      <c r="B33" s="29"/>
      <c r="C33" s="29"/>
      <c r="D33" s="29" t="s">
        <v>11</v>
      </c>
      <c r="E33" s="29">
        <v>90</v>
      </c>
      <c r="F33" s="38">
        <v>135000</v>
      </c>
      <c r="G33" s="38">
        <f t="shared" si="2"/>
        <v>45000</v>
      </c>
      <c r="H33" s="38">
        <f t="shared" si="3"/>
        <v>90000</v>
      </c>
    </row>
    <row r="34" spans="1:8" x14ac:dyDescent="0.25">
      <c r="A34" s="29"/>
      <c r="B34" s="29"/>
      <c r="C34" s="29" t="s">
        <v>217</v>
      </c>
      <c r="D34" s="29" t="s">
        <v>11</v>
      </c>
      <c r="E34" s="29">
        <v>55</v>
      </c>
      <c r="F34" s="38">
        <v>82500</v>
      </c>
      <c r="G34" s="38">
        <f t="shared" si="2"/>
        <v>27500</v>
      </c>
      <c r="H34" s="38">
        <f t="shared" si="3"/>
        <v>55000</v>
      </c>
    </row>
    <row r="35" spans="1:8" x14ac:dyDescent="0.25">
      <c r="A35" s="29"/>
      <c r="B35" s="29"/>
      <c r="C35" s="29" t="s">
        <v>16</v>
      </c>
      <c r="D35" s="29" t="s">
        <v>11</v>
      </c>
      <c r="E35" s="29">
        <v>33</v>
      </c>
      <c r="F35" s="38">
        <v>49500</v>
      </c>
      <c r="G35" s="38">
        <f t="shared" si="2"/>
        <v>16500</v>
      </c>
      <c r="H35" s="38">
        <f t="shared" si="3"/>
        <v>33000</v>
      </c>
    </row>
    <row r="36" spans="1:8" x14ac:dyDescent="0.25">
      <c r="A36" s="29"/>
      <c r="B36" s="29"/>
      <c r="C36" s="29"/>
      <c r="D36" s="29" t="s">
        <v>12</v>
      </c>
      <c r="E36" s="29">
        <v>5</v>
      </c>
      <c r="F36" s="38">
        <v>15000</v>
      </c>
      <c r="G36" s="38">
        <v>10000</v>
      </c>
      <c r="H36" s="38">
        <v>5000</v>
      </c>
    </row>
    <row r="37" spans="1:8" x14ac:dyDescent="0.25">
      <c r="A37" s="126" t="s">
        <v>17</v>
      </c>
      <c r="B37" s="126"/>
      <c r="C37" s="126"/>
      <c r="D37" s="126"/>
      <c r="E37" s="126"/>
      <c r="F37" s="17">
        <f>SUM(F24:F36)</f>
        <v>1434000</v>
      </c>
      <c r="G37" s="17">
        <f>SUM(G24:G36)</f>
        <v>471000</v>
      </c>
      <c r="H37" s="17">
        <f>SUM(H24:H36)</f>
        <v>963000</v>
      </c>
    </row>
    <row r="38" spans="1:8" x14ac:dyDescent="0.25">
      <c r="A38" s="29" t="s">
        <v>28</v>
      </c>
      <c r="B38" s="37">
        <v>44660</v>
      </c>
      <c r="C38" s="29" t="s">
        <v>10</v>
      </c>
      <c r="D38" s="29" t="s">
        <v>11</v>
      </c>
      <c r="E38" s="29">
        <v>30</v>
      </c>
      <c r="F38" s="38">
        <v>45000</v>
      </c>
      <c r="G38" s="38">
        <f>30*500</f>
        <v>15000</v>
      </c>
      <c r="H38" s="38">
        <v>30000</v>
      </c>
    </row>
    <row r="39" spans="1:8" x14ac:dyDescent="0.25">
      <c r="A39" s="29"/>
      <c r="B39" s="29"/>
      <c r="C39" s="29"/>
      <c r="D39" s="29" t="s">
        <v>14</v>
      </c>
      <c r="E39" s="29">
        <v>18</v>
      </c>
      <c r="F39" s="38">
        <v>144000</v>
      </c>
      <c r="G39" s="38">
        <f>18*5500</f>
        <v>99000</v>
      </c>
      <c r="H39" s="38">
        <f>18*2500</f>
        <v>45000</v>
      </c>
    </row>
    <row r="40" spans="1:8" x14ac:dyDescent="0.25">
      <c r="A40" s="29"/>
      <c r="B40" s="29"/>
      <c r="C40" s="29"/>
      <c r="D40" s="29" t="s">
        <v>13</v>
      </c>
      <c r="E40" s="29">
        <v>13</v>
      </c>
      <c r="F40" s="38">
        <v>84500</v>
      </c>
      <c r="G40" s="38">
        <f>13*4500</f>
        <v>58500</v>
      </c>
      <c r="H40" s="38">
        <f>13*2000</f>
        <v>26000</v>
      </c>
    </row>
    <row r="41" spans="1:8" x14ac:dyDescent="0.25">
      <c r="A41" s="29"/>
      <c r="B41" s="29"/>
      <c r="C41" s="29" t="s">
        <v>10</v>
      </c>
      <c r="D41" s="29" t="s">
        <v>14</v>
      </c>
      <c r="E41" s="29">
        <v>10</v>
      </c>
      <c r="F41" s="38">
        <v>80000</v>
      </c>
      <c r="G41" s="38">
        <v>55000</v>
      </c>
      <c r="H41" s="38">
        <v>25000</v>
      </c>
    </row>
    <row r="42" spans="1:8" x14ac:dyDescent="0.25">
      <c r="A42" s="29"/>
      <c r="B42" s="29"/>
      <c r="C42" s="29" t="s">
        <v>217</v>
      </c>
      <c r="D42" s="29" t="s">
        <v>13</v>
      </c>
      <c r="E42" s="29">
        <v>15</v>
      </c>
      <c r="F42" s="38">
        <v>97500</v>
      </c>
      <c r="G42" s="38">
        <f>15*4500</f>
        <v>67500</v>
      </c>
      <c r="H42" s="38">
        <f>15*2000</f>
        <v>30000</v>
      </c>
    </row>
    <row r="43" spans="1:8" x14ac:dyDescent="0.25">
      <c r="A43" s="29"/>
      <c r="B43" s="29"/>
      <c r="C43" s="29"/>
      <c r="D43" s="29" t="s">
        <v>14</v>
      </c>
      <c r="E43" s="29">
        <v>11</v>
      </c>
      <c r="F43" s="38">
        <v>88000</v>
      </c>
      <c r="G43" s="38">
        <f>11*5500</f>
        <v>60500</v>
      </c>
      <c r="H43" s="38">
        <f>11*2500</f>
        <v>27500</v>
      </c>
    </row>
    <row r="44" spans="1:8" x14ac:dyDescent="0.25">
      <c r="A44" s="29"/>
      <c r="B44" s="29"/>
      <c r="C44" s="29"/>
      <c r="D44" s="29" t="s">
        <v>11</v>
      </c>
      <c r="E44" s="29">
        <v>20</v>
      </c>
      <c r="F44" s="38">
        <v>30000</v>
      </c>
      <c r="G44" s="38">
        <f>20*500</f>
        <v>10000</v>
      </c>
      <c r="H44" s="38">
        <v>20000</v>
      </c>
    </row>
    <row r="45" spans="1:8" x14ac:dyDescent="0.25">
      <c r="A45" s="29"/>
      <c r="B45" s="29"/>
      <c r="C45" s="29" t="s">
        <v>16</v>
      </c>
      <c r="D45" s="29" t="s">
        <v>11</v>
      </c>
      <c r="E45" s="29">
        <v>30</v>
      </c>
      <c r="F45" s="38">
        <v>45000</v>
      </c>
      <c r="G45" s="38">
        <f>30*500</f>
        <v>15000</v>
      </c>
      <c r="H45" s="38">
        <v>30000</v>
      </c>
    </row>
    <row r="46" spans="1:8" x14ac:dyDescent="0.25">
      <c r="A46" s="29"/>
      <c r="B46" s="29"/>
      <c r="C46" s="29"/>
      <c r="D46" s="29" t="s">
        <v>12</v>
      </c>
      <c r="E46" s="29">
        <v>11</v>
      </c>
      <c r="F46" s="38">
        <v>33000</v>
      </c>
      <c r="G46" s="38">
        <f>11*2000</f>
        <v>22000</v>
      </c>
      <c r="H46" s="38">
        <v>11000</v>
      </c>
    </row>
    <row r="47" spans="1:8" x14ac:dyDescent="0.25">
      <c r="A47" s="29"/>
      <c r="B47" s="29"/>
      <c r="C47" s="29"/>
      <c r="D47" s="29" t="s">
        <v>13</v>
      </c>
      <c r="E47" s="29">
        <v>2</v>
      </c>
      <c r="F47" s="38">
        <v>13000</v>
      </c>
      <c r="G47" s="38">
        <v>9000</v>
      </c>
      <c r="H47" s="38">
        <v>4000</v>
      </c>
    </row>
    <row r="48" spans="1:8" x14ac:dyDescent="0.25">
      <c r="A48" s="29"/>
      <c r="B48" s="29"/>
      <c r="C48" s="29" t="s">
        <v>217</v>
      </c>
      <c r="D48" s="29" t="s">
        <v>13</v>
      </c>
      <c r="E48" s="29">
        <v>4</v>
      </c>
      <c r="F48" s="38">
        <v>26000</v>
      </c>
      <c r="G48" s="38">
        <f>4*4500</f>
        <v>18000</v>
      </c>
      <c r="H48" s="38">
        <v>8000</v>
      </c>
    </row>
    <row r="49" spans="1:8" x14ac:dyDescent="0.25">
      <c r="A49" s="29"/>
      <c r="B49" s="29"/>
      <c r="C49" s="29" t="s">
        <v>60</v>
      </c>
      <c r="D49" s="29" t="s">
        <v>14</v>
      </c>
      <c r="E49" s="29">
        <v>4</v>
      </c>
      <c r="F49" s="38">
        <v>32000</v>
      </c>
      <c r="G49" s="38">
        <f>4*5500</f>
        <v>22000</v>
      </c>
      <c r="H49" s="38">
        <f>4*2500</f>
        <v>10000</v>
      </c>
    </row>
    <row r="50" spans="1:8" x14ac:dyDescent="0.25">
      <c r="A50" s="29"/>
      <c r="B50" s="29"/>
      <c r="C50" s="29"/>
      <c r="D50" s="29" t="s">
        <v>25</v>
      </c>
      <c r="E50" s="29">
        <v>1</v>
      </c>
      <c r="F50" s="38">
        <v>13000</v>
      </c>
      <c r="G50" s="38">
        <v>10000</v>
      </c>
      <c r="H50" s="38">
        <v>3000</v>
      </c>
    </row>
    <row r="51" spans="1:8" x14ac:dyDescent="0.25">
      <c r="A51" s="29"/>
      <c r="B51" s="29"/>
      <c r="C51" s="29" t="s">
        <v>10</v>
      </c>
      <c r="D51" s="29" t="s">
        <v>13</v>
      </c>
      <c r="E51" s="29">
        <v>8</v>
      </c>
      <c r="F51" s="38">
        <v>52000</v>
      </c>
      <c r="G51" s="38">
        <f>8*4500</f>
        <v>36000</v>
      </c>
      <c r="H51" s="38">
        <v>16000</v>
      </c>
    </row>
    <row r="52" spans="1:8" x14ac:dyDescent="0.25">
      <c r="A52" s="29"/>
      <c r="B52" s="29"/>
      <c r="C52" s="29" t="s">
        <v>60</v>
      </c>
      <c r="D52" s="29" t="s">
        <v>14</v>
      </c>
      <c r="E52" s="29">
        <v>3</v>
      </c>
      <c r="F52" s="38">
        <v>24000</v>
      </c>
      <c r="G52" s="38">
        <f>3*5500</f>
        <v>16500</v>
      </c>
      <c r="H52" s="38">
        <f>3*2500</f>
        <v>7500</v>
      </c>
    </row>
    <row r="53" spans="1:8" x14ac:dyDescent="0.25">
      <c r="A53" s="29"/>
      <c r="B53" s="29"/>
      <c r="C53" s="29" t="s">
        <v>20</v>
      </c>
      <c r="D53" s="29" t="s">
        <v>11</v>
      </c>
      <c r="E53" s="29">
        <v>12</v>
      </c>
      <c r="F53" s="38">
        <v>18000</v>
      </c>
      <c r="G53" s="38">
        <f>12*500</f>
        <v>6000</v>
      </c>
      <c r="H53" s="38">
        <v>12000</v>
      </c>
    </row>
    <row r="54" spans="1:8" x14ac:dyDescent="0.25">
      <c r="A54" s="29"/>
      <c r="B54" s="29"/>
      <c r="C54" s="29"/>
      <c r="D54" s="29" t="s">
        <v>13</v>
      </c>
      <c r="E54" s="29">
        <v>36</v>
      </c>
      <c r="F54" s="38">
        <v>234000</v>
      </c>
      <c r="G54" s="38">
        <f>36*4500</f>
        <v>162000</v>
      </c>
      <c r="H54" s="38">
        <f>36*2000</f>
        <v>72000</v>
      </c>
    </row>
    <row r="55" spans="1:8" x14ac:dyDescent="0.25">
      <c r="A55" s="29"/>
      <c r="B55" s="29"/>
      <c r="C55" s="29"/>
      <c r="D55" s="29" t="s">
        <v>14</v>
      </c>
      <c r="E55" s="29">
        <v>36</v>
      </c>
      <c r="F55" s="38">
        <v>360000</v>
      </c>
      <c r="G55" s="38">
        <f>36*5500</f>
        <v>198000</v>
      </c>
      <c r="H55" s="38">
        <f>36*4500</f>
        <v>162000</v>
      </c>
    </row>
    <row r="56" spans="1:8" x14ac:dyDescent="0.25">
      <c r="A56" s="126" t="s">
        <v>17</v>
      </c>
      <c r="B56" s="126"/>
      <c r="C56" s="126"/>
      <c r="D56" s="126"/>
      <c r="E56" s="126"/>
      <c r="F56" s="17">
        <f>SUM(F38:F55)</f>
        <v>1419000</v>
      </c>
      <c r="G56" s="17">
        <f>SUM(G38:G55)</f>
        <v>880000</v>
      </c>
      <c r="H56" s="17">
        <f>SUM(H38:H55)</f>
        <v>539000</v>
      </c>
    </row>
    <row r="57" spans="1:8" x14ac:dyDescent="0.25">
      <c r="A57" s="29" t="s">
        <v>30</v>
      </c>
      <c r="B57" s="37">
        <v>44690</v>
      </c>
      <c r="C57" s="29" t="s">
        <v>288</v>
      </c>
      <c r="D57" s="29" t="s">
        <v>11</v>
      </c>
      <c r="E57" s="29">
        <v>60</v>
      </c>
      <c r="F57" s="38">
        <v>108000</v>
      </c>
      <c r="G57" s="38">
        <f>E57*500</f>
        <v>30000</v>
      </c>
      <c r="H57" s="38">
        <v>60000</v>
      </c>
    </row>
    <row r="58" spans="1:8" x14ac:dyDescent="0.25">
      <c r="A58" s="29"/>
      <c r="B58" s="29"/>
      <c r="C58" s="29" t="s">
        <v>108</v>
      </c>
      <c r="D58" s="29" t="s">
        <v>11</v>
      </c>
      <c r="E58" s="29">
        <v>29</v>
      </c>
      <c r="F58" s="38">
        <v>43500</v>
      </c>
      <c r="G58" s="38">
        <f>E58*500</f>
        <v>14500</v>
      </c>
      <c r="H58" s="38">
        <v>29000</v>
      </c>
    </row>
    <row r="59" spans="1:8" x14ac:dyDescent="0.25">
      <c r="A59" s="29"/>
      <c r="B59" s="29"/>
      <c r="C59" s="29" t="s">
        <v>106</v>
      </c>
      <c r="D59" s="29" t="s">
        <v>11</v>
      </c>
      <c r="E59" s="29">
        <v>25</v>
      </c>
      <c r="F59" s="38">
        <v>37500</v>
      </c>
      <c r="G59" s="38">
        <f>E59*500</f>
        <v>12500</v>
      </c>
      <c r="H59" s="38">
        <v>25000</v>
      </c>
    </row>
    <row r="60" spans="1:8" x14ac:dyDescent="0.25">
      <c r="A60" s="29"/>
      <c r="B60" s="29"/>
      <c r="C60" s="29" t="s">
        <v>16</v>
      </c>
      <c r="D60" s="29" t="s">
        <v>11</v>
      </c>
      <c r="E60" s="29">
        <v>49</v>
      </c>
      <c r="F60" s="38">
        <v>73500</v>
      </c>
      <c r="G60" s="38">
        <f>E60*500</f>
        <v>24500</v>
      </c>
      <c r="H60" s="38">
        <v>49000</v>
      </c>
    </row>
    <row r="61" spans="1:8" x14ac:dyDescent="0.25">
      <c r="A61" s="29"/>
      <c r="B61" s="29"/>
      <c r="C61" s="29"/>
      <c r="D61" s="29" t="s">
        <v>12</v>
      </c>
      <c r="E61" s="29">
        <v>2</v>
      </c>
      <c r="F61" s="38">
        <v>6000</v>
      </c>
      <c r="G61" s="38">
        <v>4000</v>
      </c>
      <c r="H61" s="38">
        <v>2000</v>
      </c>
    </row>
    <row r="62" spans="1:8" x14ac:dyDescent="0.25">
      <c r="A62" s="29"/>
      <c r="B62" s="29"/>
      <c r="C62" s="29" t="s">
        <v>217</v>
      </c>
      <c r="D62" s="29" t="s">
        <v>11</v>
      </c>
      <c r="E62" s="29">
        <v>41</v>
      </c>
      <c r="F62" s="38">
        <v>61500</v>
      </c>
      <c r="G62" s="38">
        <f>E62*500</f>
        <v>20500</v>
      </c>
      <c r="H62" s="38">
        <v>41000</v>
      </c>
    </row>
    <row r="63" spans="1:8" x14ac:dyDescent="0.25">
      <c r="A63" s="29"/>
      <c r="B63" s="29"/>
      <c r="C63" s="29" t="s">
        <v>10</v>
      </c>
      <c r="D63" s="29" t="s">
        <v>11</v>
      </c>
      <c r="E63" s="29">
        <v>58</v>
      </c>
      <c r="F63" s="38">
        <v>87000</v>
      </c>
      <c r="G63" s="38">
        <f>E63*500</f>
        <v>29000</v>
      </c>
      <c r="H63" s="38">
        <v>58000</v>
      </c>
    </row>
    <row r="64" spans="1:8" x14ac:dyDescent="0.25">
      <c r="A64" s="126" t="s">
        <v>17</v>
      </c>
      <c r="B64" s="126"/>
      <c r="C64" s="126"/>
      <c r="D64" s="126"/>
      <c r="E64" s="126"/>
      <c r="F64" s="17">
        <f>SUM(F57:F63)</f>
        <v>417000</v>
      </c>
      <c r="G64" s="17">
        <f>SUM(G57:G63)</f>
        <v>135000</v>
      </c>
      <c r="H64" s="17">
        <f>SUM(H57:H63)</f>
        <v>264000</v>
      </c>
    </row>
    <row r="65" spans="1:9" x14ac:dyDescent="0.25">
      <c r="A65" s="29" t="s">
        <v>32</v>
      </c>
      <c r="B65" s="37">
        <v>44721</v>
      </c>
      <c r="C65" s="29" t="s">
        <v>288</v>
      </c>
      <c r="D65" s="29" t="s">
        <v>11</v>
      </c>
      <c r="E65" s="29">
        <v>65</v>
      </c>
      <c r="F65" s="38">
        <v>117000</v>
      </c>
      <c r="G65" s="38">
        <f>E65*500</f>
        <v>32500</v>
      </c>
      <c r="H65" s="38">
        <f>65*1300</f>
        <v>84500</v>
      </c>
      <c r="I65" s="35"/>
    </row>
    <row r="66" spans="1:9" x14ac:dyDescent="0.25">
      <c r="A66" s="29"/>
      <c r="B66" s="29"/>
      <c r="C66" s="29" t="s">
        <v>292</v>
      </c>
      <c r="D66" s="29" t="s">
        <v>11</v>
      </c>
      <c r="E66" s="29">
        <v>50</v>
      </c>
      <c r="F66" s="38">
        <v>75000</v>
      </c>
      <c r="G66" s="38">
        <f>E66*500</f>
        <v>25000</v>
      </c>
      <c r="H66" s="38">
        <v>50000</v>
      </c>
      <c r="I66" s="35"/>
    </row>
    <row r="67" spans="1:9" x14ac:dyDescent="0.25">
      <c r="A67" s="29"/>
      <c r="B67" s="29"/>
      <c r="C67" s="29" t="s">
        <v>106</v>
      </c>
      <c r="D67" s="29" t="s">
        <v>11</v>
      </c>
      <c r="E67" s="29">
        <v>19</v>
      </c>
      <c r="F67" s="38">
        <v>28500</v>
      </c>
      <c r="G67" s="38">
        <f>E67*500</f>
        <v>9500</v>
      </c>
      <c r="H67" s="38">
        <v>19000</v>
      </c>
      <c r="I67" s="35"/>
    </row>
    <row r="68" spans="1:9" x14ac:dyDescent="0.25">
      <c r="A68" s="29"/>
      <c r="B68" s="29"/>
      <c r="C68" s="29" t="s">
        <v>16</v>
      </c>
      <c r="D68" s="29" t="s">
        <v>11</v>
      </c>
      <c r="E68" s="29">
        <v>21</v>
      </c>
      <c r="F68" s="38">
        <v>31500</v>
      </c>
      <c r="G68" s="38">
        <f>E68*500</f>
        <v>10500</v>
      </c>
      <c r="H68" s="38">
        <v>21000</v>
      </c>
      <c r="I68" s="35"/>
    </row>
    <row r="69" spans="1:9" x14ac:dyDescent="0.25">
      <c r="A69" s="29"/>
      <c r="B69" s="29"/>
      <c r="C69" s="29"/>
      <c r="D69" s="29" t="s">
        <v>12</v>
      </c>
      <c r="E69" s="29">
        <v>1</v>
      </c>
      <c r="F69" s="38">
        <v>3000</v>
      </c>
      <c r="G69" s="38">
        <v>2000</v>
      </c>
      <c r="H69" s="38">
        <v>1000</v>
      </c>
      <c r="I69" s="35"/>
    </row>
    <row r="70" spans="1:9" x14ac:dyDescent="0.25">
      <c r="A70" s="29"/>
      <c r="B70" s="29"/>
      <c r="C70" s="29" t="s">
        <v>217</v>
      </c>
      <c r="D70" s="29" t="s">
        <v>11</v>
      </c>
      <c r="E70" s="29">
        <v>51</v>
      </c>
      <c r="F70" s="38">
        <v>76500</v>
      </c>
      <c r="G70" s="38">
        <f>E70*500</f>
        <v>25500</v>
      </c>
      <c r="H70" s="38">
        <v>51000</v>
      </c>
      <c r="I70" s="35"/>
    </row>
    <row r="71" spans="1:9" x14ac:dyDescent="0.25">
      <c r="A71" s="29"/>
      <c r="B71" s="29"/>
      <c r="C71" s="29"/>
      <c r="D71" s="29" t="s">
        <v>13</v>
      </c>
      <c r="E71" s="29">
        <v>1</v>
      </c>
      <c r="F71" s="38">
        <v>6500</v>
      </c>
      <c r="G71" s="38">
        <v>4500</v>
      </c>
      <c r="H71" s="38">
        <v>2000</v>
      </c>
      <c r="I71" s="35"/>
    </row>
    <row r="72" spans="1:9" x14ac:dyDescent="0.25">
      <c r="A72" s="29"/>
      <c r="B72" s="29"/>
      <c r="C72" s="29"/>
      <c r="D72" s="29" t="s">
        <v>14</v>
      </c>
      <c r="E72" s="29">
        <v>8</v>
      </c>
      <c r="F72" s="38">
        <v>64000</v>
      </c>
      <c r="G72" s="38">
        <f>E72*5500</f>
        <v>44000</v>
      </c>
      <c r="H72" s="38">
        <f>E72*2500</f>
        <v>20000</v>
      </c>
      <c r="I72" s="35"/>
    </row>
    <row r="73" spans="1:9" x14ac:dyDescent="0.25">
      <c r="A73" s="29"/>
      <c r="B73" s="29"/>
      <c r="C73" s="29" t="s">
        <v>10</v>
      </c>
      <c r="D73" s="29" t="s">
        <v>11</v>
      </c>
      <c r="E73" s="29">
        <v>29</v>
      </c>
      <c r="F73" s="38">
        <v>43500</v>
      </c>
      <c r="G73" s="38">
        <f>E73*500</f>
        <v>14500</v>
      </c>
      <c r="H73" s="38">
        <v>29000</v>
      </c>
      <c r="I73" s="35"/>
    </row>
    <row r="74" spans="1:9" x14ac:dyDescent="0.25">
      <c r="A74" s="29"/>
      <c r="B74" s="29"/>
      <c r="C74" s="29"/>
      <c r="D74" s="29" t="s">
        <v>13</v>
      </c>
      <c r="E74" s="29">
        <v>2</v>
      </c>
      <c r="F74" s="38">
        <v>13000</v>
      </c>
      <c r="G74" s="38">
        <f>E74*4500</f>
        <v>9000</v>
      </c>
      <c r="H74" s="38">
        <v>4000</v>
      </c>
      <c r="I74" s="35"/>
    </row>
    <row r="75" spans="1:9" x14ac:dyDescent="0.25">
      <c r="A75" s="29"/>
      <c r="B75" s="29"/>
      <c r="C75" s="29"/>
      <c r="D75" s="29" t="s">
        <v>14</v>
      </c>
      <c r="E75" s="29">
        <v>2</v>
      </c>
      <c r="F75" s="38">
        <v>16000</v>
      </c>
      <c r="G75" s="38">
        <v>11000</v>
      </c>
      <c r="H75" s="38">
        <v>5000</v>
      </c>
      <c r="I75" s="35"/>
    </row>
    <row r="76" spans="1:9" x14ac:dyDescent="0.25">
      <c r="A76" s="126" t="s">
        <v>17</v>
      </c>
      <c r="B76" s="126"/>
      <c r="C76" s="126"/>
      <c r="D76" s="126"/>
      <c r="E76" s="126"/>
      <c r="F76" s="17">
        <f>SUM(F65:F75)</f>
        <v>474500</v>
      </c>
      <c r="G76" s="17">
        <f>SUM(G65:G75)</f>
        <v>188000</v>
      </c>
      <c r="H76" s="17">
        <f>SUM(H65:H75)</f>
        <v>286500</v>
      </c>
    </row>
    <row r="77" spans="1:9" x14ac:dyDescent="0.25">
      <c r="A77" s="29" t="s">
        <v>8</v>
      </c>
      <c r="B77" s="37">
        <v>44751</v>
      </c>
      <c r="C77" s="29" t="s">
        <v>288</v>
      </c>
      <c r="D77" s="29" t="s">
        <v>11</v>
      </c>
      <c r="E77" s="29">
        <v>63</v>
      </c>
      <c r="F77" s="38">
        <v>113400</v>
      </c>
      <c r="G77" s="38">
        <f>E77*500</f>
        <v>31500</v>
      </c>
      <c r="H77" s="38">
        <f>63*1300</f>
        <v>81900</v>
      </c>
      <c r="I77" s="35"/>
    </row>
    <row r="78" spans="1:9" x14ac:dyDescent="0.25">
      <c r="A78" s="29"/>
      <c r="B78" s="29"/>
      <c r="C78" s="29" t="s">
        <v>108</v>
      </c>
      <c r="D78" s="29" t="s">
        <v>11</v>
      </c>
      <c r="E78" s="29">
        <v>40</v>
      </c>
      <c r="F78" s="38">
        <v>60000</v>
      </c>
      <c r="G78" s="38">
        <f>E78*500</f>
        <v>20000</v>
      </c>
      <c r="H78" s="38">
        <v>40000</v>
      </c>
      <c r="I78" s="35"/>
    </row>
    <row r="79" spans="1:9" x14ac:dyDescent="0.25">
      <c r="A79" s="29"/>
      <c r="B79" s="29"/>
      <c r="C79" s="29" t="s">
        <v>106</v>
      </c>
      <c r="D79" s="29" t="s">
        <v>11</v>
      </c>
      <c r="E79" s="29">
        <v>25</v>
      </c>
      <c r="F79" s="38">
        <v>37500</v>
      </c>
      <c r="G79" s="38">
        <f>E79*500</f>
        <v>12500</v>
      </c>
      <c r="H79" s="38">
        <v>25000</v>
      </c>
      <c r="I79" s="35"/>
    </row>
    <row r="80" spans="1:9" x14ac:dyDescent="0.25">
      <c r="A80" s="29"/>
      <c r="B80" s="29"/>
      <c r="C80" s="29" t="s">
        <v>81</v>
      </c>
      <c r="D80" s="29" t="s">
        <v>11</v>
      </c>
      <c r="E80" s="29">
        <v>75</v>
      </c>
      <c r="F80" s="38">
        <v>135000</v>
      </c>
      <c r="G80" s="38">
        <f>E80*500</f>
        <v>37500</v>
      </c>
      <c r="H80" s="38">
        <f>E80*1300</f>
        <v>97500</v>
      </c>
      <c r="I80" s="35"/>
    </row>
    <row r="81" spans="1:9" x14ac:dyDescent="0.25">
      <c r="A81" s="29"/>
      <c r="B81" s="29"/>
      <c r="C81" s="29" t="s">
        <v>217</v>
      </c>
      <c r="D81" s="29" t="s">
        <v>11</v>
      </c>
      <c r="E81" s="29">
        <v>48</v>
      </c>
      <c r="F81" s="38">
        <v>72000</v>
      </c>
      <c r="G81" s="38">
        <f>E81*500</f>
        <v>24000</v>
      </c>
      <c r="H81" s="38">
        <v>48000</v>
      </c>
      <c r="I81" s="35"/>
    </row>
    <row r="82" spans="1:9" x14ac:dyDescent="0.25">
      <c r="A82" s="29"/>
      <c r="B82" s="29"/>
      <c r="C82" s="29"/>
      <c r="D82" s="29" t="s">
        <v>13</v>
      </c>
      <c r="E82" s="29">
        <v>2</v>
      </c>
      <c r="F82" s="38">
        <v>13000</v>
      </c>
      <c r="G82" s="38">
        <v>9000</v>
      </c>
      <c r="H82" s="38">
        <v>4000</v>
      </c>
      <c r="I82" s="35"/>
    </row>
    <row r="83" spans="1:9" x14ac:dyDescent="0.25">
      <c r="A83" s="29"/>
      <c r="B83" s="29"/>
      <c r="C83" s="29"/>
      <c r="D83" s="29" t="s">
        <v>14</v>
      </c>
      <c r="E83" s="29">
        <v>2</v>
      </c>
      <c r="F83" s="38">
        <v>16000</v>
      </c>
      <c r="G83" s="38">
        <v>11000</v>
      </c>
      <c r="H83" s="38">
        <v>5000</v>
      </c>
      <c r="I83" s="35"/>
    </row>
    <row r="84" spans="1:9" x14ac:dyDescent="0.25">
      <c r="A84" s="29"/>
      <c r="B84" s="29"/>
      <c r="C84" s="29"/>
      <c r="D84" s="29" t="s">
        <v>111</v>
      </c>
      <c r="E84" s="29">
        <v>1</v>
      </c>
      <c r="F84" s="38">
        <v>13000</v>
      </c>
      <c r="G84" s="38">
        <v>10000</v>
      </c>
      <c r="H84" s="38">
        <v>3000</v>
      </c>
      <c r="I84" s="35"/>
    </row>
    <row r="85" spans="1:9" x14ac:dyDescent="0.25">
      <c r="A85" s="29"/>
      <c r="B85" s="29"/>
      <c r="C85" s="29" t="s">
        <v>10</v>
      </c>
      <c r="D85" s="29" t="s">
        <v>11</v>
      </c>
      <c r="E85" s="29">
        <v>28</v>
      </c>
      <c r="F85" s="38">
        <v>42000</v>
      </c>
      <c r="G85" s="38">
        <f>E85*500</f>
        <v>14000</v>
      </c>
      <c r="H85" s="38">
        <v>28000</v>
      </c>
      <c r="I85" s="35"/>
    </row>
    <row r="86" spans="1:9" x14ac:dyDescent="0.25">
      <c r="A86" s="29"/>
      <c r="B86" s="29"/>
      <c r="C86" s="29"/>
      <c r="D86" s="29" t="s">
        <v>13</v>
      </c>
      <c r="E86" s="29">
        <v>5</v>
      </c>
      <c r="F86" s="38">
        <v>32500</v>
      </c>
      <c r="G86" s="38">
        <f>E86*4500</f>
        <v>22500</v>
      </c>
      <c r="H86" s="38">
        <v>10000</v>
      </c>
      <c r="I86" s="35"/>
    </row>
    <row r="87" spans="1:9" x14ac:dyDescent="0.25">
      <c r="A87" s="29"/>
      <c r="B87" s="29"/>
      <c r="C87" s="29"/>
      <c r="D87" s="29" t="s">
        <v>14</v>
      </c>
      <c r="E87" s="29">
        <v>3</v>
      </c>
      <c r="F87" s="38">
        <v>24000</v>
      </c>
      <c r="G87" s="38">
        <f>E87*5500</f>
        <v>16500</v>
      </c>
      <c r="H87" s="38">
        <f>E87*2500</f>
        <v>7500</v>
      </c>
      <c r="I87" s="35"/>
    </row>
    <row r="88" spans="1:9" x14ac:dyDescent="0.25">
      <c r="A88" s="29"/>
      <c r="B88" s="29"/>
      <c r="C88" s="29" t="s">
        <v>16</v>
      </c>
      <c r="D88" s="29" t="s">
        <v>11</v>
      </c>
      <c r="E88" s="29">
        <v>24</v>
      </c>
      <c r="F88" s="38">
        <v>36000</v>
      </c>
      <c r="G88" s="38">
        <f>E88*500</f>
        <v>12000</v>
      </c>
      <c r="H88" s="38">
        <v>24000</v>
      </c>
      <c r="I88" s="35"/>
    </row>
    <row r="89" spans="1:9" x14ac:dyDescent="0.25">
      <c r="A89" s="29"/>
      <c r="B89" s="29"/>
      <c r="C89" s="29"/>
      <c r="D89" s="29" t="s">
        <v>12</v>
      </c>
      <c r="E89" s="29">
        <v>1</v>
      </c>
      <c r="F89" s="38">
        <v>3000</v>
      </c>
      <c r="G89" s="38">
        <v>2000</v>
      </c>
      <c r="H89" s="38">
        <v>1000</v>
      </c>
      <c r="I89" s="35"/>
    </row>
    <row r="90" spans="1:9" x14ac:dyDescent="0.25">
      <c r="A90" s="126" t="s">
        <v>17</v>
      </c>
      <c r="B90" s="126"/>
      <c r="C90" s="126"/>
      <c r="D90" s="126"/>
      <c r="E90" s="126"/>
      <c r="F90" s="17">
        <f>SUM(F77:F89)</f>
        <v>597400</v>
      </c>
      <c r="G90" s="17">
        <f>SUM(G77:G89)</f>
        <v>222500</v>
      </c>
      <c r="H90" s="17">
        <f>SUM(H77:H89)</f>
        <v>374900</v>
      </c>
    </row>
    <row r="91" spans="1:9" x14ac:dyDescent="0.25">
      <c r="A91" s="29" t="s">
        <v>18</v>
      </c>
      <c r="B91" s="37">
        <v>44782</v>
      </c>
      <c r="C91" s="29" t="s">
        <v>288</v>
      </c>
      <c r="D91" s="29" t="s">
        <v>11</v>
      </c>
      <c r="E91" s="29">
        <v>65</v>
      </c>
      <c r="F91" s="38">
        <v>117000</v>
      </c>
      <c r="G91" s="38">
        <f>E91*500</f>
        <v>32500</v>
      </c>
      <c r="H91" s="38">
        <f>65*1300</f>
        <v>84500</v>
      </c>
      <c r="I91" s="35"/>
    </row>
    <row r="92" spans="1:9" x14ac:dyDescent="0.25">
      <c r="A92" s="29"/>
      <c r="B92" s="29"/>
      <c r="C92" s="29" t="s">
        <v>292</v>
      </c>
      <c r="D92" s="29" t="s">
        <v>11</v>
      </c>
      <c r="E92" s="29">
        <v>55</v>
      </c>
      <c r="F92" s="38">
        <v>82500</v>
      </c>
      <c r="G92" s="38">
        <f>E92*500</f>
        <v>27500</v>
      </c>
      <c r="H92" s="38">
        <v>55000</v>
      </c>
      <c r="I92" s="35"/>
    </row>
    <row r="93" spans="1:9" x14ac:dyDescent="0.25">
      <c r="A93" s="29"/>
      <c r="B93" s="29"/>
      <c r="C93" s="29" t="s">
        <v>106</v>
      </c>
      <c r="D93" s="29" t="s">
        <v>11</v>
      </c>
      <c r="E93" s="29">
        <v>25</v>
      </c>
      <c r="F93" s="38">
        <v>37500</v>
      </c>
      <c r="G93" s="38">
        <f>E93*500</f>
        <v>12500</v>
      </c>
      <c r="H93" s="38">
        <v>25000</v>
      </c>
      <c r="I93" s="35"/>
    </row>
    <row r="94" spans="1:9" x14ac:dyDescent="0.25">
      <c r="A94" s="29"/>
      <c r="B94" s="29"/>
      <c r="C94" s="29" t="s">
        <v>235</v>
      </c>
      <c r="D94" s="29" t="s">
        <v>25</v>
      </c>
      <c r="E94" s="29">
        <v>3</v>
      </c>
      <c r="F94" s="38">
        <v>39000</v>
      </c>
      <c r="G94" s="38">
        <v>30000</v>
      </c>
      <c r="H94" s="38">
        <v>9000</v>
      </c>
      <c r="I94" s="35"/>
    </row>
    <row r="95" spans="1:9" x14ac:dyDescent="0.25">
      <c r="A95" s="126" t="s">
        <v>17</v>
      </c>
      <c r="B95" s="126"/>
      <c r="C95" s="126"/>
      <c r="D95" s="126"/>
      <c r="E95" s="126"/>
      <c r="F95" s="17">
        <f>SUM(F91:F94)</f>
        <v>276000</v>
      </c>
      <c r="G95" s="17">
        <f>SUM(G91:G94)</f>
        <v>102500</v>
      </c>
      <c r="H95" s="17">
        <f>SUM(H91:H94)</f>
        <v>173500</v>
      </c>
      <c r="I95" s="35"/>
    </row>
    <row r="96" spans="1:9" x14ac:dyDescent="0.25">
      <c r="A96" s="29" t="s">
        <v>22</v>
      </c>
      <c r="B96" s="37">
        <v>44813</v>
      </c>
      <c r="C96" s="29" t="s">
        <v>288</v>
      </c>
      <c r="D96" s="29" t="s">
        <v>11</v>
      </c>
      <c r="E96" s="29">
        <v>65</v>
      </c>
      <c r="F96" s="38">
        <v>117000</v>
      </c>
      <c r="G96" s="38">
        <v>32500</v>
      </c>
      <c r="H96" s="38">
        <v>84500</v>
      </c>
    </row>
    <row r="97" spans="1:9" x14ac:dyDescent="0.25">
      <c r="A97" s="29"/>
      <c r="B97" s="29"/>
      <c r="C97" s="29" t="s">
        <v>108</v>
      </c>
      <c r="D97" s="29" t="s">
        <v>11</v>
      </c>
      <c r="E97" s="29">
        <v>24</v>
      </c>
      <c r="F97" s="38">
        <v>36000</v>
      </c>
      <c r="G97" s="38">
        <f>E97*500</f>
        <v>12000</v>
      </c>
      <c r="H97" s="38">
        <v>24000</v>
      </c>
    </row>
    <row r="98" spans="1:9" x14ac:dyDescent="0.25">
      <c r="A98" s="29"/>
      <c r="B98" s="29"/>
      <c r="C98" s="29" t="s">
        <v>217</v>
      </c>
      <c r="D98" s="29" t="s">
        <v>11</v>
      </c>
      <c r="E98" s="29">
        <v>80</v>
      </c>
      <c r="F98" s="38">
        <v>120000</v>
      </c>
      <c r="G98" s="38">
        <f>E98*500</f>
        <v>40000</v>
      </c>
      <c r="H98" s="38">
        <v>80000</v>
      </c>
    </row>
    <row r="99" spans="1:9" x14ac:dyDescent="0.25">
      <c r="A99" s="29"/>
      <c r="B99" s="29"/>
      <c r="C99" s="29" t="s">
        <v>10</v>
      </c>
      <c r="D99" s="29" t="s">
        <v>11</v>
      </c>
      <c r="E99" s="29">
        <v>31</v>
      </c>
      <c r="F99" s="38">
        <v>46500</v>
      </c>
      <c r="G99" s="38">
        <f>E99*500</f>
        <v>15500</v>
      </c>
      <c r="H99" s="38">
        <v>31000</v>
      </c>
    </row>
    <row r="100" spans="1:9" x14ac:dyDescent="0.25">
      <c r="A100" s="29"/>
      <c r="B100" s="29"/>
      <c r="C100" s="29"/>
      <c r="D100" s="29" t="s">
        <v>13</v>
      </c>
      <c r="E100" s="29">
        <v>1</v>
      </c>
      <c r="F100" s="38">
        <v>6500</v>
      </c>
      <c r="G100" s="38">
        <v>4500</v>
      </c>
      <c r="H100" s="38">
        <v>2000</v>
      </c>
    </row>
    <row r="101" spans="1:9" x14ac:dyDescent="0.25">
      <c r="A101" s="29"/>
      <c r="B101" s="29"/>
      <c r="C101" s="29"/>
      <c r="D101" s="29" t="s">
        <v>14</v>
      </c>
      <c r="E101" s="29">
        <v>2</v>
      </c>
      <c r="F101" s="38">
        <v>16000</v>
      </c>
      <c r="G101" s="38">
        <v>11000</v>
      </c>
      <c r="H101" s="38">
        <v>5000</v>
      </c>
    </row>
    <row r="102" spans="1:9" x14ac:dyDescent="0.25">
      <c r="A102" s="29"/>
      <c r="B102" s="29"/>
      <c r="C102" s="29" t="s">
        <v>235</v>
      </c>
      <c r="D102" s="29" t="s">
        <v>25</v>
      </c>
      <c r="E102" s="29">
        <v>4</v>
      </c>
      <c r="F102" s="38">
        <v>52000</v>
      </c>
      <c r="G102" s="38">
        <v>40000</v>
      </c>
      <c r="H102" s="38">
        <v>12000</v>
      </c>
    </row>
    <row r="103" spans="1:9" x14ac:dyDescent="0.25">
      <c r="A103" s="29"/>
      <c r="B103" s="29"/>
      <c r="C103" s="29" t="s">
        <v>328</v>
      </c>
      <c r="D103" s="29" t="s">
        <v>25</v>
      </c>
      <c r="E103" s="29">
        <v>4</v>
      </c>
      <c r="F103" s="38">
        <v>52000</v>
      </c>
      <c r="G103" s="38">
        <v>40000</v>
      </c>
      <c r="H103" s="38">
        <v>12000</v>
      </c>
    </row>
    <row r="104" spans="1:9" x14ac:dyDescent="0.25">
      <c r="A104" s="126" t="s">
        <v>17</v>
      </c>
      <c r="B104" s="126"/>
      <c r="C104" s="126"/>
      <c r="D104" s="126"/>
      <c r="E104" s="126"/>
      <c r="F104" s="17">
        <f>SUM(F96:F103)</f>
        <v>446000</v>
      </c>
      <c r="G104" s="17">
        <f>SUM(G96:G103)</f>
        <v>195500</v>
      </c>
      <c r="H104" s="17">
        <f>SUM(H96:H103)</f>
        <v>250500</v>
      </c>
    </row>
    <row r="105" spans="1:9" x14ac:dyDescent="0.25">
      <c r="A105" s="29" t="s">
        <v>26</v>
      </c>
      <c r="B105" s="37">
        <v>44843</v>
      </c>
      <c r="C105" s="29" t="s">
        <v>288</v>
      </c>
      <c r="D105" s="29" t="s">
        <v>11</v>
      </c>
      <c r="E105" s="29">
        <v>45</v>
      </c>
      <c r="F105" s="30">
        <v>81000</v>
      </c>
      <c r="G105" s="38">
        <f>45*500</f>
        <v>22500</v>
      </c>
      <c r="H105" s="38">
        <f>45*1300</f>
        <v>58500</v>
      </c>
      <c r="I105" s="35"/>
    </row>
    <row r="106" spans="1:9" x14ac:dyDescent="0.25">
      <c r="A106" s="29"/>
      <c r="B106" s="29"/>
      <c r="C106" s="29" t="s">
        <v>292</v>
      </c>
      <c r="D106" s="29" t="s">
        <v>11</v>
      </c>
      <c r="E106" s="29">
        <v>55</v>
      </c>
      <c r="F106" s="38">
        <f>55*1500</f>
        <v>82500</v>
      </c>
      <c r="G106" s="38">
        <f>E106*500</f>
        <v>27500</v>
      </c>
      <c r="H106" s="38">
        <f>E106*1000</f>
        <v>55000</v>
      </c>
      <c r="I106" s="35"/>
    </row>
    <row r="107" spans="1:9" x14ac:dyDescent="0.25">
      <c r="A107" s="29"/>
      <c r="B107" s="29"/>
      <c r="C107" s="29" t="s">
        <v>236</v>
      </c>
      <c r="D107" s="29" t="s">
        <v>11</v>
      </c>
      <c r="E107" s="29">
        <v>130</v>
      </c>
      <c r="F107" s="38">
        <v>195000</v>
      </c>
      <c r="G107" s="38">
        <f t="shared" ref="G107:G113" si="4">E107*500</f>
        <v>65000</v>
      </c>
      <c r="H107" s="38">
        <f t="shared" ref="H107:H113" si="5">E107*1000</f>
        <v>130000</v>
      </c>
      <c r="I107" s="35"/>
    </row>
    <row r="108" spans="1:9" x14ac:dyDescent="0.25">
      <c r="A108" s="29"/>
      <c r="B108" s="29"/>
      <c r="C108" s="29"/>
      <c r="D108" s="29" t="s">
        <v>11</v>
      </c>
      <c r="E108" s="29">
        <v>130</v>
      </c>
      <c r="F108" s="38">
        <v>195000</v>
      </c>
      <c r="G108" s="38">
        <f t="shared" si="4"/>
        <v>65000</v>
      </c>
      <c r="H108" s="38">
        <f t="shared" si="5"/>
        <v>130000</v>
      </c>
      <c r="I108" s="35"/>
    </row>
    <row r="109" spans="1:9" x14ac:dyDescent="0.25">
      <c r="A109" s="29"/>
      <c r="B109" s="29"/>
      <c r="C109" s="29"/>
      <c r="D109" s="29" t="s">
        <v>11</v>
      </c>
      <c r="E109" s="29">
        <v>130</v>
      </c>
      <c r="F109" s="38">
        <v>195000</v>
      </c>
      <c r="G109" s="38">
        <f t="shared" si="4"/>
        <v>65000</v>
      </c>
      <c r="H109" s="38">
        <f t="shared" si="5"/>
        <v>130000</v>
      </c>
      <c r="I109" s="35"/>
    </row>
    <row r="110" spans="1:9" x14ac:dyDescent="0.25">
      <c r="A110" s="29"/>
      <c r="B110" s="29"/>
      <c r="C110" s="29"/>
      <c r="D110" s="29" t="s">
        <v>11</v>
      </c>
      <c r="E110" s="29">
        <v>130</v>
      </c>
      <c r="F110" s="38">
        <v>195000</v>
      </c>
      <c r="G110" s="38">
        <f t="shared" si="4"/>
        <v>65000</v>
      </c>
      <c r="H110" s="38">
        <f t="shared" si="5"/>
        <v>130000</v>
      </c>
      <c r="I110" s="35"/>
    </row>
    <row r="111" spans="1:9" x14ac:dyDescent="0.25">
      <c r="A111" s="29"/>
      <c r="B111" s="29"/>
      <c r="C111" s="29"/>
      <c r="D111" s="29" t="s">
        <v>11</v>
      </c>
      <c r="E111" s="29">
        <v>93</v>
      </c>
      <c r="F111" s="38">
        <v>139500</v>
      </c>
      <c r="G111" s="38">
        <f t="shared" si="4"/>
        <v>46500</v>
      </c>
      <c r="H111" s="38">
        <f t="shared" si="5"/>
        <v>93000</v>
      </c>
      <c r="I111" s="35"/>
    </row>
    <row r="112" spans="1:9" x14ac:dyDescent="0.25">
      <c r="A112" s="29"/>
      <c r="B112" s="29"/>
      <c r="C112" s="29"/>
      <c r="D112" s="29" t="s">
        <v>11</v>
      </c>
      <c r="E112" s="29">
        <v>76</v>
      </c>
      <c r="F112" s="38">
        <v>114000</v>
      </c>
      <c r="G112" s="38">
        <f t="shared" si="4"/>
        <v>38000</v>
      </c>
      <c r="H112" s="38">
        <f t="shared" si="5"/>
        <v>76000</v>
      </c>
      <c r="I112" s="35"/>
    </row>
    <row r="113" spans="1:9" x14ac:dyDescent="0.25">
      <c r="A113" s="29"/>
      <c r="B113" s="29"/>
      <c r="C113" s="29" t="s">
        <v>217</v>
      </c>
      <c r="D113" s="29" t="s">
        <v>11</v>
      </c>
      <c r="E113" s="29">
        <v>51</v>
      </c>
      <c r="F113" s="38">
        <v>76500</v>
      </c>
      <c r="G113" s="38">
        <f t="shared" si="4"/>
        <v>25500</v>
      </c>
      <c r="H113" s="38">
        <f t="shared" si="5"/>
        <v>51000</v>
      </c>
      <c r="I113" s="35"/>
    </row>
    <row r="114" spans="1:9" x14ac:dyDescent="0.25">
      <c r="A114" s="29"/>
      <c r="B114" s="29"/>
      <c r="C114" s="29"/>
      <c r="D114" s="29" t="s">
        <v>13</v>
      </c>
      <c r="E114" s="29">
        <v>10</v>
      </c>
      <c r="F114" s="38">
        <v>65000</v>
      </c>
      <c r="G114" s="38">
        <v>45000</v>
      </c>
      <c r="H114" s="38">
        <v>20000</v>
      </c>
      <c r="I114" s="35"/>
    </row>
    <row r="115" spans="1:9" x14ac:dyDescent="0.25">
      <c r="A115" s="29"/>
      <c r="B115" s="29"/>
      <c r="C115" s="29"/>
      <c r="D115" s="29" t="s">
        <v>14</v>
      </c>
      <c r="E115" s="29">
        <v>5</v>
      </c>
      <c r="F115" s="38">
        <v>50000</v>
      </c>
      <c r="G115" s="38">
        <f>5*5500</f>
        <v>27500</v>
      </c>
      <c r="H115" s="38">
        <f>5*4500</f>
        <v>22500</v>
      </c>
      <c r="I115" s="35"/>
    </row>
    <row r="116" spans="1:9" x14ac:dyDescent="0.25">
      <c r="A116" s="29"/>
      <c r="B116" s="29"/>
      <c r="C116" s="29" t="s">
        <v>10</v>
      </c>
      <c r="D116" s="29" t="s">
        <v>13</v>
      </c>
      <c r="E116" s="29">
        <v>10</v>
      </c>
      <c r="F116" s="38">
        <v>65000</v>
      </c>
      <c r="G116" s="38">
        <v>45000</v>
      </c>
      <c r="H116" s="38">
        <v>20000</v>
      </c>
      <c r="I116" s="35"/>
    </row>
    <row r="117" spans="1:9" x14ac:dyDescent="0.25">
      <c r="A117" s="29"/>
      <c r="B117" s="29"/>
      <c r="C117" s="29"/>
      <c r="D117" s="29" t="s">
        <v>14</v>
      </c>
      <c r="E117" s="29">
        <v>14</v>
      </c>
      <c r="F117" s="38">
        <v>140000</v>
      </c>
      <c r="G117" s="38">
        <f>14*5500</f>
        <v>77000</v>
      </c>
      <c r="H117" s="38">
        <f>14*4500</f>
        <v>63000</v>
      </c>
      <c r="I117" s="35"/>
    </row>
    <row r="118" spans="1:9" x14ac:dyDescent="0.25">
      <c r="A118" s="126" t="s">
        <v>17</v>
      </c>
      <c r="B118" s="126"/>
      <c r="C118" s="126"/>
      <c r="D118" s="126"/>
      <c r="E118" s="126"/>
      <c r="F118" s="17">
        <f>SUM(F105:F117)</f>
        <v>1593500</v>
      </c>
      <c r="G118" s="17">
        <f>SUM(G105:G117)</f>
        <v>614500</v>
      </c>
      <c r="H118" s="17">
        <f>SUM(H105:H117)</f>
        <v>979000</v>
      </c>
      <c r="I118" s="35"/>
    </row>
    <row r="119" spans="1:9" x14ac:dyDescent="0.25">
      <c r="A119" s="29" t="s">
        <v>28</v>
      </c>
      <c r="B119" s="37">
        <v>44874</v>
      </c>
      <c r="C119" s="29" t="s">
        <v>10</v>
      </c>
      <c r="D119" s="29" t="s">
        <v>13</v>
      </c>
      <c r="E119" s="29">
        <v>3</v>
      </c>
      <c r="F119" s="38">
        <v>19500</v>
      </c>
      <c r="G119" s="38">
        <f>3*4500</f>
        <v>13500</v>
      </c>
      <c r="H119" s="38">
        <v>6000</v>
      </c>
    </row>
    <row r="120" spans="1:9" x14ac:dyDescent="0.25">
      <c r="A120" s="29"/>
      <c r="B120" s="29"/>
      <c r="C120" s="29"/>
      <c r="D120" s="29" t="s">
        <v>14</v>
      </c>
      <c r="E120" s="29">
        <v>8</v>
      </c>
      <c r="F120" s="38">
        <v>64000</v>
      </c>
      <c r="G120" s="38">
        <f>8*5500</f>
        <v>44000</v>
      </c>
      <c r="H120" s="38">
        <f>8*2500</f>
        <v>20000</v>
      </c>
    </row>
    <row r="121" spans="1:9" x14ac:dyDescent="0.25">
      <c r="A121" s="29"/>
      <c r="B121" s="29"/>
      <c r="C121" s="29" t="s">
        <v>217</v>
      </c>
      <c r="D121" s="29" t="s">
        <v>13</v>
      </c>
      <c r="E121" s="29">
        <v>11</v>
      </c>
      <c r="F121" s="38">
        <v>71500</v>
      </c>
      <c r="G121" s="38">
        <f>11*4500</f>
        <v>49500</v>
      </c>
      <c r="H121" s="38">
        <f>11*2000</f>
        <v>22000</v>
      </c>
    </row>
    <row r="122" spans="1:9" x14ac:dyDescent="0.25">
      <c r="A122" s="29"/>
      <c r="B122" s="29"/>
      <c r="C122" s="29"/>
      <c r="D122" s="29" t="s">
        <v>14</v>
      </c>
      <c r="E122" s="29">
        <v>5</v>
      </c>
      <c r="F122" s="38">
        <v>40000</v>
      </c>
      <c r="G122" s="38">
        <f>5*5500</f>
        <v>27500</v>
      </c>
      <c r="H122" s="38">
        <f>5*2500</f>
        <v>12500</v>
      </c>
    </row>
    <row r="123" spans="1:9" x14ac:dyDescent="0.25">
      <c r="A123" s="29"/>
      <c r="B123" s="29"/>
      <c r="C123" s="29" t="s">
        <v>63</v>
      </c>
      <c r="D123" s="29" t="s">
        <v>25</v>
      </c>
      <c r="E123" s="29">
        <v>1</v>
      </c>
      <c r="F123" s="38">
        <v>15000</v>
      </c>
      <c r="G123" s="38">
        <v>10000</v>
      </c>
      <c r="H123" s="38">
        <v>5000</v>
      </c>
    </row>
    <row r="124" spans="1:9" x14ac:dyDescent="0.25">
      <c r="A124" s="29"/>
      <c r="B124" s="29"/>
      <c r="C124" s="29" t="s">
        <v>20</v>
      </c>
      <c r="D124" s="29" t="s">
        <v>11</v>
      </c>
      <c r="E124" s="29">
        <v>10</v>
      </c>
      <c r="F124" s="38">
        <v>15000</v>
      </c>
      <c r="G124" s="38">
        <v>5000</v>
      </c>
      <c r="H124" s="38">
        <v>10000</v>
      </c>
    </row>
    <row r="125" spans="1:9" x14ac:dyDescent="0.25">
      <c r="A125" s="29"/>
      <c r="B125" s="29"/>
      <c r="C125" s="29"/>
      <c r="D125" s="29" t="s">
        <v>13</v>
      </c>
      <c r="E125" s="29">
        <v>11</v>
      </c>
      <c r="F125" s="38">
        <v>71500</v>
      </c>
      <c r="G125" s="38">
        <f>11*4500</f>
        <v>49500</v>
      </c>
      <c r="H125" s="38">
        <v>22000</v>
      </c>
    </row>
    <row r="126" spans="1:9" x14ac:dyDescent="0.25">
      <c r="A126" s="29"/>
      <c r="B126" s="29"/>
      <c r="C126" s="29"/>
      <c r="D126" s="29" t="s">
        <v>14</v>
      </c>
      <c r="E126" s="29">
        <v>24</v>
      </c>
      <c r="F126" s="38">
        <v>240000</v>
      </c>
      <c r="G126" s="38">
        <f>24*5500</f>
        <v>132000</v>
      </c>
      <c r="H126" s="38">
        <f>24*4500</f>
        <v>108000</v>
      </c>
    </row>
    <row r="127" spans="1:9" x14ac:dyDescent="0.25">
      <c r="A127" s="126" t="s">
        <v>17</v>
      </c>
      <c r="B127" s="126"/>
      <c r="C127" s="126"/>
      <c r="D127" s="126"/>
      <c r="E127" s="126"/>
      <c r="F127" s="17">
        <f>SUM(F119:F126)</f>
        <v>536500</v>
      </c>
      <c r="G127" s="17">
        <f>SUM(G119:G126)</f>
        <v>331000</v>
      </c>
      <c r="H127" s="17">
        <f>SUM(H119:H126)</f>
        <v>205500</v>
      </c>
    </row>
    <row r="128" spans="1:9" x14ac:dyDescent="0.25">
      <c r="A128" s="29" t="s">
        <v>30</v>
      </c>
      <c r="B128" s="37">
        <v>44904</v>
      </c>
      <c r="C128" s="29" t="s">
        <v>81</v>
      </c>
      <c r="D128" s="29" t="s">
        <v>11</v>
      </c>
      <c r="E128" s="29">
        <v>73</v>
      </c>
      <c r="F128" s="38">
        <v>131400</v>
      </c>
      <c r="G128" s="38">
        <f>E128*500</f>
        <v>36500</v>
      </c>
      <c r="H128" s="38">
        <f>E128*1300</f>
        <v>94900</v>
      </c>
      <c r="I128" s="35"/>
    </row>
    <row r="129" spans="1:9" x14ac:dyDescent="0.25">
      <c r="A129" s="29"/>
      <c r="B129" s="37"/>
      <c r="C129" s="29"/>
      <c r="D129" s="29" t="s">
        <v>11</v>
      </c>
      <c r="E129" s="29">
        <v>70</v>
      </c>
      <c r="F129" s="38">
        <v>126000</v>
      </c>
      <c r="G129" s="38">
        <f>E129*500</f>
        <v>35000</v>
      </c>
      <c r="H129" s="38">
        <f>E129*1300</f>
        <v>91000</v>
      </c>
      <c r="I129" s="35"/>
    </row>
    <row r="130" spans="1:9" x14ac:dyDescent="0.25">
      <c r="A130" s="29"/>
      <c r="B130" s="37"/>
      <c r="C130" s="29"/>
      <c r="D130" s="29" t="s">
        <v>11</v>
      </c>
      <c r="E130" s="29">
        <v>73</v>
      </c>
      <c r="F130" s="38">
        <v>131400</v>
      </c>
      <c r="G130" s="38">
        <f>E130*500</f>
        <v>36500</v>
      </c>
      <c r="H130" s="38">
        <f>E130*1300</f>
        <v>94900</v>
      </c>
      <c r="I130" s="35"/>
    </row>
    <row r="131" spans="1:9" x14ac:dyDescent="0.25">
      <c r="A131" s="29"/>
      <c r="B131" s="37"/>
      <c r="C131" s="29"/>
      <c r="D131" s="29" t="s">
        <v>11</v>
      </c>
      <c r="E131" s="29">
        <v>57</v>
      </c>
      <c r="F131" s="38">
        <v>102600</v>
      </c>
      <c r="G131" s="38">
        <f>E131*500</f>
        <v>28500</v>
      </c>
      <c r="H131" s="38">
        <f>E131*1300</f>
        <v>74100</v>
      </c>
      <c r="I131" s="35"/>
    </row>
    <row r="132" spans="1:9" x14ac:dyDescent="0.25">
      <c r="A132" s="29"/>
      <c r="B132" s="29"/>
      <c r="C132" s="29"/>
      <c r="D132" s="29" t="s">
        <v>13</v>
      </c>
      <c r="E132" s="29">
        <v>35</v>
      </c>
      <c r="F132" s="38">
        <v>245000</v>
      </c>
      <c r="G132" s="38">
        <f>E132*4500</f>
        <v>157500</v>
      </c>
      <c r="H132" s="38">
        <f>E132*2500</f>
        <v>87500</v>
      </c>
      <c r="I132" s="35"/>
    </row>
    <row r="133" spans="1:9" x14ac:dyDescent="0.25">
      <c r="A133" s="29"/>
      <c r="B133" s="29"/>
      <c r="C133" s="29" t="s">
        <v>108</v>
      </c>
      <c r="D133" s="29" t="s">
        <v>11</v>
      </c>
      <c r="E133" s="29">
        <v>10</v>
      </c>
      <c r="F133" s="38">
        <v>15000</v>
      </c>
      <c r="G133" s="38">
        <v>5000</v>
      </c>
      <c r="H133" s="38">
        <v>10000</v>
      </c>
      <c r="I133" s="35"/>
    </row>
    <row r="134" spans="1:9" x14ac:dyDescent="0.25">
      <c r="A134" s="29"/>
      <c r="B134" s="29"/>
      <c r="C134" s="29" t="s">
        <v>288</v>
      </c>
      <c r="D134" s="29" t="s">
        <v>11</v>
      </c>
      <c r="E134" s="29">
        <v>30</v>
      </c>
      <c r="F134" s="38">
        <v>54000</v>
      </c>
      <c r="G134" s="38">
        <f>E134*500</f>
        <v>15000</v>
      </c>
      <c r="H134" s="38">
        <f>E134*1300</f>
        <v>39000</v>
      </c>
      <c r="I134" s="35"/>
    </row>
    <row r="135" spans="1:9" x14ac:dyDescent="0.25">
      <c r="A135" s="29"/>
      <c r="B135" s="29"/>
      <c r="C135" s="29" t="s">
        <v>108</v>
      </c>
      <c r="D135" s="29" t="s">
        <v>11</v>
      </c>
      <c r="E135" s="29">
        <v>10</v>
      </c>
      <c r="F135" s="38">
        <v>15000</v>
      </c>
      <c r="G135" s="38">
        <v>5000</v>
      </c>
      <c r="H135" s="38">
        <v>10000</v>
      </c>
      <c r="I135" s="35"/>
    </row>
    <row r="136" spans="1:9" x14ac:dyDescent="0.25">
      <c r="A136" s="29"/>
      <c r="B136" s="29"/>
      <c r="C136" s="29" t="s">
        <v>217</v>
      </c>
      <c r="D136" s="29" t="s">
        <v>13</v>
      </c>
      <c r="E136" s="29">
        <v>12</v>
      </c>
      <c r="F136" s="38">
        <v>78000</v>
      </c>
      <c r="G136" s="38">
        <f>E136*4500</f>
        <v>54000</v>
      </c>
      <c r="H136" s="38">
        <f>E136*2000</f>
        <v>24000</v>
      </c>
      <c r="I136" s="35"/>
    </row>
    <row r="137" spans="1:9" x14ac:dyDescent="0.25">
      <c r="A137" s="29"/>
      <c r="B137" s="29"/>
      <c r="C137" s="29"/>
      <c r="D137" s="29" t="s">
        <v>14</v>
      </c>
      <c r="E137" s="29">
        <v>7</v>
      </c>
      <c r="F137" s="38">
        <v>56000</v>
      </c>
      <c r="G137" s="29">
        <f>E137*5500</f>
        <v>38500</v>
      </c>
      <c r="H137" s="29">
        <f>E137*2500</f>
        <v>17500</v>
      </c>
      <c r="I137" s="35"/>
    </row>
    <row r="138" spans="1:9" x14ac:dyDescent="0.25">
      <c r="A138" s="29"/>
      <c r="B138" s="29"/>
      <c r="C138" s="29" t="s">
        <v>10</v>
      </c>
      <c r="D138" s="29" t="s">
        <v>13</v>
      </c>
      <c r="E138" s="29">
        <v>2</v>
      </c>
      <c r="F138" s="38">
        <v>13000</v>
      </c>
      <c r="G138" s="29">
        <v>9000</v>
      </c>
      <c r="H138" s="29">
        <v>4000</v>
      </c>
      <c r="I138" s="35"/>
    </row>
    <row r="139" spans="1:9" x14ac:dyDescent="0.25">
      <c r="A139" s="29"/>
      <c r="B139" s="29"/>
      <c r="C139" s="29"/>
      <c r="D139" s="29" t="s">
        <v>14</v>
      </c>
      <c r="E139" s="29">
        <v>6</v>
      </c>
      <c r="F139" s="38">
        <v>48000</v>
      </c>
      <c r="G139" s="29">
        <f>E139*5500</f>
        <v>33000</v>
      </c>
      <c r="H139" s="29">
        <f>E139*2500</f>
        <v>15000</v>
      </c>
      <c r="I139" s="35"/>
    </row>
    <row r="140" spans="1:9" x14ac:dyDescent="0.25">
      <c r="A140" s="29"/>
      <c r="B140" s="29"/>
      <c r="C140" s="29" t="s">
        <v>16</v>
      </c>
      <c r="D140" s="29" t="s">
        <v>11</v>
      </c>
      <c r="E140" s="29">
        <v>65</v>
      </c>
      <c r="F140" s="38">
        <v>97500</v>
      </c>
      <c r="G140" s="29">
        <f>E140*500</f>
        <v>32500</v>
      </c>
      <c r="H140" s="29">
        <v>65000</v>
      </c>
      <c r="I140" s="35"/>
    </row>
    <row r="141" spans="1:9" x14ac:dyDescent="0.25">
      <c r="A141" s="29"/>
      <c r="B141" s="29"/>
      <c r="C141" s="29" t="s">
        <v>10</v>
      </c>
      <c r="D141" s="29" t="s">
        <v>11</v>
      </c>
      <c r="E141" s="29">
        <v>15</v>
      </c>
      <c r="F141" s="38">
        <v>22500</v>
      </c>
      <c r="G141" s="29">
        <f>E141*500</f>
        <v>7500</v>
      </c>
      <c r="H141" s="29">
        <v>15000</v>
      </c>
      <c r="I141" s="35"/>
    </row>
    <row r="142" spans="1:9" x14ac:dyDescent="0.25">
      <c r="A142" s="29"/>
      <c r="B142" s="29"/>
      <c r="C142" s="29"/>
      <c r="D142" s="29" t="s">
        <v>13</v>
      </c>
      <c r="E142" s="29">
        <v>25</v>
      </c>
      <c r="F142" s="38">
        <v>162500</v>
      </c>
      <c r="G142" s="29">
        <f>E142*4500</f>
        <v>112500</v>
      </c>
      <c r="H142" s="29">
        <f>E142*2000</f>
        <v>50000</v>
      </c>
      <c r="I142" s="35"/>
    </row>
    <row r="143" spans="1:9" x14ac:dyDescent="0.25">
      <c r="A143" s="29"/>
      <c r="B143" s="29"/>
      <c r="C143" s="29"/>
      <c r="D143" s="29" t="s">
        <v>14</v>
      </c>
      <c r="E143" s="29">
        <v>13</v>
      </c>
      <c r="F143" s="38">
        <v>130000</v>
      </c>
      <c r="G143" s="29">
        <f>E143*5500</f>
        <v>71500</v>
      </c>
      <c r="H143" s="29">
        <f>E143*4500</f>
        <v>58500</v>
      </c>
      <c r="I143" s="35"/>
    </row>
    <row r="144" spans="1:9" x14ac:dyDescent="0.25">
      <c r="A144" s="29"/>
      <c r="B144" s="29"/>
      <c r="C144" s="29" t="s">
        <v>217</v>
      </c>
      <c r="D144" s="29" t="s">
        <v>11</v>
      </c>
      <c r="E144" s="29">
        <v>19</v>
      </c>
      <c r="F144" s="38">
        <v>28500</v>
      </c>
      <c r="G144" s="29">
        <f>E144*500</f>
        <v>9500</v>
      </c>
      <c r="H144" s="29">
        <v>19000</v>
      </c>
      <c r="I144" s="35"/>
    </row>
    <row r="145" spans="1:9" x14ac:dyDescent="0.25">
      <c r="A145" s="29"/>
      <c r="B145" s="29"/>
      <c r="C145" s="29"/>
      <c r="D145" s="29" t="s">
        <v>13</v>
      </c>
      <c r="E145" s="29">
        <v>1</v>
      </c>
      <c r="F145" s="38">
        <v>6500</v>
      </c>
      <c r="G145" s="29">
        <v>4500</v>
      </c>
      <c r="H145" s="29">
        <v>2000</v>
      </c>
      <c r="I145" s="35"/>
    </row>
    <row r="146" spans="1:9" x14ac:dyDescent="0.25">
      <c r="A146" s="29"/>
      <c r="B146" s="29"/>
      <c r="C146" s="29"/>
      <c r="D146" s="29" t="s">
        <v>14</v>
      </c>
      <c r="E146" s="29">
        <v>6</v>
      </c>
      <c r="F146" s="38">
        <v>48000</v>
      </c>
      <c r="G146" s="29">
        <f>E146*5500</f>
        <v>33000</v>
      </c>
      <c r="H146" s="29">
        <f>E146*2500</f>
        <v>15000</v>
      </c>
      <c r="I146" s="35"/>
    </row>
    <row r="147" spans="1:9" x14ac:dyDescent="0.25">
      <c r="A147" s="29"/>
      <c r="B147" s="29"/>
      <c r="C147" s="29" t="s">
        <v>328</v>
      </c>
      <c r="D147" s="29" t="s">
        <v>25</v>
      </c>
      <c r="E147" s="29">
        <v>3</v>
      </c>
      <c r="F147" s="38">
        <v>39000</v>
      </c>
      <c r="G147" s="29">
        <v>30000</v>
      </c>
      <c r="H147" s="29">
        <v>9000</v>
      </c>
      <c r="I147" s="35"/>
    </row>
    <row r="148" spans="1:9" x14ac:dyDescent="0.25">
      <c r="A148" s="29"/>
      <c r="B148" s="29"/>
      <c r="C148" s="29"/>
      <c r="D148" s="29" t="s">
        <v>25</v>
      </c>
      <c r="E148" s="29">
        <v>1</v>
      </c>
      <c r="F148" s="38">
        <v>15000</v>
      </c>
      <c r="G148" s="29">
        <v>10000</v>
      </c>
      <c r="H148" s="29">
        <v>5000</v>
      </c>
      <c r="I148" s="35"/>
    </row>
    <row r="149" spans="1:9" x14ac:dyDescent="0.25">
      <c r="A149" s="29"/>
      <c r="B149" s="29"/>
      <c r="C149" s="29"/>
      <c r="D149" s="29" t="s">
        <v>21</v>
      </c>
      <c r="E149" s="29">
        <v>1</v>
      </c>
      <c r="F149" s="38">
        <v>17000</v>
      </c>
      <c r="G149" s="29">
        <v>11000</v>
      </c>
      <c r="H149" s="29">
        <v>6000</v>
      </c>
      <c r="I149" s="35"/>
    </row>
    <row r="150" spans="1:9" x14ac:dyDescent="0.25">
      <c r="A150" s="126" t="s">
        <v>17</v>
      </c>
      <c r="B150" s="126"/>
      <c r="C150" s="126"/>
      <c r="D150" s="126"/>
      <c r="E150" s="126"/>
      <c r="F150" s="41">
        <f>SUM(F128:F149)</f>
        <v>1581900</v>
      </c>
      <c r="G150" s="41">
        <f>SUM(G128:G149)</f>
        <v>775500</v>
      </c>
      <c r="H150" s="41">
        <f>SUM(H128:H149)</f>
        <v>806400</v>
      </c>
      <c r="I150" s="35"/>
    </row>
    <row r="151" spans="1:9" x14ac:dyDescent="0.25">
      <c r="A151" s="29" t="s">
        <v>32</v>
      </c>
      <c r="B151" s="29" t="s">
        <v>329</v>
      </c>
      <c r="C151" s="29" t="s">
        <v>10</v>
      </c>
      <c r="D151" s="29" t="s">
        <v>14</v>
      </c>
      <c r="E151" s="29">
        <v>17</v>
      </c>
      <c r="F151" s="38">
        <v>170000</v>
      </c>
      <c r="G151" s="29">
        <f>17*5500</f>
        <v>93500</v>
      </c>
      <c r="H151" s="29">
        <f>17*4500</f>
        <v>76500</v>
      </c>
    </row>
    <row r="152" spans="1:9" x14ac:dyDescent="0.25">
      <c r="A152" s="29"/>
      <c r="B152" s="29"/>
      <c r="C152" s="29"/>
      <c r="D152" s="29" t="s">
        <v>14</v>
      </c>
      <c r="E152" s="29">
        <v>1</v>
      </c>
      <c r="F152" s="38">
        <v>8000</v>
      </c>
      <c r="G152" s="29">
        <v>5500</v>
      </c>
      <c r="H152" s="29">
        <v>2500</v>
      </c>
    </row>
    <row r="153" spans="1:9" x14ac:dyDescent="0.25">
      <c r="A153" s="29"/>
      <c r="B153" s="29"/>
      <c r="C153" s="29"/>
      <c r="D153" s="29" t="s">
        <v>13</v>
      </c>
      <c r="E153" s="29">
        <v>14</v>
      </c>
      <c r="F153" s="38">
        <v>91000</v>
      </c>
      <c r="G153" s="29">
        <f>14*4500</f>
        <v>63000</v>
      </c>
      <c r="H153" s="29">
        <f>14*2000</f>
        <v>28000</v>
      </c>
    </row>
    <row r="154" spans="1:9" x14ac:dyDescent="0.25">
      <c r="A154" s="29"/>
      <c r="B154" s="29"/>
      <c r="C154" s="29"/>
      <c r="D154" s="29" t="s">
        <v>11</v>
      </c>
      <c r="E154" s="29">
        <v>22</v>
      </c>
      <c r="F154" s="38">
        <v>33000</v>
      </c>
      <c r="G154" s="29">
        <f>22*500</f>
        <v>11000</v>
      </c>
      <c r="H154" s="29">
        <v>22000</v>
      </c>
    </row>
    <row r="155" spans="1:9" x14ac:dyDescent="0.25">
      <c r="A155" s="29"/>
      <c r="B155" s="29"/>
      <c r="C155" s="29" t="s">
        <v>217</v>
      </c>
      <c r="D155" s="29" t="s">
        <v>11</v>
      </c>
      <c r="E155" s="29">
        <v>30</v>
      </c>
      <c r="F155" s="38">
        <v>45000</v>
      </c>
      <c r="G155" s="29">
        <f>30*500</f>
        <v>15000</v>
      </c>
      <c r="H155" s="29">
        <v>30000</v>
      </c>
    </row>
    <row r="156" spans="1:9" x14ac:dyDescent="0.25">
      <c r="A156" s="29"/>
      <c r="B156" s="29"/>
      <c r="C156" s="29"/>
      <c r="D156" s="29" t="s">
        <v>13</v>
      </c>
      <c r="E156" s="29">
        <v>6</v>
      </c>
      <c r="F156" s="38">
        <v>39000</v>
      </c>
      <c r="G156" s="29">
        <f>6*4500</f>
        <v>27000</v>
      </c>
      <c r="H156" s="29">
        <v>12000</v>
      </c>
    </row>
    <row r="157" spans="1:9" x14ac:dyDescent="0.25">
      <c r="A157" s="29"/>
      <c r="B157" s="29"/>
      <c r="C157" s="29"/>
      <c r="D157" s="29" t="s">
        <v>14</v>
      </c>
      <c r="E157" s="29">
        <v>4</v>
      </c>
      <c r="F157" s="38">
        <v>32000</v>
      </c>
      <c r="G157" s="29">
        <f>4*5500</f>
        <v>22000</v>
      </c>
      <c r="H157" s="29">
        <v>10000</v>
      </c>
    </row>
    <row r="158" spans="1:9" x14ac:dyDescent="0.25">
      <c r="A158" s="29"/>
      <c r="B158" s="29"/>
      <c r="C158" s="29" t="s">
        <v>231</v>
      </c>
      <c r="D158" s="29" t="s">
        <v>11</v>
      </c>
      <c r="E158" s="29">
        <v>30</v>
      </c>
      <c r="F158" s="38">
        <v>45000</v>
      </c>
      <c r="G158" s="29">
        <f>30*500</f>
        <v>15000</v>
      </c>
      <c r="H158" s="29">
        <v>30000</v>
      </c>
    </row>
    <row r="159" spans="1:9" x14ac:dyDescent="0.25">
      <c r="A159" s="29"/>
      <c r="B159" s="29"/>
      <c r="C159" s="29" t="s">
        <v>16</v>
      </c>
      <c r="D159" s="29" t="s">
        <v>11</v>
      </c>
      <c r="E159" s="29">
        <v>69</v>
      </c>
      <c r="F159" s="38">
        <v>103500</v>
      </c>
      <c r="G159" s="29">
        <f>69*500</f>
        <v>34500</v>
      </c>
      <c r="H159" s="29">
        <v>69000</v>
      </c>
    </row>
    <row r="160" spans="1:9" x14ac:dyDescent="0.25">
      <c r="A160" s="29"/>
      <c r="B160" s="29"/>
      <c r="C160" s="29" t="s">
        <v>288</v>
      </c>
      <c r="D160" s="29" t="s">
        <v>11</v>
      </c>
      <c r="E160" s="29">
        <v>65</v>
      </c>
      <c r="F160" s="29">
        <f>65*1800</f>
        <v>117000</v>
      </c>
      <c r="G160" s="29">
        <f>65*500</f>
        <v>32500</v>
      </c>
      <c r="H160" s="29">
        <f>65*1300</f>
        <v>84500</v>
      </c>
    </row>
    <row r="161" spans="1:9" x14ac:dyDescent="0.25">
      <c r="A161" s="29"/>
      <c r="B161" s="29"/>
      <c r="C161" s="29" t="s">
        <v>108</v>
      </c>
      <c r="D161" s="29" t="s">
        <v>11</v>
      </c>
      <c r="E161" s="29">
        <v>48</v>
      </c>
      <c r="F161" s="29">
        <f>48*1500</f>
        <v>72000</v>
      </c>
      <c r="G161" s="29">
        <f>48*500</f>
        <v>24000</v>
      </c>
      <c r="H161" s="29">
        <f>48*1000</f>
        <v>48000</v>
      </c>
    </row>
    <row r="162" spans="1:9" x14ac:dyDescent="0.25">
      <c r="A162" s="29"/>
      <c r="B162" s="29"/>
      <c r="C162" s="29" t="s">
        <v>235</v>
      </c>
      <c r="D162" s="29" t="s">
        <v>25</v>
      </c>
      <c r="E162" s="29">
        <v>3</v>
      </c>
      <c r="F162" s="38">
        <v>39000</v>
      </c>
      <c r="G162" s="29">
        <v>30000</v>
      </c>
      <c r="H162" s="29">
        <v>9000</v>
      </c>
    </row>
    <row r="163" spans="1:9" x14ac:dyDescent="0.25">
      <c r="A163" s="126" t="s">
        <v>17</v>
      </c>
      <c r="B163" s="126"/>
      <c r="C163" s="126"/>
      <c r="D163" s="126"/>
      <c r="E163" s="126"/>
      <c r="F163" s="41">
        <f>SUM(F151:F162)</f>
        <v>794500</v>
      </c>
      <c r="G163" s="41">
        <f>SUM(G151:G162)</f>
        <v>373000</v>
      </c>
      <c r="H163" s="41">
        <f>SUM(H151:H162)</f>
        <v>421500</v>
      </c>
    </row>
    <row r="164" spans="1:9" x14ac:dyDescent="0.25">
      <c r="A164" s="29" t="s">
        <v>8</v>
      </c>
      <c r="B164" s="29" t="s">
        <v>330</v>
      </c>
      <c r="C164" s="29" t="s">
        <v>288</v>
      </c>
      <c r="D164" s="29" t="s">
        <v>11</v>
      </c>
      <c r="E164" s="29">
        <f>65-31</f>
        <v>34</v>
      </c>
      <c r="F164" s="29">
        <f>34*1800</f>
        <v>61200</v>
      </c>
      <c r="G164" s="29">
        <f>34*500</f>
        <v>17000</v>
      </c>
      <c r="H164" s="29">
        <f>34*1300</f>
        <v>44200</v>
      </c>
    </row>
    <row r="165" spans="1:9" x14ac:dyDescent="0.25">
      <c r="A165" s="29"/>
      <c r="B165" s="29"/>
      <c r="C165" s="29" t="s">
        <v>16</v>
      </c>
      <c r="D165" s="29" t="s">
        <v>11</v>
      </c>
      <c r="E165" s="29">
        <v>61</v>
      </c>
      <c r="F165" s="29">
        <v>91500</v>
      </c>
      <c r="G165" s="29">
        <f>61*500</f>
        <v>30500</v>
      </c>
      <c r="H165" s="29">
        <v>61000</v>
      </c>
    </row>
    <row r="166" spans="1:9" x14ac:dyDescent="0.25">
      <c r="A166" s="29"/>
      <c r="B166" s="29"/>
      <c r="C166" s="29"/>
      <c r="D166" s="29" t="s">
        <v>12</v>
      </c>
      <c r="E166" s="29">
        <v>3</v>
      </c>
      <c r="F166" s="29">
        <v>9000</v>
      </c>
      <c r="G166" s="29">
        <v>6000</v>
      </c>
      <c r="H166" s="29">
        <v>3000</v>
      </c>
    </row>
    <row r="167" spans="1:9" x14ac:dyDescent="0.25">
      <c r="A167" s="29"/>
      <c r="B167" s="29"/>
      <c r="C167" s="29"/>
      <c r="D167" s="29" t="s">
        <v>13</v>
      </c>
      <c r="E167" s="29">
        <v>1</v>
      </c>
      <c r="F167" s="29">
        <v>6500</v>
      </c>
      <c r="G167" s="29">
        <v>4500</v>
      </c>
      <c r="H167" s="29">
        <v>2000</v>
      </c>
    </row>
    <row r="168" spans="1:9" x14ac:dyDescent="0.25">
      <c r="A168" s="29"/>
      <c r="B168" s="29"/>
      <c r="C168" s="29" t="s">
        <v>331</v>
      </c>
      <c r="D168" s="29" t="s">
        <v>11</v>
      </c>
      <c r="E168" s="29">
        <v>23</v>
      </c>
      <c r="F168" s="29">
        <f>23*1500</f>
        <v>34500</v>
      </c>
      <c r="G168" s="29">
        <f>23*500</f>
        <v>11500</v>
      </c>
      <c r="H168" s="29">
        <v>23000</v>
      </c>
    </row>
    <row r="169" spans="1:9" x14ac:dyDescent="0.25">
      <c r="A169" s="29"/>
      <c r="B169" s="29"/>
      <c r="C169" s="29" t="s">
        <v>332</v>
      </c>
      <c r="D169" s="29" t="s">
        <v>21</v>
      </c>
      <c r="E169" s="29">
        <v>3</v>
      </c>
      <c r="F169" s="29">
        <v>45000</v>
      </c>
      <c r="G169" s="29">
        <v>33000</v>
      </c>
      <c r="H169" s="29">
        <f>F169-G169</f>
        <v>12000</v>
      </c>
    </row>
    <row r="170" spans="1:9" x14ac:dyDescent="0.25">
      <c r="A170" s="29"/>
      <c r="B170" s="29"/>
      <c r="C170" s="29" t="s">
        <v>10</v>
      </c>
      <c r="D170" s="29" t="s">
        <v>11</v>
      </c>
      <c r="E170" s="29">
        <v>6</v>
      </c>
      <c r="F170" s="29">
        <v>9000</v>
      </c>
      <c r="G170" s="29">
        <v>3000</v>
      </c>
      <c r="H170" s="29">
        <v>6000</v>
      </c>
    </row>
    <row r="171" spans="1:9" x14ac:dyDescent="0.25">
      <c r="A171" s="29"/>
      <c r="B171" s="29"/>
      <c r="C171" s="29"/>
      <c r="D171" s="29" t="s">
        <v>13</v>
      </c>
      <c r="E171" s="29">
        <v>11</v>
      </c>
      <c r="F171" s="29">
        <v>71500</v>
      </c>
      <c r="G171" s="29">
        <f>11*4500</f>
        <v>49500</v>
      </c>
      <c r="H171" s="29">
        <v>22000</v>
      </c>
    </row>
    <row r="172" spans="1:9" x14ac:dyDescent="0.25">
      <c r="A172" s="29"/>
      <c r="B172" s="29"/>
      <c r="C172" s="29"/>
      <c r="D172" s="29" t="s">
        <v>14</v>
      </c>
      <c r="E172" s="29">
        <v>8</v>
      </c>
      <c r="F172" s="29">
        <v>80000</v>
      </c>
      <c r="G172" s="29">
        <f>8*5500</f>
        <v>44000</v>
      </c>
      <c r="H172" s="29">
        <f>8*4500</f>
        <v>36000</v>
      </c>
    </row>
    <row r="173" spans="1:9" x14ac:dyDescent="0.25">
      <c r="A173" s="29"/>
      <c r="B173" s="29"/>
      <c r="C173" s="29"/>
      <c r="D173" s="29" t="s">
        <v>25</v>
      </c>
      <c r="E173" s="29">
        <v>1</v>
      </c>
      <c r="F173" s="29">
        <v>13000</v>
      </c>
      <c r="G173" s="29">
        <v>10000</v>
      </c>
      <c r="H173" s="29">
        <v>3000</v>
      </c>
    </row>
    <row r="174" spans="1:9" x14ac:dyDescent="0.25">
      <c r="A174" s="127" t="s">
        <v>17</v>
      </c>
      <c r="B174" s="127"/>
      <c r="C174" s="127"/>
      <c r="D174" s="127"/>
      <c r="E174" s="29"/>
      <c r="F174" s="16">
        <f>SUM(F164:F173)</f>
        <v>421200</v>
      </c>
      <c r="G174" s="16">
        <f>SUM(G164:G173)</f>
        <v>209000</v>
      </c>
      <c r="H174" s="16">
        <f>SUM(H164:H173)</f>
        <v>212200</v>
      </c>
    </row>
    <row r="175" spans="1:9" x14ac:dyDescent="0.25">
      <c r="A175" s="29" t="s">
        <v>18</v>
      </c>
      <c r="B175" s="29" t="s">
        <v>333</v>
      </c>
      <c r="C175" s="29" t="s">
        <v>288</v>
      </c>
      <c r="D175" s="29" t="s">
        <v>11</v>
      </c>
      <c r="E175" s="29">
        <v>83</v>
      </c>
      <c r="F175" s="38">
        <v>149400</v>
      </c>
      <c r="G175" s="38">
        <f>E175*500</f>
        <v>41500</v>
      </c>
      <c r="H175" s="38">
        <f>E175*1300</f>
        <v>107900</v>
      </c>
      <c r="I175" s="35"/>
    </row>
    <row r="176" spans="1:9" x14ac:dyDescent="0.25">
      <c r="A176" s="29"/>
      <c r="B176" s="29"/>
      <c r="C176" s="29" t="s">
        <v>292</v>
      </c>
      <c r="D176" s="29" t="s">
        <v>11</v>
      </c>
      <c r="E176" s="29">
        <v>49</v>
      </c>
      <c r="F176" s="38">
        <f>E176*1500</f>
        <v>73500</v>
      </c>
      <c r="G176" s="38">
        <f>E176*500</f>
        <v>24500</v>
      </c>
      <c r="H176" s="38">
        <v>49000</v>
      </c>
      <c r="I176" s="35"/>
    </row>
    <row r="177" spans="1:9" x14ac:dyDescent="0.25">
      <c r="A177" s="29"/>
      <c r="B177" s="29"/>
      <c r="C177" s="29" t="s">
        <v>106</v>
      </c>
      <c r="D177" s="29" t="s">
        <v>11</v>
      </c>
      <c r="E177" s="29">
        <v>25</v>
      </c>
      <c r="F177" s="38">
        <v>37500</v>
      </c>
      <c r="G177" s="38">
        <f>E177*500</f>
        <v>12500</v>
      </c>
      <c r="H177" s="38">
        <v>25000</v>
      </c>
      <c r="I177" s="35"/>
    </row>
    <row r="178" spans="1:9" x14ac:dyDescent="0.25">
      <c r="A178" s="29"/>
      <c r="B178" s="29"/>
      <c r="C178" s="29" t="s">
        <v>235</v>
      </c>
      <c r="D178" s="29" t="s">
        <v>25</v>
      </c>
      <c r="E178" s="29">
        <v>3</v>
      </c>
      <c r="F178" s="38">
        <v>45000</v>
      </c>
      <c r="G178" s="38">
        <v>30000</v>
      </c>
      <c r="H178" s="38">
        <v>15000</v>
      </c>
      <c r="I178" s="35"/>
    </row>
    <row r="179" spans="1:9" x14ac:dyDescent="0.25">
      <c r="A179" s="29"/>
      <c r="B179" s="29"/>
      <c r="C179" s="29" t="s">
        <v>217</v>
      </c>
      <c r="D179" s="29" t="s">
        <v>11</v>
      </c>
      <c r="E179" s="29">
        <v>53</v>
      </c>
      <c r="F179" s="38">
        <v>79500</v>
      </c>
      <c r="G179" s="38">
        <f>E179*500</f>
        <v>26500</v>
      </c>
      <c r="H179" s="38">
        <v>53000</v>
      </c>
      <c r="I179" s="35"/>
    </row>
    <row r="180" spans="1:9" x14ac:dyDescent="0.25">
      <c r="A180" s="126" t="s">
        <v>17</v>
      </c>
      <c r="B180" s="126"/>
      <c r="C180" s="126"/>
      <c r="D180" s="126"/>
      <c r="E180" s="126"/>
      <c r="F180" s="17">
        <f>SUM(F175:F179)</f>
        <v>384900</v>
      </c>
      <c r="G180" s="17">
        <f>SUM(G175:G179)</f>
        <v>135000</v>
      </c>
      <c r="H180" s="17">
        <f>SUM(H175:H179)</f>
        <v>249900</v>
      </c>
      <c r="I180" s="35"/>
    </row>
    <row r="181" spans="1:9" x14ac:dyDescent="0.25">
      <c r="A181" s="29" t="s">
        <v>22</v>
      </c>
      <c r="B181" s="29" t="s">
        <v>334</v>
      </c>
      <c r="C181" s="29" t="s">
        <v>288</v>
      </c>
      <c r="D181" s="29" t="s">
        <v>11</v>
      </c>
      <c r="E181" s="29">
        <v>41</v>
      </c>
      <c r="F181" s="38">
        <v>73800</v>
      </c>
      <c r="G181" s="38">
        <f>41*500</f>
        <v>20500</v>
      </c>
      <c r="H181" s="38">
        <f>41*1300</f>
        <v>53300</v>
      </c>
      <c r="I181" s="35"/>
    </row>
    <row r="182" spans="1:9" x14ac:dyDescent="0.25">
      <c r="A182" s="29"/>
      <c r="B182" s="29"/>
      <c r="C182" s="29" t="s">
        <v>108</v>
      </c>
      <c r="D182" s="29" t="s">
        <v>11</v>
      </c>
      <c r="E182" s="29">
        <v>55</v>
      </c>
      <c r="F182" s="38">
        <v>82500</v>
      </c>
      <c r="G182" s="38">
        <f>55*500</f>
        <v>27500</v>
      </c>
      <c r="H182" s="38">
        <v>55000</v>
      </c>
      <c r="I182" s="35"/>
    </row>
    <row r="183" spans="1:9" x14ac:dyDescent="0.25">
      <c r="A183" s="29"/>
      <c r="B183" s="29"/>
      <c r="C183" s="29" t="s">
        <v>106</v>
      </c>
      <c r="D183" s="29" t="s">
        <v>11</v>
      </c>
      <c r="E183" s="29">
        <v>25</v>
      </c>
      <c r="F183" s="38">
        <v>37500</v>
      </c>
      <c r="G183" s="38">
        <f>25*500</f>
        <v>12500</v>
      </c>
      <c r="H183" s="38">
        <v>25000</v>
      </c>
      <c r="I183" s="35"/>
    </row>
    <row r="184" spans="1:9" x14ac:dyDescent="0.25">
      <c r="A184" s="29"/>
      <c r="B184" s="29"/>
      <c r="C184" s="29" t="s">
        <v>217</v>
      </c>
      <c r="D184" s="29" t="s">
        <v>11</v>
      </c>
      <c r="E184" s="29">
        <v>41</v>
      </c>
      <c r="F184" s="38">
        <v>61500</v>
      </c>
      <c r="G184" s="38">
        <f>41*500</f>
        <v>20500</v>
      </c>
      <c r="H184" s="38">
        <v>41000</v>
      </c>
      <c r="I184" s="35"/>
    </row>
    <row r="185" spans="1:9" x14ac:dyDescent="0.25">
      <c r="A185" s="29"/>
      <c r="B185" s="29"/>
      <c r="C185" s="29"/>
      <c r="D185" s="29" t="s">
        <v>14</v>
      </c>
      <c r="E185" s="29">
        <v>4</v>
      </c>
      <c r="F185" s="38">
        <v>32000</v>
      </c>
      <c r="G185" s="38">
        <f>4*5500</f>
        <v>22000</v>
      </c>
      <c r="H185" s="38">
        <v>10000</v>
      </c>
      <c r="I185" s="35"/>
    </row>
    <row r="186" spans="1:9" x14ac:dyDescent="0.25">
      <c r="A186" s="29"/>
      <c r="B186" s="29"/>
      <c r="C186" s="29" t="s">
        <v>10</v>
      </c>
      <c r="D186" s="29" t="s">
        <v>11</v>
      </c>
      <c r="E186" s="29">
        <v>11</v>
      </c>
      <c r="F186" s="38">
        <v>16500</v>
      </c>
      <c r="G186" s="38">
        <f>11*500</f>
        <v>5500</v>
      </c>
      <c r="H186" s="38">
        <v>11000</v>
      </c>
      <c r="I186" s="35"/>
    </row>
    <row r="187" spans="1:9" x14ac:dyDescent="0.25">
      <c r="A187" s="29"/>
      <c r="B187" s="29"/>
      <c r="C187" s="29"/>
      <c r="D187" s="29" t="s">
        <v>13</v>
      </c>
      <c r="E187" s="29">
        <v>3</v>
      </c>
      <c r="F187" s="38">
        <v>19500</v>
      </c>
      <c r="G187" s="38">
        <f>3*4500</f>
        <v>13500</v>
      </c>
      <c r="H187" s="38">
        <v>6000</v>
      </c>
      <c r="I187" s="35"/>
    </row>
    <row r="188" spans="1:9" x14ac:dyDescent="0.25">
      <c r="A188" s="29"/>
      <c r="B188" s="29"/>
      <c r="C188" s="29"/>
      <c r="D188" s="29" t="s">
        <v>14</v>
      </c>
      <c r="E188" s="29">
        <v>1</v>
      </c>
      <c r="F188" s="38">
        <v>8000</v>
      </c>
      <c r="G188" s="38">
        <v>5500</v>
      </c>
      <c r="H188" s="38">
        <v>2500</v>
      </c>
      <c r="I188" s="35"/>
    </row>
    <row r="189" spans="1:9" x14ac:dyDescent="0.25">
      <c r="A189" s="29"/>
      <c r="B189" s="29"/>
      <c r="C189" s="29" t="s">
        <v>16</v>
      </c>
      <c r="D189" s="29" t="s">
        <v>11</v>
      </c>
      <c r="E189" s="29">
        <v>53</v>
      </c>
      <c r="F189" s="38">
        <v>79500</v>
      </c>
      <c r="G189" s="38">
        <f>53*500</f>
        <v>26500</v>
      </c>
      <c r="H189" s="38">
        <v>53000</v>
      </c>
      <c r="I189" s="35"/>
    </row>
    <row r="190" spans="1:9" x14ac:dyDescent="0.25">
      <c r="A190" s="29"/>
      <c r="B190" s="29"/>
      <c r="C190" s="29"/>
      <c r="D190" s="29" t="s">
        <v>12</v>
      </c>
      <c r="E190" s="29">
        <v>4</v>
      </c>
      <c r="F190" s="38">
        <v>12000</v>
      </c>
      <c r="G190" s="38">
        <v>8000</v>
      </c>
      <c r="H190" s="38">
        <v>4000</v>
      </c>
      <c r="I190" s="35"/>
    </row>
    <row r="191" spans="1:9" x14ac:dyDescent="0.25">
      <c r="A191" s="29"/>
      <c r="B191" s="29"/>
      <c r="C191" s="29"/>
      <c r="D191" s="29" t="s">
        <v>13</v>
      </c>
      <c r="E191" s="29">
        <v>1</v>
      </c>
      <c r="F191" s="38">
        <v>6500</v>
      </c>
      <c r="G191" s="38">
        <v>4500</v>
      </c>
      <c r="H191" s="38">
        <v>2000</v>
      </c>
      <c r="I191" s="35"/>
    </row>
    <row r="192" spans="1:9" x14ac:dyDescent="0.25">
      <c r="A192" s="126" t="s">
        <v>17</v>
      </c>
      <c r="B192" s="126"/>
      <c r="C192" s="126"/>
      <c r="D192" s="126"/>
      <c r="E192" s="126"/>
      <c r="F192" s="17">
        <f>SUM(F181:F191)</f>
        <v>429300</v>
      </c>
      <c r="G192" s="17">
        <f>SUM(G181:G191)</f>
        <v>166500</v>
      </c>
      <c r="H192" s="17">
        <f>SUM(H181:H191)</f>
        <v>262800</v>
      </c>
      <c r="I192" s="35"/>
    </row>
    <row r="193" spans="1:9" x14ac:dyDescent="0.25">
      <c r="A193" s="29" t="s">
        <v>26</v>
      </c>
      <c r="B193" s="29" t="s">
        <v>335</v>
      </c>
      <c r="C193" s="29" t="s">
        <v>288</v>
      </c>
      <c r="D193" s="29" t="s">
        <v>11</v>
      </c>
      <c r="E193" s="29">
        <v>41</v>
      </c>
      <c r="F193" s="38">
        <v>73800</v>
      </c>
      <c r="G193" s="38">
        <f>41*500</f>
        <v>20500</v>
      </c>
      <c r="H193" s="38">
        <f>41*1300</f>
        <v>53300</v>
      </c>
      <c r="I193" s="35"/>
    </row>
    <row r="194" spans="1:9" x14ac:dyDescent="0.25">
      <c r="A194" s="29"/>
      <c r="B194" s="29"/>
      <c r="C194" s="29" t="s">
        <v>236</v>
      </c>
      <c r="D194" s="29" t="s">
        <v>11</v>
      </c>
      <c r="E194" s="29">
        <v>120</v>
      </c>
      <c r="F194" s="38">
        <v>180000</v>
      </c>
      <c r="G194" s="38">
        <f>E194*500</f>
        <v>60000</v>
      </c>
      <c r="H194" s="38">
        <f>E194*1000</f>
        <v>120000</v>
      </c>
      <c r="I194" s="35"/>
    </row>
    <row r="195" spans="1:9" x14ac:dyDescent="0.25">
      <c r="A195" s="29"/>
      <c r="B195" s="29"/>
      <c r="C195" s="29"/>
      <c r="D195" s="29" t="s">
        <v>11</v>
      </c>
      <c r="E195" s="29">
        <v>107</v>
      </c>
      <c r="F195" s="38">
        <v>160500</v>
      </c>
      <c r="G195" s="38">
        <f t="shared" ref="G195:G200" si="6">E195*500</f>
        <v>53500</v>
      </c>
      <c r="H195" s="38">
        <f t="shared" ref="H195:H200" si="7">E195*1000</f>
        <v>107000</v>
      </c>
      <c r="I195" s="35"/>
    </row>
    <row r="196" spans="1:9" x14ac:dyDescent="0.25">
      <c r="A196" s="29"/>
      <c r="B196" s="29"/>
      <c r="C196" s="29"/>
      <c r="D196" s="29" t="s">
        <v>11</v>
      </c>
      <c r="E196" s="29">
        <v>130</v>
      </c>
      <c r="F196" s="38">
        <v>195000</v>
      </c>
      <c r="G196" s="38">
        <f t="shared" si="6"/>
        <v>65000</v>
      </c>
      <c r="H196" s="38">
        <f t="shared" si="7"/>
        <v>130000</v>
      </c>
      <c r="I196" s="35"/>
    </row>
    <row r="197" spans="1:9" x14ac:dyDescent="0.25">
      <c r="A197" s="29"/>
      <c r="B197" s="29"/>
      <c r="C197" s="29"/>
      <c r="D197" s="29" t="s">
        <v>11</v>
      </c>
      <c r="E197" s="29">
        <v>123</v>
      </c>
      <c r="F197" s="38">
        <v>184500</v>
      </c>
      <c r="G197" s="38">
        <f t="shared" si="6"/>
        <v>61500</v>
      </c>
      <c r="H197" s="38">
        <f t="shared" si="7"/>
        <v>123000</v>
      </c>
      <c r="I197" s="35"/>
    </row>
    <row r="198" spans="1:9" x14ac:dyDescent="0.25">
      <c r="A198" s="29"/>
      <c r="B198" s="29"/>
      <c r="C198" s="29"/>
      <c r="D198" s="29" t="s">
        <v>11</v>
      </c>
      <c r="E198" s="29">
        <v>96</v>
      </c>
      <c r="F198" s="38">
        <v>144000</v>
      </c>
      <c r="G198" s="38">
        <f t="shared" si="6"/>
        <v>48000</v>
      </c>
      <c r="H198" s="38">
        <f t="shared" si="7"/>
        <v>96000</v>
      </c>
      <c r="I198" s="35"/>
    </row>
    <row r="199" spans="1:9" x14ac:dyDescent="0.25">
      <c r="A199" s="29"/>
      <c r="B199" s="29"/>
      <c r="C199" s="29"/>
      <c r="D199" s="29" t="s">
        <v>11</v>
      </c>
      <c r="E199" s="29">
        <v>94</v>
      </c>
      <c r="F199" s="38">
        <v>141000</v>
      </c>
      <c r="G199" s="38">
        <f t="shared" si="6"/>
        <v>47000</v>
      </c>
      <c r="H199" s="38">
        <f t="shared" si="7"/>
        <v>94000</v>
      </c>
      <c r="I199" s="35"/>
    </row>
    <row r="200" spans="1:9" x14ac:dyDescent="0.25">
      <c r="A200" s="29"/>
      <c r="B200" s="29"/>
      <c r="C200" s="29" t="s">
        <v>135</v>
      </c>
      <c r="D200" s="29" t="s">
        <v>11</v>
      </c>
      <c r="E200" s="29">
        <v>120</v>
      </c>
      <c r="F200" s="29">
        <f>120*1500</f>
        <v>180000</v>
      </c>
      <c r="G200" s="38">
        <f t="shared" si="6"/>
        <v>60000</v>
      </c>
      <c r="H200" s="38">
        <f t="shared" si="7"/>
        <v>120000</v>
      </c>
      <c r="I200" s="35"/>
    </row>
    <row r="201" spans="1:9" x14ac:dyDescent="0.25">
      <c r="A201" s="29"/>
      <c r="B201" s="29"/>
      <c r="C201" s="29"/>
      <c r="D201" s="29" t="s">
        <v>13</v>
      </c>
      <c r="E201" s="29">
        <v>10</v>
      </c>
      <c r="F201" s="38">
        <v>70000</v>
      </c>
      <c r="G201" s="29">
        <v>45000</v>
      </c>
      <c r="H201" s="44">
        <f>F201-G201</f>
        <v>25000</v>
      </c>
      <c r="I201" s="35"/>
    </row>
    <row r="202" spans="1:9" x14ac:dyDescent="0.25">
      <c r="A202" s="29"/>
      <c r="B202" s="29"/>
      <c r="C202" s="29" t="s">
        <v>235</v>
      </c>
      <c r="D202" s="29" t="s">
        <v>25</v>
      </c>
      <c r="E202" s="29">
        <v>3</v>
      </c>
      <c r="F202" s="38">
        <v>39000</v>
      </c>
      <c r="G202" s="29">
        <v>30000</v>
      </c>
      <c r="H202" s="44">
        <v>9000</v>
      </c>
      <c r="I202" s="35"/>
    </row>
    <row r="203" spans="1:9" x14ac:dyDescent="0.25">
      <c r="A203" s="29"/>
      <c r="B203" s="29"/>
      <c r="C203" s="29" t="s">
        <v>10</v>
      </c>
      <c r="D203" s="29" t="s">
        <v>11</v>
      </c>
      <c r="E203" s="29">
        <v>19</v>
      </c>
      <c r="F203" s="38">
        <v>28500</v>
      </c>
      <c r="G203" s="29">
        <f>19*500</f>
        <v>9500</v>
      </c>
      <c r="H203" s="29">
        <v>19000</v>
      </c>
      <c r="I203" s="35"/>
    </row>
    <row r="204" spans="1:9" x14ac:dyDescent="0.25">
      <c r="A204" s="29"/>
      <c r="B204" s="29"/>
      <c r="C204" s="29"/>
      <c r="D204" s="29" t="s">
        <v>13</v>
      </c>
      <c r="E204" s="29">
        <v>20</v>
      </c>
      <c r="F204" s="38">
        <v>160000</v>
      </c>
      <c r="G204" s="29">
        <f>20*4500</f>
        <v>90000</v>
      </c>
      <c r="H204" s="29">
        <f>20*3500</f>
        <v>70000</v>
      </c>
      <c r="I204" s="35"/>
    </row>
    <row r="205" spans="1:9" x14ac:dyDescent="0.25">
      <c r="A205" s="29"/>
      <c r="B205" s="29"/>
      <c r="C205" s="29"/>
      <c r="D205" s="29" t="s">
        <v>13</v>
      </c>
      <c r="E205" s="29">
        <v>22</v>
      </c>
      <c r="F205" s="38">
        <v>143000</v>
      </c>
      <c r="G205" s="29">
        <f>22*4500</f>
        <v>99000</v>
      </c>
      <c r="H205" s="29">
        <f>22*2000</f>
        <v>44000</v>
      </c>
      <c r="I205" s="35"/>
    </row>
    <row r="206" spans="1:9" x14ac:dyDescent="0.25">
      <c r="A206" s="29"/>
      <c r="B206" s="29"/>
      <c r="C206" s="29"/>
      <c r="D206" s="29" t="s">
        <v>14</v>
      </c>
      <c r="E206" s="29">
        <v>30</v>
      </c>
      <c r="F206" s="38">
        <v>300000</v>
      </c>
      <c r="G206" s="29">
        <f>30*5500</f>
        <v>165000</v>
      </c>
      <c r="H206" s="29">
        <f>30*4500</f>
        <v>135000</v>
      </c>
      <c r="I206" s="35"/>
    </row>
    <row r="207" spans="1:9" x14ac:dyDescent="0.25">
      <c r="A207" s="29"/>
      <c r="B207" s="29"/>
      <c r="C207" s="29"/>
      <c r="D207" s="29" t="s">
        <v>14</v>
      </c>
      <c r="E207" s="29">
        <v>11</v>
      </c>
      <c r="F207" s="38">
        <v>88000</v>
      </c>
      <c r="G207" s="29">
        <f>11*5500</f>
        <v>60500</v>
      </c>
      <c r="H207" s="29">
        <f>11*2500</f>
        <v>27500</v>
      </c>
      <c r="I207" s="35"/>
    </row>
    <row r="208" spans="1:9" x14ac:dyDescent="0.25">
      <c r="A208" s="29"/>
      <c r="B208" s="29"/>
      <c r="C208" s="29" t="s">
        <v>217</v>
      </c>
      <c r="D208" s="29" t="s">
        <v>11</v>
      </c>
      <c r="E208" s="29">
        <v>42</v>
      </c>
      <c r="F208" s="38">
        <f>42*1500</f>
        <v>63000</v>
      </c>
      <c r="G208" s="29">
        <f>42*500</f>
        <v>21000</v>
      </c>
      <c r="H208" s="29">
        <v>42000</v>
      </c>
      <c r="I208" s="35"/>
    </row>
    <row r="209" spans="1:9" x14ac:dyDescent="0.25">
      <c r="A209" s="29"/>
      <c r="B209" s="29"/>
      <c r="C209" s="29"/>
      <c r="D209" s="29" t="s">
        <v>13</v>
      </c>
      <c r="E209" s="29">
        <v>2</v>
      </c>
      <c r="F209" s="38">
        <v>13000</v>
      </c>
      <c r="G209" s="29">
        <v>9000</v>
      </c>
      <c r="H209" s="29">
        <v>4000</v>
      </c>
      <c r="I209" s="35"/>
    </row>
    <row r="210" spans="1:9" x14ac:dyDescent="0.25">
      <c r="A210" s="29"/>
      <c r="B210" s="29"/>
      <c r="C210" s="29"/>
      <c r="D210" s="29" t="s">
        <v>14</v>
      </c>
      <c r="E210" s="29">
        <v>1</v>
      </c>
      <c r="F210" s="38">
        <v>8000</v>
      </c>
      <c r="G210" s="29">
        <v>5500</v>
      </c>
      <c r="H210" s="29">
        <v>2500</v>
      </c>
      <c r="I210" s="35"/>
    </row>
    <row r="211" spans="1:9" x14ac:dyDescent="0.25">
      <c r="A211" s="29"/>
      <c r="B211" s="29"/>
      <c r="C211" s="29" t="s">
        <v>16</v>
      </c>
      <c r="D211" s="29" t="s">
        <v>11</v>
      </c>
      <c r="E211" s="29">
        <v>31</v>
      </c>
      <c r="F211" s="38">
        <v>46500</v>
      </c>
      <c r="G211" s="29">
        <f>31*500</f>
        <v>15500</v>
      </c>
      <c r="H211" s="29">
        <v>31000</v>
      </c>
      <c r="I211" s="35"/>
    </row>
    <row r="212" spans="1:9" x14ac:dyDescent="0.25">
      <c r="A212" s="29"/>
      <c r="B212" s="29"/>
      <c r="C212" s="29"/>
      <c r="D212" s="29" t="s">
        <v>12</v>
      </c>
      <c r="E212" s="29">
        <v>1</v>
      </c>
      <c r="F212" s="38">
        <v>3000</v>
      </c>
      <c r="G212" s="29">
        <v>2000</v>
      </c>
      <c r="H212" s="29">
        <v>1000</v>
      </c>
      <c r="I212" s="35"/>
    </row>
    <row r="213" spans="1:9" x14ac:dyDescent="0.25">
      <c r="A213" s="29"/>
      <c r="B213" s="29"/>
      <c r="C213" s="29"/>
      <c r="D213" s="29" t="s">
        <v>13</v>
      </c>
      <c r="E213" s="29">
        <v>1</v>
      </c>
      <c r="F213" s="38">
        <v>6500</v>
      </c>
      <c r="G213" s="29">
        <v>4500</v>
      </c>
      <c r="H213" s="29">
        <v>2000</v>
      </c>
      <c r="I213" s="35"/>
    </row>
    <row r="214" spans="1:9" x14ac:dyDescent="0.25">
      <c r="A214" s="29"/>
      <c r="B214" s="29"/>
      <c r="C214" s="29" t="s">
        <v>63</v>
      </c>
      <c r="D214" s="29" t="s">
        <v>21</v>
      </c>
      <c r="E214" s="29">
        <v>1</v>
      </c>
      <c r="F214" s="38">
        <v>17000</v>
      </c>
      <c r="G214" s="29">
        <v>11000</v>
      </c>
      <c r="H214" s="29">
        <v>6000</v>
      </c>
      <c r="I214" s="35"/>
    </row>
    <row r="215" spans="1:9" x14ac:dyDescent="0.25">
      <c r="A215" s="126" t="s">
        <v>17</v>
      </c>
      <c r="B215" s="126"/>
      <c r="C215" s="126"/>
      <c r="D215" s="126"/>
      <c r="E215" s="126"/>
      <c r="F215" s="41">
        <f>SUM(F193:F214)</f>
        <v>2244300</v>
      </c>
      <c r="G215" s="41">
        <f>SUM(G193:G214)</f>
        <v>983000</v>
      </c>
      <c r="H215" s="41">
        <f>SUM(H193:H214)</f>
        <v>1261300</v>
      </c>
      <c r="I215" s="35"/>
    </row>
    <row r="216" spans="1:9" x14ac:dyDescent="0.25">
      <c r="A216" s="29" t="s">
        <v>28</v>
      </c>
      <c r="B216" s="29" t="s">
        <v>336</v>
      </c>
      <c r="C216" s="29" t="s">
        <v>16</v>
      </c>
      <c r="D216" s="29" t="s">
        <v>11</v>
      </c>
      <c r="E216" s="29">
        <v>23</v>
      </c>
      <c r="F216" s="38">
        <v>39500</v>
      </c>
      <c r="G216" s="29">
        <f>E216*500</f>
        <v>11500</v>
      </c>
      <c r="H216" s="29">
        <v>23000</v>
      </c>
    </row>
    <row r="217" spans="1:9" x14ac:dyDescent="0.25">
      <c r="A217" s="29"/>
      <c r="B217" s="29"/>
      <c r="C217" s="29"/>
      <c r="D217" s="29" t="s">
        <v>12</v>
      </c>
      <c r="E217" s="29">
        <v>1</v>
      </c>
      <c r="F217" s="38">
        <v>3000</v>
      </c>
      <c r="G217" s="29">
        <v>2000</v>
      </c>
      <c r="H217" s="29">
        <v>1000</v>
      </c>
    </row>
    <row r="218" spans="1:9" x14ac:dyDescent="0.25">
      <c r="A218" s="29"/>
      <c r="B218" s="29"/>
      <c r="C218" s="29"/>
      <c r="D218" s="29" t="s">
        <v>13</v>
      </c>
      <c r="E218" s="29">
        <v>1</v>
      </c>
      <c r="F218" s="38">
        <v>6500</v>
      </c>
      <c r="G218" s="29">
        <v>4500</v>
      </c>
      <c r="H218" s="29">
        <v>2000</v>
      </c>
    </row>
    <row r="219" spans="1:9" x14ac:dyDescent="0.25">
      <c r="A219" s="29"/>
      <c r="B219" s="29"/>
      <c r="C219" s="29"/>
      <c r="D219" s="29" t="s">
        <v>14</v>
      </c>
      <c r="E219" s="29">
        <v>1</v>
      </c>
      <c r="F219" s="38">
        <v>10000</v>
      </c>
      <c r="G219" s="29">
        <v>5500</v>
      </c>
      <c r="H219" s="29">
        <v>4500</v>
      </c>
    </row>
    <row r="220" spans="1:9" x14ac:dyDescent="0.25">
      <c r="A220" s="29"/>
      <c r="B220" s="29"/>
      <c r="C220" s="29"/>
      <c r="D220" s="29" t="s">
        <v>111</v>
      </c>
      <c r="E220" s="29">
        <v>1</v>
      </c>
      <c r="F220" s="38">
        <v>13000</v>
      </c>
      <c r="G220" s="29">
        <v>10000</v>
      </c>
      <c r="H220" s="29">
        <v>3000</v>
      </c>
    </row>
    <row r="221" spans="1:9" x14ac:dyDescent="0.25">
      <c r="A221" s="29"/>
      <c r="B221" s="29"/>
      <c r="C221" s="29" t="s">
        <v>217</v>
      </c>
      <c r="D221" s="29" t="s">
        <v>11</v>
      </c>
      <c r="E221" s="29">
        <v>13</v>
      </c>
      <c r="F221" s="38">
        <v>19500</v>
      </c>
      <c r="G221" s="29">
        <f>E221*500</f>
        <v>6500</v>
      </c>
      <c r="H221" s="29">
        <v>13000</v>
      </c>
    </row>
    <row r="222" spans="1:9" x14ac:dyDescent="0.25">
      <c r="A222" s="29"/>
      <c r="B222" s="29"/>
      <c r="C222" s="29"/>
      <c r="D222" s="29" t="s">
        <v>13</v>
      </c>
      <c r="E222" s="29">
        <v>14</v>
      </c>
      <c r="F222" s="38">
        <v>91000</v>
      </c>
      <c r="G222" s="29">
        <f>E222*4500</f>
        <v>63000</v>
      </c>
      <c r="H222" s="29">
        <f>E222*2000</f>
        <v>28000</v>
      </c>
    </row>
    <row r="223" spans="1:9" x14ac:dyDescent="0.25">
      <c r="A223" s="29"/>
      <c r="B223" s="29"/>
      <c r="C223" s="29"/>
      <c r="D223" s="29" t="s">
        <v>14</v>
      </c>
      <c r="E223" s="29">
        <v>9</v>
      </c>
      <c r="F223" s="38">
        <v>72000</v>
      </c>
      <c r="G223" s="29">
        <f>E223*5500</f>
        <v>49500</v>
      </c>
      <c r="H223" s="29">
        <f>E223*2500</f>
        <v>22500</v>
      </c>
    </row>
    <row r="224" spans="1:9" x14ac:dyDescent="0.25">
      <c r="A224" s="29"/>
      <c r="B224" s="29"/>
      <c r="C224" s="29" t="s">
        <v>20</v>
      </c>
      <c r="D224" s="29" t="s">
        <v>11</v>
      </c>
      <c r="E224" s="29">
        <v>15</v>
      </c>
      <c r="F224" s="38">
        <v>22500</v>
      </c>
      <c r="G224" s="29">
        <f>E224*500</f>
        <v>7500</v>
      </c>
      <c r="H224" s="29">
        <v>15000</v>
      </c>
    </row>
    <row r="225" spans="1:9" x14ac:dyDescent="0.25">
      <c r="A225" s="29"/>
      <c r="B225" s="29"/>
      <c r="C225" s="29"/>
      <c r="D225" s="29" t="s">
        <v>13</v>
      </c>
      <c r="E225" s="29">
        <v>13</v>
      </c>
      <c r="F225" s="38">
        <v>84500</v>
      </c>
      <c r="G225" s="29">
        <f>E225*4500</f>
        <v>58500</v>
      </c>
      <c r="H225" s="29">
        <f>E225*2000</f>
        <v>26000</v>
      </c>
    </row>
    <row r="226" spans="1:9" x14ac:dyDescent="0.25">
      <c r="A226" s="29"/>
      <c r="B226" s="29"/>
      <c r="C226" s="29"/>
      <c r="D226" s="29" t="s">
        <v>14</v>
      </c>
      <c r="E226" s="29">
        <v>21</v>
      </c>
      <c r="F226" s="38">
        <v>210000</v>
      </c>
      <c r="G226" s="38">
        <f>E226*5500</f>
        <v>115500</v>
      </c>
      <c r="H226" s="38">
        <f>E226*4500</f>
        <v>94500</v>
      </c>
    </row>
    <row r="227" spans="1:9" x14ac:dyDescent="0.25">
      <c r="A227" s="29"/>
      <c r="B227" s="29"/>
      <c r="C227" s="29" t="s">
        <v>10</v>
      </c>
      <c r="D227" s="29" t="s">
        <v>13</v>
      </c>
      <c r="E227" s="29">
        <v>14</v>
      </c>
      <c r="F227" s="38">
        <v>91000</v>
      </c>
      <c r="G227" s="38">
        <f>E227*4500</f>
        <v>63000</v>
      </c>
      <c r="H227" s="38">
        <f>E227*2000</f>
        <v>28000</v>
      </c>
    </row>
    <row r="228" spans="1:9" x14ac:dyDescent="0.25">
      <c r="A228" s="29"/>
      <c r="B228" s="29"/>
      <c r="C228" s="29"/>
      <c r="D228" s="29" t="s">
        <v>14</v>
      </c>
      <c r="E228" s="29">
        <v>5</v>
      </c>
      <c r="F228" s="38">
        <v>40000</v>
      </c>
      <c r="G228" s="38">
        <f>E228*5500</f>
        <v>27500</v>
      </c>
      <c r="H228" s="38">
        <f>E228*2500</f>
        <v>12500</v>
      </c>
    </row>
    <row r="229" spans="1:9" x14ac:dyDescent="0.25">
      <c r="A229" s="29"/>
      <c r="B229" s="29"/>
      <c r="C229" s="29" t="s">
        <v>235</v>
      </c>
      <c r="D229" s="29" t="s">
        <v>111</v>
      </c>
      <c r="E229" s="29">
        <v>3</v>
      </c>
      <c r="F229" s="38">
        <v>39000</v>
      </c>
      <c r="G229" s="38">
        <v>30000</v>
      </c>
      <c r="H229" s="38">
        <v>9000</v>
      </c>
    </row>
    <row r="230" spans="1:9" x14ac:dyDescent="0.25">
      <c r="A230" s="126" t="s">
        <v>17</v>
      </c>
      <c r="B230" s="126"/>
      <c r="C230" s="126"/>
      <c r="D230" s="126"/>
      <c r="E230" s="126"/>
      <c r="F230" s="41">
        <f>SUM(F216:F229)</f>
        <v>741500</v>
      </c>
      <c r="G230" s="41">
        <f>SUM(G216:G229)</f>
        <v>454500</v>
      </c>
      <c r="H230" s="41">
        <f>SUM(H216:H229)</f>
        <v>282000</v>
      </c>
    </row>
    <row r="231" spans="1:9" x14ac:dyDescent="0.25">
      <c r="A231" s="29" t="s">
        <v>30</v>
      </c>
      <c r="B231" s="29" t="s">
        <v>337</v>
      </c>
      <c r="C231" s="29" t="s">
        <v>338</v>
      </c>
      <c r="D231" s="29" t="s">
        <v>11</v>
      </c>
      <c r="E231" s="29">
        <f>57+75+69+70+70+70</f>
        <v>411</v>
      </c>
      <c r="F231" s="38">
        <f>E231*1800</f>
        <v>739800</v>
      </c>
      <c r="G231" s="38">
        <f>E231*500</f>
        <v>205500</v>
      </c>
      <c r="H231" s="38">
        <f>E231*1300</f>
        <v>534300</v>
      </c>
      <c r="I231" s="35"/>
    </row>
    <row r="232" spans="1:9" x14ac:dyDescent="0.25">
      <c r="A232" s="29"/>
      <c r="B232" s="29"/>
      <c r="C232" s="29" t="s">
        <v>108</v>
      </c>
      <c r="D232" s="29" t="s">
        <v>11</v>
      </c>
      <c r="E232" s="29">
        <v>34</v>
      </c>
      <c r="F232" s="38">
        <f>E232*1500</f>
        <v>51000</v>
      </c>
      <c r="G232" s="38">
        <f>E232*500</f>
        <v>17000</v>
      </c>
      <c r="H232" s="38">
        <f>E232*1000</f>
        <v>34000</v>
      </c>
      <c r="I232" s="35"/>
    </row>
    <row r="233" spans="1:9" x14ac:dyDescent="0.25">
      <c r="A233" s="29"/>
      <c r="B233" s="29"/>
      <c r="C233" s="29" t="s">
        <v>16</v>
      </c>
      <c r="D233" s="29" t="s">
        <v>11</v>
      </c>
      <c r="E233" s="29">
        <v>63</v>
      </c>
      <c r="F233" s="38">
        <v>94500</v>
      </c>
      <c r="G233" s="38">
        <f>63*500</f>
        <v>31500</v>
      </c>
      <c r="H233" s="38">
        <v>63000</v>
      </c>
      <c r="I233" s="35"/>
    </row>
    <row r="234" spans="1:9" x14ac:dyDescent="0.25">
      <c r="A234" s="29"/>
      <c r="B234" s="29"/>
      <c r="C234" s="29" t="s">
        <v>10</v>
      </c>
      <c r="D234" s="29" t="s">
        <v>11</v>
      </c>
      <c r="E234" s="29">
        <v>40</v>
      </c>
      <c r="F234" s="38">
        <v>60000</v>
      </c>
      <c r="G234" s="38">
        <f>40*500</f>
        <v>20000</v>
      </c>
      <c r="H234" s="38">
        <v>40000</v>
      </c>
      <c r="I234" s="35"/>
    </row>
    <row r="235" spans="1:9" x14ac:dyDescent="0.25">
      <c r="A235" s="29"/>
      <c r="B235" s="29"/>
      <c r="C235" s="29"/>
      <c r="D235" s="29" t="s">
        <v>13</v>
      </c>
      <c r="E235" s="29">
        <v>5</v>
      </c>
      <c r="F235" s="38">
        <v>32500</v>
      </c>
      <c r="G235" s="38">
        <f>5*4500</f>
        <v>22500</v>
      </c>
      <c r="H235" s="38">
        <v>10000</v>
      </c>
      <c r="I235" s="35"/>
    </row>
    <row r="236" spans="1:9" x14ac:dyDescent="0.25">
      <c r="A236" s="29"/>
      <c r="B236" s="29"/>
      <c r="C236" s="29"/>
      <c r="D236" s="29" t="s">
        <v>14</v>
      </c>
      <c r="E236" s="29">
        <v>4</v>
      </c>
      <c r="F236" s="38">
        <v>32000</v>
      </c>
      <c r="G236" s="38">
        <f>4*5500</f>
        <v>22000</v>
      </c>
      <c r="H236" s="38">
        <v>10000</v>
      </c>
      <c r="I236" s="35"/>
    </row>
    <row r="237" spans="1:9" x14ac:dyDescent="0.25">
      <c r="A237" s="29"/>
      <c r="B237" s="29"/>
      <c r="C237" s="29" t="s">
        <v>106</v>
      </c>
      <c r="D237" s="29" t="s">
        <v>11</v>
      </c>
      <c r="E237" s="29">
        <v>23</v>
      </c>
      <c r="F237" s="38">
        <v>34500</v>
      </c>
      <c r="G237" s="38">
        <f>23*500</f>
        <v>11500</v>
      </c>
      <c r="H237" s="38">
        <v>23000</v>
      </c>
      <c r="I237" s="35"/>
    </row>
    <row r="238" spans="1:9" x14ac:dyDescent="0.25">
      <c r="A238" s="29"/>
      <c r="B238" s="29"/>
      <c r="C238" s="29" t="s">
        <v>292</v>
      </c>
      <c r="D238" s="29" t="s">
        <v>11</v>
      </c>
      <c r="E238" s="29">
        <f>60000/1500</f>
        <v>40</v>
      </c>
      <c r="F238" s="38">
        <v>60000</v>
      </c>
      <c r="G238" s="38">
        <v>20000</v>
      </c>
      <c r="H238" s="38">
        <v>40000</v>
      </c>
      <c r="I238" s="35"/>
    </row>
    <row r="239" spans="1:9" x14ac:dyDescent="0.25">
      <c r="A239" s="29"/>
      <c r="B239" s="29"/>
      <c r="C239" s="29" t="s">
        <v>288</v>
      </c>
      <c r="D239" s="29" t="s">
        <v>11</v>
      </c>
      <c r="E239" s="29">
        <v>41</v>
      </c>
      <c r="F239" s="38">
        <f>41*1800</f>
        <v>73800</v>
      </c>
      <c r="G239" s="38">
        <f>41*500</f>
        <v>20500</v>
      </c>
      <c r="H239" s="38">
        <f>41*1300</f>
        <v>53300</v>
      </c>
      <c r="I239" s="35"/>
    </row>
    <row r="240" spans="1:9" x14ac:dyDescent="0.25">
      <c r="A240" s="126" t="s">
        <v>17</v>
      </c>
      <c r="B240" s="126"/>
      <c r="C240" s="126"/>
      <c r="D240" s="126"/>
      <c r="E240" s="126"/>
      <c r="F240" s="17">
        <f>SUM(F231:F239)</f>
        <v>1178100</v>
      </c>
      <c r="G240" s="17">
        <f>SUM(G231:G239)</f>
        <v>370500</v>
      </c>
      <c r="H240" s="17">
        <f>SUM(H231:H239)</f>
        <v>807600</v>
      </c>
    </row>
    <row r="241" spans="1:10" x14ac:dyDescent="0.25">
      <c r="A241" s="29" t="s">
        <v>32</v>
      </c>
      <c r="B241" s="29" t="s">
        <v>339</v>
      </c>
      <c r="C241" s="29" t="s">
        <v>288</v>
      </c>
      <c r="D241" s="29" t="s">
        <v>11</v>
      </c>
      <c r="E241" s="29">
        <v>64</v>
      </c>
      <c r="F241" s="38">
        <f>E241*1800</f>
        <v>115200</v>
      </c>
      <c r="G241" s="38">
        <f>E241*500</f>
        <v>32000</v>
      </c>
      <c r="H241" s="38">
        <f>E241*1300</f>
        <v>83200</v>
      </c>
    </row>
    <row r="242" spans="1:10" x14ac:dyDescent="0.25">
      <c r="A242" s="29"/>
      <c r="B242" s="29"/>
      <c r="C242" s="29" t="s">
        <v>106</v>
      </c>
      <c r="D242" s="29" t="s">
        <v>11</v>
      </c>
      <c r="E242" s="29">
        <v>23</v>
      </c>
      <c r="F242" s="38">
        <f>E242*1500</f>
        <v>34500</v>
      </c>
      <c r="G242" s="38">
        <f>E242*500</f>
        <v>11500</v>
      </c>
      <c r="H242" s="38">
        <f>E242*1000</f>
        <v>23000</v>
      </c>
    </row>
    <row r="243" spans="1:10" x14ac:dyDescent="0.25">
      <c r="A243" s="29"/>
      <c r="B243" s="29"/>
      <c r="C243" s="29" t="s">
        <v>16</v>
      </c>
      <c r="D243" s="29" t="s">
        <v>11</v>
      </c>
      <c r="E243" s="29">
        <v>38</v>
      </c>
      <c r="F243" s="38">
        <f>E243*1500</f>
        <v>57000</v>
      </c>
      <c r="G243" s="38">
        <f>E243*500</f>
        <v>19000</v>
      </c>
      <c r="H243" s="38">
        <v>38000</v>
      </c>
    </row>
    <row r="244" spans="1:10" x14ac:dyDescent="0.25">
      <c r="A244" s="29"/>
      <c r="B244" s="29"/>
      <c r="C244" s="29"/>
      <c r="D244" s="29" t="s">
        <v>14</v>
      </c>
      <c r="E244" s="29">
        <v>1</v>
      </c>
      <c r="F244" s="38">
        <f>E244*10000</f>
        <v>10000</v>
      </c>
      <c r="G244" s="38">
        <f>E244*5500</f>
        <v>5500</v>
      </c>
      <c r="H244" s="38">
        <f>E244*4500</f>
        <v>4500</v>
      </c>
    </row>
    <row r="245" spans="1:10" x14ac:dyDescent="0.25">
      <c r="A245" s="29"/>
      <c r="B245" s="29"/>
      <c r="C245" s="29" t="s">
        <v>217</v>
      </c>
      <c r="D245" s="29" t="s">
        <v>11</v>
      </c>
      <c r="E245" s="29">
        <v>58</v>
      </c>
      <c r="F245" s="38">
        <f>E245*1500</f>
        <v>87000</v>
      </c>
      <c r="G245" s="38">
        <f>E245*500</f>
        <v>29000</v>
      </c>
      <c r="H245" s="38">
        <v>58000</v>
      </c>
    </row>
    <row r="246" spans="1:10" x14ac:dyDescent="0.25">
      <c r="A246" s="29"/>
      <c r="B246" s="29"/>
      <c r="C246" s="29"/>
      <c r="D246" s="29" t="s">
        <v>13</v>
      </c>
      <c r="E246" s="29">
        <v>2</v>
      </c>
      <c r="F246" s="38">
        <v>13000</v>
      </c>
      <c r="G246" s="38">
        <f>E246*4500</f>
        <v>9000</v>
      </c>
      <c r="H246" s="38">
        <v>4000</v>
      </c>
    </row>
    <row r="247" spans="1:10" x14ac:dyDescent="0.25">
      <c r="A247" s="29"/>
      <c r="B247" s="29"/>
      <c r="C247" s="29"/>
      <c r="D247" s="29" t="s">
        <v>14</v>
      </c>
      <c r="E247" s="29">
        <v>4</v>
      </c>
      <c r="F247" s="38">
        <v>32000</v>
      </c>
      <c r="G247" s="38">
        <f>E247*5500</f>
        <v>22000</v>
      </c>
      <c r="H247" s="38">
        <f>E247*2500</f>
        <v>10000</v>
      </c>
    </row>
    <row r="248" spans="1:10" x14ac:dyDescent="0.25">
      <c r="A248" s="29"/>
      <c r="B248" s="29"/>
      <c r="C248" s="29" t="s">
        <v>10</v>
      </c>
      <c r="D248" s="29" t="s">
        <v>11</v>
      </c>
      <c r="E248" s="29">
        <v>21</v>
      </c>
      <c r="F248" s="38">
        <v>31500</v>
      </c>
      <c r="G248" s="38">
        <f>E248*500</f>
        <v>10500</v>
      </c>
      <c r="H248" s="38">
        <v>21000</v>
      </c>
    </row>
    <row r="249" spans="1:10" x14ac:dyDescent="0.25">
      <c r="A249" s="29"/>
      <c r="B249" s="29"/>
      <c r="C249" s="29"/>
      <c r="D249" s="29" t="s">
        <v>13</v>
      </c>
      <c r="E249" s="29">
        <v>4</v>
      </c>
      <c r="F249" s="38">
        <f>E249*6500</f>
        <v>26000</v>
      </c>
      <c r="G249" s="38">
        <f>E249*4500</f>
        <v>18000</v>
      </c>
      <c r="H249" s="38">
        <v>8000</v>
      </c>
    </row>
    <row r="250" spans="1:10" x14ac:dyDescent="0.25">
      <c r="A250" s="126" t="s">
        <v>17</v>
      </c>
      <c r="B250" s="126"/>
      <c r="C250" s="126"/>
      <c r="D250" s="126"/>
      <c r="E250" s="126"/>
      <c r="F250" s="17">
        <f>SUM(F241:F249)</f>
        <v>406200</v>
      </c>
      <c r="G250" s="17">
        <f>SUM(G241:G249)</f>
        <v>156500</v>
      </c>
      <c r="H250" s="17">
        <f>SUM(H241:H249)</f>
        <v>249700</v>
      </c>
    </row>
    <row r="251" spans="1:10" x14ac:dyDescent="0.25">
      <c r="A251" s="29" t="s">
        <v>8</v>
      </c>
      <c r="B251" s="29" t="s">
        <v>340</v>
      </c>
      <c r="C251" s="29" t="s">
        <v>10</v>
      </c>
      <c r="D251" s="29" t="s">
        <v>11</v>
      </c>
      <c r="E251" s="29">
        <v>28</v>
      </c>
      <c r="F251" s="38">
        <v>42000</v>
      </c>
      <c r="G251" s="38">
        <f>E251*500</f>
        <v>14000</v>
      </c>
      <c r="H251" s="38">
        <v>28000</v>
      </c>
      <c r="I251" s="35"/>
      <c r="J251" s="35"/>
    </row>
    <row r="252" spans="1:10" x14ac:dyDescent="0.25">
      <c r="A252" s="29"/>
      <c r="B252" s="29"/>
      <c r="C252" s="29"/>
      <c r="D252" s="29" t="s">
        <v>13</v>
      </c>
      <c r="E252" s="29">
        <v>4</v>
      </c>
      <c r="F252" s="38">
        <v>26000</v>
      </c>
      <c r="G252" s="38">
        <f>E252*4500</f>
        <v>18000</v>
      </c>
      <c r="H252" s="38">
        <v>8000</v>
      </c>
      <c r="I252" s="35"/>
    </row>
    <row r="253" spans="1:10" x14ac:dyDescent="0.25">
      <c r="A253" s="29"/>
      <c r="B253" s="29"/>
      <c r="C253" s="29"/>
      <c r="D253" s="29" t="s">
        <v>14</v>
      </c>
      <c r="E253" s="29">
        <v>1</v>
      </c>
      <c r="F253" s="38">
        <v>8000</v>
      </c>
      <c r="G253" s="38">
        <v>5500</v>
      </c>
      <c r="H253" s="38">
        <v>2500</v>
      </c>
      <c r="I253" s="35"/>
    </row>
    <row r="254" spans="1:10" x14ac:dyDescent="0.25">
      <c r="A254" s="29"/>
      <c r="B254" s="29"/>
      <c r="C254" s="29" t="s">
        <v>217</v>
      </c>
      <c r="D254" s="29" t="s">
        <v>11</v>
      </c>
      <c r="E254" s="29">
        <v>32</v>
      </c>
      <c r="F254" s="38">
        <v>48000</v>
      </c>
      <c r="G254" s="38">
        <f>E254*500</f>
        <v>16000</v>
      </c>
      <c r="H254" s="38">
        <v>32000</v>
      </c>
      <c r="I254" s="35"/>
      <c r="J254" s="35"/>
    </row>
    <row r="255" spans="1:10" x14ac:dyDescent="0.25">
      <c r="A255" s="29"/>
      <c r="B255" s="29"/>
      <c r="C255" s="29"/>
      <c r="D255" s="29" t="s">
        <v>13</v>
      </c>
      <c r="E255" s="29">
        <v>1</v>
      </c>
      <c r="F255" s="38">
        <v>6500</v>
      </c>
      <c r="G255" s="38">
        <v>4500</v>
      </c>
      <c r="H255" s="38">
        <v>2000</v>
      </c>
      <c r="I255" s="35"/>
    </row>
    <row r="256" spans="1:10" x14ac:dyDescent="0.25">
      <c r="A256" s="29"/>
      <c r="B256" s="29"/>
      <c r="C256" s="29"/>
      <c r="D256" s="29" t="s">
        <v>14</v>
      </c>
      <c r="E256" s="29">
        <v>3</v>
      </c>
      <c r="F256" s="38">
        <v>24000</v>
      </c>
      <c r="G256" s="38">
        <f>3*5500</f>
        <v>16500</v>
      </c>
      <c r="H256" s="38">
        <f>E256*2500</f>
        <v>7500</v>
      </c>
      <c r="I256" s="35"/>
    </row>
    <row r="257" spans="1:9" x14ac:dyDescent="0.25">
      <c r="A257" s="29"/>
      <c r="B257" s="29"/>
      <c r="C257" s="29" t="s">
        <v>16</v>
      </c>
      <c r="D257" s="29" t="s">
        <v>11</v>
      </c>
      <c r="E257" s="29">
        <v>48</v>
      </c>
      <c r="F257" s="38">
        <v>72000</v>
      </c>
      <c r="G257" s="38">
        <f>E257*500</f>
        <v>24000</v>
      </c>
      <c r="H257" s="38">
        <v>48000</v>
      </c>
      <c r="I257" s="35"/>
    </row>
    <row r="258" spans="1:9" x14ac:dyDescent="0.25">
      <c r="A258" s="29"/>
      <c r="B258" s="29"/>
      <c r="C258" s="29"/>
      <c r="D258" s="29" t="s">
        <v>12</v>
      </c>
      <c r="E258" s="29">
        <v>1</v>
      </c>
      <c r="F258" s="38">
        <v>3000</v>
      </c>
      <c r="G258" s="38">
        <v>2000</v>
      </c>
      <c r="H258" s="38">
        <v>1000</v>
      </c>
      <c r="I258" s="35"/>
    </row>
    <row r="259" spans="1:9" x14ac:dyDescent="0.25">
      <c r="A259" s="29"/>
      <c r="B259" s="29"/>
      <c r="C259" s="29" t="s">
        <v>288</v>
      </c>
      <c r="D259" s="29" t="s">
        <v>11</v>
      </c>
      <c r="E259" s="29">
        <v>45</v>
      </c>
      <c r="F259" s="38">
        <f>E259*1500</f>
        <v>67500</v>
      </c>
      <c r="G259" s="38">
        <f>E259*500</f>
        <v>22500</v>
      </c>
      <c r="H259" s="38">
        <v>45000</v>
      </c>
      <c r="I259" s="35"/>
    </row>
    <row r="260" spans="1:9" x14ac:dyDescent="0.25">
      <c r="A260" s="29"/>
      <c r="B260" s="29"/>
      <c r="C260" s="29" t="s">
        <v>108</v>
      </c>
      <c r="D260" s="29" t="s">
        <v>11</v>
      </c>
      <c r="E260" s="29">
        <v>35</v>
      </c>
      <c r="F260" s="29">
        <f>E260*1500</f>
        <v>52500</v>
      </c>
      <c r="G260" s="29">
        <f>E260*500</f>
        <v>17500</v>
      </c>
      <c r="H260" s="38">
        <v>35000</v>
      </c>
      <c r="I260" s="35"/>
    </row>
    <row r="261" spans="1:9" x14ac:dyDescent="0.25">
      <c r="A261" s="29"/>
      <c r="B261" s="29"/>
      <c r="C261" s="29" t="s">
        <v>106</v>
      </c>
      <c r="D261" s="29" t="s">
        <v>11</v>
      </c>
      <c r="E261" s="29">
        <v>24</v>
      </c>
      <c r="F261" s="29">
        <f>E261*1500</f>
        <v>36000</v>
      </c>
      <c r="G261" s="29">
        <f>E261*500</f>
        <v>12000</v>
      </c>
      <c r="H261" s="38">
        <v>24000</v>
      </c>
      <c r="I261" s="35"/>
    </row>
    <row r="262" spans="1:9" x14ac:dyDescent="0.25">
      <c r="A262" s="126" t="s">
        <v>17</v>
      </c>
      <c r="B262" s="126"/>
      <c r="C262" s="126"/>
      <c r="D262" s="126"/>
      <c r="E262" s="126"/>
      <c r="F262" s="41">
        <f>SUM(F251:F261)</f>
        <v>385500</v>
      </c>
      <c r="G262" s="41">
        <f>SUM(G251:G261)</f>
        <v>152500</v>
      </c>
      <c r="H262" s="41">
        <f>SUM(H251:H261)</f>
        <v>233000</v>
      </c>
      <c r="I262" s="35"/>
    </row>
    <row r="263" spans="1:9" x14ac:dyDescent="0.25">
      <c r="A263" s="29" t="s">
        <v>18</v>
      </c>
      <c r="B263" s="29" t="s">
        <v>341</v>
      </c>
      <c r="C263" s="29" t="s">
        <v>288</v>
      </c>
      <c r="D263" s="29" t="s">
        <v>11</v>
      </c>
      <c r="E263" s="29">
        <v>63</v>
      </c>
      <c r="F263" s="38">
        <f>E263*1800</f>
        <v>113400</v>
      </c>
      <c r="G263" s="38">
        <f>E263*500</f>
        <v>31500</v>
      </c>
      <c r="H263" s="38">
        <f>E263*1300</f>
        <v>81900</v>
      </c>
    </row>
    <row r="264" spans="1:9" x14ac:dyDescent="0.25">
      <c r="A264" s="29"/>
      <c r="B264" s="29"/>
      <c r="C264" s="29" t="s">
        <v>108</v>
      </c>
      <c r="D264" s="29" t="s">
        <v>11</v>
      </c>
      <c r="E264" s="29">
        <v>10</v>
      </c>
      <c r="F264" s="38">
        <v>15000</v>
      </c>
      <c r="G264" s="38">
        <f>E264*500</f>
        <v>5000</v>
      </c>
      <c r="H264" s="38">
        <v>10000</v>
      </c>
    </row>
    <row r="265" spans="1:9" x14ac:dyDescent="0.25">
      <c r="A265" s="29"/>
      <c r="B265" s="29"/>
      <c r="C265" s="29" t="s">
        <v>106</v>
      </c>
      <c r="D265" s="29" t="s">
        <v>11</v>
      </c>
      <c r="E265" s="29">
        <v>14</v>
      </c>
      <c r="F265" s="38">
        <f>E265*1500</f>
        <v>21000</v>
      </c>
      <c r="G265" s="38">
        <f>E265*500</f>
        <v>7000</v>
      </c>
      <c r="H265" s="38">
        <v>14000</v>
      </c>
    </row>
    <row r="266" spans="1:9" x14ac:dyDescent="0.25">
      <c r="A266" s="29"/>
      <c r="B266" s="29"/>
      <c r="C266" s="29" t="s">
        <v>217</v>
      </c>
      <c r="D266" s="29" t="s">
        <v>11</v>
      </c>
      <c r="E266" s="29">
        <v>28</v>
      </c>
      <c r="F266" s="38">
        <f>E266*1500</f>
        <v>42000</v>
      </c>
      <c r="G266" s="38">
        <f>E266*500</f>
        <v>14000</v>
      </c>
      <c r="H266" s="38">
        <v>28000</v>
      </c>
    </row>
    <row r="267" spans="1:9" x14ac:dyDescent="0.25">
      <c r="A267" s="29"/>
      <c r="B267" s="29"/>
      <c r="C267" s="29"/>
      <c r="D267" s="29" t="s">
        <v>14</v>
      </c>
      <c r="E267" s="29">
        <v>2</v>
      </c>
      <c r="F267" s="38">
        <v>16000</v>
      </c>
      <c r="G267" s="38">
        <f>E267*5500</f>
        <v>11000</v>
      </c>
      <c r="H267" s="38">
        <f>E267*2500</f>
        <v>5000</v>
      </c>
    </row>
    <row r="268" spans="1:9" x14ac:dyDescent="0.25">
      <c r="A268" s="29"/>
      <c r="B268" s="29"/>
      <c r="C268" s="29" t="s">
        <v>10</v>
      </c>
      <c r="D268" s="29" t="s">
        <v>11</v>
      </c>
      <c r="E268" s="29">
        <v>22</v>
      </c>
      <c r="F268" s="38">
        <f>E268*1500</f>
        <v>33000</v>
      </c>
      <c r="G268" s="38">
        <f>E268*500</f>
        <v>11000</v>
      </c>
      <c r="H268" s="38">
        <v>22000</v>
      </c>
    </row>
    <row r="269" spans="1:9" x14ac:dyDescent="0.25">
      <c r="A269" s="29"/>
      <c r="B269" s="29"/>
      <c r="C269" s="29"/>
      <c r="D269" s="29" t="s">
        <v>14</v>
      </c>
      <c r="E269" s="29">
        <v>5</v>
      </c>
      <c r="F269" s="38">
        <v>40000</v>
      </c>
      <c r="G269" s="38">
        <f>E269*5500</f>
        <v>27500</v>
      </c>
      <c r="H269" s="38">
        <f>E269*2500</f>
        <v>12500</v>
      </c>
    </row>
    <row r="270" spans="1:9" x14ac:dyDescent="0.25">
      <c r="A270" s="29"/>
      <c r="B270" s="29"/>
      <c r="C270" s="29" t="s">
        <v>16</v>
      </c>
      <c r="D270" s="29" t="s">
        <v>11</v>
      </c>
      <c r="E270" s="29">
        <v>52</v>
      </c>
      <c r="F270" s="38">
        <v>78000</v>
      </c>
      <c r="G270" s="38">
        <f>E270*500</f>
        <v>26000</v>
      </c>
      <c r="H270" s="38">
        <v>52000</v>
      </c>
    </row>
    <row r="271" spans="1:9" x14ac:dyDescent="0.25">
      <c r="A271" s="29"/>
      <c r="B271" s="29"/>
      <c r="C271" s="29"/>
      <c r="D271" s="29" t="s">
        <v>12</v>
      </c>
      <c r="E271" s="29">
        <v>3</v>
      </c>
      <c r="F271" s="38">
        <v>9000</v>
      </c>
      <c r="G271" s="38">
        <v>6000</v>
      </c>
      <c r="H271" s="38">
        <v>3000</v>
      </c>
    </row>
    <row r="272" spans="1:9" x14ac:dyDescent="0.25">
      <c r="A272" s="29"/>
      <c r="B272" s="29"/>
      <c r="C272" s="29"/>
      <c r="D272" s="29" t="s">
        <v>25</v>
      </c>
      <c r="E272" s="29">
        <v>1</v>
      </c>
      <c r="F272" s="38">
        <v>13000</v>
      </c>
      <c r="G272" s="38">
        <v>10000</v>
      </c>
      <c r="H272" s="38">
        <v>3000</v>
      </c>
    </row>
    <row r="273" spans="1:9" x14ac:dyDescent="0.25">
      <c r="A273" s="29"/>
      <c r="B273" s="29"/>
      <c r="C273" s="29" t="s">
        <v>332</v>
      </c>
      <c r="D273" s="29" t="s">
        <v>21</v>
      </c>
      <c r="E273" s="29">
        <v>3</v>
      </c>
      <c r="F273" s="38">
        <v>45000</v>
      </c>
      <c r="G273" s="38">
        <v>30000</v>
      </c>
      <c r="H273" s="38">
        <v>15000</v>
      </c>
    </row>
    <row r="274" spans="1:9" x14ac:dyDescent="0.25">
      <c r="A274" s="126" t="s">
        <v>17</v>
      </c>
      <c r="B274" s="126"/>
      <c r="C274" s="126"/>
      <c r="D274" s="126"/>
      <c r="E274" s="126"/>
      <c r="F274" s="17">
        <f>SUM(F263:F273)</f>
        <v>425400</v>
      </c>
      <c r="G274" s="17">
        <f>SUM(G263:G273)</f>
        <v>179000</v>
      </c>
      <c r="H274" s="17">
        <f>SUM(H263:H273)</f>
        <v>246400</v>
      </c>
    </row>
    <row r="275" spans="1:9" x14ac:dyDescent="0.25">
      <c r="A275" s="29" t="s">
        <v>22</v>
      </c>
      <c r="B275" s="29" t="s">
        <v>342</v>
      </c>
      <c r="C275" s="29" t="s">
        <v>288</v>
      </c>
      <c r="D275" s="29" t="s">
        <v>11</v>
      </c>
      <c r="E275" s="29">
        <v>60</v>
      </c>
      <c r="F275" s="38">
        <f>60*1800</f>
        <v>108000</v>
      </c>
      <c r="G275" s="38">
        <f>60*500</f>
        <v>30000</v>
      </c>
      <c r="H275" s="38">
        <f>60*1300</f>
        <v>78000</v>
      </c>
      <c r="I275" s="35"/>
    </row>
    <row r="276" spans="1:9" x14ac:dyDescent="0.25">
      <c r="A276" s="29"/>
      <c r="B276" s="29"/>
      <c r="C276" s="29" t="s">
        <v>108</v>
      </c>
      <c r="D276" s="29" t="s">
        <v>11</v>
      </c>
      <c r="E276" s="29">
        <v>8</v>
      </c>
      <c r="F276" s="38">
        <f>8*1500</f>
        <v>12000</v>
      </c>
      <c r="G276" s="38">
        <v>4000</v>
      </c>
      <c r="H276" s="38">
        <v>8000</v>
      </c>
      <c r="I276" s="35"/>
    </row>
    <row r="277" spans="1:9" x14ac:dyDescent="0.25">
      <c r="A277" s="29"/>
      <c r="B277" s="29"/>
      <c r="C277" s="29" t="s">
        <v>106</v>
      </c>
      <c r="D277" s="29" t="s">
        <v>11</v>
      </c>
      <c r="E277" s="29">
        <v>22</v>
      </c>
      <c r="F277" s="38">
        <f>22*1500</f>
        <v>33000</v>
      </c>
      <c r="G277" s="38">
        <f>22*500</f>
        <v>11000</v>
      </c>
      <c r="H277" s="38">
        <v>22000</v>
      </c>
      <c r="I277" s="35"/>
    </row>
    <row r="278" spans="1:9" x14ac:dyDescent="0.25">
      <c r="A278" s="29"/>
      <c r="B278" s="29"/>
      <c r="C278" s="29" t="s">
        <v>16</v>
      </c>
      <c r="D278" s="29" t="s">
        <v>11</v>
      </c>
      <c r="E278" s="29">
        <v>67</v>
      </c>
      <c r="F278" s="38">
        <v>100500</v>
      </c>
      <c r="G278" s="38">
        <f>67*500</f>
        <v>33500</v>
      </c>
      <c r="H278" s="38">
        <v>67000</v>
      </c>
      <c r="I278" s="35"/>
    </row>
    <row r="279" spans="1:9" x14ac:dyDescent="0.25">
      <c r="A279" s="29"/>
      <c r="B279" s="29"/>
      <c r="C279" s="29"/>
      <c r="D279" s="29" t="s">
        <v>12</v>
      </c>
      <c r="E279" s="29">
        <v>7</v>
      </c>
      <c r="F279" s="38">
        <v>21000</v>
      </c>
      <c r="G279" s="38">
        <v>14000</v>
      </c>
      <c r="H279" s="38">
        <v>7000</v>
      </c>
      <c r="I279" s="35"/>
    </row>
    <row r="280" spans="1:9" x14ac:dyDescent="0.25">
      <c r="A280" s="29"/>
      <c r="B280" s="29"/>
      <c r="C280" s="29"/>
      <c r="D280" s="29" t="s">
        <v>13</v>
      </c>
      <c r="E280" s="29">
        <v>2</v>
      </c>
      <c r="F280" s="38">
        <v>13000</v>
      </c>
      <c r="G280" s="38">
        <v>9000</v>
      </c>
      <c r="H280" s="38">
        <v>4000</v>
      </c>
      <c r="I280" s="35"/>
    </row>
    <row r="281" spans="1:9" x14ac:dyDescent="0.25">
      <c r="A281" s="29"/>
      <c r="B281" s="29"/>
      <c r="C281" s="29"/>
      <c r="D281" s="29" t="s">
        <v>14</v>
      </c>
      <c r="E281" s="29">
        <v>1</v>
      </c>
      <c r="F281" s="38">
        <v>10000</v>
      </c>
      <c r="G281" s="38">
        <v>5500</v>
      </c>
      <c r="H281" s="38">
        <v>4500</v>
      </c>
      <c r="I281" s="35"/>
    </row>
    <row r="282" spans="1:9" x14ac:dyDescent="0.25">
      <c r="A282" s="29"/>
      <c r="B282" s="29"/>
      <c r="C282" s="29"/>
      <c r="D282" s="29" t="s">
        <v>25</v>
      </c>
      <c r="E282" s="29">
        <v>2</v>
      </c>
      <c r="F282" s="38">
        <v>26000</v>
      </c>
      <c r="G282" s="38">
        <v>20000</v>
      </c>
      <c r="H282" s="38">
        <v>6000</v>
      </c>
      <c r="I282" s="35"/>
    </row>
    <row r="283" spans="1:9" x14ac:dyDescent="0.25">
      <c r="A283" s="126" t="s">
        <v>17</v>
      </c>
      <c r="B283" s="126"/>
      <c r="C283" s="126"/>
      <c r="D283" s="126"/>
      <c r="E283" s="126"/>
      <c r="F283" s="17">
        <f>SUM(F275:F282)</f>
        <v>323500</v>
      </c>
      <c r="G283" s="17">
        <f>SUM(G275:G282)</f>
        <v>127000</v>
      </c>
      <c r="H283" s="17">
        <f>SUM(H275:H282)</f>
        <v>196500</v>
      </c>
      <c r="I283" s="35"/>
    </row>
    <row r="284" spans="1:9" x14ac:dyDescent="0.25">
      <c r="A284" s="29"/>
      <c r="B284" s="29"/>
      <c r="C284" s="29" t="s">
        <v>217</v>
      </c>
      <c r="D284" s="29" t="s">
        <v>11</v>
      </c>
      <c r="E284" s="29">
        <v>25</v>
      </c>
      <c r="F284" s="38">
        <v>37500</v>
      </c>
      <c r="G284" s="38">
        <f>25*500</f>
        <v>12500</v>
      </c>
      <c r="H284" s="38">
        <v>25000</v>
      </c>
    </row>
    <row r="285" spans="1:9" x14ac:dyDescent="0.25">
      <c r="A285" s="29"/>
      <c r="B285" s="29"/>
      <c r="C285" s="29"/>
      <c r="D285" s="29" t="s">
        <v>13</v>
      </c>
      <c r="E285" s="29">
        <v>2</v>
      </c>
      <c r="F285" s="38">
        <v>13000</v>
      </c>
      <c r="G285" s="38">
        <v>9000</v>
      </c>
      <c r="H285" s="38">
        <v>4000</v>
      </c>
    </row>
    <row r="286" spans="1:9" x14ac:dyDescent="0.25">
      <c r="A286" s="29"/>
      <c r="B286" s="29"/>
      <c r="C286" s="29"/>
      <c r="D286" s="29" t="s">
        <v>14</v>
      </c>
      <c r="E286" s="29">
        <v>2</v>
      </c>
      <c r="F286" s="38">
        <v>16000</v>
      </c>
      <c r="G286" s="38">
        <v>11000</v>
      </c>
      <c r="H286" s="38">
        <v>5000</v>
      </c>
    </row>
    <row r="287" spans="1:9" x14ac:dyDescent="0.25">
      <c r="A287" s="29"/>
      <c r="B287" s="29"/>
      <c r="C287" s="29" t="s">
        <v>10</v>
      </c>
      <c r="D287" s="29" t="s">
        <v>11</v>
      </c>
      <c r="E287" s="29">
        <v>20</v>
      </c>
      <c r="F287" s="38">
        <v>30000</v>
      </c>
      <c r="G287" s="38">
        <f>20*500</f>
        <v>10000</v>
      </c>
      <c r="H287" s="38">
        <v>20000</v>
      </c>
    </row>
    <row r="288" spans="1:9" x14ac:dyDescent="0.25">
      <c r="A288" s="29"/>
      <c r="B288" s="29"/>
      <c r="C288" s="29"/>
      <c r="D288" s="29" t="s">
        <v>13</v>
      </c>
      <c r="E288" s="29">
        <v>3</v>
      </c>
      <c r="F288" s="38">
        <v>19500</v>
      </c>
      <c r="G288" s="38">
        <f>3*4500</f>
        <v>13500</v>
      </c>
      <c r="H288" s="38">
        <v>6000</v>
      </c>
    </row>
    <row r="289" spans="1:9" x14ac:dyDescent="0.25">
      <c r="A289" s="29"/>
      <c r="B289" s="29"/>
      <c r="C289" s="29"/>
      <c r="D289" s="29" t="s">
        <v>14</v>
      </c>
      <c r="E289" s="29">
        <v>2</v>
      </c>
      <c r="F289" s="38">
        <v>16000</v>
      </c>
      <c r="G289" s="38">
        <v>11000</v>
      </c>
      <c r="H289" s="38">
        <v>5000</v>
      </c>
    </row>
    <row r="290" spans="1:9" x14ac:dyDescent="0.25">
      <c r="A290" s="126" t="s">
        <v>17</v>
      </c>
      <c r="B290" s="126"/>
      <c r="C290" s="126"/>
      <c r="D290" s="126"/>
      <c r="E290" s="126"/>
      <c r="F290" s="17">
        <f>SUM(F284:F289)</f>
        <v>132000</v>
      </c>
      <c r="G290" s="17">
        <f>SUM(G284:G289)</f>
        <v>67000</v>
      </c>
      <c r="H290" s="17">
        <f>SUM(H284:H289)</f>
        <v>65000</v>
      </c>
    </row>
    <row r="291" spans="1:9" x14ac:dyDescent="0.25">
      <c r="A291" s="29" t="s">
        <v>26</v>
      </c>
      <c r="B291" s="29" t="s">
        <v>343</v>
      </c>
      <c r="C291" s="29" t="s">
        <v>105</v>
      </c>
      <c r="D291" s="29" t="s">
        <v>11</v>
      </c>
      <c r="E291" s="29">
        <v>20</v>
      </c>
      <c r="F291" s="38">
        <v>30000</v>
      </c>
      <c r="G291" s="38">
        <f>20*500</f>
        <v>10000</v>
      </c>
      <c r="H291" s="38">
        <v>20000</v>
      </c>
      <c r="I291" s="35"/>
    </row>
    <row r="292" spans="1:9" x14ac:dyDescent="0.25">
      <c r="A292" s="29"/>
      <c r="B292" s="29"/>
      <c r="C292" s="29" t="s">
        <v>106</v>
      </c>
      <c r="D292" s="29" t="s">
        <v>11</v>
      </c>
      <c r="E292" s="29">
        <v>15</v>
      </c>
      <c r="F292" s="38">
        <v>25500</v>
      </c>
      <c r="G292" s="38">
        <f>15*500</f>
        <v>7500</v>
      </c>
      <c r="H292" s="38">
        <v>15000</v>
      </c>
      <c r="I292" s="35"/>
    </row>
    <row r="293" spans="1:9" x14ac:dyDescent="0.25">
      <c r="A293" s="29"/>
      <c r="B293" s="29"/>
      <c r="C293" s="29" t="s">
        <v>288</v>
      </c>
      <c r="D293" s="29" t="s">
        <v>11</v>
      </c>
      <c r="E293" s="29">
        <v>60</v>
      </c>
      <c r="F293" s="38">
        <v>108000</v>
      </c>
      <c r="G293" s="38">
        <f>E293*500</f>
        <v>30000</v>
      </c>
      <c r="H293" s="38">
        <f>E293*1300</f>
        <v>78000</v>
      </c>
      <c r="I293" s="35"/>
    </row>
    <row r="294" spans="1:9" x14ac:dyDescent="0.25">
      <c r="A294" s="29"/>
      <c r="B294" s="29"/>
      <c r="C294" s="29" t="s">
        <v>81</v>
      </c>
      <c r="D294" s="29" t="s">
        <v>11</v>
      </c>
      <c r="E294" s="29">
        <v>60</v>
      </c>
      <c r="F294" s="38">
        <v>108000</v>
      </c>
      <c r="G294" s="38">
        <f t="shared" ref="G294:G299" si="8">E294*500</f>
        <v>30000</v>
      </c>
      <c r="H294" s="38">
        <f t="shared" ref="H294:H299" si="9">E294*1300</f>
        <v>78000</v>
      </c>
      <c r="I294" s="35"/>
    </row>
    <row r="295" spans="1:9" x14ac:dyDescent="0.25">
      <c r="A295" s="29"/>
      <c r="B295" s="29"/>
      <c r="C295" s="29"/>
      <c r="D295" s="29" t="s">
        <v>11</v>
      </c>
      <c r="E295" s="29">
        <v>70</v>
      </c>
      <c r="F295" s="38">
        <v>126000</v>
      </c>
      <c r="G295" s="38">
        <f t="shared" si="8"/>
        <v>35000</v>
      </c>
      <c r="H295" s="38">
        <f t="shared" si="9"/>
        <v>91000</v>
      </c>
      <c r="I295" s="35"/>
    </row>
    <row r="296" spans="1:9" x14ac:dyDescent="0.25">
      <c r="A296" s="29"/>
      <c r="B296" s="29"/>
      <c r="C296" s="29"/>
      <c r="D296" s="29" t="s">
        <v>11</v>
      </c>
      <c r="E296" s="29">
        <v>75</v>
      </c>
      <c r="F296" s="38">
        <v>135000</v>
      </c>
      <c r="G296" s="38">
        <f t="shared" si="8"/>
        <v>37500</v>
      </c>
      <c r="H296" s="38">
        <f t="shared" si="9"/>
        <v>97500</v>
      </c>
      <c r="I296" s="35"/>
    </row>
    <row r="297" spans="1:9" x14ac:dyDescent="0.25">
      <c r="A297" s="29"/>
      <c r="B297" s="29"/>
      <c r="C297" s="29"/>
      <c r="D297" s="29" t="s">
        <v>11</v>
      </c>
      <c r="E297" s="29">
        <v>75</v>
      </c>
      <c r="F297" s="38">
        <v>135000</v>
      </c>
      <c r="G297" s="38">
        <f t="shared" si="8"/>
        <v>37500</v>
      </c>
      <c r="H297" s="38">
        <f t="shared" si="9"/>
        <v>97500</v>
      </c>
      <c r="I297" s="35"/>
    </row>
    <row r="298" spans="1:9" x14ac:dyDescent="0.25">
      <c r="A298" s="29"/>
      <c r="B298" s="29"/>
      <c r="C298" s="29"/>
      <c r="D298" s="29" t="s">
        <v>11</v>
      </c>
      <c r="E298" s="29">
        <v>70</v>
      </c>
      <c r="F298" s="38">
        <v>126000</v>
      </c>
      <c r="G298" s="38">
        <f t="shared" si="8"/>
        <v>35000</v>
      </c>
      <c r="H298" s="38">
        <f t="shared" si="9"/>
        <v>91000</v>
      </c>
      <c r="I298" s="35"/>
    </row>
    <row r="299" spans="1:9" x14ac:dyDescent="0.25">
      <c r="A299" s="29"/>
      <c r="B299" s="29"/>
      <c r="C299" s="29"/>
      <c r="D299" s="29" t="s">
        <v>11</v>
      </c>
      <c r="E299" s="29">
        <v>61</v>
      </c>
      <c r="F299" s="38">
        <v>109800</v>
      </c>
      <c r="G299" s="38">
        <f t="shared" si="8"/>
        <v>30500</v>
      </c>
      <c r="H299" s="38">
        <f t="shared" si="9"/>
        <v>79300</v>
      </c>
      <c r="I299" s="35"/>
    </row>
    <row r="300" spans="1:9" x14ac:dyDescent="0.25">
      <c r="A300" s="29"/>
      <c r="B300" s="29"/>
      <c r="C300" s="29" t="s">
        <v>63</v>
      </c>
      <c r="D300" s="29" t="s">
        <v>12</v>
      </c>
      <c r="E300" s="29">
        <v>5</v>
      </c>
      <c r="F300" s="38">
        <v>15000</v>
      </c>
      <c r="G300" s="38">
        <v>10000</v>
      </c>
      <c r="H300" s="38">
        <v>5000</v>
      </c>
      <c r="I300" s="35"/>
    </row>
    <row r="301" spans="1:9" x14ac:dyDescent="0.25">
      <c r="A301" s="29"/>
      <c r="B301" s="29"/>
      <c r="C301" s="29"/>
      <c r="D301" s="29" t="s">
        <v>14</v>
      </c>
      <c r="E301" s="29">
        <v>2</v>
      </c>
      <c r="F301" s="38">
        <v>15000</v>
      </c>
      <c r="G301" s="38">
        <v>11000</v>
      </c>
      <c r="H301" s="38">
        <v>4000</v>
      </c>
      <c r="I301" s="35"/>
    </row>
    <row r="302" spans="1:9" x14ac:dyDescent="0.25">
      <c r="A302" s="29"/>
      <c r="B302" s="29"/>
      <c r="C302" s="29" t="s">
        <v>217</v>
      </c>
      <c r="D302" s="29" t="s">
        <v>13</v>
      </c>
      <c r="E302" s="29">
        <v>7</v>
      </c>
      <c r="F302" s="38">
        <v>45500</v>
      </c>
      <c r="G302" s="38">
        <f>7*4500</f>
        <v>31500</v>
      </c>
      <c r="H302" s="38">
        <v>14000</v>
      </c>
      <c r="I302" s="35"/>
    </row>
    <row r="303" spans="1:9" x14ac:dyDescent="0.25">
      <c r="A303" s="29"/>
      <c r="B303" s="29"/>
      <c r="C303" s="29"/>
      <c r="D303" s="29" t="s">
        <v>14</v>
      </c>
      <c r="E303" s="29">
        <v>3</v>
      </c>
      <c r="F303" s="38">
        <v>24000</v>
      </c>
      <c r="G303" s="38">
        <f>3*5500</f>
        <v>16500</v>
      </c>
      <c r="H303" s="38">
        <v>7500</v>
      </c>
      <c r="I303" s="35"/>
    </row>
    <row r="304" spans="1:9" x14ac:dyDescent="0.25">
      <c r="A304" s="29"/>
      <c r="B304" s="29"/>
      <c r="C304" s="29" t="s">
        <v>10</v>
      </c>
      <c r="D304" s="29" t="s">
        <v>11</v>
      </c>
      <c r="E304" s="29">
        <v>20</v>
      </c>
      <c r="F304" s="38">
        <v>30000</v>
      </c>
      <c r="G304" s="38">
        <f>20*500</f>
        <v>10000</v>
      </c>
      <c r="H304" s="38">
        <v>20000</v>
      </c>
      <c r="I304" s="35"/>
    </row>
    <row r="305" spans="1:9" x14ac:dyDescent="0.25">
      <c r="A305" s="29"/>
      <c r="B305" s="29"/>
      <c r="C305" s="29"/>
      <c r="D305" s="29" t="s">
        <v>13</v>
      </c>
      <c r="E305" s="29">
        <v>7</v>
      </c>
      <c r="F305" s="38">
        <v>45500</v>
      </c>
      <c r="G305" s="38">
        <f>7*4500</f>
        <v>31500</v>
      </c>
      <c r="H305" s="38">
        <v>14000</v>
      </c>
      <c r="I305" s="35"/>
    </row>
    <row r="306" spans="1:9" x14ac:dyDescent="0.25">
      <c r="A306" s="29"/>
      <c r="B306" s="29"/>
      <c r="C306" s="29"/>
      <c r="D306" s="29" t="s">
        <v>14</v>
      </c>
      <c r="E306" s="29">
        <v>9</v>
      </c>
      <c r="F306" s="38">
        <v>72000</v>
      </c>
      <c r="G306" s="38">
        <f>9*5500</f>
        <v>49500</v>
      </c>
      <c r="H306" s="38">
        <f>9*2500</f>
        <v>22500</v>
      </c>
      <c r="I306" s="35"/>
    </row>
    <row r="307" spans="1:9" x14ac:dyDescent="0.25">
      <c r="A307" s="29"/>
      <c r="B307" s="29"/>
      <c r="C307" s="29" t="s">
        <v>16</v>
      </c>
      <c r="D307" s="29" t="s">
        <v>11</v>
      </c>
      <c r="E307" s="29">
        <v>25</v>
      </c>
      <c r="F307" s="38">
        <v>37500</v>
      </c>
      <c r="G307" s="38">
        <f>25*500</f>
        <v>12500</v>
      </c>
      <c r="H307" s="38">
        <v>25000</v>
      </c>
      <c r="I307" s="35"/>
    </row>
    <row r="308" spans="1:9" x14ac:dyDescent="0.25">
      <c r="A308" s="29"/>
      <c r="B308" s="29"/>
      <c r="C308" s="29"/>
      <c r="D308" s="29" t="s">
        <v>12</v>
      </c>
      <c r="E308" s="29">
        <v>3</v>
      </c>
      <c r="F308" s="38">
        <v>9000</v>
      </c>
      <c r="G308" s="38">
        <v>6000</v>
      </c>
      <c r="H308" s="38">
        <v>3000</v>
      </c>
      <c r="I308" s="35"/>
    </row>
    <row r="309" spans="1:9" x14ac:dyDescent="0.25">
      <c r="A309" s="29"/>
      <c r="B309" s="29"/>
      <c r="C309" s="29"/>
      <c r="D309" s="29" t="s">
        <v>13</v>
      </c>
      <c r="E309" s="29">
        <v>1</v>
      </c>
      <c r="F309" s="38">
        <v>6500</v>
      </c>
      <c r="G309" s="38">
        <v>4500</v>
      </c>
      <c r="H309" s="38">
        <v>2000</v>
      </c>
      <c r="I309" s="35"/>
    </row>
    <row r="310" spans="1:9" x14ac:dyDescent="0.25">
      <c r="A310" s="29"/>
      <c r="B310" s="29"/>
      <c r="C310" s="29"/>
      <c r="D310" s="29" t="s">
        <v>14</v>
      </c>
      <c r="E310" s="29">
        <v>1</v>
      </c>
      <c r="F310" s="38">
        <v>10000</v>
      </c>
      <c r="G310" s="38">
        <v>5500</v>
      </c>
      <c r="H310" s="38">
        <v>4500</v>
      </c>
      <c r="I310" s="35"/>
    </row>
    <row r="311" spans="1:9" x14ac:dyDescent="0.25">
      <c r="A311" s="29"/>
      <c r="B311" s="29"/>
      <c r="C311" s="29"/>
      <c r="D311" s="29" t="s">
        <v>25</v>
      </c>
      <c r="E311" s="29">
        <v>1</v>
      </c>
      <c r="F311" s="38">
        <v>13000</v>
      </c>
      <c r="G311" s="38">
        <v>10000</v>
      </c>
      <c r="H311" s="38">
        <v>3000</v>
      </c>
      <c r="I311" s="35"/>
    </row>
    <row r="312" spans="1:9" x14ac:dyDescent="0.25">
      <c r="A312" s="126" t="s">
        <v>17</v>
      </c>
      <c r="B312" s="126"/>
      <c r="C312" s="126"/>
      <c r="D312" s="126"/>
      <c r="E312" s="126"/>
      <c r="F312" s="17">
        <f>SUM(F291:F311)</f>
        <v>1226300</v>
      </c>
      <c r="G312" s="17">
        <f>SUM(G291:G311)</f>
        <v>451500</v>
      </c>
      <c r="H312" s="17">
        <f>SUM(H291:H311)</f>
        <v>771800</v>
      </c>
    </row>
    <row r="313" spans="1:9" x14ac:dyDescent="0.25">
      <c r="A313" s="29" t="s">
        <v>28</v>
      </c>
      <c r="B313" s="29" t="s">
        <v>344</v>
      </c>
      <c r="C313" s="29" t="s">
        <v>10</v>
      </c>
      <c r="D313" s="29" t="s">
        <v>11</v>
      </c>
      <c r="E313" s="29">
        <v>10</v>
      </c>
      <c r="F313" s="38">
        <v>15000</v>
      </c>
      <c r="G313" s="38">
        <f>E313*500</f>
        <v>5000</v>
      </c>
      <c r="H313" s="38">
        <v>10000</v>
      </c>
    </row>
    <row r="314" spans="1:9" x14ac:dyDescent="0.25">
      <c r="A314" s="29"/>
      <c r="B314" s="29"/>
      <c r="C314" s="29"/>
      <c r="D314" s="29" t="s">
        <v>13</v>
      </c>
      <c r="E314" s="29">
        <v>19</v>
      </c>
      <c r="F314" s="38">
        <v>123500</v>
      </c>
      <c r="G314" s="38">
        <f>E314*4500</f>
        <v>85500</v>
      </c>
      <c r="H314" s="38">
        <f>E314*2000</f>
        <v>38000</v>
      </c>
    </row>
    <row r="315" spans="1:9" x14ac:dyDescent="0.25">
      <c r="A315" s="29"/>
      <c r="B315" s="29"/>
      <c r="C315" s="29"/>
      <c r="D315" s="29" t="s">
        <v>14</v>
      </c>
      <c r="E315" s="29">
        <v>34</v>
      </c>
      <c r="F315" s="38">
        <f>E315*8000</f>
        <v>272000</v>
      </c>
      <c r="G315" s="38">
        <f>E315*5500</f>
        <v>187000</v>
      </c>
      <c r="H315" s="38">
        <f>E315*2500</f>
        <v>85000</v>
      </c>
    </row>
    <row r="316" spans="1:9" x14ac:dyDescent="0.25">
      <c r="A316" s="29"/>
      <c r="B316" s="29"/>
      <c r="C316" s="29" t="s">
        <v>217</v>
      </c>
      <c r="D316" s="29" t="s">
        <v>11</v>
      </c>
      <c r="E316" s="29">
        <v>49</v>
      </c>
      <c r="F316" s="38">
        <f>E316*1500</f>
        <v>73500</v>
      </c>
      <c r="G316" s="38">
        <f>E316*500</f>
        <v>24500</v>
      </c>
      <c r="H316" s="38">
        <v>49000</v>
      </c>
    </row>
    <row r="317" spans="1:9" x14ac:dyDescent="0.25">
      <c r="A317" s="29"/>
      <c r="B317" s="29"/>
      <c r="C317" s="29"/>
      <c r="D317" s="29" t="s">
        <v>13</v>
      </c>
      <c r="E317" s="29">
        <v>11</v>
      </c>
      <c r="F317" s="38">
        <f>E317*6500</f>
        <v>71500</v>
      </c>
      <c r="G317" s="38">
        <f>E317*4500</f>
        <v>49500</v>
      </c>
      <c r="H317" s="38">
        <f>E317*2000</f>
        <v>22000</v>
      </c>
    </row>
    <row r="318" spans="1:9" x14ac:dyDescent="0.25">
      <c r="A318" s="29"/>
      <c r="B318" s="29"/>
      <c r="C318" s="29"/>
      <c r="D318" s="29" t="s">
        <v>14</v>
      </c>
      <c r="E318" s="29">
        <v>7</v>
      </c>
      <c r="F318" s="38">
        <v>70000</v>
      </c>
      <c r="G318" s="38">
        <f>E318*5500</f>
        <v>38500</v>
      </c>
      <c r="H318" s="38">
        <f>E318*3500</f>
        <v>24500</v>
      </c>
    </row>
    <row r="319" spans="1:9" x14ac:dyDescent="0.25">
      <c r="A319" s="29"/>
      <c r="B319" s="29"/>
      <c r="C319" s="29" t="s">
        <v>16</v>
      </c>
      <c r="D319" s="29" t="s">
        <v>11</v>
      </c>
      <c r="E319" s="29">
        <v>24</v>
      </c>
      <c r="F319" s="38">
        <f>E319*1500</f>
        <v>36000</v>
      </c>
      <c r="G319" s="38">
        <f>E319*500</f>
        <v>12000</v>
      </c>
      <c r="H319" s="38">
        <v>24000</v>
      </c>
    </row>
    <row r="320" spans="1:9" x14ac:dyDescent="0.25">
      <c r="A320" s="29"/>
      <c r="B320" s="29"/>
      <c r="C320" s="29"/>
      <c r="D320" s="29" t="s">
        <v>12</v>
      </c>
      <c r="E320" s="29">
        <v>3</v>
      </c>
      <c r="F320" s="38">
        <v>9000</v>
      </c>
      <c r="G320" s="38">
        <v>6000</v>
      </c>
      <c r="H320" s="38">
        <v>3000</v>
      </c>
    </row>
    <row r="321" spans="1:9" x14ac:dyDescent="0.25">
      <c r="A321" s="126" t="s">
        <v>17</v>
      </c>
      <c r="B321" s="126"/>
      <c r="C321" s="126"/>
      <c r="D321" s="126"/>
      <c r="E321" s="126"/>
      <c r="F321" s="17">
        <f>SUM(F313:F320)</f>
        <v>670500</v>
      </c>
      <c r="G321" s="17">
        <f>SUM(G313:G320)</f>
        <v>408000</v>
      </c>
      <c r="H321" s="17">
        <f>SUM(H313:H320)</f>
        <v>255500</v>
      </c>
    </row>
    <row r="322" spans="1:9" x14ac:dyDescent="0.25">
      <c r="A322" s="29" t="s">
        <v>30</v>
      </c>
      <c r="B322" s="29" t="s">
        <v>345</v>
      </c>
      <c r="C322" s="29" t="s">
        <v>288</v>
      </c>
      <c r="D322" s="29" t="s">
        <v>11</v>
      </c>
      <c r="E322" s="29">
        <v>20</v>
      </c>
      <c r="F322" s="38">
        <v>36000</v>
      </c>
      <c r="G322" s="38">
        <f>E322*500</f>
        <v>10000</v>
      </c>
      <c r="H322" s="38">
        <f>E322*1300</f>
        <v>26000</v>
      </c>
      <c r="I322" s="35"/>
    </row>
    <row r="323" spans="1:9" x14ac:dyDescent="0.25">
      <c r="A323" s="29"/>
      <c r="B323" s="29"/>
      <c r="C323" s="29" t="s">
        <v>292</v>
      </c>
      <c r="D323" s="29" t="s">
        <v>11</v>
      </c>
      <c r="E323" s="29">
        <v>49</v>
      </c>
      <c r="F323" s="38">
        <v>73500</v>
      </c>
      <c r="G323" s="38">
        <f t="shared" ref="G323:G330" si="10">E323*500</f>
        <v>24500</v>
      </c>
      <c r="H323" s="38">
        <f>E323*1000</f>
        <v>49000</v>
      </c>
      <c r="I323" s="35"/>
    </row>
    <row r="324" spans="1:9" x14ac:dyDescent="0.25">
      <c r="A324" s="29"/>
      <c r="B324" s="29"/>
      <c r="C324" s="29" t="s">
        <v>106</v>
      </c>
      <c r="D324" s="29" t="s">
        <v>11</v>
      </c>
      <c r="E324" s="29">
        <v>25</v>
      </c>
      <c r="F324" s="38">
        <v>37500</v>
      </c>
      <c r="G324" s="38">
        <f t="shared" si="10"/>
        <v>12500</v>
      </c>
      <c r="H324" s="38">
        <f t="shared" ref="H324:H330" si="11">E324*1000</f>
        <v>25000</v>
      </c>
      <c r="I324" s="35"/>
    </row>
    <row r="325" spans="1:9" x14ac:dyDescent="0.25">
      <c r="A325" s="29"/>
      <c r="B325" s="29"/>
      <c r="C325" s="29" t="s">
        <v>236</v>
      </c>
      <c r="D325" s="29" t="s">
        <v>11</v>
      </c>
      <c r="E325" s="29">
        <v>120</v>
      </c>
      <c r="F325" s="38">
        <v>180000</v>
      </c>
      <c r="G325" s="38">
        <f t="shared" si="10"/>
        <v>60000</v>
      </c>
      <c r="H325" s="38">
        <f t="shared" si="11"/>
        <v>120000</v>
      </c>
      <c r="I325" s="35"/>
    </row>
    <row r="326" spans="1:9" x14ac:dyDescent="0.25">
      <c r="A326" s="29"/>
      <c r="B326" s="29"/>
      <c r="C326" s="29"/>
      <c r="D326" s="29" t="s">
        <v>11</v>
      </c>
      <c r="E326" s="29">
        <v>99</v>
      </c>
      <c r="F326" s="38">
        <v>148500</v>
      </c>
      <c r="G326" s="38">
        <f t="shared" si="10"/>
        <v>49500</v>
      </c>
      <c r="H326" s="38">
        <f t="shared" si="11"/>
        <v>99000</v>
      </c>
      <c r="I326" s="35"/>
    </row>
    <row r="327" spans="1:9" x14ac:dyDescent="0.25">
      <c r="A327" s="29"/>
      <c r="B327" s="29"/>
      <c r="C327" s="29"/>
      <c r="D327" s="29" t="s">
        <v>11</v>
      </c>
      <c r="E327" s="29">
        <v>130</v>
      </c>
      <c r="F327" s="38">
        <v>195000</v>
      </c>
      <c r="G327" s="38">
        <f t="shared" si="10"/>
        <v>65000</v>
      </c>
      <c r="H327" s="38">
        <f t="shared" si="11"/>
        <v>130000</v>
      </c>
      <c r="I327" s="35"/>
    </row>
    <row r="328" spans="1:9" x14ac:dyDescent="0.25">
      <c r="A328" s="29"/>
      <c r="B328" s="29"/>
      <c r="C328" s="29"/>
      <c r="D328" s="29" t="s">
        <v>11</v>
      </c>
      <c r="E328" s="29">
        <v>105</v>
      </c>
      <c r="F328" s="38">
        <v>157500</v>
      </c>
      <c r="G328" s="38">
        <f t="shared" si="10"/>
        <v>52500</v>
      </c>
      <c r="H328" s="38">
        <f t="shared" si="11"/>
        <v>105000</v>
      </c>
      <c r="I328" s="35"/>
    </row>
    <row r="329" spans="1:9" x14ac:dyDescent="0.25">
      <c r="A329" s="29"/>
      <c r="B329" s="29"/>
      <c r="C329" s="29"/>
      <c r="D329" s="29" t="s">
        <v>11</v>
      </c>
      <c r="E329" s="29">
        <v>110</v>
      </c>
      <c r="F329" s="38">
        <v>165000</v>
      </c>
      <c r="G329" s="38">
        <f t="shared" si="10"/>
        <v>55000</v>
      </c>
      <c r="H329" s="38">
        <f t="shared" si="11"/>
        <v>110000</v>
      </c>
      <c r="I329" s="35"/>
    </row>
    <row r="330" spans="1:9" x14ac:dyDescent="0.25">
      <c r="A330" s="29"/>
      <c r="B330" s="29"/>
      <c r="C330" s="29"/>
      <c r="D330" s="29" t="s">
        <v>11</v>
      </c>
      <c r="E330" s="29">
        <v>122</v>
      </c>
      <c r="F330" s="38">
        <v>183000</v>
      </c>
      <c r="G330" s="38">
        <f t="shared" si="10"/>
        <v>61000</v>
      </c>
      <c r="H330" s="38">
        <f t="shared" si="11"/>
        <v>122000</v>
      </c>
      <c r="I330" s="35"/>
    </row>
    <row r="331" spans="1:9" x14ac:dyDescent="0.25">
      <c r="A331" s="29"/>
      <c r="B331" s="29"/>
      <c r="C331" s="29" t="s">
        <v>235</v>
      </c>
      <c r="D331" s="29" t="s">
        <v>25</v>
      </c>
      <c r="E331" s="29">
        <v>5</v>
      </c>
      <c r="F331" s="38">
        <v>65000</v>
      </c>
      <c r="G331" s="38">
        <v>50000</v>
      </c>
      <c r="H331" s="38">
        <v>15000</v>
      </c>
      <c r="I331" s="35"/>
    </row>
    <row r="332" spans="1:9" x14ac:dyDescent="0.25">
      <c r="A332" s="126" t="s">
        <v>17</v>
      </c>
      <c r="B332" s="126"/>
      <c r="C332" s="126"/>
      <c r="D332" s="126"/>
      <c r="E332" s="126"/>
      <c r="F332" s="17">
        <f>SUM(F322:F331)</f>
        <v>1241000</v>
      </c>
      <c r="G332" s="17">
        <f>SUM(G322:G331)</f>
        <v>440000</v>
      </c>
      <c r="H332" s="17">
        <f>SUM(H322:H331)</f>
        <v>801000</v>
      </c>
      <c r="I332" s="35"/>
    </row>
    <row r="333" spans="1:9" x14ac:dyDescent="0.25">
      <c r="A333" s="29"/>
      <c r="B333" s="29"/>
      <c r="C333" s="29" t="s">
        <v>217</v>
      </c>
      <c r="D333" s="29" t="s">
        <v>11</v>
      </c>
      <c r="E333" s="29">
        <v>30</v>
      </c>
      <c r="F333" s="38">
        <v>45000</v>
      </c>
      <c r="G333" s="38">
        <f>30*500</f>
        <v>15000</v>
      </c>
      <c r="H333" s="38">
        <v>30000</v>
      </c>
      <c r="I333" s="35"/>
    </row>
    <row r="334" spans="1:9" x14ac:dyDescent="0.25">
      <c r="A334" s="29"/>
      <c r="B334" s="29"/>
      <c r="C334" s="29"/>
      <c r="D334" s="29" t="s">
        <v>14</v>
      </c>
      <c r="E334" s="29">
        <v>1</v>
      </c>
      <c r="F334" s="38">
        <v>8000</v>
      </c>
      <c r="G334" s="38">
        <v>5500</v>
      </c>
      <c r="H334" s="38">
        <v>2500</v>
      </c>
      <c r="I334" s="35"/>
    </row>
    <row r="335" spans="1:9" x14ac:dyDescent="0.25">
      <c r="A335" s="29"/>
      <c r="B335" s="29"/>
      <c r="C335" s="29" t="s">
        <v>10</v>
      </c>
      <c r="D335" s="29" t="s">
        <v>11</v>
      </c>
      <c r="E335" s="29">
        <v>33</v>
      </c>
      <c r="F335" s="38">
        <v>49500</v>
      </c>
      <c r="G335" s="38">
        <f>33*500</f>
        <v>16500</v>
      </c>
      <c r="H335" s="38">
        <v>33000</v>
      </c>
      <c r="I335" s="35"/>
    </row>
    <row r="336" spans="1:9" x14ac:dyDescent="0.25">
      <c r="A336" s="29"/>
      <c r="B336" s="29"/>
      <c r="C336" s="29"/>
      <c r="D336" s="29" t="s">
        <v>13</v>
      </c>
      <c r="E336" s="29">
        <v>1</v>
      </c>
      <c r="F336" s="38">
        <v>6500</v>
      </c>
      <c r="G336" s="38">
        <v>4500</v>
      </c>
      <c r="H336" s="38">
        <v>2000</v>
      </c>
      <c r="I336" s="35"/>
    </row>
    <row r="337" spans="1:9" x14ac:dyDescent="0.25">
      <c r="A337" s="29"/>
      <c r="B337" s="29"/>
      <c r="C337" s="29"/>
      <c r="D337" s="29" t="s">
        <v>14</v>
      </c>
      <c r="E337" s="29">
        <v>2</v>
      </c>
      <c r="F337" s="38">
        <v>16000</v>
      </c>
      <c r="G337" s="38">
        <v>11000</v>
      </c>
      <c r="H337" s="38">
        <v>5000</v>
      </c>
      <c r="I337" s="35"/>
    </row>
    <row r="338" spans="1:9" x14ac:dyDescent="0.25">
      <c r="A338" s="126" t="s">
        <v>17</v>
      </c>
      <c r="B338" s="126"/>
      <c r="C338" s="126"/>
      <c r="D338" s="126"/>
      <c r="E338" s="126"/>
      <c r="F338" s="17">
        <f>SUM(F333:F337)</f>
        <v>125000</v>
      </c>
      <c r="G338" s="17">
        <f>SUM(G333:G337)</f>
        <v>52500</v>
      </c>
      <c r="H338" s="17">
        <f>SUM(H333:H337)</f>
        <v>72500</v>
      </c>
      <c r="I338" s="35"/>
    </row>
    <row r="339" spans="1:9" x14ac:dyDescent="0.25">
      <c r="A339" s="29" t="s">
        <v>32</v>
      </c>
      <c r="B339" s="29" t="s">
        <v>346</v>
      </c>
      <c r="C339" s="29" t="s">
        <v>16</v>
      </c>
      <c r="D339" s="29" t="s">
        <v>11</v>
      </c>
      <c r="E339" s="29">
        <v>52</v>
      </c>
      <c r="F339" s="38">
        <v>78000</v>
      </c>
      <c r="G339" s="38">
        <f>E339*500</f>
        <v>26000</v>
      </c>
      <c r="H339" s="38">
        <v>52000</v>
      </c>
      <c r="I339" s="35"/>
    </row>
    <row r="340" spans="1:9" x14ac:dyDescent="0.25">
      <c r="A340" s="29"/>
      <c r="B340" s="29"/>
      <c r="C340" s="29"/>
      <c r="D340" s="29" t="s">
        <v>12</v>
      </c>
      <c r="E340" s="29">
        <v>3</v>
      </c>
      <c r="F340" s="38">
        <v>9000</v>
      </c>
      <c r="G340" s="38">
        <v>6000</v>
      </c>
      <c r="H340" s="38">
        <v>3000</v>
      </c>
      <c r="I340" s="35"/>
    </row>
    <row r="341" spans="1:9" x14ac:dyDescent="0.25">
      <c r="A341" s="29"/>
      <c r="B341" s="29"/>
      <c r="C341" s="29"/>
      <c r="D341" s="29" t="s">
        <v>13</v>
      </c>
      <c r="E341" s="29">
        <v>1</v>
      </c>
      <c r="F341" s="38">
        <v>6500</v>
      </c>
      <c r="G341" s="38">
        <v>4500</v>
      </c>
      <c r="H341" s="38">
        <v>2000</v>
      </c>
      <c r="I341" s="35"/>
    </row>
    <row r="342" spans="1:9" x14ac:dyDescent="0.25">
      <c r="A342" s="29"/>
      <c r="B342" s="29"/>
      <c r="C342" s="29"/>
      <c r="D342" s="29" t="s">
        <v>14</v>
      </c>
      <c r="E342" s="29">
        <v>1</v>
      </c>
      <c r="F342" s="38">
        <v>10000</v>
      </c>
      <c r="G342" s="38">
        <v>5500</v>
      </c>
      <c r="H342" s="38">
        <v>4500</v>
      </c>
      <c r="I342" s="35"/>
    </row>
    <row r="343" spans="1:9" x14ac:dyDescent="0.25">
      <c r="A343" s="29"/>
      <c r="B343" s="29"/>
      <c r="C343" s="29" t="s">
        <v>16</v>
      </c>
      <c r="D343" s="29" t="s">
        <v>11</v>
      </c>
      <c r="E343" s="29">
        <v>45</v>
      </c>
      <c r="F343" s="38">
        <v>67500</v>
      </c>
      <c r="G343" s="38">
        <f>E343*500</f>
        <v>22500</v>
      </c>
      <c r="H343" s="38">
        <v>45000</v>
      </c>
      <c r="I343" s="35"/>
    </row>
    <row r="344" spans="1:9" x14ac:dyDescent="0.25">
      <c r="A344" s="29"/>
      <c r="B344" s="29"/>
      <c r="C344" s="29"/>
      <c r="D344" s="29" t="s">
        <v>13</v>
      </c>
      <c r="E344" s="29">
        <v>2</v>
      </c>
      <c r="F344" s="38">
        <v>13000</v>
      </c>
      <c r="G344" s="38">
        <f>E344*4500</f>
        <v>9000</v>
      </c>
      <c r="H344" s="38">
        <v>4000</v>
      </c>
      <c r="I344" s="35"/>
    </row>
    <row r="345" spans="1:9" x14ac:dyDescent="0.25">
      <c r="A345" s="29"/>
      <c r="B345" s="29"/>
      <c r="C345" s="29"/>
      <c r="D345" s="29" t="s">
        <v>25</v>
      </c>
      <c r="E345" s="29">
        <v>1</v>
      </c>
      <c r="F345" s="38">
        <v>13000</v>
      </c>
      <c r="G345" s="38">
        <v>10000</v>
      </c>
      <c r="H345" s="38">
        <v>3000</v>
      </c>
      <c r="I345" s="35"/>
    </row>
    <row r="346" spans="1:9" x14ac:dyDescent="0.25">
      <c r="A346" s="29"/>
      <c r="B346" s="29"/>
      <c r="C346" s="29" t="s">
        <v>217</v>
      </c>
      <c r="D346" s="29" t="s">
        <v>11</v>
      </c>
      <c r="E346" s="29">
        <v>36</v>
      </c>
      <c r="F346" s="38">
        <v>54000</v>
      </c>
      <c r="G346" s="38">
        <f>E346*500</f>
        <v>18000</v>
      </c>
      <c r="H346" s="38">
        <v>36000</v>
      </c>
      <c r="I346" s="35"/>
    </row>
    <row r="347" spans="1:9" x14ac:dyDescent="0.25">
      <c r="A347" s="29"/>
      <c r="B347" s="29"/>
      <c r="C347" s="29"/>
      <c r="D347" s="29" t="s">
        <v>13</v>
      </c>
      <c r="E347" s="29">
        <v>4</v>
      </c>
      <c r="F347" s="38">
        <v>26000</v>
      </c>
      <c r="G347" s="38">
        <f>E347*4500</f>
        <v>18000</v>
      </c>
      <c r="H347" s="38">
        <v>8000</v>
      </c>
      <c r="I347" s="35"/>
    </row>
    <row r="348" spans="1:9" x14ac:dyDescent="0.25">
      <c r="A348" s="29"/>
      <c r="B348" s="29"/>
      <c r="C348" s="29"/>
      <c r="D348" s="29" t="s">
        <v>14</v>
      </c>
      <c r="E348" s="29">
        <v>5</v>
      </c>
      <c r="F348" s="38">
        <v>40000</v>
      </c>
      <c r="G348" s="38">
        <f>E348*5500</f>
        <v>27500</v>
      </c>
      <c r="H348" s="38">
        <f>E348*2500</f>
        <v>12500</v>
      </c>
      <c r="I348" s="35"/>
    </row>
    <row r="349" spans="1:9" x14ac:dyDescent="0.25">
      <c r="A349" s="29"/>
      <c r="B349" s="29"/>
      <c r="C349" s="29" t="s">
        <v>10</v>
      </c>
      <c r="D349" s="29" t="s">
        <v>11</v>
      </c>
      <c r="E349" s="29">
        <v>30</v>
      </c>
      <c r="F349" s="38">
        <v>45000</v>
      </c>
      <c r="G349" s="38">
        <f>E349*500</f>
        <v>15000</v>
      </c>
      <c r="H349" s="38">
        <v>30000</v>
      </c>
      <c r="I349" s="35"/>
    </row>
    <row r="350" spans="1:9" x14ac:dyDescent="0.25">
      <c r="A350" s="29"/>
      <c r="B350" s="29"/>
      <c r="C350" s="29"/>
      <c r="D350" s="29" t="s">
        <v>13</v>
      </c>
      <c r="E350" s="29">
        <v>7</v>
      </c>
      <c r="F350" s="38">
        <v>45500</v>
      </c>
      <c r="G350" s="38">
        <f>E350*4500</f>
        <v>31500</v>
      </c>
      <c r="H350" s="38">
        <v>14000</v>
      </c>
      <c r="I350" s="35"/>
    </row>
    <row r="351" spans="1:9" x14ac:dyDescent="0.25">
      <c r="A351" s="29"/>
      <c r="B351" s="29"/>
      <c r="C351" s="29"/>
      <c r="D351" s="29" t="s">
        <v>14</v>
      </c>
      <c r="E351" s="29">
        <v>4</v>
      </c>
      <c r="F351" s="38">
        <v>32000</v>
      </c>
      <c r="G351" s="38">
        <f>E351*5500</f>
        <v>22000</v>
      </c>
      <c r="H351" s="38">
        <f>E351*2500</f>
        <v>10000</v>
      </c>
      <c r="I351" s="35"/>
    </row>
    <row r="352" spans="1:9" x14ac:dyDescent="0.25">
      <c r="A352" s="29"/>
      <c r="B352" s="29"/>
      <c r="C352" s="29" t="s">
        <v>288</v>
      </c>
      <c r="D352" s="29" t="s">
        <v>11</v>
      </c>
      <c r="E352" s="29">
        <v>64</v>
      </c>
      <c r="F352" s="38">
        <v>115000</v>
      </c>
      <c r="G352" s="38">
        <f>E352*500</f>
        <v>32000</v>
      </c>
      <c r="H352" s="38">
        <f>E352*1300</f>
        <v>83200</v>
      </c>
      <c r="I352" s="35"/>
    </row>
    <row r="353" spans="1:9" x14ac:dyDescent="0.25">
      <c r="A353" s="29"/>
      <c r="B353" s="29"/>
      <c r="C353" s="29" t="s">
        <v>108</v>
      </c>
      <c r="D353" s="29" t="s">
        <v>11</v>
      </c>
      <c r="E353" s="29">
        <v>57</v>
      </c>
      <c r="F353" s="38">
        <v>85500</v>
      </c>
      <c r="G353" s="38">
        <f>E353*500</f>
        <v>28500</v>
      </c>
      <c r="H353" s="38">
        <v>57000</v>
      </c>
      <c r="I353" s="35"/>
    </row>
    <row r="354" spans="1:9" x14ac:dyDescent="0.25">
      <c r="A354" s="29"/>
      <c r="B354" s="29"/>
      <c r="C354" s="29" t="s">
        <v>106</v>
      </c>
      <c r="D354" s="29" t="s">
        <v>11</v>
      </c>
      <c r="E354" s="29">
        <v>25</v>
      </c>
      <c r="F354" s="38">
        <v>37500</v>
      </c>
      <c r="G354" s="38">
        <f>E354*500</f>
        <v>12500</v>
      </c>
      <c r="H354" s="38">
        <v>25000</v>
      </c>
      <c r="I354" s="35"/>
    </row>
    <row r="355" spans="1:9" x14ac:dyDescent="0.25">
      <c r="A355" s="16"/>
      <c r="B355" s="16"/>
      <c r="C355" s="29" t="s">
        <v>332</v>
      </c>
      <c r="D355" s="29" t="s">
        <v>25</v>
      </c>
      <c r="E355" s="29">
        <v>3</v>
      </c>
      <c r="F355" s="40">
        <v>45000</v>
      </c>
      <c r="G355" s="40">
        <v>30000</v>
      </c>
      <c r="H355" s="40">
        <v>15000</v>
      </c>
      <c r="I355" s="35"/>
    </row>
    <row r="356" spans="1:9" x14ac:dyDescent="0.25">
      <c r="A356" s="126" t="s">
        <v>17</v>
      </c>
      <c r="B356" s="126"/>
      <c r="C356" s="126"/>
      <c r="D356" s="126"/>
      <c r="E356" s="126"/>
      <c r="F356" s="17">
        <f>SUM(F339:F355)</f>
        <v>722500</v>
      </c>
      <c r="G356" s="17">
        <f>SUM(G339:G355)</f>
        <v>318500</v>
      </c>
      <c r="H356" s="17">
        <f>SUM(H339:H355)</f>
        <v>404200</v>
      </c>
      <c r="I356" s="35"/>
    </row>
    <row r="357" spans="1:9" x14ac:dyDescent="0.25">
      <c r="A357" s="29" t="s">
        <v>8</v>
      </c>
      <c r="B357" s="29" t="s">
        <v>347</v>
      </c>
      <c r="C357" s="29" t="s">
        <v>288</v>
      </c>
      <c r="D357" s="29" t="s">
        <v>11</v>
      </c>
      <c r="E357" s="29">
        <f>65-16</f>
        <v>49</v>
      </c>
      <c r="F357" s="38">
        <f>49*1800</f>
        <v>88200</v>
      </c>
      <c r="G357" s="38">
        <f>49*500</f>
        <v>24500</v>
      </c>
      <c r="H357" s="38">
        <f>49*1300</f>
        <v>63700</v>
      </c>
      <c r="I357" s="35"/>
    </row>
    <row r="358" spans="1:9" x14ac:dyDescent="0.25">
      <c r="A358" s="29"/>
      <c r="B358" s="29"/>
      <c r="C358" s="29" t="s">
        <v>108</v>
      </c>
      <c r="D358" s="29" t="s">
        <v>11</v>
      </c>
      <c r="E358" s="29">
        <v>19</v>
      </c>
      <c r="F358" s="38">
        <f>19*1500</f>
        <v>28500</v>
      </c>
      <c r="G358" s="38">
        <f>19*500</f>
        <v>9500</v>
      </c>
      <c r="H358" s="38">
        <v>19000</v>
      </c>
      <c r="I358" s="35"/>
    </row>
    <row r="359" spans="1:9" x14ac:dyDescent="0.25">
      <c r="A359" s="29"/>
      <c r="B359" s="29"/>
      <c r="C359" s="29" t="s">
        <v>106</v>
      </c>
      <c r="D359" s="29" t="s">
        <v>11</v>
      </c>
      <c r="E359" s="29">
        <v>25</v>
      </c>
      <c r="F359" s="38">
        <f>25*1500</f>
        <v>37500</v>
      </c>
      <c r="G359" s="38">
        <f>25*500</f>
        <v>12500</v>
      </c>
      <c r="H359" s="38">
        <v>25000</v>
      </c>
      <c r="I359" s="35"/>
    </row>
    <row r="360" spans="1:9" x14ac:dyDescent="0.25">
      <c r="A360" s="29"/>
      <c r="B360" s="29"/>
      <c r="C360" s="29" t="s">
        <v>217</v>
      </c>
      <c r="D360" s="29" t="s">
        <v>11</v>
      </c>
      <c r="E360" s="29">
        <v>16</v>
      </c>
      <c r="F360" s="38">
        <v>24000</v>
      </c>
      <c r="G360" s="38">
        <f>16*500</f>
        <v>8000</v>
      </c>
      <c r="H360" s="38">
        <v>16000</v>
      </c>
      <c r="I360" s="35"/>
    </row>
    <row r="361" spans="1:9" x14ac:dyDescent="0.25">
      <c r="A361" s="29"/>
      <c r="B361" s="29"/>
      <c r="C361" s="29"/>
      <c r="D361" s="29" t="s">
        <v>13</v>
      </c>
      <c r="E361" s="29">
        <v>2</v>
      </c>
      <c r="F361" s="38">
        <v>13000</v>
      </c>
      <c r="G361" s="38">
        <v>9000</v>
      </c>
      <c r="H361" s="38">
        <v>4000</v>
      </c>
      <c r="I361" s="35"/>
    </row>
    <row r="362" spans="1:9" x14ac:dyDescent="0.25">
      <c r="A362" s="29"/>
      <c r="B362" s="29"/>
      <c r="C362" s="29"/>
      <c r="D362" s="29" t="s">
        <v>14</v>
      </c>
      <c r="E362" s="29">
        <v>3</v>
      </c>
      <c r="F362" s="38">
        <v>24000</v>
      </c>
      <c r="G362" s="38">
        <f>3*5500</f>
        <v>16500</v>
      </c>
      <c r="H362" s="38">
        <f>3*2500</f>
        <v>7500</v>
      </c>
      <c r="I362" s="35"/>
    </row>
    <row r="363" spans="1:9" x14ac:dyDescent="0.25">
      <c r="A363" s="29"/>
      <c r="B363" s="29"/>
      <c r="C363" s="29"/>
      <c r="D363" s="29" t="s">
        <v>25</v>
      </c>
      <c r="E363" s="29">
        <v>1</v>
      </c>
      <c r="F363" s="38">
        <v>13000</v>
      </c>
      <c r="G363" s="38">
        <v>10000</v>
      </c>
      <c r="H363" s="38">
        <v>3000</v>
      </c>
      <c r="I363" s="35"/>
    </row>
    <row r="364" spans="1:9" x14ac:dyDescent="0.25">
      <c r="A364" s="29"/>
      <c r="B364" s="29"/>
      <c r="C364" s="29" t="s">
        <v>16</v>
      </c>
      <c r="D364" s="29" t="s">
        <v>11</v>
      </c>
      <c r="E364" s="29">
        <v>29</v>
      </c>
      <c r="F364" s="38">
        <v>43500</v>
      </c>
      <c r="G364" s="38">
        <f>29*500</f>
        <v>14500</v>
      </c>
      <c r="H364" s="38">
        <v>29000</v>
      </c>
      <c r="I364" s="35"/>
    </row>
    <row r="365" spans="1:9" x14ac:dyDescent="0.25">
      <c r="A365" s="29"/>
      <c r="B365" s="29"/>
      <c r="C365" s="29"/>
      <c r="D365" s="29" t="s">
        <v>12</v>
      </c>
      <c r="E365" s="29">
        <v>3</v>
      </c>
      <c r="F365" s="38">
        <v>9000</v>
      </c>
      <c r="G365" s="38">
        <v>6000</v>
      </c>
      <c r="H365" s="38">
        <v>3000</v>
      </c>
      <c r="I365" s="35"/>
    </row>
    <row r="366" spans="1:9" x14ac:dyDescent="0.25">
      <c r="A366" s="126" t="s">
        <v>17</v>
      </c>
      <c r="B366" s="126"/>
      <c r="C366" s="126"/>
      <c r="D366" s="126"/>
      <c r="E366" s="126"/>
      <c r="F366" s="17">
        <f>SUM(F357:F365)</f>
        <v>280700</v>
      </c>
      <c r="G366" s="17">
        <f>SUM(G357:G365)</f>
        <v>110500</v>
      </c>
      <c r="H366" s="17">
        <f>SUM(H357:H365)</f>
        <v>170200</v>
      </c>
    </row>
    <row r="367" spans="1:9" x14ac:dyDescent="0.25">
      <c r="A367" s="29" t="s">
        <v>18</v>
      </c>
      <c r="B367" s="29" t="s">
        <v>348</v>
      </c>
      <c r="C367" s="29" t="s">
        <v>288</v>
      </c>
      <c r="D367" s="29" t="s">
        <v>11</v>
      </c>
      <c r="E367" s="29">
        <v>65</v>
      </c>
      <c r="F367" s="38">
        <v>117000</v>
      </c>
      <c r="G367" s="38">
        <f>E367*500</f>
        <v>32500</v>
      </c>
      <c r="H367" s="38">
        <f>E367*1300</f>
        <v>84500</v>
      </c>
    </row>
    <row r="368" spans="1:9" x14ac:dyDescent="0.25">
      <c r="A368" s="29"/>
      <c r="B368" s="29"/>
      <c r="C368" s="29" t="s">
        <v>108</v>
      </c>
      <c r="D368" s="29" t="s">
        <v>11</v>
      </c>
      <c r="E368" s="29">
        <v>18</v>
      </c>
      <c r="F368" s="38">
        <v>27000</v>
      </c>
      <c r="G368" s="38">
        <f>E368*500</f>
        <v>9000</v>
      </c>
      <c r="H368" s="38">
        <v>18000</v>
      </c>
    </row>
    <row r="369" spans="1:8" x14ac:dyDescent="0.25">
      <c r="A369" s="29"/>
      <c r="B369" s="29"/>
      <c r="C369" s="29" t="s">
        <v>106</v>
      </c>
      <c r="D369" s="29" t="s">
        <v>11</v>
      </c>
      <c r="E369" s="29">
        <v>25</v>
      </c>
      <c r="F369" s="38">
        <v>37500</v>
      </c>
      <c r="G369" s="38">
        <f>E369*500</f>
        <v>12500</v>
      </c>
      <c r="H369" s="38">
        <v>25000</v>
      </c>
    </row>
    <row r="370" spans="1:8" x14ac:dyDescent="0.25">
      <c r="A370" s="29"/>
      <c r="B370" s="29"/>
      <c r="C370" s="29" t="s">
        <v>10</v>
      </c>
      <c r="D370" s="29" t="s">
        <v>11</v>
      </c>
      <c r="E370" s="29">
        <f>35+25</f>
        <v>60</v>
      </c>
      <c r="F370" s="38">
        <f>E370*1500</f>
        <v>90000</v>
      </c>
      <c r="G370" s="38">
        <f>E370*500</f>
        <v>30000</v>
      </c>
      <c r="H370" s="38">
        <v>60000</v>
      </c>
    </row>
    <row r="371" spans="1:8" x14ac:dyDescent="0.25">
      <c r="A371" s="29"/>
      <c r="B371" s="29"/>
      <c r="C371" s="29"/>
      <c r="D371" s="29" t="s">
        <v>13</v>
      </c>
      <c r="E371" s="29">
        <v>16</v>
      </c>
      <c r="F371" s="38">
        <f>E371*6500</f>
        <v>104000</v>
      </c>
      <c r="G371" s="38">
        <f>E371*4500</f>
        <v>72000</v>
      </c>
      <c r="H371" s="38">
        <f>E371*2000</f>
        <v>32000</v>
      </c>
    </row>
    <row r="372" spans="1:8" x14ac:dyDescent="0.25">
      <c r="A372" s="29"/>
      <c r="B372" s="29"/>
      <c r="C372" s="29"/>
      <c r="D372" s="29" t="s">
        <v>14</v>
      </c>
      <c r="E372" s="29">
        <v>17</v>
      </c>
      <c r="F372" s="38">
        <f>E372*8000</f>
        <v>136000</v>
      </c>
      <c r="G372" s="38">
        <f>E372*5500</f>
        <v>93500</v>
      </c>
      <c r="H372" s="38">
        <f>E372*2500</f>
        <v>42500</v>
      </c>
    </row>
    <row r="373" spans="1:8" x14ac:dyDescent="0.25">
      <c r="A373" s="29"/>
      <c r="B373" s="29"/>
      <c r="C373" s="29" t="s">
        <v>16</v>
      </c>
      <c r="D373" s="29" t="s">
        <v>11</v>
      </c>
      <c r="E373" s="29">
        <v>50</v>
      </c>
      <c r="F373" s="38">
        <v>75000</v>
      </c>
      <c r="G373" s="38">
        <f>E373*500</f>
        <v>25000</v>
      </c>
      <c r="H373" s="38">
        <v>50000</v>
      </c>
    </row>
    <row r="374" spans="1:8" x14ac:dyDescent="0.25">
      <c r="A374" s="29"/>
      <c r="B374" s="29"/>
      <c r="C374" s="29"/>
      <c r="D374" s="29" t="s">
        <v>12</v>
      </c>
      <c r="E374" s="29">
        <v>6</v>
      </c>
      <c r="F374" s="38">
        <v>18000</v>
      </c>
      <c r="G374" s="38">
        <f>E374*2000</f>
        <v>12000</v>
      </c>
      <c r="H374" s="38">
        <v>6000</v>
      </c>
    </row>
    <row r="375" spans="1:8" x14ac:dyDescent="0.25">
      <c r="A375" s="126" t="s">
        <v>17</v>
      </c>
      <c r="B375" s="126"/>
      <c r="C375" s="126"/>
      <c r="D375" s="126"/>
      <c r="E375" s="126"/>
      <c r="F375" s="17">
        <f>SUM(F367:F374)</f>
        <v>604500</v>
      </c>
      <c r="G375" s="17">
        <f>SUM(G367:G374)</f>
        <v>286500</v>
      </c>
      <c r="H375" s="17">
        <f>SUM(H367:H374)</f>
        <v>318000</v>
      </c>
    </row>
    <row r="376" spans="1:8" x14ac:dyDescent="0.25">
      <c r="A376" s="29" t="s">
        <v>22</v>
      </c>
      <c r="B376" s="29" t="s">
        <v>349</v>
      </c>
      <c r="C376" s="29" t="s">
        <v>288</v>
      </c>
      <c r="D376" s="29" t="s">
        <v>11</v>
      </c>
      <c r="E376" s="29">
        <v>65</v>
      </c>
      <c r="F376" s="38">
        <v>117000</v>
      </c>
      <c r="G376" s="38">
        <v>32500</v>
      </c>
      <c r="H376" s="38">
        <v>84500</v>
      </c>
    </row>
    <row r="377" spans="1:8" x14ac:dyDescent="0.25">
      <c r="A377" s="29"/>
      <c r="B377" s="29"/>
      <c r="C377" s="29" t="s">
        <v>108</v>
      </c>
      <c r="D377" s="29" t="s">
        <v>11</v>
      </c>
      <c r="E377" s="29">
        <v>12</v>
      </c>
      <c r="F377" s="38">
        <v>18000</v>
      </c>
      <c r="G377" s="38">
        <f>E377*500</f>
        <v>6000</v>
      </c>
      <c r="H377" s="38">
        <v>12000</v>
      </c>
    </row>
    <row r="378" spans="1:8" x14ac:dyDescent="0.25">
      <c r="A378" s="29"/>
      <c r="B378" s="29"/>
      <c r="C378" s="29" t="s">
        <v>106</v>
      </c>
      <c r="D378" s="29" t="s">
        <v>11</v>
      </c>
      <c r="E378" s="29">
        <v>25</v>
      </c>
      <c r="F378" s="38">
        <v>37500</v>
      </c>
      <c r="G378" s="38">
        <f>E378*500</f>
        <v>12500</v>
      </c>
      <c r="H378" s="38">
        <v>25000</v>
      </c>
    </row>
    <row r="379" spans="1:8" x14ac:dyDescent="0.25">
      <c r="A379" s="29"/>
      <c r="B379" s="29"/>
      <c r="C379" s="29" t="s">
        <v>16</v>
      </c>
      <c r="D379" s="29" t="s">
        <v>11</v>
      </c>
      <c r="E379" s="29">
        <v>58</v>
      </c>
      <c r="F379" s="38">
        <v>87000</v>
      </c>
      <c r="G379" s="38">
        <f>E379*500</f>
        <v>29000</v>
      </c>
      <c r="H379" s="38">
        <v>58000</v>
      </c>
    </row>
    <row r="380" spans="1:8" x14ac:dyDescent="0.25">
      <c r="A380" s="29"/>
      <c r="B380" s="29"/>
      <c r="C380" s="29"/>
      <c r="D380" s="29" t="s">
        <v>12</v>
      </c>
      <c r="E380" s="29">
        <v>1</v>
      </c>
      <c r="F380" s="38">
        <v>3000</v>
      </c>
      <c r="G380" s="38">
        <v>2000</v>
      </c>
      <c r="H380" s="38">
        <v>1000</v>
      </c>
    </row>
    <row r="381" spans="1:8" x14ac:dyDescent="0.25">
      <c r="A381" s="29"/>
      <c r="B381" s="29"/>
      <c r="C381" s="29" t="s">
        <v>10</v>
      </c>
      <c r="D381" s="29" t="s">
        <v>11</v>
      </c>
      <c r="E381" s="29">
        <v>15</v>
      </c>
      <c r="F381" s="38">
        <f>E381*1500</f>
        <v>22500</v>
      </c>
      <c r="G381" s="38">
        <f>E381*500</f>
        <v>7500</v>
      </c>
      <c r="H381" s="38">
        <v>15000</v>
      </c>
    </row>
    <row r="382" spans="1:8" x14ac:dyDescent="0.25">
      <c r="A382" s="29"/>
      <c r="B382" s="29"/>
      <c r="C382" s="29"/>
      <c r="D382" s="29" t="s">
        <v>13</v>
      </c>
      <c r="E382" s="29">
        <v>8</v>
      </c>
      <c r="F382" s="38">
        <f>E382*6500</f>
        <v>52000</v>
      </c>
      <c r="G382" s="38">
        <f>E382*4500</f>
        <v>36000</v>
      </c>
      <c r="H382" s="38">
        <f>E382*2000</f>
        <v>16000</v>
      </c>
    </row>
    <row r="383" spans="1:8" x14ac:dyDescent="0.25">
      <c r="A383" s="29"/>
      <c r="B383" s="29"/>
      <c r="C383" s="29"/>
      <c r="D383" s="29" t="s">
        <v>14</v>
      </c>
      <c r="E383" s="29">
        <v>7</v>
      </c>
      <c r="F383" s="38">
        <v>56000</v>
      </c>
      <c r="G383" s="38">
        <f>E383*5500</f>
        <v>38500</v>
      </c>
      <c r="H383" s="38">
        <f>E383*2500</f>
        <v>17500</v>
      </c>
    </row>
    <row r="384" spans="1:8" x14ac:dyDescent="0.25">
      <c r="A384" s="126" t="s">
        <v>17</v>
      </c>
      <c r="B384" s="126"/>
      <c r="C384" s="126"/>
      <c r="D384" s="126"/>
      <c r="E384" s="126"/>
      <c r="F384" s="17">
        <f>SUM(F376:F383)</f>
        <v>393000</v>
      </c>
      <c r="G384" s="17">
        <f>SUM(G376:G383)</f>
        <v>164000</v>
      </c>
      <c r="H384" s="17">
        <f>SUM(H376:H383)</f>
        <v>229000</v>
      </c>
    </row>
    <row r="385" spans="6:8" x14ac:dyDescent="0.25">
      <c r="F385" s="4"/>
      <c r="G385" s="4"/>
      <c r="H385" s="4"/>
    </row>
    <row r="386" spans="6:8" x14ac:dyDescent="0.25">
      <c r="F386" s="4"/>
      <c r="G386" s="4"/>
      <c r="H386" s="4"/>
    </row>
    <row r="387" spans="6:8" x14ac:dyDescent="0.25">
      <c r="F387" s="4"/>
      <c r="G387" s="4"/>
      <c r="H387" s="4"/>
    </row>
    <row r="388" spans="6:8" x14ac:dyDescent="0.25">
      <c r="F388" s="4"/>
      <c r="G388" s="4"/>
      <c r="H388" s="4"/>
    </row>
    <row r="389" spans="6:8" x14ac:dyDescent="0.25">
      <c r="F389" s="4"/>
      <c r="G389" s="4"/>
      <c r="H389" s="4"/>
    </row>
    <row r="390" spans="6:8" x14ac:dyDescent="0.25">
      <c r="F390" s="4"/>
      <c r="G390" s="4"/>
      <c r="H390" s="4"/>
    </row>
    <row r="391" spans="6:8" x14ac:dyDescent="0.25">
      <c r="F391" s="4"/>
      <c r="G391" s="4"/>
      <c r="H391" s="4"/>
    </row>
    <row r="392" spans="6:8" x14ac:dyDescent="0.25">
      <c r="F392" s="4"/>
      <c r="G392" s="4"/>
      <c r="H392" s="4"/>
    </row>
    <row r="393" spans="6:8" x14ac:dyDescent="0.25">
      <c r="F393" s="4"/>
      <c r="G393" s="4"/>
      <c r="H393" s="4"/>
    </row>
    <row r="394" spans="6:8" x14ac:dyDescent="0.25">
      <c r="F394" s="4"/>
      <c r="G394" s="4"/>
      <c r="H394" s="4"/>
    </row>
    <row r="395" spans="6:8" x14ac:dyDescent="0.25">
      <c r="F395" s="4"/>
      <c r="G395" s="4"/>
      <c r="H395" s="4"/>
    </row>
    <row r="396" spans="6:8" x14ac:dyDescent="0.25">
      <c r="F396" s="4"/>
      <c r="G396" s="4"/>
      <c r="H396" s="4"/>
    </row>
    <row r="397" spans="6:8" x14ac:dyDescent="0.25">
      <c r="F397" s="4"/>
      <c r="G397" s="4"/>
      <c r="H397" s="4"/>
    </row>
    <row r="398" spans="6:8" x14ac:dyDescent="0.25">
      <c r="F398" s="4"/>
      <c r="G398" s="4"/>
      <c r="H398" s="4"/>
    </row>
    <row r="399" spans="6:8" x14ac:dyDescent="0.25">
      <c r="F399" s="4"/>
      <c r="G399" s="4"/>
      <c r="H399" s="4"/>
    </row>
    <row r="400" spans="6:8" x14ac:dyDescent="0.25">
      <c r="F400" s="4"/>
      <c r="G400" s="4"/>
      <c r="H400" s="4"/>
    </row>
    <row r="401" spans="6:8" x14ac:dyDescent="0.25">
      <c r="F401" s="4"/>
      <c r="G401" s="4"/>
      <c r="H401" s="4"/>
    </row>
    <row r="402" spans="6:8" x14ac:dyDescent="0.25">
      <c r="F402" s="4"/>
      <c r="G402" s="4"/>
      <c r="H402" s="4"/>
    </row>
    <row r="403" spans="6:8" x14ac:dyDescent="0.25">
      <c r="F403" s="4"/>
      <c r="G403" s="4"/>
      <c r="H403" s="4"/>
    </row>
    <row r="404" spans="6:8" x14ac:dyDescent="0.25">
      <c r="F404" s="4"/>
      <c r="G404" s="4"/>
      <c r="H404" s="4"/>
    </row>
    <row r="405" spans="6:8" x14ac:dyDescent="0.25">
      <c r="F405" s="4"/>
      <c r="G405" s="4"/>
      <c r="H405" s="4"/>
    </row>
    <row r="406" spans="6:8" x14ac:dyDescent="0.25">
      <c r="F406" s="4"/>
      <c r="G406" s="4"/>
      <c r="H406" s="4"/>
    </row>
    <row r="407" spans="6:8" x14ac:dyDescent="0.25">
      <c r="F407" s="4"/>
      <c r="G407" s="4"/>
      <c r="H407" s="4"/>
    </row>
    <row r="408" spans="6:8" x14ac:dyDescent="0.25">
      <c r="F408" s="4"/>
      <c r="G408" s="4"/>
      <c r="H408" s="4"/>
    </row>
    <row r="409" spans="6:8" x14ac:dyDescent="0.25">
      <c r="F409" s="4"/>
      <c r="G409" s="4"/>
      <c r="H409" s="4"/>
    </row>
    <row r="410" spans="6:8" x14ac:dyDescent="0.25">
      <c r="F410" s="4"/>
      <c r="G410" s="4"/>
      <c r="H410" s="4"/>
    </row>
    <row r="411" spans="6:8" x14ac:dyDescent="0.25">
      <c r="F411" s="4"/>
      <c r="G411" s="4"/>
      <c r="H411" s="4"/>
    </row>
    <row r="412" spans="6:8" x14ac:dyDescent="0.25">
      <c r="F412" s="4"/>
      <c r="G412" s="4"/>
      <c r="H412" s="4"/>
    </row>
    <row r="413" spans="6:8" x14ac:dyDescent="0.25">
      <c r="F413" s="4"/>
      <c r="G413" s="4"/>
      <c r="H413" s="4"/>
    </row>
    <row r="414" spans="6:8" x14ac:dyDescent="0.25">
      <c r="F414" s="4"/>
      <c r="G414" s="4"/>
      <c r="H414" s="4"/>
    </row>
    <row r="415" spans="6:8" x14ac:dyDescent="0.25">
      <c r="F415" s="4"/>
      <c r="G415" s="4"/>
      <c r="H415" s="4"/>
    </row>
    <row r="416" spans="6:8" x14ac:dyDescent="0.25">
      <c r="F416" s="4"/>
      <c r="G416" s="4"/>
      <c r="H416" s="4"/>
    </row>
    <row r="417" spans="6:8" x14ac:dyDescent="0.25">
      <c r="F417" s="4"/>
      <c r="G417" s="4"/>
      <c r="H417" s="4"/>
    </row>
    <row r="418" spans="6:8" x14ac:dyDescent="0.25">
      <c r="F418" s="4"/>
      <c r="G418" s="4"/>
      <c r="H418" s="4"/>
    </row>
    <row r="419" spans="6:8" x14ac:dyDescent="0.25">
      <c r="F419" s="4"/>
      <c r="G419" s="4"/>
      <c r="H419" s="4"/>
    </row>
    <row r="420" spans="6:8" x14ac:dyDescent="0.25">
      <c r="F420" s="4"/>
      <c r="G420" s="4"/>
      <c r="H420" s="4"/>
    </row>
    <row r="421" spans="6:8" x14ac:dyDescent="0.25">
      <c r="F421" s="4"/>
      <c r="G421" s="4"/>
      <c r="H421" s="4"/>
    </row>
    <row r="422" spans="6:8" x14ac:dyDescent="0.25">
      <c r="F422" s="4"/>
      <c r="G422" s="4"/>
      <c r="H422" s="4"/>
    </row>
    <row r="423" spans="6:8" x14ac:dyDescent="0.25">
      <c r="F423" s="4"/>
      <c r="G423" s="4"/>
      <c r="H423" s="4"/>
    </row>
    <row r="424" spans="6:8" x14ac:dyDescent="0.25">
      <c r="F424" s="4"/>
      <c r="G424" s="4"/>
      <c r="H424" s="4"/>
    </row>
    <row r="425" spans="6:8" x14ac:dyDescent="0.25">
      <c r="F425" s="4"/>
      <c r="G425" s="4"/>
      <c r="H425" s="4"/>
    </row>
    <row r="426" spans="6:8" x14ac:dyDescent="0.25">
      <c r="F426" s="4"/>
      <c r="G426" s="4"/>
      <c r="H426" s="4"/>
    </row>
    <row r="427" spans="6:8" x14ac:dyDescent="0.25">
      <c r="F427" s="4"/>
      <c r="G427" s="4"/>
      <c r="H427" s="4"/>
    </row>
    <row r="428" spans="6:8" x14ac:dyDescent="0.25">
      <c r="F428" s="4"/>
      <c r="G428" s="4"/>
      <c r="H428" s="4"/>
    </row>
    <row r="429" spans="6:8" x14ac:dyDescent="0.25">
      <c r="F429" s="4"/>
      <c r="G429" s="4"/>
      <c r="H429" s="4"/>
    </row>
    <row r="430" spans="6:8" x14ac:dyDescent="0.25">
      <c r="F430" s="4"/>
      <c r="G430" s="4"/>
      <c r="H430" s="4"/>
    </row>
    <row r="431" spans="6:8" x14ac:dyDescent="0.25">
      <c r="F431" s="4"/>
      <c r="G431" s="4"/>
      <c r="H431" s="4"/>
    </row>
    <row r="432" spans="6:8" x14ac:dyDescent="0.25">
      <c r="F432" s="4"/>
      <c r="G432" s="4"/>
      <c r="H432" s="4"/>
    </row>
    <row r="433" spans="6:8" x14ac:dyDescent="0.25">
      <c r="F433" s="4"/>
      <c r="G433" s="4"/>
      <c r="H433" s="4"/>
    </row>
    <row r="434" spans="6:8" x14ac:dyDescent="0.25">
      <c r="F434" s="4"/>
      <c r="G434" s="4"/>
      <c r="H434" s="4"/>
    </row>
    <row r="435" spans="6:8" x14ac:dyDescent="0.25">
      <c r="F435" s="4"/>
      <c r="G435" s="4"/>
      <c r="H435" s="4"/>
    </row>
    <row r="436" spans="6:8" x14ac:dyDescent="0.25">
      <c r="F436" s="4"/>
      <c r="G436" s="4"/>
      <c r="H436" s="4"/>
    </row>
    <row r="437" spans="6:8" x14ac:dyDescent="0.25">
      <c r="F437" s="4"/>
      <c r="G437" s="4"/>
      <c r="H437" s="4"/>
    </row>
    <row r="438" spans="6:8" x14ac:dyDescent="0.25">
      <c r="F438" s="4"/>
      <c r="G438" s="4"/>
      <c r="H438" s="4"/>
    </row>
    <row r="439" spans="6:8" x14ac:dyDescent="0.25">
      <c r="F439" s="4"/>
      <c r="G439" s="4"/>
      <c r="H439" s="4"/>
    </row>
    <row r="440" spans="6:8" x14ac:dyDescent="0.25">
      <c r="F440" s="4"/>
      <c r="G440" s="4"/>
      <c r="H440" s="4"/>
    </row>
    <row r="441" spans="6:8" x14ac:dyDescent="0.25">
      <c r="F441" s="4"/>
      <c r="G441" s="4"/>
      <c r="H441" s="4"/>
    </row>
    <row r="442" spans="6:8" x14ac:dyDescent="0.25">
      <c r="F442" s="4"/>
      <c r="G442" s="4"/>
      <c r="H442" s="4"/>
    </row>
    <row r="443" spans="6:8" x14ac:dyDescent="0.25">
      <c r="F443" s="4"/>
      <c r="G443" s="4"/>
      <c r="H443" s="4"/>
    </row>
    <row r="444" spans="6:8" x14ac:dyDescent="0.25">
      <c r="F444" s="4"/>
      <c r="G444" s="4"/>
      <c r="H444" s="4"/>
    </row>
    <row r="445" spans="6:8" x14ac:dyDescent="0.25">
      <c r="F445" s="4"/>
      <c r="G445" s="4"/>
      <c r="H445" s="4"/>
    </row>
    <row r="446" spans="6:8" x14ac:dyDescent="0.25">
      <c r="F446" s="4"/>
      <c r="G446" s="4"/>
      <c r="H446" s="4"/>
    </row>
    <row r="447" spans="6:8" x14ac:dyDescent="0.25">
      <c r="F447" s="4"/>
      <c r="G447" s="4"/>
      <c r="H447" s="4"/>
    </row>
    <row r="448" spans="6:8" x14ac:dyDescent="0.25">
      <c r="F448" s="4"/>
      <c r="G448" s="4"/>
      <c r="H448" s="4"/>
    </row>
    <row r="449" spans="6:8" x14ac:dyDescent="0.25">
      <c r="F449" s="4"/>
      <c r="G449" s="4"/>
      <c r="H449" s="4"/>
    </row>
    <row r="450" spans="6:8" x14ac:dyDescent="0.25">
      <c r="F450" s="4"/>
      <c r="G450" s="4"/>
      <c r="H450" s="4"/>
    </row>
    <row r="451" spans="6:8" x14ac:dyDescent="0.25">
      <c r="F451" s="4"/>
      <c r="G451" s="4"/>
      <c r="H451" s="4"/>
    </row>
    <row r="452" spans="6:8" x14ac:dyDescent="0.25">
      <c r="F452" s="4"/>
      <c r="G452" s="4"/>
      <c r="H452" s="4"/>
    </row>
    <row r="453" spans="6:8" x14ac:dyDescent="0.25">
      <c r="F453" s="4"/>
      <c r="G453" s="4"/>
      <c r="H453" s="4"/>
    </row>
    <row r="454" spans="6:8" x14ac:dyDescent="0.25">
      <c r="F454" s="4"/>
      <c r="G454" s="4"/>
      <c r="H454" s="4"/>
    </row>
    <row r="455" spans="6:8" x14ac:dyDescent="0.25">
      <c r="F455" s="4"/>
      <c r="G455" s="4"/>
      <c r="H455" s="4"/>
    </row>
    <row r="456" spans="6:8" x14ac:dyDescent="0.25">
      <c r="F456" s="4"/>
      <c r="G456" s="4"/>
      <c r="H456" s="4"/>
    </row>
    <row r="457" spans="6:8" x14ac:dyDescent="0.25">
      <c r="F457" s="4"/>
      <c r="G457" s="4"/>
      <c r="H457" s="4"/>
    </row>
    <row r="458" spans="6:8" x14ac:dyDescent="0.25">
      <c r="F458" s="4"/>
      <c r="G458" s="4"/>
      <c r="H458" s="4"/>
    </row>
    <row r="459" spans="6:8" x14ac:dyDescent="0.25">
      <c r="F459" s="4"/>
      <c r="G459" s="4"/>
      <c r="H459" s="4"/>
    </row>
    <row r="460" spans="6:8" x14ac:dyDescent="0.25">
      <c r="F460" s="4"/>
      <c r="G460" s="4"/>
      <c r="H460" s="4"/>
    </row>
    <row r="461" spans="6:8" x14ac:dyDescent="0.25">
      <c r="F461" s="4"/>
      <c r="G461" s="4"/>
      <c r="H461" s="4"/>
    </row>
    <row r="462" spans="6:8" x14ac:dyDescent="0.25">
      <c r="F462" s="4"/>
      <c r="G462" s="4"/>
      <c r="H462" s="4"/>
    </row>
    <row r="463" spans="6:8" x14ac:dyDescent="0.25">
      <c r="F463" s="4"/>
      <c r="G463" s="4"/>
      <c r="H463" s="4"/>
    </row>
    <row r="464" spans="6:8" x14ac:dyDescent="0.25">
      <c r="F464" s="4"/>
      <c r="G464" s="4"/>
      <c r="H464" s="4"/>
    </row>
    <row r="465" spans="6:8" x14ac:dyDescent="0.25">
      <c r="F465" s="4"/>
      <c r="G465" s="4"/>
      <c r="H465" s="4"/>
    </row>
    <row r="466" spans="6:8" x14ac:dyDescent="0.25">
      <c r="F466" s="4"/>
      <c r="G466" s="4"/>
      <c r="H466" s="4"/>
    </row>
    <row r="467" spans="6:8" x14ac:dyDescent="0.25">
      <c r="F467" s="4"/>
      <c r="G467" s="4"/>
      <c r="H467" s="4"/>
    </row>
    <row r="468" spans="6:8" x14ac:dyDescent="0.25">
      <c r="F468" s="4"/>
      <c r="G468" s="4"/>
      <c r="H468" s="4"/>
    </row>
    <row r="469" spans="6:8" x14ac:dyDescent="0.25">
      <c r="F469" s="4"/>
      <c r="G469" s="4"/>
      <c r="H469" s="4"/>
    </row>
    <row r="470" spans="6:8" x14ac:dyDescent="0.25">
      <c r="F470" s="4"/>
      <c r="G470" s="4"/>
      <c r="H470" s="4"/>
    </row>
    <row r="471" spans="6:8" x14ac:dyDescent="0.25">
      <c r="F471" s="4"/>
      <c r="G471" s="4"/>
      <c r="H471" s="4"/>
    </row>
    <row r="472" spans="6:8" x14ac:dyDescent="0.25">
      <c r="F472" s="4"/>
      <c r="G472" s="4"/>
      <c r="H472" s="4"/>
    </row>
    <row r="473" spans="6:8" x14ac:dyDescent="0.25">
      <c r="F473" s="4"/>
      <c r="G473" s="4"/>
      <c r="H473" s="4"/>
    </row>
    <row r="474" spans="6:8" x14ac:dyDescent="0.25">
      <c r="F474" s="4"/>
      <c r="G474" s="4"/>
      <c r="H474" s="4"/>
    </row>
    <row r="475" spans="6:8" x14ac:dyDescent="0.25">
      <c r="F475" s="4"/>
      <c r="G475" s="4"/>
      <c r="H475" s="4"/>
    </row>
    <row r="476" spans="6:8" x14ac:dyDescent="0.25">
      <c r="F476" s="4"/>
      <c r="G476" s="4"/>
      <c r="H476" s="4"/>
    </row>
    <row r="477" spans="6:8" x14ac:dyDescent="0.25">
      <c r="F477" s="4"/>
      <c r="G477" s="4"/>
      <c r="H477" s="4"/>
    </row>
    <row r="478" spans="6:8" x14ac:dyDescent="0.25">
      <c r="F478" s="4"/>
      <c r="G478" s="4"/>
      <c r="H478" s="4"/>
    </row>
    <row r="479" spans="6:8" x14ac:dyDescent="0.25">
      <c r="F479" s="4"/>
      <c r="G479" s="4"/>
      <c r="H479" s="4"/>
    </row>
    <row r="480" spans="6:8" x14ac:dyDescent="0.25">
      <c r="F480" s="4"/>
      <c r="G480" s="4"/>
      <c r="H480" s="4"/>
    </row>
    <row r="481" spans="6:8" x14ac:dyDescent="0.25">
      <c r="F481" s="4"/>
      <c r="G481" s="4"/>
      <c r="H481" s="4"/>
    </row>
    <row r="482" spans="6:8" x14ac:dyDescent="0.25">
      <c r="F482" s="4"/>
      <c r="G482" s="4"/>
      <c r="H482" s="4"/>
    </row>
    <row r="483" spans="6:8" x14ac:dyDescent="0.25">
      <c r="F483" s="4"/>
      <c r="G483" s="4"/>
      <c r="H483" s="4"/>
    </row>
    <row r="484" spans="6:8" x14ac:dyDescent="0.25">
      <c r="F484" s="4"/>
      <c r="G484" s="4"/>
      <c r="H484" s="4"/>
    </row>
    <row r="485" spans="6:8" x14ac:dyDescent="0.25">
      <c r="F485" s="4"/>
      <c r="G485" s="4"/>
      <c r="H485" s="4"/>
    </row>
    <row r="486" spans="6:8" x14ac:dyDescent="0.25">
      <c r="F486" s="4"/>
      <c r="G486" s="4"/>
      <c r="H486" s="4"/>
    </row>
    <row r="487" spans="6:8" x14ac:dyDescent="0.25">
      <c r="F487" s="4"/>
      <c r="G487" s="4"/>
      <c r="H487" s="4"/>
    </row>
    <row r="488" spans="6:8" x14ac:dyDescent="0.25">
      <c r="F488" s="4"/>
      <c r="G488" s="4"/>
      <c r="H488" s="4"/>
    </row>
    <row r="489" spans="6:8" x14ac:dyDescent="0.25">
      <c r="F489" s="4"/>
      <c r="G489" s="4"/>
      <c r="H489" s="4"/>
    </row>
    <row r="490" spans="6:8" x14ac:dyDescent="0.25">
      <c r="F490" s="4"/>
      <c r="G490" s="4"/>
      <c r="H490" s="4"/>
    </row>
    <row r="491" spans="6:8" x14ac:dyDescent="0.25">
      <c r="F491" s="4"/>
      <c r="G491" s="4"/>
      <c r="H491" s="4"/>
    </row>
    <row r="492" spans="6:8" x14ac:dyDescent="0.25">
      <c r="F492" s="4"/>
      <c r="G492" s="4"/>
      <c r="H492" s="4"/>
    </row>
    <row r="493" spans="6:8" x14ac:dyDescent="0.25">
      <c r="F493" s="4"/>
      <c r="G493" s="4"/>
      <c r="H493" s="4"/>
    </row>
    <row r="494" spans="6:8" x14ac:dyDescent="0.25">
      <c r="F494" s="4"/>
      <c r="G494" s="4"/>
      <c r="H494" s="4"/>
    </row>
    <row r="495" spans="6:8" x14ac:dyDescent="0.25">
      <c r="F495" s="4"/>
      <c r="G495" s="4"/>
      <c r="H495" s="4"/>
    </row>
    <row r="496" spans="6:8" x14ac:dyDescent="0.25">
      <c r="F496" s="4"/>
      <c r="G496" s="4"/>
      <c r="H496" s="4"/>
    </row>
    <row r="497" spans="6:8" x14ac:dyDescent="0.25">
      <c r="F497" s="4"/>
      <c r="G497" s="4"/>
      <c r="H497" s="4"/>
    </row>
    <row r="498" spans="6:8" x14ac:dyDescent="0.25">
      <c r="F498" s="4"/>
      <c r="G498" s="4"/>
      <c r="H498" s="4"/>
    </row>
    <row r="499" spans="6:8" x14ac:dyDescent="0.25">
      <c r="F499" s="4"/>
      <c r="G499" s="4"/>
      <c r="H499" s="4"/>
    </row>
    <row r="500" spans="6:8" x14ac:dyDescent="0.25">
      <c r="F500" s="4"/>
      <c r="G500" s="4"/>
      <c r="H500" s="4"/>
    </row>
    <row r="501" spans="6:8" x14ac:dyDescent="0.25">
      <c r="F501" s="4"/>
      <c r="G501" s="4"/>
      <c r="H501" s="4"/>
    </row>
    <row r="502" spans="6:8" x14ac:dyDescent="0.25">
      <c r="F502" s="4"/>
      <c r="G502" s="4"/>
      <c r="H502" s="4"/>
    </row>
    <row r="503" spans="6:8" x14ac:dyDescent="0.25">
      <c r="F503" s="4"/>
      <c r="G503" s="4"/>
      <c r="H503" s="4"/>
    </row>
    <row r="504" spans="6:8" x14ac:dyDescent="0.25">
      <c r="F504" s="4"/>
      <c r="G504" s="4"/>
      <c r="H504" s="4"/>
    </row>
    <row r="505" spans="6:8" x14ac:dyDescent="0.25">
      <c r="F505" s="4"/>
      <c r="G505" s="4"/>
      <c r="H505" s="4"/>
    </row>
    <row r="506" spans="6:8" x14ac:dyDescent="0.25">
      <c r="F506" s="4"/>
      <c r="G506" s="4"/>
      <c r="H506" s="4"/>
    </row>
    <row r="507" spans="6:8" x14ac:dyDescent="0.25">
      <c r="F507" s="4"/>
      <c r="G507" s="4"/>
      <c r="H507" s="4"/>
    </row>
    <row r="508" spans="6:8" x14ac:dyDescent="0.25">
      <c r="F508" s="4"/>
      <c r="G508" s="4"/>
      <c r="H508" s="4"/>
    </row>
    <row r="509" spans="6:8" x14ac:dyDescent="0.25">
      <c r="F509" s="4"/>
      <c r="G509" s="4"/>
      <c r="H509" s="4"/>
    </row>
    <row r="510" spans="6:8" x14ac:dyDescent="0.25">
      <c r="F510" s="4"/>
      <c r="G510" s="4"/>
      <c r="H510" s="4"/>
    </row>
    <row r="511" spans="6:8" x14ac:dyDescent="0.25">
      <c r="F511" s="4"/>
      <c r="G511" s="4"/>
      <c r="H511" s="4"/>
    </row>
    <row r="512" spans="6:8" x14ac:dyDescent="0.25">
      <c r="F512" s="4"/>
      <c r="G512" s="4"/>
      <c r="H512" s="4"/>
    </row>
    <row r="513" spans="6:8" x14ac:dyDescent="0.25">
      <c r="F513" s="4"/>
      <c r="G513" s="4"/>
      <c r="H513" s="4"/>
    </row>
    <row r="514" spans="6:8" x14ac:dyDescent="0.25">
      <c r="F514" s="4"/>
      <c r="G514" s="4"/>
      <c r="H514" s="4"/>
    </row>
    <row r="515" spans="6:8" x14ac:dyDescent="0.25">
      <c r="F515" s="4"/>
      <c r="G515" s="4"/>
      <c r="H515" s="4"/>
    </row>
    <row r="516" spans="6:8" x14ac:dyDescent="0.25">
      <c r="F516" s="4"/>
      <c r="G516" s="4"/>
      <c r="H516" s="4"/>
    </row>
    <row r="517" spans="6:8" x14ac:dyDescent="0.25">
      <c r="F517" s="4"/>
      <c r="G517" s="4"/>
      <c r="H517" s="4"/>
    </row>
    <row r="518" spans="6:8" x14ac:dyDescent="0.25">
      <c r="F518" s="4"/>
      <c r="G518" s="4"/>
      <c r="H518" s="4"/>
    </row>
    <row r="519" spans="6:8" x14ac:dyDescent="0.25">
      <c r="F519" s="4"/>
      <c r="G519" s="4"/>
      <c r="H519" s="4"/>
    </row>
    <row r="520" spans="6:8" x14ac:dyDescent="0.25">
      <c r="F520" s="4"/>
      <c r="G520" s="4"/>
      <c r="H520" s="4"/>
    </row>
    <row r="521" spans="6:8" x14ac:dyDescent="0.25">
      <c r="F521" s="4"/>
      <c r="G521" s="4"/>
      <c r="H521" s="4"/>
    </row>
    <row r="522" spans="6:8" x14ac:dyDescent="0.25">
      <c r="F522" s="4"/>
      <c r="G522" s="4"/>
      <c r="H522" s="4"/>
    </row>
    <row r="523" spans="6:8" x14ac:dyDescent="0.25">
      <c r="F523" s="4"/>
      <c r="G523" s="4"/>
      <c r="H523" s="4"/>
    </row>
    <row r="524" spans="6:8" x14ac:dyDescent="0.25">
      <c r="F524" s="4"/>
      <c r="G524" s="4"/>
      <c r="H524" s="4"/>
    </row>
    <row r="525" spans="6:8" x14ac:dyDescent="0.25">
      <c r="F525" s="4"/>
      <c r="G525" s="4"/>
      <c r="H525" s="4"/>
    </row>
    <row r="526" spans="6:8" x14ac:dyDescent="0.25">
      <c r="F526" s="4"/>
      <c r="G526" s="4"/>
      <c r="H526" s="4"/>
    </row>
    <row r="527" spans="6:8" x14ac:dyDescent="0.25">
      <c r="F527" s="4"/>
      <c r="G527" s="4"/>
      <c r="H527" s="4"/>
    </row>
    <row r="528" spans="6:8" x14ac:dyDescent="0.25">
      <c r="F528" s="4"/>
      <c r="G528" s="4"/>
      <c r="H528" s="4"/>
    </row>
    <row r="529" spans="6:8" x14ac:dyDescent="0.25">
      <c r="F529" s="4"/>
      <c r="G529" s="4"/>
      <c r="H529" s="4"/>
    </row>
    <row r="530" spans="6:8" x14ac:dyDescent="0.25">
      <c r="F530" s="4"/>
      <c r="G530" s="4"/>
      <c r="H530" s="4"/>
    </row>
    <row r="531" spans="6:8" x14ac:dyDescent="0.25">
      <c r="F531" s="4"/>
      <c r="G531" s="4"/>
      <c r="H531" s="4"/>
    </row>
    <row r="532" spans="6:8" x14ac:dyDescent="0.25">
      <c r="F532" s="4"/>
      <c r="G532" s="4"/>
      <c r="H532" s="4"/>
    </row>
    <row r="533" spans="6:8" x14ac:dyDescent="0.25">
      <c r="F533" s="4"/>
      <c r="G533" s="4"/>
      <c r="H533" s="4"/>
    </row>
    <row r="534" spans="6:8" x14ac:dyDescent="0.25">
      <c r="F534" s="4"/>
      <c r="G534" s="4"/>
      <c r="H534" s="4"/>
    </row>
    <row r="535" spans="6:8" x14ac:dyDescent="0.25">
      <c r="F535" s="4"/>
      <c r="G535" s="4"/>
      <c r="H535" s="4"/>
    </row>
    <row r="536" spans="6:8" x14ac:dyDescent="0.25">
      <c r="F536" s="4"/>
      <c r="G536" s="4"/>
      <c r="H536" s="4"/>
    </row>
    <row r="537" spans="6:8" x14ac:dyDescent="0.25">
      <c r="F537" s="4"/>
      <c r="G537" s="4"/>
      <c r="H537" s="4"/>
    </row>
    <row r="538" spans="6:8" x14ac:dyDescent="0.25">
      <c r="F538" s="4"/>
      <c r="G538" s="4"/>
      <c r="H538" s="4"/>
    </row>
    <row r="539" spans="6:8" x14ac:dyDescent="0.25">
      <c r="F539" s="4"/>
      <c r="G539" s="4"/>
      <c r="H539" s="4"/>
    </row>
    <row r="540" spans="6:8" x14ac:dyDescent="0.25">
      <c r="F540" s="4"/>
      <c r="G540" s="4"/>
      <c r="H540" s="4"/>
    </row>
    <row r="541" spans="6:8" x14ac:dyDescent="0.25">
      <c r="F541" s="4"/>
      <c r="G541" s="4"/>
      <c r="H541" s="4"/>
    </row>
    <row r="542" spans="6:8" x14ac:dyDescent="0.25">
      <c r="F542" s="4"/>
      <c r="G542" s="4"/>
      <c r="H542" s="4"/>
    </row>
    <row r="543" spans="6:8" x14ac:dyDescent="0.25">
      <c r="F543" s="4"/>
      <c r="G543" s="4"/>
      <c r="H543" s="4"/>
    </row>
    <row r="544" spans="6:8" x14ac:dyDescent="0.25">
      <c r="F544" s="4"/>
      <c r="G544" s="4"/>
      <c r="H544" s="4"/>
    </row>
    <row r="545" spans="6:8" x14ac:dyDescent="0.25">
      <c r="F545" s="4"/>
      <c r="G545" s="4"/>
      <c r="H545" s="4"/>
    </row>
    <row r="546" spans="6:8" x14ac:dyDescent="0.25">
      <c r="F546" s="4"/>
      <c r="G546" s="4"/>
      <c r="H546" s="4"/>
    </row>
    <row r="547" spans="6:8" x14ac:dyDescent="0.25">
      <c r="F547" s="4"/>
      <c r="G547" s="4"/>
      <c r="H547" s="4"/>
    </row>
    <row r="548" spans="6:8" x14ac:dyDescent="0.25">
      <c r="F548" s="4"/>
      <c r="G548" s="4"/>
      <c r="H548" s="4"/>
    </row>
    <row r="549" spans="6:8" x14ac:dyDescent="0.25">
      <c r="F549" s="4"/>
      <c r="G549" s="4"/>
      <c r="H549" s="4"/>
    </row>
    <row r="550" spans="6:8" x14ac:dyDescent="0.25">
      <c r="F550" s="4"/>
      <c r="G550" s="4"/>
      <c r="H550" s="4"/>
    </row>
    <row r="551" spans="6:8" x14ac:dyDescent="0.25">
      <c r="F551" s="4"/>
      <c r="G551" s="4"/>
      <c r="H551" s="4"/>
    </row>
    <row r="552" spans="6:8" x14ac:dyDescent="0.25">
      <c r="F552" s="4"/>
      <c r="G552" s="4"/>
      <c r="H552" s="4"/>
    </row>
    <row r="553" spans="6:8" x14ac:dyDescent="0.25">
      <c r="F553" s="4"/>
      <c r="G553" s="4"/>
      <c r="H553" s="4"/>
    </row>
    <row r="554" spans="6:8" x14ac:dyDescent="0.25">
      <c r="F554" s="4"/>
      <c r="G554" s="4"/>
      <c r="H554" s="4"/>
    </row>
    <row r="555" spans="6:8" x14ac:dyDescent="0.25">
      <c r="F555" s="4"/>
      <c r="G555" s="4"/>
      <c r="H555" s="4"/>
    </row>
    <row r="556" spans="6:8" x14ac:dyDescent="0.25">
      <c r="F556" s="4"/>
      <c r="G556" s="4"/>
      <c r="H556" s="4"/>
    </row>
    <row r="557" spans="6:8" x14ac:dyDescent="0.25">
      <c r="F557" s="4"/>
      <c r="G557" s="4"/>
      <c r="H557" s="4"/>
    </row>
    <row r="558" spans="6:8" x14ac:dyDescent="0.25">
      <c r="F558" s="4"/>
      <c r="G558" s="4"/>
      <c r="H558" s="4"/>
    </row>
    <row r="559" spans="6:8" x14ac:dyDescent="0.25">
      <c r="F559" s="4"/>
      <c r="G559" s="4"/>
      <c r="H559" s="4"/>
    </row>
    <row r="560" spans="6:8" x14ac:dyDescent="0.25">
      <c r="F560" s="4"/>
      <c r="G560" s="4"/>
      <c r="H560" s="4"/>
    </row>
    <row r="561" spans="6:8" x14ac:dyDescent="0.25">
      <c r="F561" s="4"/>
      <c r="G561" s="4"/>
      <c r="H561" s="4"/>
    </row>
    <row r="562" spans="6:8" x14ac:dyDescent="0.25">
      <c r="F562" s="4"/>
      <c r="G562" s="4"/>
      <c r="H562" s="4"/>
    </row>
    <row r="563" spans="6:8" x14ac:dyDescent="0.25">
      <c r="F563" s="4"/>
      <c r="G563" s="4"/>
      <c r="H563" s="4"/>
    </row>
    <row r="564" spans="6:8" x14ac:dyDescent="0.25">
      <c r="F564" s="4"/>
      <c r="G564" s="4"/>
      <c r="H564" s="4"/>
    </row>
    <row r="565" spans="6:8" x14ac:dyDescent="0.25">
      <c r="F565" s="4"/>
      <c r="G565" s="4"/>
      <c r="H565" s="4"/>
    </row>
    <row r="566" spans="6:8" x14ac:dyDescent="0.25">
      <c r="F566" s="4"/>
      <c r="G566" s="4"/>
      <c r="H566" s="4"/>
    </row>
    <row r="567" spans="6:8" x14ac:dyDescent="0.25">
      <c r="F567" s="4"/>
      <c r="G567" s="4"/>
      <c r="H567" s="4"/>
    </row>
    <row r="568" spans="6:8" x14ac:dyDescent="0.25">
      <c r="F568" s="4"/>
      <c r="G568" s="4"/>
      <c r="H568" s="4"/>
    </row>
    <row r="569" spans="6:8" x14ac:dyDescent="0.25">
      <c r="F569" s="4"/>
      <c r="G569" s="4"/>
      <c r="H569" s="4"/>
    </row>
    <row r="570" spans="6:8" x14ac:dyDescent="0.25">
      <c r="F570" s="4"/>
      <c r="G570" s="4"/>
      <c r="H570" s="4"/>
    </row>
    <row r="571" spans="6:8" x14ac:dyDescent="0.25">
      <c r="F571" s="4"/>
      <c r="G571" s="4"/>
      <c r="H571" s="4"/>
    </row>
    <row r="572" spans="6:8" x14ac:dyDescent="0.25">
      <c r="F572" s="4"/>
      <c r="G572" s="4"/>
      <c r="H572" s="4"/>
    </row>
    <row r="573" spans="6:8" x14ac:dyDescent="0.25">
      <c r="F573" s="4"/>
      <c r="G573" s="4"/>
      <c r="H573" s="4"/>
    </row>
    <row r="574" spans="6:8" x14ac:dyDescent="0.25">
      <c r="F574" s="4"/>
      <c r="G574" s="4"/>
      <c r="H574" s="4"/>
    </row>
    <row r="575" spans="6:8" x14ac:dyDescent="0.25">
      <c r="F575" s="4"/>
      <c r="G575" s="4"/>
      <c r="H575" s="4"/>
    </row>
    <row r="576" spans="6:8" x14ac:dyDescent="0.25">
      <c r="F576" s="4"/>
      <c r="G576" s="4"/>
      <c r="H576" s="4"/>
    </row>
    <row r="577" spans="6:8" x14ac:dyDescent="0.25">
      <c r="F577" s="4"/>
      <c r="G577" s="4"/>
      <c r="H577" s="4"/>
    </row>
    <row r="578" spans="6:8" x14ac:dyDescent="0.25">
      <c r="F578" s="4"/>
      <c r="G578" s="4"/>
      <c r="H578" s="4"/>
    </row>
    <row r="579" spans="6:8" x14ac:dyDescent="0.25">
      <c r="F579" s="4"/>
      <c r="G579" s="4"/>
      <c r="H579" s="4"/>
    </row>
    <row r="580" spans="6:8" x14ac:dyDescent="0.25">
      <c r="F580" s="4"/>
      <c r="G580" s="4"/>
      <c r="H580" s="4"/>
    </row>
    <row r="581" spans="6:8" x14ac:dyDescent="0.25">
      <c r="F581" s="4"/>
      <c r="G581" s="4"/>
      <c r="H581" s="4"/>
    </row>
    <row r="582" spans="6:8" x14ac:dyDescent="0.25">
      <c r="F582" s="4"/>
      <c r="G582" s="4"/>
      <c r="H582" s="4"/>
    </row>
    <row r="583" spans="6:8" x14ac:dyDescent="0.25">
      <c r="F583" s="4"/>
      <c r="G583" s="4"/>
      <c r="H583" s="4"/>
    </row>
    <row r="584" spans="6:8" x14ac:dyDescent="0.25">
      <c r="F584" s="4"/>
      <c r="G584" s="4"/>
      <c r="H584" s="4"/>
    </row>
    <row r="585" spans="6:8" x14ac:dyDescent="0.25">
      <c r="F585" s="4"/>
      <c r="G585" s="4"/>
      <c r="H585" s="4"/>
    </row>
    <row r="586" spans="6:8" x14ac:dyDescent="0.25">
      <c r="F586" s="4"/>
      <c r="G586" s="4"/>
      <c r="H586" s="4"/>
    </row>
    <row r="587" spans="6:8" x14ac:dyDescent="0.25">
      <c r="F587" s="4"/>
      <c r="G587" s="4"/>
      <c r="H587" s="4"/>
    </row>
    <row r="588" spans="6:8" x14ac:dyDescent="0.25">
      <c r="F588" s="4"/>
      <c r="G588" s="4"/>
      <c r="H588" s="4"/>
    </row>
    <row r="589" spans="6:8" x14ac:dyDescent="0.25">
      <c r="F589" s="4"/>
      <c r="G589" s="4"/>
      <c r="H589" s="4"/>
    </row>
    <row r="590" spans="6:8" x14ac:dyDescent="0.25">
      <c r="F590" s="4"/>
      <c r="G590" s="4"/>
      <c r="H590" s="4"/>
    </row>
    <row r="591" spans="6:8" x14ac:dyDescent="0.25">
      <c r="F591" s="4"/>
      <c r="G591" s="4"/>
      <c r="H591" s="4"/>
    </row>
    <row r="592" spans="6:8" x14ac:dyDescent="0.25">
      <c r="F592" s="4"/>
      <c r="G592" s="4"/>
      <c r="H592" s="4"/>
    </row>
    <row r="593" spans="6:8" x14ac:dyDescent="0.25">
      <c r="F593" s="4"/>
      <c r="G593" s="4"/>
      <c r="H593" s="4"/>
    </row>
    <row r="594" spans="6:8" x14ac:dyDescent="0.25">
      <c r="F594" s="4"/>
      <c r="G594" s="4"/>
      <c r="H594" s="4"/>
    </row>
    <row r="595" spans="6:8" x14ac:dyDescent="0.25">
      <c r="F595" s="4"/>
      <c r="G595" s="4"/>
      <c r="H595" s="4"/>
    </row>
    <row r="596" spans="6:8" x14ac:dyDescent="0.25">
      <c r="F596" s="4"/>
      <c r="G596" s="4"/>
      <c r="H596" s="4"/>
    </row>
    <row r="597" spans="6:8" x14ac:dyDescent="0.25">
      <c r="F597" s="4"/>
      <c r="G597" s="4"/>
      <c r="H597" s="4"/>
    </row>
    <row r="598" spans="6:8" x14ac:dyDescent="0.25">
      <c r="F598" s="4"/>
      <c r="G598" s="4"/>
      <c r="H598" s="4"/>
    </row>
    <row r="599" spans="6:8" x14ac:dyDescent="0.25">
      <c r="F599" s="4"/>
      <c r="G599" s="4"/>
      <c r="H599" s="4"/>
    </row>
    <row r="600" spans="6:8" x14ac:dyDescent="0.25">
      <c r="F600" s="4"/>
      <c r="G600" s="4"/>
      <c r="H600" s="4"/>
    </row>
    <row r="601" spans="6:8" x14ac:dyDescent="0.25">
      <c r="F601" s="4"/>
      <c r="G601" s="4"/>
      <c r="H601" s="4"/>
    </row>
    <row r="602" spans="6:8" x14ac:dyDescent="0.25">
      <c r="F602" s="4"/>
      <c r="G602" s="4"/>
      <c r="H602" s="4"/>
    </row>
    <row r="603" spans="6:8" x14ac:dyDescent="0.25">
      <c r="F603" s="4"/>
      <c r="G603" s="4"/>
      <c r="H603" s="4"/>
    </row>
    <row r="604" spans="6:8" x14ac:dyDescent="0.25">
      <c r="F604" s="4"/>
      <c r="G604" s="4"/>
      <c r="H604" s="4"/>
    </row>
    <row r="605" spans="6:8" x14ac:dyDescent="0.25">
      <c r="F605" s="4"/>
      <c r="G605" s="4"/>
      <c r="H605" s="4"/>
    </row>
    <row r="606" spans="6:8" x14ac:dyDescent="0.25">
      <c r="F606" s="4"/>
      <c r="G606" s="4"/>
      <c r="H606" s="4"/>
    </row>
    <row r="607" spans="6:8" x14ac:dyDescent="0.25">
      <c r="F607" s="4"/>
      <c r="G607" s="4"/>
      <c r="H607" s="4"/>
    </row>
    <row r="608" spans="6:8" x14ac:dyDescent="0.25">
      <c r="F608" s="4"/>
      <c r="G608" s="4"/>
      <c r="H608" s="4"/>
    </row>
    <row r="609" spans="6:8" x14ac:dyDescent="0.25">
      <c r="F609" s="4"/>
      <c r="G609" s="4"/>
      <c r="H609" s="4"/>
    </row>
    <row r="610" spans="6:8" x14ac:dyDescent="0.25">
      <c r="F610" s="4"/>
      <c r="G610" s="4"/>
      <c r="H610" s="4"/>
    </row>
    <row r="611" spans="6:8" x14ac:dyDescent="0.25">
      <c r="F611" s="4"/>
      <c r="G611" s="4"/>
      <c r="H611" s="4"/>
    </row>
    <row r="612" spans="6:8" x14ac:dyDescent="0.25">
      <c r="F612" s="4"/>
      <c r="G612" s="4"/>
      <c r="H612" s="4"/>
    </row>
    <row r="613" spans="6:8" x14ac:dyDescent="0.25">
      <c r="F613" s="4"/>
      <c r="G613" s="4"/>
      <c r="H613" s="4"/>
    </row>
    <row r="614" spans="6:8" x14ac:dyDescent="0.25">
      <c r="F614" s="4"/>
      <c r="G614" s="4"/>
      <c r="H614" s="4"/>
    </row>
    <row r="615" spans="6:8" x14ac:dyDescent="0.25">
      <c r="F615" s="4"/>
      <c r="G615" s="4"/>
      <c r="H615" s="4"/>
    </row>
    <row r="616" spans="6:8" x14ac:dyDescent="0.25">
      <c r="F616" s="4"/>
      <c r="G616" s="4"/>
      <c r="H616" s="4"/>
    </row>
    <row r="617" spans="6:8" x14ac:dyDescent="0.25">
      <c r="F617" s="4"/>
      <c r="G617" s="4"/>
      <c r="H617" s="4"/>
    </row>
    <row r="618" spans="6:8" x14ac:dyDescent="0.25">
      <c r="F618" s="4"/>
      <c r="G618" s="4"/>
      <c r="H618" s="4"/>
    </row>
    <row r="619" spans="6:8" x14ac:dyDescent="0.25">
      <c r="F619" s="4"/>
      <c r="G619" s="4"/>
      <c r="H619" s="4"/>
    </row>
    <row r="620" spans="6:8" x14ac:dyDescent="0.25">
      <c r="F620" s="4"/>
      <c r="G620" s="4"/>
      <c r="H620" s="4"/>
    </row>
    <row r="621" spans="6:8" x14ac:dyDescent="0.25">
      <c r="F621" s="4"/>
      <c r="G621" s="4"/>
      <c r="H621" s="4"/>
    </row>
    <row r="622" spans="6:8" x14ac:dyDescent="0.25">
      <c r="F622" s="4"/>
      <c r="G622" s="4"/>
      <c r="H622" s="4"/>
    </row>
    <row r="623" spans="6:8" x14ac:dyDescent="0.25">
      <c r="F623" s="4"/>
      <c r="G623" s="4"/>
      <c r="H623" s="4"/>
    </row>
    <row r="624" spans="6:8" x14ac:dyDescent="0.25">
      <c r="F624" s="4"/>
      <c r="G624" s="4"/>
      <c r="H624" s="4"/>
    </row>
    <row r="625" spans="6:8" x14ac:dyDescent="0.25">
      <c r="F625" s="4"/>
      <c r="G625" s="4"/>
      <c r="H625" s="4"/>
    </row>
    <row r="626" spans="6:8" x14ac:dyDescent="0.25">
      <c r="F626" s="4"/>
      <c r="G626" s="4"/>
      <c r="H626" s="4"/>
    </row>
    <row r="627" spans="6:8" x14ac:dyDescent="0.25">
      <c r="F627" s="4"/>
      <c r="G627" s="4"/>
      <c r="H627" s="4"/>
    </row>
    <row r="628" spans="6:8" x14ac:dyDescent="0.25">
      <c r="F628" s="4"/>
      <c r="G628" s="4"/>
      <c r="H628" s="4"/>
    </row>
    <row r="629" spans="6:8" x14ac:dyDescent="0.25">
      <c r="F629" s="4"/>
      <c r="G629" s="4"/>
      <c r="H629" s="4"/>
    </row>
    <row r="630" spans="6:8" x14ac:dyDescent="0.25">
      <c r="F630" s="4"/>
      <c r="G630" s="4"/>
      <c r="H630" s="4"/>
    </row>
    <row r="631" spans="6:8" x14ac:dyDescent="0.25">
      <c r="F631" s="4"/>
      <c r="G631" s="4"/>
      <c r="H631" s="4"/>
    </row>
    <row r="632" spans="6:8" x14ac:dyDescent="0.25">
      <c r="F632" s="4"/>
      <c r="G632" s="4"/>
      <c r="H632" s="4"/>
    </row>
    <row r="633" spans="6:8" x14ac:dyDescent="0.25">
      <c r="F633" s="4"/>
      <c r="G633" s="4"/>
      <c r="H633" s="4"/>
    </row>
    <row r="634" spans="6:8" x14ac:dyDescent="0.25">
      <c r="F634" s="4"/>
      <c r="G634" s="4"/>
      <c r="H634" s="4"/>
    </row>
    <row r="635" spans="6:8" x14ac:dyDescent="0.25">
      <c r="F635" s="4"/>
      <c r="G635" s="4"/>
      <c r="H635" s="4"/>
    </row>
    <row r="636" spans="6:8" x14ac:dyDescent="0.25">
      <c r="F636" s="4"/>
      <c r="G636" s="4"/>
      <c r="H636" s="4"/>
    </row>
    <row r="637" spans="6:8" x14ac:dyDescent="0.25">
      <c r="F637" s="4"/>
      <c r="G637" s="4"/>
      <c r="H637" s="4"/>
    </row>
    <row r="638" spans="6:8" x14ac:dyDescent="0.25">
      <c r="F638" s="4"/>
      <c r="G638" s="4"/>
      <c r="H638" s="4"/>
    </row>
    <row r="639" spans="6:8" x14ac:dyDescent="0.25">
      <c r="F639" s="4"/>
      <c r="G639" s="4"/>
      <c r="H639" s="4"/>
    </row>
    <row r="640" spans="6:8" x14ac:dyDescent="0.25">
      <c r="F640" s="4"/>
      <c r="G640" s="4"/>
      <c r="H640" s="4"/>
    </row>
    <row r="641" spans="6:8" x14ac:dyDescent="0.25">
      <c r="F641" s="4"/>
      <c r="G641" s="4"/>
      <c r="H641" s="4"/>
    </row>
    <row r="642" spans="6:8" x14ac:dyDescent="0.25">
      <c r="F642" s="4"/>
      <c r="G642" s="4"/>
      <c r="H642" s="4"/>
    </row>
    <row r="643" spans="6:8" x14ac:dyDescent="0.25">
      <c r="F643" s="4"/>
      <c r="G643" s="4"/>
      <c r="H643" s="4"/>
    </row>
    <row r="644" spans="6:8" x14ac:dyDescent="0.25">
      <c r="F644" s="4"/>
      <c r="G644" s="4"/>
      <c r="H644" s="4"/>
    </row>
    <row r="645" spans="6:8" x14ac:dyDescent="0.25">
      <c r="F645" s="4"/>
      <c r="G645" s="4"/>
      <c r="H645" s="4"/>
    </row>
    <row r="646" spans="6:8" x14ac:dyDescent="0.25">
      <c r="F646" s="4"/>
      <c r="G646" s="4"/>
      <c r="H646" s="4"/>
    </row>
    <row r="647" spans="6:8" x14ac:dyDescent="0.25">
      <c r="F647" s="4"/>
      <c r="G647" s="4"/>
      <c r="H647" s="4"/>
    </row>
    <row r="648" spans="6:8" x14ac:dyDescent="0.25">
      <c r="F648" s="4"/>
      <c r="G648" s="4"/>
      <c r="H648" s="4"/>
    </row>
    <row r="649" spans="6:8" x14ac:dyDescent="0.25">
      <c r="F649" s="4"/>
      <c r="G649" s="4"/>
      <c r="H649" s="4"/>
    </row>
    <row r="650" spans="6:8" x14ac:dyDescent="0.25">
      <c r="F650" s="4"/>
      <c r="G650" s="4"/>
      <c r="H650" s="4"/>
    </row>
    <row r="651" spans="6:8" x14ac:dyDescent="0.25">
      <c r="F651" s="4"/>
      <c r="G651" s="4"/>
      <c r="H651" s="4"/>
    </row>
    <row r="652" spans="6:8" x14ac:dyDescent="0.25">
      <c r="F652" s="4"/>
      <c r="G652" s="4"/>
      <c r="H652" s="4"/>
    </row>
    <row r="653" spans="6:8" x14ac:dyDescent="0.25">
      <c r="F653" s="4"/>
      <c r="G653" s="4"/>
      <c r="H653" s="4"/>
    </row>
    <row r="654" spans="6:8" x14ac:dyDescent="0.25">
      <c r="F654" s="4"/>
      <c r="G654" s="4"/>
      <c r="H654" s="4"/>
    </row>
    <row r="655" spans="6:8" x14ac:dyDescent="0.25">
      <c r="F655" s="4"/>
      <c r="G655" s="4"/>
      <c r="H655" s="4"/>
    </row>
    <row r="656" spans="6:8" x14ac:dyDescent="0.25">
      <c r="F656" s="4"/>
      <c r="G656" s="4"/>
      <c r="H656" s="4"/>
    </row>
    <row r="657" spans="6:8" x14ac:dyDescent="0.25">
      <c r="F657" s="4"/>
      <c r="G657" s="4"/>
      <c r="H657" s="4"/>
    </row>
    <row r="658" spans="6:8" x14ac:dyDescent="0.25">
      <c r="F658" s="4"/>
      <c r="G658" s="4"/>
      <c r="H658" s="4"/>
    </row>
    <row r="659" spans="6:8" x14ac:dyDescent="0.25">
      <c r="F659" s="4"/>
      <c r="G659" s="4"/>
      <c r="H659" s="4"/>
    </row>
    <row r="660" spans="6:8" x14ac:dyDescent="0.25">
      <c r="F660" s="4"/>
      <c r="G660" s="4"/>
      <c r="H660" s="4"/>
    </row>
    <row r="661" spans="6:8" x14ac:dyDescent="0.25">
      <c r="F661" s="4"/>
      <c r="G661" s="4"/>
      <c r="H661" s="4"/>
    </row>
    <row r="662" spans="6:8" x14ac:dyDescent="0.25">
      <c r="F662" s="4"/>
      <c r="G662" s="4"/>
      <c r="H662" s="4"/>
    </row>
    <row r="663" spans="6:8" x14ac:dyDescent="0.25">
      <c r="F663" s="4"/>
      <c r="G663" s="4"/>
      <c r="H663" s="4"/>
    </row>
    <row r="664" spans="6:8" x14ac:dyDescent="0.25">
      <c r="F664" s="4"/>
      <c r="G664" s="4"/>
      <c r="H664" s="4"/>
    </row>
    <row r="665" spans="6:8" x14ac:dyDescent="0.25">
      <c r="F665" s="4"/>
      <c r="G665" s="4"/>
      <c r="H665" s="4"/>
    </row>
    <row r="666" spans="6:8" x14ac:dyDescent="0.25">
      <c r="F666" s="4"/>
      <c r="G666" s="4"/>
      <c r="H666" s="4"/>
    </row>
    <row r="667" spans="6:8" x14ac:dyDescent="0.25">
      <c r="F667" s="4"/>
      <c r="G667" s="4"/>
      <c r="H667" s="4"/>
    </row>
    <row r="668" spans="6:8" x14ac:dyDescent="0.25">
      <c r="F668" s="4"/>
      <c r="G668" s="4"/>
      <c r="H668" s="4"/>
    </row>
    <row r="669" spans="6:8" x14ac:dyDescent="0.25">
      <c r="F669" s="4"/>
      <c r="G669" s="4"/>
      <c r="H669" s="4"/>
    </row>
    <row r="670" spans="6:8" x14ac:dyDescent="0.25">
      <c r="F670" s="4"/>
      <c r="G670" s="4"/>
      <c r="H670" s="4"/>
    </row>
    <row r="671" spans="6:8" x14ac:dyDescent="0.25">
      <c r="F671" s="4"/>
      <c r="G671" s="4"/>
      <c r="H671" s="4"/>
    </row>
    <row r="672" spans="6:8" x14ac:dyDescent="0.25">
      <c r="F672" s="4"/>
      <c r="G672" s="4"/>
      <c r="H672" s="4"/>
    </row>
    <row r="673" spans="6:8" x14ac:dyDescent="0.25">
      <c r="F673" s="4"/>
      <c r="G673" s="4"/>
      <c r="H673" s="4"/>
    </row>
    <row r="674" spans="6:8" x14ac:dyDescent="0.25">
      <c r="F674" s="4"/>
      <c r="G674" s="4"/>
      <c r="H674" s="4"/>
    </row>
    <row r="675" spans="6:8" x14ac:dyDescent="0.25">
      <c r="F675" s="4"/>
      <c r="G675" s="4"/>
      <c r="H675" s="4"/>
    </row>
    <row r="676" spans="6:8" x14ac:dyDescent="0.25">
      <c r="F676" s="4"/>
      <c r="G676" s="4"/>
      <c r="H676" s="4"/>
    </row>
    <row r="677" spans="6:8" x14ac:dyDescent="0.25">
      <c r="F677" s="4"/>
      <c r="G677" s="4"/>
      <c r="H677" s="4"/>
    </row>
    <row r="678" spans="6:8" x14ac:dyDescent="0.25">
      <c r="F678" s="4"/>
      <c r="G678" s="4"/>
      <c r="H678" s="4"/>
    </row>
    <row r="679" spans="6:8" x14ac:dyDescent="0.25">
      <c r="F679" s="4"/>
      <c r="G679" s="4"/>
      <c r="H679" s="4"/>
    </row>
    <row r="680" spans="6:8" x14ac:dyDescent="0.25">
      <c r="F680" s="4"/>
      <c r="G680" s="4"/>
      <c r="H680" s="4"/>
    </row>
    <row r="681" spans="6:8" x14ac:dyDescent="0.25">
      <c r="F681" s="4"/>
      <c r="G681" s="4"/>
      <c r="H681" s="4"/>
    </row>
    <row r="682" spans="6:8" x14ac:dyDescent="0.25">
      <c r="F682" s="4"/>
      <c r="G682" s="4"/>
      <c r="H682" s="4"/>
    </row>
    <row r="683" spans="6:8" x14ac:dyDescent="0.25">
      <c r="F683" s="4"/>
      <c r="G683" s="4"/>
      <c r="H683" s="4"/>
    </row>
    <row r="684" spans="6:8" x14ac:dyDescent="0.25">
      <c r="F684" s="4"/>
      <c r="G684" s="4"/>
      <c r="H684" s="4"/>
    </row>
    <row r="685" spans="6:8" x14ac:dyDescent="0.25">
      <c r="F685" s="4"/>
      <c r="G685" s="4"/>
      <c r="H685" s="4"/>
    </row>
    <row r="686" spans="6:8" x14ac:dyDescent="0.25">
      <c r="F686" s="4"/>
      <c r="G686" s="4"/>
      <c r="H686" s="4"/>
    </row>
    <row r="687" spans="6:8" x14ac:dyDescent="0.25">
      <c r="F687" s="4"/>
      <c r="G687" s="4"/>
      <c r="H687" s="4"/>
    </row>
    <row r="688" spans="6:8" x14ac:dyDescent="0.25">
      <c r="F688" s="4"/>
      <c r="G688" s="4"/>
      <c r="H688" s="4"/>
    </row>
    <row r="689" spans="6:8" x14ac:dyDescent="0.25">
      <c r="F689" s="4"/>
      <c r="G689" s="4"/>
      <c r="H689" s="4"/>
    </row>
    <row r="690" spans="6:8" x14ac:dyDescent="0.25">
      <c r="F690" s="4"/>
      <c r="G690" s="4"/>
      <c r="H690" s="4"/>
    </row>
    <row r="691" spans="6:8" x14ac:dyDescent="0.25">
      <c r="F691" s="4"/>
      <c r="G691" s="4"/>
      <c r="H691" s="4"/>
    </row>
    <row r="692" spans="6:8" x14ac:dyDescent="0.25">
      <c r="F692" s="4"/>
      <c r="G692" s="4"/>
      <c r="H692" s="4"/>
    </row>
    <row r="693" spans="6:8" x14ac:dyDescent="0.25">
      <c r="F693" s="4"/>
      <c r="G693" s="4"/>
      <c r="H693" s="4"/>
    </row>
    <row r="694" spans="6:8" x14ac:dyDescent="0.25">
      <c r="F694" s="4"/>
      <c r="G694" s="4"/>
      <c r="H694" s="4"/>
    </row>
    <row r="695" spans="6:8" x14ac:dyDescent="0.25">
      <c r="F695" s="4"/>
      <c r="G695" s="4"/>
      <c r="H695" s="4"/>
    </row>
    <row r="696" spans="6:8" x14ac:dyDescent="0.25">
      <c r="F696" s="4"/>
      <c r="G696" s="4"/>
      <c r="H696" s="4"/>
    </row>
    <row r="697" spans="6:8" x14ac:dyDescent="0.25">
      <c r="F697" s="4"/>
      <c r="G697" s="4"/>
      <c r="H697" s="4"/>
    </row>
    <row r="698" spans="6:8" x14ac:dyDescent="0.25">
      <c r="F698" s="4"/>
      <c r="G698" s="4"/>
      <c r="H698" s="4"/>
    </row>
    <row r="699" spans="6:8" x14ac:dyDescent="0.25">
      <c r="F699" s="4"/>
      <c r="G699" s="4"/>
      <c r="H699" s="4"/>
    </row>
    <row r="700" spans="6:8" x14ac:dyDescent="0.25">
      <c r="F700" s="4"/>
      <c r="G700" s="4"/>
      <c r="H700" s="4"/>
    </row>
    <row r="701" spans="6:8" x14ac:dyDescent="0.25">
      <c r="F701" s="4"/>
      <c r="G701" s="4"/>
      <c r="H701" s="4"/>
    </row>
    <row r="702" spans="6:8" x14ac:dyDescent="0.25">
      <c r="F702" s="4"/>
      <c r="G702" s="4"/>
      <c r="H702" s="4"/>
    </row>
    <row r="703" spans="6:8" x14ac:dyDescent="0.25">
      <c r="F703" s="4"/>
      <c r="G703" s="4"/>
      <c r="H703" s="4"/>
    </row>
    <row r="704" spans="6:8" x14ac:dyDescent="0.25">
      <c r="F704" s="4"/>
      <c r="G704" s="4"/>
      <c r="H704" s="4"/>
    </row>
    <row r="705" spans="6:8" x14ac:dyDescent="0.25">
      <c r="F705" s="4"/>
      <c r="G705" s="4"/>
      <c r="H705" s="4"/>
    </row>
    <row r="706" spans="6:8" x14ac:dyDescent="0.25">
      <c r="F706" s="4"/>
      <c r="G706" s="4"/>
      <c r="H706" s="4"/>
    </row>
    <row r="707" spans="6:8" x14ac:dyDescent="0.25">
      <c r="F707" s="4"/>
      <c r="G707" s="4"/>
      <c r="H707" s="4"/>
    </row>
    <row r="708" spans="6:8" x14ac:dyDescent="0.25">
      <c r="F708" s="4"/>
      <c r="G708" s="4"/>
      <c r="H708" s="4"/>
    </row>
    <row r="709" spans="6:8" x14ac:dyDescent="0.25">
      <c r="F709" s="4"/>
      <c r="G709" s="4"/>
      <c r="H709" s="4"/>
    </row>
    <row r="710" spans="6:8" x14ac:dyDescent="0.25">
      <c r="F710" s="4"/>
      <c r="G710" s="4"/>
      <c r="H710" s="4"/>
    </row>
    <row r="711" spans="6:8" x14ac:dyDescent="0.25">
      <c r="F711" s="4"/>
      <c r="G711" s="4"/>
      <c r="H711" s="4"/>
    </row>
    <row r="712" spans="6:8" x14ac:dyDescent="0.25">
      <c r="F712" s="4"/>
      <c r="G712" s="4"/>
      <c r="H712" s="4"/>
    </row>
    <row r="713" spans="6:8" x14ac:dyDescent="0.25">
      <c r="F713" s="4"/>
      <c r="G713" s="4"/>
      <c r="H713" s="4"/>
    </row>
    <row r="714" spans="6:8" x14ac:dyDescent="0.25">
      <c r="F714" s="4"/>
      <c r="G714" s="4"/>
      <c r="H714" s="4"/>
    </row>
    <row r="715" spans="6:8" x14ac:dyDescent="0.25">
      <c r="F715" s="4"/>
      <c r="G715" s="4"/>
      <c r="H715" s="4"/>
    </row>
    <row r="716" spans="6:8" x14ac:dyDescent="0.25">
      <c r="F716" s="4"/>
      <c r="G716" s="4"/>
      <c r="H716" s="4"/>
    </row>
    <row r="717" spans="6:8" x14ac:dyDescent="0.25">
      <c r="F717" s="4"/>
      <c r="G717" s="4"/>
      <c r="H717" s="4"/>
    </row>
    <row r="718" spans="6:8" x14ac:dyDescent="0.25">
      <c r="F718" s="4"/>
      <c r="G718" s="4"/>
      <c r="H718" s="4"/>
    </row>
    <row r="719" spans="6:8" x14ac:dyDescent="0.25">
      <c r="F719" s="4"/>
      <c r="G719" s="4"/>
      <c r="H719" s="4"/>
    </row>
    <row r="720" spans="6:8" x14ac:dyDescent="0.25">
      <c r="F720" s="4"/>
      <c r="G720" s="4"/>
      <c r="H720" s="4"/>
    </row>
    <row r="721" spans="6:8" x14ac:dyDescent="0.25">
      <c r="F721" s="4"/>
      <c r="G721" s="4"/>
      <c r="H721" s="4"/>
    </row>
    <row r="722" spans="6:8" x14ac:dyDescent="0.25">
      <c r="F722" s="4"/>
      <c r="G722" s="4"/>
      <c r="H722" s="4"/>
    </row>
    <row r="723" spans="6:8" x14ac:dyDescent="0.25">
      <c r="F723" s="4"/>
      <c r="G723" s="4"/>
      <c r="H723" s="4"/>
    </row>
    <row r="724" spans="6:8" x14ac:dyDescent="0.25">
      <c r="F724" s="4"/>
      <c r="G724" s="4"/>
      <c r="H724" s="4"/>
    </row>
    <row r="725" spans="6:8" x14ac:dyDescent="0.25">
      <c r="F725" s="4"/>
      <c r="G725" s="4"/>
      <c r="H725" s="4"/>
    </row>
    <row r="726" spans="6:8" x14ac:dyDescent="0.25">
      <c r="F726" s="4"/>
      <c r="G726" s="4"/>
      <c r="H726" s="4"/>
    </row>
    <row r="727" spans="6:8" x14ac:dyDescent="0.25">
      <c r="F727" s="4"/>
      <c r="G727" s="4"/>
      <c r="H727" s="4"/>
    </row>
    <row r="728" spans="6:8" x14ac:dyDescent="0.25">
      <c r="F728" s="4"/>
      <c r="G728" s="4"/>
      <c r="H728" s="4"/>
    </row>
    <row r="729" spans="6:8" x14ac:dyDescent="0.25">
      <c r="F729" s="4"/>
      <c r="G729" s="4"/>
      <c r="H729" s="4"/>
    </row>
    <row r="730" spans="6:8" x14ac:dyDescent="0.25">
      <c r="F730" s="4"/>
      <c r="G730" s="4"/>
      <c r="H730" s="4"/>
    </row>
    <row r="731" spans="6:8" x14ac:dyDescent="0.25">
      <c r="F731" s="4"/>
      <c r="G731" s="4"/>
      <c r="H731" s="4"/>
    </row>
    <row r="732" spans="6:8" x14ac:dyDescent="0.25">
      <c r="F732" s="4"/>
      <c r="G732" s="4"/>
      <c r="H732" s="4"/>
    </row>
    <row r="733" spans="6:8" x14ac:dyDescent="0.25">
      <c r="F733" s="4"/>
      <c r="G733" s="4"/>
      <c r="H733" s="4"/>
    </row>
    <row r="734" spans="6:8" x14ac:dyDescent="0.25">
      <c r="F734" s="4"/>
      <c r="G734" s="4"/>
      <c r="H734" s="4"/>
    </row>
    <row r="735" spans="6:8" x14ac:dyDescent="0.25">
      <c r="F735" s="4"/>
      <c r="G735" s="4"/>
      <c r="H735" s="4"/>
    </row>
    <row r="736" spans="6:8" x14ac:dyDescent="0.25">
      <c r="F736" s="4"/>
      <c r="G736" s="4"/>
      <c r="H736" s="4"/>
    </row>
    <row r="737" spans="6:8" x14ac:dyDescent="0.25">
      <c r="F737" s="4"/>
      <c r="G737" s="4"/>
      <c r="H737" s="4"/>
    </row>
    <row r="738" spans="6:8" x14ac:dyDescent="0.25">
      <c r="F738" s="4"/>
      <c r="G738" s="4"/>
      <c r="H738" s="4"/>
    </row>
    <row r="739" spans="6:8" x14ac:dyDescent="0.25">
      <c r="F739" s="4"/>
      <c r="G739" s="4"/>
      <c r="H739" s="4"/>
    </row>
    <row r="740" spans="6:8" x14ac:dyDescent="0.25">
      <c r="F740" s="4"/>
      <c r="G740" s="4"/>
      <c r="H740" s="4"/>
    </row>
    <row r="741" spans="6:8" x14ac:dyDescent="0.25">
      <c r="F741" s="4"/>
      <c r="G741" s="4"/>
      <c r="H741" s="4"/>
    </row>
    <row r="742" spans="6:8" x14ac:dyDescent="0.25">
      <c r="F742" s="4"/>
      <c r="G742" s="4"/>
      <c r="H742" s="4"/>
    </row>
    <row r="743" spans="6:8" x14ac:dyDescent="0.25">
      <c r="F743" s="4"/>
      <c r="G743" s="4"/>
      <c r="H743" s="4"/>
    </row>
    <row r="744" spans="6:8" x14ac:dyDescent="0.25">
      <c r="F744" s="4"/>
      <c r="G744" s="4"/>
      <c r="H744" s="4"/>
    </row>
    <row r="745" spans="6:8" x14ac:dyDescent="0.25">
      <c r="F745" s="4"/>
      <c r="G745" s="4"/>
      <c r="H745" s="4"/>
    </row>
    <row r="746" spans="6:8" x14ac:dyDescent="0.25">
      <c r="F746" s="4"/>
      <c r="G746" s="4"/>
      <c r="H746" s="4"/>
    </row>
    <row r="747" spans="6:8" x14ac:dyDescent="0.25">
      <c r="F747" s="4"/>
      <c r="G747" s="4"/>
      <c r="H747" s="4"/>
    </row>
    <row r="748" spans="6:8" x14ac:dyDescent="0.25">
      <c r="F748" s="4"/>
      <c r="G748" s="4"/>
      <c r="H748" s="4"/>
    </row>
    <row r="749" spans="6:8" x14ac:dyDescent="0.25">
      <c r="F749" s="4"/>
      <c r="G749" s="4"/>
      <c r="H749" s="4"/>
    </row>
    <row r="750" spans="6:8" x14ac:dyDescent="0.25">
      <c r="F750" s="4"/>
      <c r="G750" s="4"/>
      <c r="H750" s="4"/>
    </row>
    <row r="751" spans="6:8" x14ac:dyDescent="0.25">
      <c r="F751" s="4"/>
      <c r="G751" s="4"/>
      <c r="H751" s="4"/>
    </row>
    <row r="752" spans="6:8" x14ac:dyDescent="0.25">
      <c r="F752" s="4"/>
      <c r="G752" s="4"/>
      <c r="H752" s="4"/>
    </row>
    <row r="753" spans="6:8" x14ac:dyDescent="0.25">
      <c r="F753" s="4"/>
      <c r="G753" s="4"/>
      <c r="H753" s="4"/>
    </row>
    <row r="754" spans="6:8" x14ac:dyDescent="0.25">
      <c r="F754" s="4"/>
      <c r="G754" s="4"/>
      <c r="H754" s="4"/>
    </row>
    <row r="755" spans="6:8" x14ac:dyDescent="0.25">
      <c r="F755" s="4"/>
      <c r="G755" s="4"/>
      <c r="H755" s="4"/>
    </row>
    <row r="756" spans="6:8" x14ac:dyDescent="0.25">
      <c r="F756" s="4"/>
      <c r="G756" s="4"/>
      <c r="H756" s="4"/>
    </row>
    <row r="757" spans="6:8" x14ac:dyDescent="0.25">
      <c r="F757" s="4"/>
      <c r="G757" s="4"/>
      <c r="H757" s="4"/>
    </row>
    <row r="758" spans="6:8" x14ac:dyDescent="0.25">
      <c r="F758" s="4"/>
      <c r="G758" s="4"/>
      <c r="H758" s="4"/>
    </row>
    <row r="759" spans="6:8" x14ac:dyDescent="0.25">
      <c r="F759" s="4"/>
      <c r="G759" s="4"/>
      <c r="H759" s="4"/>
    </row>
    <row r="760" spans="6:8" x14ac:dyDescent="0.25">
      <c r="F760" s="4"/>
      <c r="G760" s="4"/>
      <c r="H760" s="4"/>
    </row>
    <row r="761" spans="6:8" x14ac:dyDescent="0.25">
      <c r="F761" s="4"/>
      <c r="G761" s="4"/>
      <c r="H761" s="4"/>
    </row>
    <row r="762" spans="6:8" x14ac:dyDescent="0.25">
      <c r="F762" s="4"/>
      <c r="G762" s="4"/>
      <c r="H762" s="4"/>
    </row>
    <row r="763" spans="6:8" x14ac:dyDescent="0.25">
      <c r="F763" s="4"/>
      <c r="G763" s="4"/>
      <c r="H763" s="4"/>
    </row>
    <row r="764" spans="6:8" x14ac:dyDescent="0.25">
      <c r="F764" s="4"/>
      <c r="G764" s="4"/>
      <c r="H764" s="4"/>
    </row>
    <row r="765" spans="6:8" x14ac:dyDescent="0.25">
      <c r="F765" s="4"/>
      <c r="G765" s="4"/>
      <c r="H765" s="4"/>
    </row>
    <row r="766" spans="6:8" x14ac:dyDescent="0.25">
      <c r="F766" s="4"/>
      <c r="G766" s="4"/>
      <c r="H766" s="4"/>
    </row>
    <row r="767" spans="6:8" x14ac:dyDescent="0.25">
      <c r="F767" s="4"/>
      <c r="G767" s="4"/>
      <c r="H767" s="4"/>
    </row>
    <row r="768" spans="6:8" x14ac:dyDescent="0.25">
      <c r="F768" s="4"/>
      <c r="G768" s="4"/>
      <c r="H768" s="4"/>
    </row>
    <row r="769" spans="6:8" x14ac:dyDescent="0.25">
      <c r="F769" s="4"/>
      <c r="G769" s="4"/>
      <c r="H769" s="4"/>
    </row>
    <row r="770" spans="6:8" x14ac:dyDescent="0.25">
      <c r="F770" s="4"/>
      <c r="G770" s="4"/>
      <c r="H770" s="4"/>
    </row>
    <row r="771" spans="6:8" x14ac:dyDescent="0.25">
      <c r="F771" s="4"/>
      <c r="G771" s="4"/>
      <c r="H771" s="4"/>
    </row>
    <row r="772" spans="6:8" x14ac:dyDescent="0.25">
      <c r="F772" s="4"/>
      <c r="G772" s="4"/>
      <c r="H772" s="4"/>
    </row>
    <row r="773" spans="6:8" x14ac:dyDescent="0.25">
      <c r="F773" s="4"/>
      <c r="G773" s="4"/>
      <c r="H773" s="4"/>
    </row>
    <row r="774" spans="6:8" x14ac:dyDescent="0.25">
      <c r="F774" s="4"/>
      <c r="G774" s="4"/>
      <c r="H774" s="4"/>
    </row>
    <row r="775" spans="6:8" x14ac:dyDescent="0.25">
      <c r="F775" s="4"/>
      <c r="G775" s="4"/>
      <c r="H775" s="4"/>
    </row>
    <row r="776" spans="6:8" x14ac:dyDescent="0.25">
      <c r="F776" s="4"/>
      <c r="G776" s="4"/>
      <c r="H776" s="4"/>
    </row>
    <row r="777" spans="6:8" x14ac:dyDescent="0.25">
      <c r="F777" s="4"/>
      <c r="G777" s="4"/>
      <c r="H777" s="4"/>
    </row>
    <row r="778" spans="6:8" x14ac:dyDescent="0.25">
      <c r="F778" s="4"/>
      <c r="G778" s="4"/>
      <c r="H778" s="4"/>
    </row>
    <row r="779" spans="6:8" x14ac:dyDescent="0.25">
      <c r="F779" s="4"/>
      <c r="G779" s="4"/>
      <c r="H779" s="4"/>
    </row>
    <row r="780" spans="6:8" x14ac:dyDescent="0.25">
      <c r="F780" s="4"/>
      <c r="G780" s="4"/>
      <c r="H780" s="4"/>
    </row>
    <row r="781" spans="6:8" x14ac:dyDescent="0.25">
      <c r="F781" s="4"/>
      <c r="G781" s="4"/>
      <c r="H781" s="4"/>
    </row>
    <row r="782" spans="6:8" x14ac:dyDescent="0.25">
      <c r="F782" s="4"/>
      <c r="G782" s="4"/>
      <c r="H782" s="4"/>
    </row>
    <row r="783" spans="6:8" x14ac:dyDescent="0.25">
      <c r="F783" s="4"/>
      <c r="G783" s="4"/>
      <c r="H783" s="4"/>
    </row>
    <row r="784" spans="6:8" x14ac:dyDescent="0.25">
      <c r="F784" s="4"/>
      <c r="G784" s="4"/>
      <c r="H784" s="4"/>
    </row>
    <row r="785" spans="6:8" x14ac:dyDescent="0.25">
      <c r="F785" s="4"/>
      <c r="G785" s="4"/>
      <c r="H785" s="4"/>
    </row>
    <row r="786" spans="6:8" x14ac:dyDescent="0.25">
      <c r="F786" s="4"/>
      <c r="G786" s="4"/>
      <c r="H786" s="4"/>
    </row>
    <row r="787" spans="6:8" x14ac:dyDescent="0.25">
      <c r="F787" s="4"/>
      <c r="G787" s="4"/>
      <c r="H787" s="4"/>
    </row>
    <row r="788" spans="6:8" x14ac:dyDescent="0.25">
      <c r="F788" s="4"/>
      <c r="G788" s="4"/>
      <c r="H788" s="4"/>
    </row>
    <row r="789" spans="6:8" x14ac:dyDescent="0.25">
      <c r="F789" s="4"/>
      <c r="G789" s="4"/>
      <c r="H789" s="4"/>
    </row>
    <row r="790" spans="6:8" x14ac:dyDescent="0.25">
      <c r="F790" s="4"/>
      <c r="G790" s="4"/>
      <c r="H790" s="4"/>
    </row>
    <row r="791" spans="6:8" x14ac:dyDescent="0.25">
      <c r="F791" s="4"/>
      <c r="G791" s="4"/>
      <c r="H791" s="4"/>
    </row>
    <row r="792" spans="6:8" x14ac:dyDescent="0.25">
      <c r="F792" s="4"/>
      <c r="G792" s="4"/>
      <c r="H792" s="4"/>
    </row>
    <row r="793" spans="6:8" x14ac:dyDescent="0.25">
      <c r="F793" s="4"/>
      <c r="G793" s="4"/>
      <c r="H793" s="4"/>
    </row>
    <row r="794" spans="6:8" x14ac:dyDescent="0.25">
      <c r="F794" s="4"/>
      <c r="G794" s="4"/>
      <c r="H794" s="4"/>
    </row>
    <row r="795" spans="6:8" x14ac:dyDescent="0.25">
      <c r="F795" s="4"/>
      <c r="G795" s="4"/>
      <c r="H795" s="4"/>
    </row>
    <row r="796" spans="6:8" x14ac:dyDescent="0.25">
      <c r="F796" s="4"/>
      <c r="G796" s="4"/>
      <c r="H796" s="4"/>
    </row>
    <row r="797" spans="6:8" x14ac:dyDescent="0.25">
      <c r="F797" s="4"/>
      <c r="G797" s="4"/>
      <c r="H797" s="4"/>
    </row>
    <row r="798" spans="6:8" x14ac:dyDescent="0.25">
      <c r="F798" s="4"/>
      <c r="G798" s="4"/>
      <c r="H798" s="4"/>
    </row>
    <row r="799" spans="6:8" x14ac:dyDescent="0.25">
      <c r="F799" s="4"/>
      <c r="G799" s="4"/>
      <c r="H799" s="4"/>
    </row>
    <row r="800" spans="6:8" x14ac:dyDescent="0.25">
      <c r="F800" s="4"/>
      <c r="G800" s="4"/>
      <c r="H800" s="4"/>
    </row>
    <row r="801" spans="6:8" x14ac:dyDescent="0.25">
      <c r="F801" s="4"/>
      <c r="G801" s="4"/>
      <c r="H801" s="4"/>
    </row>
    <row r="802" spans="6:8" x14ac:dyDescent="0.25">
      <c r="F802" s="4"/>
      <c r="G802" s="4"/>
      <c r="H802" s="4"/>
    </row>
    <row r="803" spans="6:8" x14ac:dyDescent="0.25">
      <c r="F803" s="4"/>
      <c r="G803" s="4"/>
      <c r="H803" s="4"/>
    </row>
    <row r="804" spans="6:8" x14ac:dyDescent="0.25">
      <c r="F804" s="4"/>
      <c r="G804" s="4"/>
      <c r="H804" s="4"/>
    </row>
    <row r="805" spans="6:8" x14ac:dyDescent="0.25">
      <c r="F805" s="4"/>
      <c r="G805" s="4"/>
      <c r="H805" s="4"/>
    </row>
    <row r="806" spans="6:8" x14ac:dyDescent="0.25">
      <c r="F806" s="4"/>
      <c r="G806" s="4"/>
      <c r="H806" s="4"/>
    </row>
    <row r="807" spans="6:8" x14ac:dyDescent="0.25">
      <c r="F807" s="4"/>
      <c r="G807" s="4"/>
      <c r="H807" s="4"/>
    </row>
    <row r="808" spans="6:8" x14ac:dyDescent="0.25">
      <c r="F808" s="4"/>
      <c r="G808" s="4"/>
      <c r="H808" s="4"/>
    </row>
    <row r="809" spans="6:8" x14ac:dyDescent="0.25">
      <c r="F809" s="4"/>
      <c r="G809" s="4"/>
      <c r="H809" s="4"/>
    </row>
    <row r="810" spans="6:8" x14ac:dyDescent="0.25">
      <c r="F810" s="4"/>
      <c r="G810" s="4"/>
      <c r="H810" s="4"/>
    </row>
    <row r="811" spans="6:8" x14ac:dyDescent="0.25">
      <c r="F811" s="4"/>
      <c r="G811" s="4"/>
      <c r="H811" s="4"/>
    </row>
    <row r="812" spans="6:8" x14ac:dyDescent="0.25">
      <c r="F812" s="4"/>
      <c r="G812" s="4"/>
      <c r="H812" s="4"/>
    </row>
    <row r="813" spans="6:8" x14ac:dyDescent="0.25">
      <c r="F813" s="4"/>
      <c r="G813" s="4"/>
      <c r="H813" s="4"/>
    </row>
    <row r="814" spans="6:8" x14ac:dyDescent="0.25">
      <c r="F814" s="4"/>
      <c r="G814" s="4"/>
      <c r="H814" s="4"/>
    </row>
    <row r="815" spans="6:8" x14ac:dyDescent="0.25">
      <c r="F815" s="4"/>
      <c r="G815" s="4"/>
      <c r="H815" s="4"/>
    </row>
    <row r="816" spans="6:8" x14ac:dyDescent="0.25">
      <c r="F816" s="4"/>
      <c r="G816" s="4"/>
      <c r="H816" s="4"/>
    </row>
    <row r="817" spans="6:8" x14ac:dyDescent="0.25">
      <c r="F817" s="4"/>
      <c r="G817" s="4"/>
      <c r="H817" s="4"/>
    </row>
    <row r="818" spans="6:8" x14ac:dyDescent="0.25">
      <c r="F818" s="4"/>
      <c r="G818" s="4"/>
      <c r="H818" s="4"/>
    </row>
    <row r="819" spans="6:8" x14ac:dyDescent="0.25">
      <c r="F819" s="4"/>
      <c r="G819" s="4"/>
      <c r="H819" s="4"/>
    </row>
    <row r="820" spans="6:8" x14ac:dyDescent="0.25">
      <c r="F820" s="4"/>
      <c r="G820" s="4"/>
      <c r="H820" s="4"/>
    </row>
    <row r="821" spans="6:8" x14ac:dyDescent="0.25">
      <c r="F821" s="4"/>
      <c r="G821" s="4"/>
      <c r="H821" s="4"/>
    </row>
    <row r="822" spans="6:8" x14ac:dyDescent="0.25">
      <c r="F822" s="4"/>
      <c r="G822" s="4"/>
      <c r="H822" s="4"/>
    </row>
    <row r="823" spans="6:8" x14ac:dyDescent="0.25">
      <c r="F823" s="4"/>
      <c r="G823" s="4"/>
      <c r="H823" s="4"/>
    </row>
    <row r="824" spans="6:8" x14ac:dyDescent="0.25">
      <c r="F824" s="4"/>
      <c r="G824" s="4"/>
      <c r="H824" s="4"/>
    </row>
    <row r="825" spans="6:8" x14ac:dyDescent="0.25">
      <c r="F825" s="4"/>
      <c r="G825" s="4"/>
      <c r="H825" s="4"/>
    </row>
    <row r="826" spans="6:8" x14ac:dyDescent="0.25">
      <c r="F826" s="4"/>
      <c r="G826" s="4"/>
      <c r="H826" s="4"/>
    </row>
    <row r="827" spans="6:8" x14ac:dyDescent="0.25">
      <c r="F827" s="4"/>
      <c r="G827" s="4"/>
      <c r="H827" s="4"/>
    </row>
    <row r="828" spans="6:8" x14ac:dyDescent="0.25">
      <c r="F828" s="4"/>
      <c r="G828" s="4"/>
      <c r="H828" s="4"/>
    </row>
    <row r="829" spans="6:8" x14ac:dyDescent="0.25">
      <c r="F829" s="4"/>
      <c r="G829" s="4"/>
      <c r="H829" s="4"/>
    </row>
    <row r="830" spans="6:8" x14ac:dyDescent="0.25">
      <c r="F830" s="4"/>
      <c r="G830" s="4"/>
      <c r="H830" s="4"/>
    </row>
    <row r="831" spans="6:8" x14ac:dyDescent="0.25">
      <c r="F831" s="4"/>
      <c r="G831" s="4"/>
      <c r="H831" s="4"/>
    </row>
    <row r="832" spans="6:8" x14ac:dyDescent="0.25">
      <c r="F832" s="4"/>
      <c r="G832" s="4"/>
      <c r="H832" s="4"/>
    </row>
    <row r="833" spans="6:8" x14ac:dyDescent="0.25">
      <c r="F833" s="4"/>
      <c r="G833" s="4"/>
      <c r="H833" s="4"/>
    </row>
    <row r="834" spans="6:8" x14ac:dyDescent="0.25">
      <c r="F834" s="4"/>
      <c r="G834" s="4"/>
      <c r="H834" s="4"/>
    </row>
    <row r="835" spans="6:8" x14ac:dyDescent="0.25">
      <c r="F835" s="4"/>
      <c r="G835" s="4"/>
      <c r="H835" s="4"/>
    </row>
    <row r="836" spans="6:8" x14ac:dyDescent="0.25">
      <c r="F836" s="4"/>
      <c r="G836" s="4"/>
      <c r="H836" s="4"/>
    </row>
    <row r="837" spans="6:8" x14ac:dyDescent="0.25">
      <c r="F837" s="4"/>
      <c r="G837" s="4"/>
      <c r="H837" s="4"/>
    </row>
    <row r="838" spans="6:8" x14ac:dyDescent="0.25">
      <c r="F838" s="4"/>
      <c r="G838" s="4"/>
      <c r="H838" s="4"/>
    </row>
    <row r="839" spans="6:8" x14ac:dyDescent="0.25">
      <c r="F839" s="4"/>
      <c r="G839" s="4"/>
      <c r="H839" s="4"/>
    </row>
    <row r="840" spans="6:8" x14ac:dyDescent="0.25">
      <c r="F840" s="4"/>
      <c r="G840" s="4"/>
      <c r="H840" s="4"/>
    </row>
    <row r="841" spans="6:8" x14ac:dyDescent="0.25">
      <c r="F841" s="4"/>
      <c r="G841" s="4"/>
      <c r="H841" s="4"/>
    </row>
    <row r="842" spans="6:8" x14ac:dyDescent="0.25">
      <c r="F842" s="4"/>
      <c r="G842" s="4"/>
      <c r="H842" s="4"/>
    </row>
    <row r="843" spans="6:8" x14ac:dyDescent="0.25">
      <c r="F843" s="4"/>
      <c r="G843" s="4"/>
      <c r="H843" s="4"/>
    </row>
    <row r="844" spans="6:8" x14ac:dyDescent="0.25">
      <c r="F844" s="4"/>
      <c r="G844" s="4"/>
      <c r="H844" s="4"/>
    </row>
    <row r="845" spans="6:8" x14ac:dyDescent="0.25">
      <c r="F845" s="4"/>
      <c r="G845" s="4"/>
      <c r="H845" s="4"/>
    </row>
    <row r="846" spans="6:8" x14ac:dyDescent="0.25">
      <c r="F846" s="4"/>
      <c r="G846" s="4"/>
      <c r="H846" s="4"/>
    </row>
    <row r="847" spans="6:8" x14ac:dyDescent="0.25">
      <c r="F847" s="4"/>
      <c r="G847" s="4"/>
      <c r="H847" s="4"/>
    </row>
    <row r="848" spans="6:8" x14ac:dyDescent="0.25">
      <c r="F848" s="4"/>
      <c r="G848" s="4"/>
      <c r="H848" s="4"/>
    </row>
    <row r="849" spans="6:8" x14ac:dyDescent="0.25">
      <c r="F849" s="4"/>
      <c r="G849" s="4"/>
      <c r="H849" s="4"/>
    </row>
    <row r="850" spans="6:8" x14ac:dyDescent="0.25">
      <c r="F850" s="4"/>
      <c r="G850" s="4"/>
      <c r="H850" s="4"/>
    </row>
    <row r="851" spans="6:8" x14ac:dyDescent="0.25">
      <c r="F851" s="4"/>
      <c r="G851" s="4"/>
      <c r="H851" s="4"/>
    </row>
    <row r="852" spans="6:8" x14ac:dyDescent="0.25">
      <c r="F852" s="4"/>
      <c r="G852" s="4"/>
      <c r="H852" s="4"/>
    </row>
    <row r="853" spans="6:8" x14ac:dyDescent="0.25">
      <c r="F853" s="4"/>
      <c r="G853" s="4"/>
      <c r="H853" s="4"/>
    </row>
    <row r="854" spans="6:8" x14ac:dyDescent="0.25">
      <c r="F854" s="4"/>
      <c r="G854" s="4"/>
      <c r="H854" s="4"/>
    </row>
    <row r="855" spans="6:8" x14ac:dyDescent="0.25">
      <c r="F855" s="4"/>
      <c r="G855" s="4"/>
      <c r="H855" s="4"/>
    </row>
    <row r="856" spans="6:8" x14ac:dyDescent="0.25">
      <c r="F856" s="4"/>
      <c r="G856" s="4"/>
      <c r="H856" s="4"/>
    </row>
    <row r="857" spans="6:8" x14ac:dyDescent="0.25">
      <c r="F857" s="4"/>
      <c r="G857" s="4"/>
      <c r="H857" s="4"/>
    </row>
    <row r="858" spans="6:8" x14ac:dyDescent="0.25">
      <c r="F858" s="4"/>
      <c r="G858" s="4"/>
      <c r="H858" s="4"/>
    </row>
    <row r="859" spans="6:8" x14ac:dyDescent="0.25">
      <c r="F859" s="4"/>
      <c r="G859" s="4"/>
      <c r="H859" s="4"/>
    </row>
    <row r="860" spans="6:8" x14ac:dyDescent="0.25">
      <c r="F860" s="4"/>
      <c r="G860" s="4"/>
      <c r="H860" s="4"/>
    </row>
    <row r="861" spans="6:8" x14ac:dyDescent="0.25">
      <c r="F861" s="4"/>
      <c r="G861" s="4"/>
      <c r="H861" s="4"/>
    </row>
    <row r="862" spans="6:8" x14ac:dyDescent="0.25">
      <c r="F862" s="4"/>
      <c r="G862" s="4"/>
      <c r="H862" s="4"/>
    </row>
    <row r="863" spans="6:8" x14ac:dyDescent="0.25">
      <c r="F863" s="4"/>
      <c r="G863" s="4"/>
      <c r="H863" s="4"/>
    </row>
    <row r="864" spans="6:8" x14ac:dyDescent="0.25">
      <c r="F864" s="4"/>
      <c r="G864" s="4"/>
      <c r="H864" s="4"/>
    </row>
    <row r="865" spans="6:8" x14ac:dyDescent="0.25">
      <c r="F865" s="4"/>
      <c r="G865" s="4"/>
      <c r="H865" s="4"/>
    </row>
    <row r="866" spans="6:8" x14ac:dyDescent="0.25">
      <c r="F866" s="4"/>
      <c r="G866" s="4"/>
      <c r="H866" s="4"/>
    </row>
    <row r="867" spans="6:8" x14ac:dyDescent="0.25">
      <c r="F867" s="4"/>
      <c r="G867" s="4"/>
      <c r="H867" s="4"/>
    </row>
    <row r="868" spans="6:8" x14ac:dyDescent="0.25">
      <c r="F868" s="4"/>
      <c r="G868" s="4"/>
      <c r="H868" s="4"/>
    </row>
    <row r="869" spans="6:8" x14ac:dyDescent="0.25">
      <c r="F869" s="4"/>
      <c r="G869" s="4"/>
      <c r="H869" s="4"/>
    </row>
    <row r="870" spans="6:8" x14ac:dyDescent="0.25">
      <c r="F870" s="4"/>
      <c r="G870" s="4"/>
      <c r="H870" s="4"/>
    </row>
    <row r="871" spans="6:8" x14ac:dyDescent="0.25">
      <c r="F871" s="4"/>
      <c r="G871" s="4"/>
      <c r="H871" s="4"/>
    </row>
    <row r="872" spans="6:8" x14ac:dyDescent="0.25">
      <c r="F872" s="4"/>
      <c r="G872" s="4"/>
      <c r="H872" s="4"/>
    </row>
    <row r="873" spans="6:8" x14ac:dyDescent="0.25">
      <c r="F873" s="4"/>
      <c r="G873" s="4"/>
      <c r="H873" s="4"/>
    </row>
    <row r="874" spans="6:8" x14ac:dyDescent="0.25">
      <c r="F874" s="4"/>
      <c r="G874" s="4"/>
      <c r="H874" s="4"/>
    </row>
    <row r="875" spans="6:8" x14ac:dyDescent="0.25">
      <c r="F875" s="4"/>
      <c r="G875" s="4"/>
      <c r="H875" s="4"/>
    </row>
    <row r="876" spans="6:8" x14ac:dyDescent="0.25">
      <c r="F876" s="4"/>
      <c r="G876" s="4"/>
      <c r="H876" s="4"/>
    </row>
    <row r="877" spans="6:8" x14ac:dyDescent="0.25">
      <c r="F877" s="4"/>
      <c r="G877" s="4"/>
      <c r="H877" s="4"/>
    </row>
    <row r="878" spans="6:8" x14ac:dyDescent="0.25">
      <c r="F878" s="4"/>
      <c r="G878" s="4"/>
      <c r="H878" s="4"/>
    </row>
    <row r="879" spans="6:8" x14ac:dyDescent="0.25">
      <c r="F879" s="4"/>
      <c r="G879" s="4"/>
      <c r="H879" s="4"/>
    </row>
    <row r="880" spans="6:8" x14ac:dyDescent="0.25">
      <c r="F880" s="4"/>
      <c r="G880" s="4"/>
      <c r="H880" s="4"/>
    </row>
    <row r="881" spans="6:8" x14ac:dyDescent="0.25">
      <c r="F881" s="4"/>
      <c r="G881" s="4"/>
      <c r="H881" s="4"/>
    </row>
    <row r="882" spans="6:8" x14ac:dyDescent="0.25">
      <c r="F882" s="4"/>
      <c r="G882" s="4"/>
      <c r="H882" s="4"/>
    </row>
    <row r="883" spans="6:8" x14ac:dyDescent="0.25">
      <c r="F883" s="4"/>
      <c r="G883" s="4"/>
      <c r="H883" s="4"/>
    </row>
    <row r="884" spans="6:8" x14ac:dyDescent="0.25">
      <c r="F884" s="4"/>
      <c r="G884" s="4"/>
      <c r="H884" s="4"/>
    </row>
    <row r="885" spans="6:8" x14ac:dyDescent="0.25">
      <c r="F885" s="4"/>
      <c r="G885" s="4"/>
      <c r="H885" s="4"/>
    </row>
    <row r="886" spans="6:8" x14ac:dyDescent="0.25">
      <c r="F886" s="4"/>
      <c r="G886" s="4"/>
      <c r="H886" s="4"/>
    </row>
    <row r="887" spans="6:8" x14ac:dyDescent="0.25">
      <c r="F887" s="4"/>
      <c r="G887" s="4"/>
      <c r="H887" s="4"/>
    </row>
    <row r="888" spans="6:8" x14ac:dyDescent="0.25">
      <c r="F888" s="4"/>
      <c r="G888" s="4"/>
      <c r="H888" s="4"/>
    </row>
    <row r="889" spans="6:8" x14ac:dyDescent="0.25">
      <c r="F889" s="4"/>
      <c r="G889" s="4"/>
      <c r="H889" s="4"/>
    </row>
    <row r="890" spans="6:8" x14ac:dyDescent="0.25">
      <c r="F890" s="4"/>
      <c r="G890" s="4"/>
      <c r="H890" s="4"/>
    </row>
    <row r="891" spans="6:8" x14ac:dyDescent="0.25">
      <c r="F891" s="4"/>
      <c r="G891" s="4"/>
      <c r="H891" s="4"/>
    </row>
    <row r="892" spans="6:8" x14ac:dyDescent="0.25">
      <c r="F892" s="4"/>
      <c r="G892" s="4"/>
      <c r="H892" s="4"/>
    </row>
    <row r="893" spans="6:8" x14ac:dyDescent="0.25">
      <c r="F893" s="4"/>
      <c r="G893" s="4"/>
      <c r="H893" s="4"/>
    </row>
    <row r="894" spans="6:8" x14ac:dyDescent="0.25">
      <c r="F894" s="4"/>
      <c r="G894" s="4"/>
      <c r="H894" s="4"/>
    </row>
    <row r="895" spans="6:8" x14ac:dyDescent="0.25">
      <c r="F895" s="4"/>
      <c r="G895" s="4"/>
      <c r="H895" s="4"/>
    </row>
    <row r="896" spans="6:8" x14ac:dyDescent="0.25">
      <c r="F896" s="4"/>
      <c r="G896" s="4"/>
      <c r="H896" s="4"/>
    </row>
    <row r="897" spans="6:8" x14ac:dyDescent="0.25">
      <c r="F897" s="4"/>
      <c r="G897" s="4"/>
      <c r="H897" s="4"/>
    </row>
    <row r="898" spans="6:8" x14ac:dyDescent="0.25">
      <c r="F898" s="4"/>
      <c r="G898" s="4"/>
      <c r="H898" s="4"/>
    </row>
    <row r="899" spans="6:8" x14ac:dyDescent="0.25">
      <c r="F899" s="4"/>
      <c r="G899" s="4"/>
      <c r="H899" s="4"/>
    </row>
    <row r="900" spans="6:8" x14ac:dyDescent="0.25">
      <c r="F900" s="4"/>
      <c r="G900" s="4"/>
      <c r="H900" s="4"/>
    </row>
    <row r="901" spans="6:8" x14ac:dyDescent="0.25">
      <c r="F901" s="4"/>
      <c r="G901" s="4"/>
      <c r="H901" s="4"/>
    </row>
    <row r="902" spans="6:8" x14ac:dyDescent="0.25">
      <c r="F902" s="4"/>
      <c r="G902" s="4"/>
      <c r="H902" s="4"/>
    </row>
    <row r="903" spans="6:8" x14ac:dyDescent="0.25">
      <c r="F903" s="4"/>
      <c r="G903" s="4"/>
      <c r="H903" s="4"/>
    </row>
    <row r="904" spans="6:8" x14ac:dyDescent="0.25">
      <c r="F904" s="4"/>
      <c r="G904" s="4"/>
      <c r="H904" s="4"/>
    </row>
    <row r="905" spans="6:8" x14ac:dyDescent="0.25">
      <c r="F905" s="4"/>
      <c r="G905" s="4"/>
      <c r="H905" s="4"/>
    </row>
    <row r="906" spans="6:8" x14ac:dyDescent="0.25">
      <c r="F906" s="4"/>
      <c r="G906" s="4"/>
      <c r="H906" s="4"/>
    </row>
    <row r="907" spans="6:8" x14ac:dyDescent="0.25">
      <c r="F907" s="4"/>
      <c r="G907" s="4"/>
      <c r="H907" s="4"/>
    </row>
    <row r="908" spans="6:8" x14ac:dyDescent="0.25">
      <c r="F908" s="4"/>
      <c r="G908" s="4"/>
      <c r="H908" s="4"/>
    </row>
    <row r="909" spans="6:8" x14ac:dyDescent="0.25">
      <c r="F909" s="4"/>
      <c r="G909" s="4"/>
      <c r="H909" s="4"/>
    </row>
    <row r="910" spans="6:8" x14ac:dyDescent="0.25">
      <c r="F910" s="4"/>
      <c r="G910" s="4"/>
      <c r="H910" s="4"/>
    </row>
    <row r="911" spans="6:8" x14ac:dyDescent="0.25">
      <c r="F911" s="4"/>
      <c r="G911" s="4"/>
      <c r="H911" s="4"/>
    </row>
    <row r="912" spans="6:8" x14ac:dyDescent="0.25">
      <c r="F912" s="4"/>
      <c r="G912" s="4"/>
      <c r="H912" s="4"/>
    </row>
    <row r="913" spans="6:8" x14ac:dyDescent="0.25">
      <c r="F913" s="4"/>
      <c r="G913" s="4"/>
      <c r="H913" s="4"/>
    </row>
    <row r="914" spans="6:8" x14ac:dyDescent="0.25">
      <c r="F914" s="4"/>
      <c r="G914" s="4"/>
      <c r="H914" s="4"/>
    </row>
    <row r="915" spans="6:8" x14ac:dyDescent="0.25">
      <c r="F915" s="4"/>
      <c r="G915" s="4"/>
      <c r="H915" s="4"/>
    </row>
    <row r="916" spans="6:8" x14ac:dyDescent="0.25">
      <c r="F916" s="4"/>
      <c r="G916" s="4"/>
      <c r="H916" s="4"/>
    </row>
    <row r="917" spans="6:8" x14ac:dyDescent="0.25">
      <c r="F917" s="4"/>
      <c r="G917" s="4"/>
      <c r="H917" s="4"/>
    </row>
    <row r="918" spans="6:8" x14ac:dyDescent="0.25">
      <c r="F918" s="4"/>
      <c r="G918" s="4"/>
      <c r="H918" s="4"/>
    </row>
    <row r="919" spans="6:8" x14ac:dyDescent="0.25">
      <c r="F919" s="4"/>
      <c r="G919" s="4"/>
      <c r="H919" s="4"/>
    </row>
    <row r="920" spans="6:8" x14ac:dyDescent="0.25">
      <c r="F920" s="4"/>
      <c r="G920" s="4"/>
      <c r="H920" s="4"/>
    </row>
    <row r="921" spans="6:8" x14ac:dyDescent="0.25">
      <c r="F921" s="4"/>
      <c r="G921" s="4"/>
      <c r="H921" s="4"/>
    </row>
    <row r="922" spans="6:8" x14ac:dyDescent="0.25">
      <c r="F922" s="4"/>
      <c r="G922" s="4"/>
      <c r="H922" s="4"/>
    </row>
    <row r="923" spans="6:8" x14ac:dyDescent="0.25">
      <c r="F923" s="4"/>
      <c r="G923" s="4"/>
      <c r="H923" s="4"/>
    </row>
    <row r="924" spans="6:8" x14ac:dyDescent="0.25">
      <c r="F924" s="4"/>
      <c r="G924" s="4"/>
      <c r="H924" s="4"/>
    </row>
    <row r="925" spans="6:8" x14ac:dyDescent="0.25">
      <c r="F925" s="4"/>
      <c r="G925" s="4"/>
      <c r="H925" s="4"/>
    </row>
    <row r="926" spans="6:8" x14ac:dyDescent="0.25">
      <c r="F926" s="4"/>
      <c r="G926" s="4"/>
      <c r="H926" s="4"/>
    </row>
    <row r="927" spans="6:8" x14ac:dyDescent="0.25">
      <c r="F927" s="4"/>
      <c r="G927" s="4"/>
      <c r="H927" s="4"/>
    </row>
    <row r="928" spans="6:8" x14ac:dyDescent="0.25">
      <c r="F928" s="4"/>
      <c r="G928" s="4"/>
      <c r="H928" s="4"/>
    </row>
    <row r="929" spans="6:8" x14ac:dyDescent="0.25">
      <c r="F929" s="4"/>
      <c r="G929" s="4"/>
      <c r="H929" s="4"/>
    </row>
    <row r="930" spans="6:8" x14ac:dyDescent="0.25">
      <c r="F930" s="4"/>
      <c r="G930" s="4"/>
      <c r="H930" s="4"/>
    </row>
    <row r="931" spans="6:8" x14ac:dyDescent="0.25">
      <c r="F931" s="4"/>
      <c r="G931" s="4"/>
      <c r="H931" s="4"/>
    </row>
    <row r="932" spans="6:8" x14ac:dyDescent="0.25">
      <c r="F932" s="4"/>
      <c r="G932" s="4"/>
      <c r="H932" s="4"/>
    </row>
    <row r="933" spans="6:8" x14ac:dyDescent="0.25">
      <c r="F933" s="4"/>
      <c r="G933" s="4"/>
      <c r="H933" s="4"/>
    </row>
    <row r="934" spans="6:8" x14ac:dyDescent="0.25">
      <c r="F934" s="4"/>
      <c r="G934" s="4"/>
      <c r="H934" s="4"/>
    </row>
    <row r="935" spans="6:8" x14ac:dyDescent="0.25">
      <c r="F935" s="4"/>
      <c r="G935" s="4"/>
      <c r="H935" s="4"/>
    </row>
    <row r="936" spans="6:8" x14ac:dyDescent="0.25">
      <c r="F936" s="4"/>
      <c r="G936" s="4"/>
      <c r="H936" s="4"/>
    </row>
    <row r="937" spans="6:8" x14ac:dyDescent="0.25">
      <c r="F937" s="4"/>
      <c r="G937" s="4"/>
      <c r="H937" s="4"/>
    </row>
    <row r="938" spans="6:8" x14ac:dyDescent="0.25">
      <c r="F938" s="4"/>
      <c r="G938" s="4"/>
      <c r="H938" s="4"/>
    </row>
    <row r="939" spans="6:8" x14ac:dyDescent="0.25">
      <c r="F939" s="4"/>
      <c r="G939" s="4"/>
      <c r="H939" s="4"/>
    </row>
    <row r="940" spans="6:8" x14ac:dyDescent="0.25">
      <c r="F940" s="4"/>
      <c r="G940" s="4"/>
      <c r="H940" s="4"/>
    </row>
    <row r="941" spans="6:8" x14ac:dyDescent="0.25">
      <c r="F941" s="4"/>
      <c r="G941" s="4"/>
      <c r="H941" s="4"/>
    </row>
    <row r="942" spans="6:8" x14ac:dyDescent="0.25">
      <c r="F942" s="4"/>
      <c r="G942" s="4"/>
      <c r="H942" s="4"/>
    </row>
    <row r="943" spans="6:8" x14ac:dyDescent="0.25">
      <c r="F943" s="4"/>
      <c r="G943" s="4"/>
      <c r="H943" s="4"/>
    </row>
    <row r="944" spans="6:8" x14ac:dyDescent="0.25">
      <c r="F944" s="4"/>
      <c r="G944" s="4"/>
      <c r="H944" s="4"/>
    </row>
    <row r="945" spans="6:8" x14ac:dyDescent="0.25">
      <c r="F945" s="4"/>
      <c r="G945" s="4"/>
      <c r="H945" s="4"/>
    </row>
    <row r="946" spans="6:8" x14ac:dyDescent="0.25">
      <c r="F946" s="4"/>
      <c r="G946" s="4"/>
      <c r="H946" s="4"/>
    </row>
    <row r="947" spans="6:8" x14ac:dyDescent="0.25">
      <c r="F947" s="4"/>
      <c r="G947" s="4"/>
      <c r="H947" s="4"/>
    </row>
    <row r="948" spans="6:8" x14ac:dyDescent="0.25">
      <c r="F948" s="4"/>
      <c r="G948" s="4"/>
      <c r="H948" s="4"/>
    </row>
    <row r="949" spans="6:8" x14ac:dyDescent="0.25">
      <c r="F949" s="4"/>
      <c r="G949" s="4"/>
      <c r="H949" s="4"/>
    </row>
    <row r="950" spans="6:8" x14ac:dyDescent="0.25">
      <c r="F950" s="4"/>
      <c r="G950" s="4"/>
      <c r="H950" s="4"/>
    </row>
    <row r="951" spans="6:8" x14ac:dyDescent="0.25">
      <c r="F951" s="4"/>
      <c r="G951" s="4"/>
      <c r="H951" s="4"/>
    </row>
    <row r="952" spans="6:8" x14ac:dyDescent="0.25">
      <c r="F952" s="4"/>
      <c r="G952" s="4"/>
      <c r="H952" s="4"/>
    </row>
    <row r="953" spans="6:8" x14ac:dyDescent="0.25">
      <c r="F953" s="4"/>
      <c r="G953" s="4"/>
      <c r="H953" s="4"/>
    </row>
    <row r="954" spans="6:8" x14ac:dyDescent="0.25">
      <c r="F954" s="4"/>
      <c r="G954" s="4"/>
      <c r="H954" s="4"/>
    </row>
    <row r="955" spans="6:8" x14ac:dyDescent="0.25">
      <c r="F955" s="4"/>
      <c r="G955" s="4"/>
      <c r="H955" s="4"/>
    </row>
    <row r="956" spans="6:8" x14ac:dyDescent="0.25">
      <c r="F956" s="4"/>
      <c r="G956" s="4"/>
      <c r="H956" s="4"/>
    </row>
    <row r="957" spans="6:8" x14ac:dyDescent="0.25">
      <c r="F957" s="4"/>
      <c r="G957" s="4"/>
      <c r="H957" s="4"/>
    </row>
    <row r="958" spans="6:8" x14ac:dyDescent="0.25">
      <c r="F958" s="4"/>
      <c r="G958" s="4"/>
      <c r="H958" s="4"/>
    </row>
    <row r="959" spans="6:8" x14ac:dyDescent="0.25">
      <c r="F959" s="4"/>
      <c r="G959" s="4"/>
      <c r="H959" s="4"/>
    </row>
    <row r="960" spans="6:8" x14ac:dyDescent="0.25">
      <c r="F960" s="4"/>
      <c r="G960" s="4"/>
      <c r="H960" s="4"/>
    </row>
    <row r="961" spans="6:8" x14ac:dyDescent="0.25">
      <c r="F961" s="4"/>
      <c r="G961" s="4"/>
      <c r="H961" s="4"/>
    </row>
    <row r="962" spans="6:8" x14ac:dyDescent="0.25">
      <c r="F962" s="4"/>
      <c r="G962" s="4"/>
      <c r="H962" s="4"/>
    </row>
    <row r="963" spans="6:8" x14ac:dyDescent="0.25">
      <c r="F963" s="4"/>
      <c r="G963" s="4"/>
      <c r="H963" s="4"/>
    </row>
    <row r="964" spans="6:8" x14ac:dyDescent="0.25">
      <c r="F964" s="4"/>
      <c r="G964" s="4"/>
      <c r="H964" s="4"/>
    </row>
    <row r="965" spans="6:8" x14ac:dyDescent="0.25">
      <c r="F965" s="4"/>
      <c r="G965" s="4"/>
      <c r="H965" s="4"/>
    </row>
    <row r="966" spans="6:8" x14ac:dyDescent="0.25">
      <c r="F966" s="4"/>
      <c r="G966" s="4"/>
      <c r="H966" s="4"/>
    </row>
    <row r="967" spans="6:8" x14ac:dyDescent="0.25">
      <c r="F967" s="4"/>
      <c r="G967" s="4"/>
      <c r="H967" s="4"/>
    </row>
    <row r="968" spans="6:8" x14ac:dyDescent="0.25">
      <c r="F968" s="4"/>
      <c r="G968" s="4"/>
      <c r="H968" s="4"/>
    </row>
    <row r="969" spans="6:8" x14ac:dyDescent="0.25">
      <c r="F969" s="4"/>
      <c r="G969" s="4"/>
      <c r="H969" s="4"/>
    </row>
    <row r="970" spans="6:8" x14ac:dyDescent="0.25">
      <c r="F970" s="4"/>
      <c r="G970" s="4"/>
      <c r="H970" s="4"/>
    </row>
    <row r="971" spans="6:8" x14ac:dyDescent="0.25">
      <c r="F971" s="4"/>
      <c r="G971" s="4"/>
      <c r="H971" s="4"/>
    </row>
    <row r="972" spans="6:8" x14ac:dyDescent="0.25">
      <c r="F972" s="4"/>
      <c r="G972" s="4"/>
      <c r="H972" s="4"/>
    </row>
    <row r="973" spans="6:8" x14ac:dyDescent="0.25">
      <c r="F973" s="4"/>
      <c r="G973" s="4"/>
      <c r="H973" s="4"/>
    </row>
    <row r="974" spans="6:8" x14ac:dyDescent="0.25">
      <c r="F974" s="4"/>
      <c r="G974" s="4"/>
      <c r="H974" s="4"/>
    </row>
    <row r="975" spans="6:8" x14ac:dyDescent="0.25">
      <c r="F975" s="4"/>
      <c r="G975" s="4"/>
      <c r="H975" s="4"/>
    </row>
    <row r="976" spans="6:8" x14ac:dyDescent="0.25">
      <c r="F976" s="4"/>
      <c r="G976" s="4"/>
      <c r="H976" s="4"/>
    </row>
    <row r="977" spans="6:8" x14ac:dyDescent="0.25">
      <c r="F977" s="4"/>
      <c r="G977" s="4"/>
      <c r="H977" s="4"/>
    </row>
    <row r="978" spans="6:8" x14ac:dyDescent="0.25">
      <c r="F978" s="4"/>
      <c r="G978" s="4"/>
      <c r="H978" s="4"/>
    </row>
    <row r="979" spans="6:8" x14ac:dyDescent="0.25">
      <c r="F979" s="4"/>
      <c r="G979" s="4"/>
      <c r="H979" s="4"/>
    </row>
    <row r="980" spans="6:8" x14ac:dyDescent="0.25">
      <c r="F980" s="4"/>
      <c r="G980" s="4"/>
      <c r="H980" s="4"/>
    </row>
    <row r="981" spans="6:8" x14ac:dyDescent="0.25">
      <c r="F981" s="4"/>
      <c r="G981" s="4"/>
      <c r="H981" s="4"/>
    </row>
    <row r="982" spans="6:8" x14ac:dyDescent="0.25">
      <c r="F982" s="4"/>
      <c r="G982" s="4"/>
      <c r="H982" s="4"/>
    </row>
    <row r="983" spans="6:8" x14ac:dyDescent="0.25">
      <c r="F983" s="4"/>
      <c r="G983" s="4"/>
      <c r="H983" s="4"/>
    </row>
    <row r="984" spans="6:8" x14ac:dyDescent="0.25">
      <c r="F984" s="4"/>
      <c r="G984" s="4"/>
      <c r="H984" s="4"/>
    </row>
    <row r="985" spans="6:8" x14ac:dyDescent="0.25">
      <c r="F985" s="4"/>
      <c r="G985" s="4"/>
      <c r="H985" s="4"/>
    </row>
    <row r="986" spans="6:8" x14ac:dyDescent="0.25">
      <c r="F986" s="4"/>
      <c r="G986" s="4"/>
      <c r="H986" s="4"/>
    </row>
    <row r="987" spans="6:8" x14ac:dyDescent="0.25">
      <c r="F987" s="4"/>
      <c r="G987" s="4"/>
      <c r="H987" s="4"/>
    </row>
    <row r="988" spans="6:8" x14ac:dyDescent="0.25">
      <c r="F988" s="4"/>
      <c r="G988" s="4"/>
      <c r="H988" s="4"/>
    </row>
    <row r="989" spans="6:8" x14ac:dyDescent="0.25">
      <c r="F989" s="4"/>
      <c r="G989" s="4"/>
      <c r="H989" s="4"/>
    </row>
    <row r="990" spans="6:8" x14ac:dyDescent="0.25">
      <c r="F990" s="4"/>
      <c r="G990" s="4"/>
      <c r="H990" s="4"/>
    </row>
    <row r="991" spans="6:8" x14ac:dyDescent="0.25">
      <c r="F991" s="4"/>
      <c r="G991" s="4"/>
      <c r="H991" s="4"/>
    </row>
    <row r="992" spans="6:8" x14ac:dyDescent="0.25">
      <c r="F992" s="4"/>
      <c r="G992" s="4"/>
      <c r="H992" s="4"/>
    </row>
    <row r="993" spans="6:8" x14ac:dyDescent="0.25">
      <c r="F993" s="4"/>
      <c r="G993" s="4"/>
      <c r="H993" s="4"/>
    </row>
    <row r="994" spans="6:8" x14ac:dyDescent="0.25">
      <c r="F994" s="4"/>
      <c r="G994" s="4"/>
      <c r="H994" s="4"/>
    </row>
    <row r="995" spans="6:8" x14ac:dyDescent="0.25">
      <c r="F995" s="4"/>
      <c r="G995" s="4"/>
      <c r="H995" s="4"/>
    </row>
    <row r="996" spans="6:8" x14ac:dyDescent="0.25">
      <c r="F996" s="4"/>
      <c r="G996" s="4"/>
      <c r="H996" s="4"/>
    </row>
    <row r="997" spans="6:8" x14ac:dyDescent="0.25">
      <c r="F997" s="4"/>
      <c r="G997" s="4"/>
      <c r="H997" s="4"/>
    </row>
    <row r="998" spans="6:8" x14ac:dyDescent="0.25">
      <c r="F998" s="4"/>
      <c r="G998" s="4"/>
      <c r="H998" s="4"/>
    </row>
    <row r="999" spans="6:8" x14ac:dyDescent="0.25">
      <c r="F999" s="4"/>
      <c r="G999" s="4"/>
      <c r="H999" s="4"/>
    </row>
    <row r="1000" spans="6:8" x14ac:dyDescent="0.25">
      <c r="F1000" s="4"/>
      <c r="G1000" s="4"/>
      <c r="H1000" s="4"/>
    </row>
    <row r="1001" spans="6:8" x14ac:dyDescent="0.25">
      <c r="F1001" s="4"/>
      <c r="G1001" s="4"/>
      <c r="H1001" s="4"/>
    </row>
    <row r="1002" spans="6:8" x14ac:dyDescent="0.25">
      <c r="F1002" s="4"/>
      <c r="G1002" s="4"/>
      <c r="H1002" s="4"/>
    </row>
    <row r="1003" spans="6:8" x14ac:dyDescent="0.25">
      <c r="F1003" s="4"/>
      <c r="G1003" s="4"/>
      <c r="H1003" s="4"/>
    </row>
    <row r="1004" spans="6:8" x14ac:dyDescent="0.25">
      <c r="F1004" s="4"/>
      <c r="G1004" s="4"/>
      <c r="H1004" s="4"/>
    </row>
    <row r="1005" spans="6:8" x14ac:dyDescent="0.25">
      <c r="F1005" s="4"/>
      <c r="G1005" s="4"/>
      <c r="H1005" s="4"/>
    </row>
    <row r="1006" spans="6:8" x14ac:dyDescent="0.25">
      <c r="F1006" s="4"/>
      <c r="G1006" s="4"/>
      <c r="H1006" s="4"/>
    </row>
    <row r="1007" spans="6:8" x14ac:dyDescent="0.25">
      <c r="F1007" s="4"/>
      <c r="G1007" s="4"/>
      <c r="H1007" s="4"/>
    </row>
    <row r="1008" spans="6:8" x14ac:dyDescent="0.25">
      <c r="F1008" s="4"/>
      <c r="G1008" s="4"/>
      <c r="H1008" s="4"/>
    </row>
    <row r="1009" spans="6:8" x14ac:dyDescent="0.25">
      <c r="F1009" s="4"/>
      <c r="G1009" s="4"/>
      <c r="H1009" s="4"/>
    </row>
    <row r="1010" spans="6:8" x14ac:dyDescent="0.25">
      <c r="F1010" s="4"/>
      <c r="G1010" s="4"/>
      <c r="H1010" s="4"/>
    </row>
    <row r="1011" spans="6:8" x14ac:dyDescent="0.25">
      <c r="F1011" s="4"/>
      <c r="G1011" s="4"/>
      <c r="H1011" s="4"/>
    </row>
    <row r="1012" spans="6:8" x14ac:dyDescent="0.25">
      <c r="F1012" s="4"/>
      <c r="G1012" s="4"/>
      <c r="H1012" s="4"/>
    </row>
    <row r="1013" spans="6:8" x14ac:dyDescent="0.25">
      <c r="F1013" s="4"/>
      <c r="G1013" s="4"/>
      <c r="H1013" s="4"/>
    </row>
    <row r="1014" spans="6:8" x14ac:dyDescent="0.25">
      <c r="F1014" s="4"/>
      <c r="G1014" s="4"/>
      <c r="H1014" s="4"/>
    </row>
    <row r="1015" spans="6:8" x14ac:dyDescent="0.25">
      <c r="F1015" s="4"/>
      <c r="G1015" s="4"/>
      <c r="H1015" s="4"/>
    </row>
    <row r="1016" spans="6:8" x14ac:dyDescent="0.25">
      <c r="F1016" s="4"/>
      <c r="G1016" s="4"/>
      <c r="H1016" s="4"/>
    </row>
    <row r="1017" spans="6:8" x14ac:dyDescent="0.25">
      <c r="F1017" s="4"/>
      <c r="G1017" s="4"/>
      <c r="H1017" s="4"/>
    </row>
    <row r="1018" spans="6:8" x14ac:dyDescent="0.25">
      <c r="F1018" s="4"/>
      <c r="G1018" s="4"/>
      <c r="H1018" s="4"/>
    </row>
    <row r="1019" spans="6:8" x14ac:dyDescent="0.25">
      <c r="F1019" s="4"/>
      <c r="G1019" s="4"/>
      <c r="H1019" s="4"/>
    </row>
    <row r="1020" spans="6:8" x14ac:dyDescent="0.25">
      <c r="F1020" s="4"/>
      <c r="G1020" s="4"/>
      <c r="H1020" s="4"/>
    </row>
    <row r="1021" spans="6:8" x14ac:dyDescent="0.25">
      <c r="F1021" s="4"/>
      <c r="G1021" s="4"/>
      <c r="H1021" s="4"/>
    </row>
    <row r="1022" spans="6:8" x14ac:dyDescent="0.25">
      <c r="F1022" s="4"/>
      <c r="G1022" s="4"/>
      <c r="H1022" s="4"/>
    </row>
    <row r="1023" spans="6:8" x14ac:dyDescent="0.25">
      <c r="F1023" s="4"/>
      <c r="G1023" s="4"/>
      <c r="H1023" s="4"/>
    </row>
    <row r="1024" spans="6:8" x14ac:dyDescent="0.25">
      <c r="F1024" s="4"/>
      <c r="G1024" s="4"/>
      <c r="H1024" s="4"/>
    </row>
    <row r="1025" spans="6:8" x14ac:dyDescent="0.25">
      <c r="F1025" s="4"/>
      <c r="G1025" s="4"/>
      <c r="H1025" s="4"/>
    </row>
    <row r="1026" spans="6:8" x14ac:dyDescent="0.25">
      <c r="F1026" s="4"/>
      <c r="G1026" s="4"/>
      <c r="H1026" s="4"/>
    </row>
    <row r="1027" spans="6:8" x14ac:dyDescent="0.25">
      <c r="F1027" s="4"/>
      <c r="G1027" s="4"/>
      <c r="H1027" s="4"/>
    </row>
    <row r="1028" spans="6:8" x14ac:dyDescent="0.25">
      <c r="F1028" s="4"/>
      <c r="G1028" s="4"/>
      <c r="H1028" s="4"/>
    </row>
    <row r="1029" spans="6:8" x14ac:dyDescent="0.25">
      <c r="F1029" s="4"/>
      <c r="G1029" s="4"/>
      <c r="H1029" s="4"/>
    </row>
    <row r="1030" spans="6:8" x14ac:dyDescent="0.25">
      <c r="F1030" s="4"/>
      <c r="G1030" s="4"/>
      <c r="H1030" s="4"/>
    </row>
    <row r="1031" spans="6:8" x14ac:dyDescent="0.25">
      <c r="F1031" s="4"/>
      <c r="G1031" s="4"/>
      <c r="H1031" s="4"/>
    </row>
    <row r="1032" spans="6:8" x14ac:dyDescent="0.25">
      <c r="F1032" s="4"/>
      <c r="G1032" s="4"/>
      <c r="H1032" s="4"/>
    </row>
    <row r="1033" spans="6:8" x14ac:dyDescent="0.25">
      <c r="F1033" s="4"/>
      <c r="G1033" s="4"/>
      <c r="H1033" s="4"/>
    </row>
    <row r="1034" spans="6:8" x14ac:dyDescent="0.25">
      <c r="F1034" s="4"/>
      <c r="G1034" s="4"/>
      <c r="H1034" s="4"/>
    </row>
    <row r="1035" spans="6:8" x14ac:dyDescent="0.25">
      <c r="F1035" s="4"/>
      <c r="G1035" s="4"/>
      <c r="H1035" s="4"/>
    </row>
    <row r="1036" spans="6:8" x14ac:dyDescent="0.25">
      <c r="F1036" s="4"/>
      <c r="G1036" s="4"/>
      <c r="H1036" s="4"/>
    </row>
    <row r="1037" spans="6:8" x14ac:dyDescent="0.25">
      <c r="F1037" s="4"/>
      <c r="G1037" s="4"/>
      <c r="H1037" s="4"/>
    </row>
    <row r="1038" spans="6:8" x14ac:dyDescent="0.25">
      <c r="F1038" s="4"/>
      <c r="G1038" s="4"/>
      <c r="H1038" s="4"/>
    </row>
    <row r="1039" spans="6:8" x14ac:dyDescent="0.25">
      <c r="F1039" s="4"/>
      <c r="G1039" s="4"/>
      <c r="H1039" s="4"/>
    </row>
    <row r="1040" spans="6:8" x14ac:dyDescent="0.25">
      <c r="F1040" s="4"/>
      <c r="G1040" s="4"/>
      <c r="H1040" s="4"/>
    </row>
    <row r="1041" spans="6:8" x14ac:dyDescent="0.25">
      <c r="F1041" s="4"/>
      <c r="G1041" s="4"/>
      <c r="H1041" s="4"/>
    </row>
    <row r="1042" spans="6:8" x14ac:dyDescent="0.25">
      <c r="F1042" s="4"/>
      <c r="G1042" s="4"/>
      <c r="H1042" s="4"/>
    </row>
    <row r="1043" spans="6:8" x14ac:dyDescent="0.25">
      <c r="F1043" s="4"/>
      <c r="G1043" s="4"/>
      <c r="H1043" s="4"/>
    </row>
    <row r="1044" spans="6:8" x14ac:dyDescent="0.25">
      <c r="F1044" s="4"/>
      <c r="G1044" s="4"/>
      <c r="H1044" s="4"/>
    </row>
    <row r="1045" spans="6:8" x14ac:dyDescent="0.25">
      <c r="F1045" s="4"/>
      <c r="G1045" s="4"/>
      <c r="H1045" s="4"/>
    </row>
    <row r="1046" spans="6:8" x14ac:dyDescent="0.25">
      <c r="F1046" s="4"/>
      <c r="G1046" s="4"/>
      <c r="H1046" s="4"/>
    </row>
    <row r="1047" spans="6:8" x14ac:dyDescent="0.25">
      <c r="F1047" s="4"/>
      <c r="G1047" s="4"/>
      <c r="H1047" s="4"/>
    </row>
    <row r="1048" spans="6:8" x14ac:dyDescent="0.25">
      <c r="F1048" s="4"/>
      <c r="G1048" s="4"/>
      <c r="H1048" s="4"/>
    </row>
    <row r="1049" spans="6:8" x14ac:dyDescent="0.25">
      <c r="F1049" s="4"/>
      <c r="G1049" s="4"/>
      <c r="H1049" s="4"/>
    </row>
    <row r="1050" spans="6:8" x14ac:dyDescent="0.25">
      <c r="F1050" s="4"/>
      <c r="G1050" s="4"/>
      <c r="H1050" s="4"/>
    </row>
    <row r="1051" spans="6:8" x14ac:dyDescent="0.25">
      <c r="F1051" s="4"/>
      <c r="G1051" s="4"/>
      <c r="H1051" s="4"/>
    </row>
    <row r="1052" spans="6:8" x14ac:dyDescent="0.25">
      <c r="F1052" s="4"/>
      <c r="G1052" s="4"/>
      <c r="H1052" s="4"/>
    </row>
    <row r="1053" spans="6:8" x14ac:dyDescent="0.25">
      <c r="F1053" s="4"/>
      <c r="G1053" s="4"/>
      <c r="H1053" s="4"/>
    </row>
    <row r="1054" spans="6:8" x14ac:dyDescent="0.25">
      <c r="F1054" s="4"/>
      <c r="G1054" s="4"/>
      <c r="H1054" s="4"/>
    </row>
    <row r="1055" spans="6:8" x14ac:dyDescent="0.25">
      <c r="F1055" s="4"/>
      <c r="G1055" s="4"/>
      <c r="H1055" s="4"/>
    </row>
    <row r="1056" spans="6:8" x14ac:dyDescent="0.25">
      <c r="F1056" s="4"/>
      <c r="G1056" s="4"/>
      <c r="H1056" s="4"/>
    </row>
    <row r="1057" spans="6:8" x14ac:dyDescent="0.25">
      <c r="F1057" s="4"/>
      <c r="G1057" s="4"/>
      <c r="H1057" s="4"/>
    </row>
    <row r="1058" spans="6:8" x14ac:dyDescent="0.25">
      <c r="F1058" s="4"/>
      <c r="G1058" s="4"/>
      <c r="H1058" s="4"/>
    </row>
    <row r="1059" spans="6:8" x14ac:dyDescent="0.25">
      <c r="F1059" s="4"/>
      <c r="G1059" s="4"/>
      <c r="H1059" s="4"/>
    </row>
    <row r="1060" spans="6:8" x14ac:dyDescent="0.25">
      <c r="F1060" s="4"/>
      <c r="G1060" s="4"/>
      <c r="H1060" s="4"/>
    </row>
    <row r="1061" spans="6:8" x14ac:dyDescent="0.25">
      <c r="F1061" s="4"/>
      <c r="G1061" s="4"/>
      <c r="H1061" s="4"/>
    </row>
    <row r="1062" spans="6:8" x14ac:dyDescent="0.25">
      <c r="F1062" s="4"/>
      <c r="G1062" s="4"/>
      <c r="H1062" s="4"/>
    </row>
    <row r="1063" spans="6:8" x14ac:dyDescent="0.25">
      <c r="F1063" s="4"/>
      <c r="G1063" s="4"/>
      <c r="H1063" s="4"/>
    </row>
    <row r="1064" spans="6:8" x14ac:dyDescent="0.25">
      <c r="F1064" s="4"/>
      <c r="G1064" s="4"/>
      <c r="H1064" s="4"/>
    </row>
    <row r="1065" spans="6:8" x14ac:dyDescent="0.25">
      <c r="F1065" s="4"/>
      <c r="G1065" s="4"/>
      <c r="H1065" s="4"/>
    </row>
    <row r="1066" spans="6:8" x14ac:dyDescent="0.25">
      <c r="F1066" s="4"/>
      <c r="G1066" s="4"/>
      <c r="H1066" s="4"/>
    </row>
    <row r="1067" spans="6:8" x14ac:dyDescent="0.25">
      <c r="F1067" s="4"/>
      <c r="G1067" s="4"/>
      <c r="H1067" s="4"/>
    </row>
    <row r="1068" spans="6:8" x14ac:dyDescent="0.25">
      <c r="F1068" s="4"/>
      <c r="G1068" s="4"/>
      <c r="H1068" s="4"/>
    </row>
    <row r="1069" spans="6:8" x14ac:dyDescent="0.25">
      <c r="F1069" s="4"/>
      <c r="G1069" s="4"/>
      <c r="H1069" s="4"/>
    </row>
    <row r="1070" spans="6:8" x14ac:dyDescent="0.25">
      <c r="F1070" s="4"/>
      <c r="G1070" s="4"/>
      <c r="H1070" s="4"/>
    </row>
    <row r="1071" spans="6:8" x14ac:dyDescent="0.25">
      <c r="F1071" s="4"/>
      <c r="G1071" s="4"/>
      <c r="H1071" s="4"/>
    </row>
    <row r="1072" spans="6:8" x14ac:dyDescent="0.25">
      <c r="F1072" s="4"/>
      <c r="G1072" s="4"/>
      <c r="H1072" s="4"/>
    </row>
    <row r="1073" spans="6:8" x14ac:dyDescent="0.25">
      <c r="F1073" s="4"/>
      <c r="G1073" s="4"/>
      <c r="H1073" s="4"/>
    </row>
    <row r="1074" spans="6:8" x14ac:dyDescent="0.25">
      <c r="F1074" s="4"/>
      <c r="G1074" s="4"/>
      <c r="H1074" s="4"/>
    </row>
    <row r="1075" spans="6:8" x14ac:dyDescent="0.25">
      <c r="F1075" s="4"/>
      <c r="G1075" s="4"/>
      <c r="H1075" s="4"/>
    </row>
    <row r="1076" spans="6:8" x14ac:dyDescent="0.25">
      <c r="F1076" s="4"/>
      <c r="G1076" s="4"/>
      <c r="H1076" s="4"/>
    </row>
    <row r="1077" spans="6:8" x14ac:dyDescent="0.25">
      <c r="F1077" s="4"/>
      <c r="G1077" s="4"/>
      <c r="H1077" s="4"/>
    </row>
    <row r="1078" spans="6:8" x14ac:dyDescent="0.25">
      <c r="F1078" s="4"/>
      <c r="G1078" s="4"/>
      <c r="H1078" s="4"/>
    </row>
    <row r="1079" spans="6:8" x14ac:dyDescent="0.25">
      <c r="F1079" s="4"/>
      <c r="G1079" s="4"/>
      <c r="H1079" s="4"/>
    </row>
    <row r="1080" spans="6:8" x14ac:dyDescent="0.25">
      <c r="F1080" s="4"/>
      <c r="G1080" s="4"/>
      <c r="H1080" s="4"/>
    </row>
    <row r="1081" spans="6:8" x14ac:dyDescent="0.25">
      <c r="F1081" s="4"/>
      <c r="G1081" s="4"/>
      <c r="H1081" s="4"/>
    </row>
    <row r="1082" spans="6:8" x14ac:dyDescent="0.25">
      <c r="F1082" s="4"/>
      <c r="G1082" s="4"/>
      <c r="H1082" s="4"/>
    </row>
    <row r="1083" spans="6:8" x14ac:dyDescent="0.25">
      <c r="F1083" s="4"/>
      <c r="G1083" s="4"/>
      <c r="H1083" s="4"/>
    </row>
    <row r="1084" spans="6:8" x14ac:dyDescent="0.25">
      <c r="F1084" s="4"/>
      <c r="G1084" s="4"/>
      <c r="H1084" s="4"/>
    </row>
    <row r="1085" spans="6:8" x14ac:dyDescent="0.25">
      <c r="F1085" s="4"/>
      <c r="G1085" s="4"/>
      <c r="H1085" s="4"/>
    </row>
    <row r="1086" spans="6:8" x14ac:dyDescent="0.25">
      <c r="F1086" s="4"/>
      <c r="G1086" s="4"/>
      <c r="H1086" s="4"/>
    </row>
    <row r="1087" spans="6:8" x14ac:dyDescent="0.25">
      <c r="F1087" s="4"/>
      <c r="G1087" s="4"/>
      <c r="H1087" s="4"/>
    </row>
    <row r="1088" spans="6:8" x14ac:dyDescent="0.25">
      <c r="F1088" s="4"/>
      <c r="G1088" s="4"/>
      <c r="H1088" s="4"/>
    </row>
    <row r="1089" spans="6:8" x14ac:dyDescent="0.25">
      <c r="F1089" s="4"/>
      <c r="G1089" s="4"/>
      <c r="H1089" s="4"/>
    </row>
  </sheetData>
  <mergeCells count="32">
    <mergeCell ref="A321:E321"/>
    <mergeCell ref="A375:E375"/>
    <mergeCell ref="A338:E338"/>
    <mergeCell ref="A332:E332"/>
    <mergeCell ref="A127:E127"/>
    <mergeCell ref="A274:E274"/>
    <mergeCell ref="A250:E250"/>
    <mergeCell ref="A262:E262"/>
    <mergeCell ref="A192:E192"/>
    <mergeCell ref="A215:E215"/>
    <mergeCell ref="A174:D174"/>
    <mergeCell ref="A240:E240"/>
    <mergeCell ref="A180:E180"/>
    <mergeCell ref="A163:E163"/>
    <mergeCell ref="A230:E230"/>
    <mergeCell ref="A150:E150"/>
    <mergeCell ref="A384:E384"/>
    <mergeCell ref="A118:E118"/>
    <mergeCell ref="A366:E366"/>
    <mergeCell ref="A14:E14"/>
    <mergeCell ref="A23:E23"/>
    <mergeCell ref="A37:E37"/>
    <mergeCell ref="A104:E104"/>
    <mergeCell ref="A95:E95"/>
    <mergeCell ref="A90:E90"/>
    <mergeCell ref="A64:E64"/>
    <mergeCell ref="A76:E76"/>
    <mergeCell ref="A56:E56"/>
    <mergeCell ref="A312:E312"/>
    <mergeCell ref="A356:E356"/>
    <mergeCell ref="A290:E290"/>
    <mergeCell ref="A283:E28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45"/>
  <sheetViews>
    <sheetView topLeftCell="A333" workbookViewId="0">
      <selection activeCell="J347" sqref="J347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16.85546875" bestFit="1" customWidth="1"/>
    <col min="4" max="4" width="8.7109375" bestFit="1" customWidth="1"/>
    <col min="5" max="5" width="4.5703125" bestFit="1" customWidth="1"/>
    <col min="6" max="9" width="10.5703125" bestFit="1" customWidth="1"/>
  </cols>
  <sheetData>
    <row r="1" spans="1:9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9" x14ac:dyDescent="0.25">
      <c r="A2" s="29" t="s">
        <v>26</v>
      </c>
      <c r="B2" s="37">
        <v>44571</v>
      </c>
      <c r="C2" s="29" t="s">
        <v>288</v>
      </c>
      <c r="D2" s="29" t="s">
        <v>11</v>
      </c>
      <c r="E2" s="29">
        <v>55</v>
      </c>
      <c r="F2" s="38">
        <f t="shared" ref="F2:F8" si="0">E2*1800</f>
        <v>99000</v>
      </c>
      <c r="G2" s="38">
        <f t="shared" ref="G2:G9" si="1">E2*500</f>
        <v>27500</v>
      </c>
      <c r="H2" s="38">
        <f>55*1300</f>
        <v>71500</v>
      </c>
      <c r="I2" s="4"/>
    </row>
    <row r="3" spans="1:9" x14ac:dyDescent="0.25">
      <c r="A3" s="29"/>
      <c r="B3" s="29"/>
      <c r="C3" s="29" t="s">
        <v>81</v>
      </c>
      <c r="D3" s="29" t="s">
        <v>11</v>
      </c>
      <c r="E3" s="29">
        <v>75</v>
      </c>
      <c r="F3" s="38">
        <f t="shared" si="0"/>
        <v>135000</v>
      </c>
      <c r="G3" s="38">
        <f t="shared" si="1"/>
        <v>37500</v>
      </c>
      <c r="H3" s="38">
        <f t="shared" ref="H3:H8" si="2">E3*1300</f>
        <v>97500</v>
      </c>
      <c r="I3" s="4"/>
    </row>
    <row r="4" spans="1:9" x14ac:dyDescent="0.25">
      <c r="A4" s="29"/>
      <c r="B4" s="29"/>
      <c r="C4" s="29"/>
      <c r="D4" s="29"/>
      <c r="E4" s="48">
        <v>75</v>
      </c>
      <c r="F4" s="38">
        <f t="shared" si="0"/>
        <v>135000</v>
      </c>
      <c r="G4" s="38">
        <f t="shared" si="1"/>
        <v>37500</v>
      </c>
      <c r="H4" s="38">
        <f t="shared" si="2"/>
        <v>97500</v>
      </c>
      <c r="I4" s="4"/>
    </row>
    <row r="5" spans="1:9" x14ac:dyDescent="0.25">
      <c r="A5" s="29"/>
      <c r="B5" s="29"/>
      <c r="C5" s="29"/>
      <c r="D5" s="29"/>
      <c r="E5" s="48">
        <v>75</v>
      </c>
      <c r="F5" s="38">
        <f t="shared" si="0"/>
        <v>135000</v>
      </c>
      <c r="G5" s="38">
        <f t="shared" si="1"/>
        <v>37500</v>
      </c>
      <c r="H5" s="38">
        <f t="shared" si="2"/>
        <v>97500</v>
      </c>
      <c r="I5" s="4"/>
    </row>
    <row r="6" spans="1:9" x14ac:dyDescent="0.25">
      <c r="A6" s="29"/>
      <c r="B6" s="29"/>
      <c r="C6" s="29"/>
      <c r="D6" s="29"/>
      <c r="E6" s="48">
        <v>73</v>
      </c>
      <c r="F6" s="38">
        <f t="shared" si="0"/>
        <v>131400</v>
      </c>
      <c r="G6" s="38">
        <f t="shared" si="1"/>
        <v>36500</v>
      </c>
      <c r="H6" s="38">
        <f t="shared" si="2"/>
        <v>94900</v>
      </c>
      <c r="I6" s="4"/>
    </row>
    <row r="7" spans="1:9" x14ac:dyDescent="0.25">
      <c r="A7" s="29"/>
      <c r="B7" s="29"/>
      <c r="C7" s="29"/>
      <c r="D7" s="29"/>
      <c r="E7" s="48">
        <v>70</v>
      </c>
      <c r="F7" s="38">
        <f t="shared" si="0"/>
        <v>126000</v>
      </c>
      <c r="G7" s="38">
        <f t="shared" si="1"/>
        <v>35000</v>
      </c>
      <c r="H7" s="38">
        <f t="shared" si="2"/>
        <v>91000</v>
      </c>
      <c r="I7" s="4"/>
    </row>
    <row r="8" spans="1:9" x14ac:dyDescent="0.25">
      <c r="A8" s="29"/>
      <c r="B8" s="29"/>
      <c r="C8" s="29"/>
      <c r="D8" s="29"/>
      <c r="E8" s="48">
        <v>65</v>
      </c>
      <c r="F8" s="38">
        <f t="shared" si="0"/>
        <v>117000</v>
      </c>
      <c r="G8" s="38">
        <f t="shared" si="1"/>
        <v>32500</v>
      </c>
      <c r="H8" s="38">
        <f t="shared" si="2"/>
        <v>84500</v>
      </c>
      <c r="I8" s="4"/>
    </row>
    <row r="9" spans="1:9" x14ac:dyDescent="0.25">
      <c r="A9" s="29"/>
      <c r="B9" s="29"/>
      <c r="C9" s="29" t="s">
        <v>108</v>
      </c>
      <c r="D9" s="29" t="s">
        <v>11</v>
      </c>
      <c r="E9" s="48">
        <v>25</v>
      </c>
      <c r="F9" s="38">
        <f>E9*1500</f>
        <v>37500</v>
      </c>
      <c r="G9" s="38">
        <f t="shared" si="1"/>
        <v>12500</v>
      </c>
      <c r="H9" s="38">
        <f>E9*1000</f>
        <v>25000</v>
      </c>
      <c r="I9" s="4"/>
    </row>
    <row r="10" spans="1:9" x14ac:dyDescent="0.25">
      <c r="A10" s="29"/>
      <c r="B10" s="29"/>
      <c r="C10" s="29" t="s">
        <v>235</v>
      </c>
      <c r="D10" s="29" t="s">
        <v>25</v>
      </c>
      <c r="E10" s="48">
        <v>5</v>
      </c>
      <c r="F10" s="38">
        <v>65000</v>
      </c>
      <c r="G10" s="38">
        <v>50000</v>
      </c>
      <c r="H10" s="38">
        <v>15000</v>
      </c>
      <c r="I10" s="4"/>
    </row>
    <row r="11" spans="1:9" x14ac:dyDescent="0.25">
      <c r="A11" s="29"/>
      <c r="B11" s="29"/>
      <c r="C11" s="29" t="s">
        <v>16</v>
      </c>
      <c r="D11" s="29" t="s">
        <v>11</v>
      </c>
      <c r="E11" s="48">
        <v>11</v>
      </c>
      <c r="F11" s="38">
        <f>E11*1500</f>
        <v>16500</v>
      </c>
      <c r="G11" s="38">
        <f>E11*500</f>
        <v>5500</v>
      </c>
      <c r="H11" s="38">
        <f>E11*1000</f>
        <v>11000</v>
      </c>
      <c r="I11" s="4"/>
    </row>
    <row r="12" spans="1:9" x14ac:dyDescent="0.25">
      <c r="A12" s="29"/>
      <c r="B12" s="29"/>
      <c r="C12" s="29"/>
      <c r="D12" s="29" t="s">
        <v>12</v>
      </c>
      <c r="E12" s="48">
        <v>2</v>
      </c>
      <c r="F12" s="38">
        <v>6000</v>
      </c>
      <c r="G12" s="38">
        <f>E12*2000</f>
        <v>4000</v>
      </c>
      <c r="H12" s="38">
        <f>E12*1000</f>
        <v>2000</v>
      </c>
      <c r="I12" s="4"/>
    </row>
    <row r="13" spans="1:9" x14ac:dyDescent="0.25">
      <c r="A13" s="29"/>
      <c r="B13" s="29"/>
      <c r="C13" s="29" t="s">
        <v>10</v>
      </c>
      <c r="D13" s="29" t="s">
        <v>11</v>
      </c>
      <c r="E13" s="48">
        <v>20</v>
      </c>
      <c r="F13" s="38">
        <v>30000</v>
      </c>
      <c r="G13" s="38">
        <f>20*500</f>
        <v>10000</v>
      </c>
      <c r="H13" s="38">
        <f>E13*1000</f>
        <v>20000</v>
      </c>
      <c r="I13" s="4"/>
    </row>
    <row r="14" spans="1:9" x14ac:dyDescent="0.25">
      <c r="A14" s="29"/>
      <c r="B14" s="29"/>
      <c r="C14" s="29"/>
      <c r="D14" s="29" t="s">
        <v>13</v>
      </c>
      <c r="E14" s="48">
        <v>2</v>
      </c>
      <c r="F14" s="38">
        <v>13000</v>
      </c>
      <c r="G14" s="38">
        <v>9000</v>
      </c>
      <c r="H14" s="38">
        <v>4000</v>
      </c>
      <c r="I14" s="4"/>
    </row>
    <row r="15" spans="1:9" x14ac:dyDescent="0.25">
      <c r="A15" s="29"/>
      <c r="B15" s="29"/>
      <c r="C15" s="29"/>
      <c r="D15" s="29" t="s">
        <v>14</v>
      </c>
      <c r="E15" s="29">
        <v>5</v>
      </c>
      <c r="F15" s="38">
        <v>40000</v>
      </c>
      <c r="G15" s="38">
        <f>5*5500</f>
        <v>27500</v>
      </c>
      <c r="H15" s="38">
        <f>5*2500</f>
        <v>12500</v>
      </c>
      <c r="I15" s="4"/>
    </row>
    <row r="16" spans="1:9" x14ac:dyDescent="0.25">
      <c r="A16" s="126" t="s">
        <v>17</v>
      </c>
      <c r="B16" s="126"/>
      <c r="C16" s="126"/>
      <c r="D16" s="126"/>
      <c r="E16" s="126"/>
      <c r="F16" s="17">
        <f>SUM(F2:F15)</f>
        <v>1086400</v>
      </c>
      <c r="G16" s="17">
        <f>SUM(G2:G15)</f>
        <v>362500</v>
      </c>
      <c r="H16" s="17">
        <f>SUM(H2:H15)</f>
        <v>723900</v>
      </c>
      <c r="I16" s="4"/>
    </row>
    <row r="17" spans="1:9" x14ac:dyDescent="0.25">
      <c r="A17" s="29" t="s">
        <v>350</v>
      </c>
      <c r="B17" s="37">
        <v>44602</v>
      </c>
      <c r="C17" s="29" t="s">
        <v>217</v>
      </c>
      <c r="D17" s="29" t="s">
        <v>11</v>
      </c>
      <c r="E17" s="48">
        <v>96</v>
      </c>
      <c r="F17" s="38">
        <f>E17*1500</f>
        <v>144000</v>
      </c>
      <c r="G17" s="38">
        <f>E17*500</f>
        <v>48000</v>
      </c>
      <c r="H17" s="38">
        <v>96000</v>
      </c>
      <c r="I17" s="4"/>
    </row>
    <row r="18" spans="1:9" x14ac:dyDescent="0.25">
      <c r="A18" s="29"/>
      <c r="B18" s="29"/>
      <c r="C18" s="29"/>
      <c r="D18" s="29" t="s">
        <v>13</v>
      </c>
      <c r="E18" s="48">
        <v>9</v>
      </c>
      <c r="F18" s="38">
        <v>58500</v>
      </c>
      <c r="G18" s="38">
        <f>E18*4500</f>
        <v>40500</v>
      </c>
      <c r="H18" s="38">
        <f>E18*2000</f>
        <v>18000</v>
      </c>
      <c r="I18" s="4"/>
    </row>
    <row r="19" spans="1:9" x14ac:dyDescent="0.25">
      <c r="A19" s="29"/>
      <c r="B19" s="29"/>
      <c r="C19" s="29"/>
      <c r="D19" s="29" t="s">
        <v>14</v>
      </c>
      <c r="E19" s="48">
        <v>6</v>
      </c>
      <c r="F19" s="38">
        <v>48000</v>
      </c>
      <c r="G19" s="38">
        <f>E19*5500</f>
        <v>33000</v>
      </c>
      <c r="H19" s="38">
        <f>E19*2500</f>
        <v>15000</v>
      </c>
      <c r="I19" s="4"/>
    </row>
    <row r="20" spans="1:9" x14ac:dyDescent="0.25">
      <c r="A20" s="29"/>
      <c r="B20" s="29"/>
      <c r="C20" s="29" t="s">
        <v>10</v>
      </c>
      <c r="D20" s="29" t="s">
        <v>13</v>
      </c>
      <c r="E20" s="48">
        <v>10</v>
      </c>
      <c r="F20" s="38">
        <v>65000</v>
      </c>
      <c r="G20" s="38">
        <f>E20*4500</f>
        <v>45000</v>
      </c>
      <c r="H20" s="38">
        <v>20000</v>
      </c>
      <c r="I20" s="4"/>
    </row>
    <row r="21" spans="1:9" x14ac:dyDescent="0.25">
      <c r="A21" s="29"/>
      <c r="B21" s="29"/>
      <c r="C21" s="29"/>
      <c r="D21" s="29" t="s">
        <v>14</v>
      </c>
      <c r="E21" s="48">
        <v>18</v>
      </c>
      <c r="F21" s="38">
        <v>144000</v>
      </c>
      <c r="G21" s="38">
        <f>E21*5500</f>
        <v>99000</v>
      </c>
      <c r="H21" s="38">
        <f>E21*2500</f>
        <v>45000</v>
      </c>
      <c r="I21" s="4"/>
    </row>
    <row r="22" spans="1:9" x14ac:dyDescent="0.25">
      <c r="A22" s="29"/>
      <c r="B22" s="29"/>
      <c r="C22" s="29" t="s">
        <v>20</v>
      </c>
      <c r="D22" s="29" t="s">
        <v>11</v>
      </c>
      <c r="E22" s="48">
        <v>8</v>
      </c>
      <c r="F22" s="38">
        <f>E22*1500</f>
        <v>12000</v>
      </c>
      <c r="G22" s="38">
        <f>E22*500</f>
        <v>4000</v>
      </c>
      <c r="H22" s="38">
        <v>8000</v>
      </c>
      <c r="I22" s="4"/>
    </row>
    <row r="23" spans="1:9" x14ac:dyDescent="0.25">
      <c r="A23" s="29"/>
      <c r="B23" s="29"/>
      <c r="C23" s="29"/>
      <c r="D23" s="29" t="s">
        <v>13</v>
      </c>
      <c r="E23" s="48">
        <v>19</v>
      </c>
      <c r="F23" s="38">
        <f>E23*6500</f>
        <v>123500</v>
      </c>
      <c r="G23" s="38">
        <f>E23*4500</f>
        <v>85500</v>
      </c>
      <c r="H23" s="38">
        <f>E23*2000</f>
        <v>38000</v>
      </c>
      <c r="I23" s="4"/>
    </row>
    <row r="24" spans="1:9" x14ac:dyDescent="0.25">
      <c r="A24" s="29"/>
      <c r="B24" s="29"/>
      <c r="C24" s="29"/>
      <c r="D24" s="29" t="s">
        <v>14</v>
      </c>
      <c r="E24" s="48">
        <v>34</v>
      </c>
      <c r="F24" s="38">
        <f>E24*10000</f>
        <v>340000</v>
      </c>
      <c r="G24" s="38">
        <f>E24*5500</f>
        <v>187000</v>
      </c>
      <c r="H24" s="38">
        <f>E24*4500</f>
        <v>153000</v>
      </c>
      <c r="I24" s="4"/>
    </row>
    <row r="25" spans="1:9" x14ac:dyDescent="0.25">
      <c r="A25" s="29"/>
      <c r="B25" s="29"/>
      <c r="C25" s="29" t="s">
        <v>235</v>
      </c>
      <c r="D25" s="29" t="s">
        <v>25</v>
      </c>
      <c r="E25" s="48">
        <v>2</v>
      </c>
      <c r="F25" s="38">
        <v>26000</v>
      </c>
      <c r="G25" s="38">
        <v>20000</v>
      </c>
      <c r="H25" s="38">
        <v>6000</v>
      </c>
      <c r="I25" s="4"/>
    </row>
    <row r="26" spans="1:9" x14ac:dyDescent="0.25">
      <c r="A26" s="126" t="s">
        <v>17</v>
      </c>
      <c r="B26" s="126"/>
      <c r="C26" s="126"/>
      <c r="D26" s="126"/>
      <c r="E26" s="126"/>
      <c r="F26" s="17">
        <f>SUM(F17:F25)</f>
        <v>961000</v>
      </c>
      <c r="G26" s="17">
        <f>SUM(G17:G25)</f>
        <v>562000</v>
      </c>
      <c r="H26" s="17">
        <f>SUM(H17:H25)</f>
        <v>399000</v>
      </c>
      <c r="I26" s="4"/>
    </row>
    <row r="27" spans="1:9" x14ac:dyDescent="0.25">
      <c r="A27" s="29" t="s">
        <v>30</v>
      </c>
      <c r="B27" s="37">
        <v>44630</v>
      </c>
      <c r="C27" s="29" t="s">
        <v>288</v>
      </c>
      <c r="D27" s="29" t="s">
        <v>11</v>
      </c>
      <c r="E27" s="29">
        <f>25-9</f>
        <v>16</v>
      </c>
      <c r="F27" s="38">
        <f>16*1800</f>
        <v>28800</v>
      </c>
      <c r="G27" s="38">
        <f>E27*500</f>
        <v>8000</v>
      </c>
      <c r="H27" s="38">
        <f>16*1300</f>
        <v>20800</v>
      </c>
      <c r="I27" s="4"/>
    </row>
    <row r="28" spans="1:9" x14ac:dyDescent="0.25">
      <c r="A28" s="29"/>
      <c r="B28" s="29"/>
      <c r="C28" s="29" t="s">
        <v>292</v>
      </c>
      <c r="D28" s="29" t="s">
        <v>11</v>
      </c>
      <c r="E28" s="48">
        <v>49</v>
      </c>
      <c r="F28" s="38">
        <f>49*1500</f>
        <v>73500</v>
      </c>
      <c r="G28" s="38">
        <f t="shared" ref="G28:G38" si="3">E28*500</f>
        <v>24500</v>
      </c>
      <c r="H28" s="38">
        <f>E28*1000</f>
        <v>49000</v>
      </c>
      <c r="I28" s="4"/>
    </row>
    <row r="29" spans="1:9" x14ac:dyDescent="0.25">
      <c r="A29" s="29"/>
      <c r="B29" s="29"/>
      <c r="C29" s="29" t="s">
        <v>108</v>
      </c>
      <c r="D29" s="29" t="s">
        <v>11</v>
      </c>
      <c r="E29" s="48">
        <v>14</v>
      </c>
      <c r="F29" s="38">
        <f>14*1500</f>
        <v>21000</v>
      </c>
      <c r="G29" s="38">
        <f t="shared" si="3"/>
        <v>7000</v>
      </c>
      <c r="H29" s="38">
        <f t="shared" ref="H29:H38" si="4">E29*1000</f>
        <v>14000</v>
      </c>
      <c r="I29" s="4"/>
    </row>
    <row r="30" spans="1:9" x14ac:dyDescent="0.25">
      <c r="A30" s="29"/>
      <c r="B30" s="29"/>
      <c r="C30" s="29" t="s">
        <v>106</v>
      </c>
      <c r="D30" s="29" t="s">
        <v>11</v>
      </c>
      <c r="E30" s="48">
        <v>25</v>
      </c>
      <c r="F30" s="38">
        <f>25*1500</f>
        <v>37500</v>
      </c>
      <c r="G30" s="38">
        <f t="shared" si="3"/>
        <v>12500</v>
      </c>
      <c r="H30" s="38">
        <f t="shared" si="4"/>
        <v>25000</v>
      </c>
      <c r="I30" s="4"/>
    </row>
    <row r="31" spans="1:9" x14ac:dyDescent="0.25">
      <c r="A31" s="29"/>
      <c r="B31" s="29"/>
      <c r="C31" s="29" t="s">
        <v>235</v>
      </c>
      <c r="D31" s="29" t="s">
        <v>25</v>
      </c>
      <c r="E31" s="48">
        <v>2</v>
      </c>
      <c r="F31" s="38">
        <v>26000</v>
      </c>
      <c r="G31" s="38">
        <v>20000</v>
      </c>
      <c r="H31" s="38">
        <v>6000</v>
      </c>
      <c r="I31" s="4"/>
    </row>
    <row r="32" spans="1:9" x14ac:dyDescent="0.25">
      <c r="A32" s="29"/>
      <c r="B32" s="29"/>
      <c r="C32" s="29" t="s">
        <v>77</v>
      </c>
      <c r="D32" s="29" t="s">
        <v>11</v>
      </c>
      <c r="E32" s="48">
        <v>130</v>
      </c>
      <c r="F32" s="38">
        <f>E32*1500</f>
        <v>195000</v>
      </c>
      <c r="G32" s="38">
        <f t="shared" si="3"/>
        <v>65000</v>
      </c>
      <c r="H32" s="38">
        <f t="shared" si="4"/>
        <v>130000</v>
      </c>
      <c r="I32" s="4"/>
    </row>
    <row r="33" spans="1:9" x14ac:dyDescent="0.25">
      <c r="A33" s="29"/>
      <c r="B33" s="29"/>
      <c r="C33" s="29"/>
      <c r="D33" s="29" t="s">
        <v>11</v>
      </c>
      <c r="E33" s="48">
        <v>120</v>
      </c>
      <c r="F33" s="38">
        <f t="shared" ref="F33:F38" si="5">E33*1500</f>
        <v>180000</v>
      </c>
      <c r="G33" s="38">
        <f t="shared" si="3"/>
        <v>60000</v>
      </c>
      <c r="H33" s="38">
        <f t="shared" si="4"/>
        <v>120000</v>
      </c>
      <c r="I33" s="4"/>
    </row>
    <row r="34" spans="1:9" x14ac:dyDescent="0.25">
      <c r="A34" s="29"/>
      <c r="B34" s="29"/>
      <c r="C34" s="29"/>
      <c r="D34" s="29" t="s">
        <v>11</v>
      </c>
      <c r="E34" s="48">
        <v>130</v>
      </c>
      <c r="F34" s="38">
        <f t="shared" si="5"/>
        <v>195000</v>
      </c>
      <c r="G34" s="38">
        <f t="shared" si="3"/>
        <v>65000</v>
      </c>
      <c r="H34" s="38">
        <f t="shared" si="4"/>
        <v>130000</v>
      </c>
      <c r="I34" s="4"/>
    </row>
    <row r="35" spans="1:9" x14ac:dyDescent="0.25">
      <c r="A35" s="29"/>
      <c r="B35" s="29"/>
      <c r="C35" s="29"/>
      <c r="D35" s="29" t="s">
        <v>11</v>
      </c>
      <c r="E35" s="48">
        <v>130</v>
      </c>
      <c r="F35" s="38">
        <f t="shared" si="5"/>
        <v>195000</v>
      </c>
      <c r="G35" s="38">
        <f t="shared" si="3"/>
        <v>65000</v>
      </c>
      <c r="H35" s="38">
        <f t="shared" si="4"/>
        <v>130000</v>
      </c>
      <c r="I35" s="4"/>
    </row>
    <row r="36" spans="1:9" x14ac:dyDescent="0.25">
      <c r="A36" s="29"/>
      <c r="B36" s="29"/>
      <c r="C36" s="29"/>
      <c r="D36" s="29" t="s">
        <v>11</v>
      </c>
      <c r="E36" s="48">
        <v>110</v>
      </c>
      <c r="F36" s="38">
        <f t="shared" si="5"/>
        <v>165000</v>
      </c>
      <c r="G36" s="38">
        <f t="shared" si="3"/>
        <v>55000</v>
      </c>
      <c r="H36" s="38">
        <f t="shared" si="4"/>
        <v>110000</v>
      </c>
      <c r="I36" s="4"/>
    </row>
    <row r="37" spans="1:9" x14ac:dyDescent="0.25">
      <c r="A37" s="29"/>
      <c r="B37" s="29"/>
      <c r="C37" s="29"/>
      <c r="D37" s="29" t="s">
        <v>11</v>
      </c>
      <c r="E37" s="48">
        <v>108</v>
      </c>
      <c r="F37" s="38">
        <f t="shared" si="5"/>
        <v>162000</v>
      </c>
      <c r="G37" s="38">
        <f t="shared" si="3"/>
        <v>54000</v>
      </c>
      <c r="H37" s="38">
        <f t="shared" si="4"/>
        <v>108000</v>
      </c>
      <c r="I37" s="4"/>
    </row>
    <row r="38" spans="1:9" x14ac:dyDescent="0.25">
      <c r="A38" s="29"/>
      <c r="B38" s="29"/>
      <c r="C38" s="29" t="s">
        <v>16</v>
      </c>
      <c r="D38" s="29" t="s">
        <v>11</v>
      </c>
      <c r="E38" s="48">
        <v>59</v>
      </c>
      <c r="F38" s="38">
        <f t="shared" si="5"/>
        <v>88500</v>
      </c>
      <c r="G38" s="38">
        <f t="shared" si="3"/>
        <v>29500</v>
      </c>
      <c r="H38" s="38">
        <f t="shared" si="4"/>
        <v>59000</v>
      </c>
      <c r="I38" s="4"/>
    </row>
    <row r="39" spans="1:9" x14ac:dyDescent="0.25">
      <c r="A39" s="29"/>
      <c r="B39" s="29"/>
      <c r="C39" s="29"/>
      <c r="D39" s="29" t="s">
        <v>12</v>
      </c>
      <c r="E39" s="48">
        <v>7</v>
      </c>
      <c r="F39" s="38">
        <v>21000</v>
      </c>
      <c r="G39" s="38">
        <v>14000</v>
      </c>
      <c r="H39" s="38">
        <v>7000</v>
      </c>
      <c r="I39" s="4"/>
    </row>
    <row r="40" spans="1:9" x14ac:dyDescent="0.25">
      <c r="A40" s="29"/>
      <c r="B40" s="29"/>
      <c r="C40" s="29"/>
      <c r="D40" s="29" t="s">
        <v>13</v>
      </c>
      <c r="E40" s="48">
        <v>3</v>
      </c>
      <c r="F40" s="38">
        <v>19500</v>
      </c>
      <c r="G40" s="38">
        <f>3*4500</f>
        <v>13500</v>
      </c>
      <c r="H40" s="38">
        <v>6000</v>
      </c>
      <c r="I40" s="4"/>
    </row>
    <row r="41" spans="1:9" x14ac:dyDescent="0.25">
      <c r="A41" s="126" t="s">
        <v>17</v>
      </c>
      <c r="B41" s="126"/>
      <c r="C41" s="126"/>
      <c r="D41" s="126"/>
      <c r="E41" s="126"/>
      <c r="F41" s="17">
        <f>SUM(F27:F40)</f>
        <v>1407800</v>
      </c>
      <c r="G41" s="17">
        <f>SUM(G27:G40)</f>
        <v>493000</v>
      </c>
      <c r="H41" s="17">
        <f>SUM(H27:H40)</f>
        <v>914800</v>
      </c>
      <c r="I41" s="4"/>
    </row>
    <row r="42" spans="1:9" x14ac:dyDescent="0.25">
      <c r="A42" s="29"/>
      <c r="B42" s="29"/>
      <c r="C42" s="29" t="s">
        <v>16</v>
      </c>
      <c r="D42" s="29" t="s">
        <v>11</v>
      </c>
      <c r="E42" s="48">
        <v>38</v>
      </c>
      <c r="F42" s="38">
        <v>57000</v>
      </c>
      <c r="G42" s="38">
        <f>38*500</f>
        <v>19000</v>
      </c>
      <c r="H42" s="38">
        <v>38000</v>
      </c>
      <c r="I42" s="4"/>
    </row>
    <row r="43" spans="1:9" x14ac:dyDescent="0.25">
      <c r="A43" s="29"/>
      <c r="B43" s="29"/>
      <c r="C43" s="29"/>
      <c r="D43" s="29" t="s">
        <v>12</v>
      </c>
      <c r="E43" s="48">
        <v>6</v>
      </c>
      <c r="F43" s="38">
        <v>18000</v>
      </c>
      <c r="G43" s="38">
        <v>12000</v>
      </c>
      <c r="H43" s="38">
        <v>6000</v>
      </c>
      <c r="I43" s="4"/>
    </row>
    <row r="44" spans="1:9" x14ac:dyDescent="0.25">
      <c r="A44" s="29"/>
      <c r="B44" s="29"/>
      <c r="C44" s="29"/>
      <c r="D44" s="29" t="s">
        <v>14</v>
      </c>
      <c r="E44" s="48">
        <v>1</v>
      </c>
      <c r="F44" s="38">
        <v>10000</v>
      </c>
      <c r="G44" s="38">
        <v>5500</v>
      </c>
      <c r="H44" s="38">
        <v>4500</v>
      </c>
      <c r="I44" s="4"/>
    </row>
    <row r="45" spans="1:9" x14ac:dyDescent="0.25">
      <c r="A45" s="29"/>
      <c r="B45" s="29"/>
      <c r="C45" s="29" t="s">
        <v>10</v>
      </c>
      <c r="D45" s="29" t="s">
        <v>11</v>
      </c>
      <c r="E45" s="48">
        <v>20</v>
      </c>
      <c r="F45" s="38">
        <v>30000</v>
      </c>
      <c r="G45" s="38">
        <f>20*500</f>
        <v>10000</v>
      </c>
      <c r="H45" s="38">
        <v>20000</v>
      </c>
      <c r="I45" s="4"/>
    </row>
    <row r="46" spans="1:9" x14ac:dyDescent="0.25">
      <c r="A46" s="29"/>
      <c r="B46" s="29"/>
      <c r="C46" s="29"/>
      <c r="D46" s="29" t="s">
        <v>12</v>
      </c>
      <c r="E46" s="48">
        <v>3</v>
      </c>
      <c r="F46" s="38">
        <v>9000</v>
      </c>
      <c r="G46" s="38">
        <v>6000</v>
      </c>
      <c r="H46" s="38">
        <v>3000</v>
      </c>
      <c r="I46" s="4"/>
    </row>
    <row r="47" spans="1:9" x14ac:dyDescent="0.25">
      <c r="A47" s="29"/>
      <c r="B47" s="29"/>
      <c r="C47" s="29"/>
      <c r="D47" s="29" t="s">
        <v>13</v>
      </c>
      <c r="E47" s="48">
        <v>5</v>
      </c>
      <c r="F47" s="38">
        <v>32500</v>
      </c>
      <c r="G47" s="38">
        <f>5*4500</f>
        <v>22500</v>
      </c>
      <c r="H47" s="38">
        <v>10000</v>
      </c>
      <c r="I47" s="4"/>
    </row>
    <row r="48" spans="1:9" x14ac:dyDescent="0.25">
      <c r="A48" s="29"/>
      <c r="B48" s="29"/>
      <c r="C48" s="29"/>
      <c r="D48" s="29" t="s">
        <v>14</v>
      </c>
      <c r="E48" s="48">
        <v>7</v>
      </c>
      <c r="F48" s="38">
        <v>56000</v>
      </c>
      <c r="G48" s="38">
        <f>7*5500</f>
        <v>38500</v>
      </c>
      <c r="H48" s="38">
        <f>7*2500</f>
        <v>17500</v>
      </c>
      <c r="I48" s="4"/>
    </row>
    <row r="49" spans="1:9" x14ac:dyDescent="0.25">
      <c r="A49" s="126" t="s">
        <v>17</v>
      </c>
      <c r="B49" s="126"/>
      <c r="C49" s="126"/>
      <c r="D49" s="126"/>
      <c r="E49" s="126"/>
      <c r="F49" s="17">
        <f>SUM(F42:F48)</f>
        <v>212500</v>
      </c>
      <c r="G49" s="17">
        <f>SUM(G42:G48)</f>
        <v>113500</v>
      </c>
      <c r="H49" s="17">
        <f>SUM(H42:H48)</f>
        <v>99000</v>
      </c>
      <c r="I49" s="4"/>
    </row>
    <row r="50" spans="1:9" x14ac:dyDescent="0.25">
      <c r="A50" s="29" t="s">
        <v>32</v>
      </c>
      <c r="B50" s="37">
        <v>44661</v>
      </c>
      <c r="C50" s="29" t="s">
        <v>288</v>
      </c>
      <c r="D50" s="29" t="s">
        <v>11</v>
      </c>
      <c r="E50" s="29">
        <f>45-23</f>
        <v>22</v>
      </c>
      <c r="F50" s="38">
        <f>22*1800</f>
        <v>39600</v>
      </c>
      <c r="G50" s="38">
        <f>22*500</f>
        <v>11000</v>
      </c>
      <c r="H50" s="38">
        <f>22*1300</f>
        <v>28600</v>
      </c>
      <c r="I50" s="4"/>
    </row>
    <row r="51" spans="1:9" x14ac:dyDescent="0.25">
      <c r="A51" s="29"/>
      <c r="B51" s="29"/>
      <c r="C51" s="29" t="s">
        <v>292</v>
      </c>
      <c r="D51" s="29" t="s">
        <v>11</v>
      </c>
      <c r="E51" s="48">
        <v>10</v>
      </c>
      <c r="F51" s="38">
        <v>15000</v>
      </c>
      <c r="G51" s="38">
        <v>5000</v>
      </c>
      <c r="H51" s="38">
        <v>10000</v>
      </c>
      <c r="I51" s="4"/>
    </row>
    <row r="52" spans="1:9" x14ac:dyDescent="0.25">
      <c r="A52" s="29"/>
      <c r="B52" s="29"/>
      <c r="C52" s="29" t="s">
        <v>106</v>
      </c>
      <c r="D52" s="29" t="s">
        <v>11</v>
      </c>
      <c r="E52" s="48">
        <v>25</v>
      </c>
      <c r="F52" s="38">
        <f>25*1500</f>
        <v>37500</v>
      </c>
      <c r="G52" s="38">
        <f>25*500</f>
        <v>12500</v>
      </c>
      <c r="H52" s="38">
        <v>25000</v>
      </c>
      <c r="I52" s="4"/>
    </row>
    <row r="53" spans="1:9" x14ac:dyDescent="0.25">
      <c r="A53" s="29"/>
      <c r="B53" s="29"/>
      <c r="C53" s="29" t="s">
        <v>235</v>
      </c>
      <c r="D53" s="29" t="s">
        <v>25</v>
      </c>
      <c r="E53" s="48">
        <v>2</v>
      </c>
      <c r="F53" s="38">
        <v>26000</v>
      </c>
      <c r="G53" s="38">
        <v>20000</v>
      </c>
      <c r="H53" s="38">
        <v>6000</v>
      </c>
      <c r="I53" s="4"/>
    </row>
    <row r="54" spans="1:9" x14ac:dyDescent="0.25">
      <c r="A54" s="29"/>
      <c r="B54" s="29"/>
      <c r="C54" s="29" t="s">
        <v>63</v>
      </c>
      <c r="D54" s="29" t="s">
        <v>21</v>
      </c>
      <c r="E54" s="48">
        <v>2</v>
      </c>
      <c r="F54" s="38">
        <v>30000</v>
      </c>
      <c r="G54" s="38">
        <v>20000</v>
      </c>
      <c r="H54" s="38">
        <v>10000</v>
      </c>
      <c r="I54" s="4"/>
    </row>
    <row r="55" spans="1:9" x14ac:dyDescent="0.25">
      <c r="A55" s="29"/>
      <c r="B55" s="29"/>
      <c r="C55" s="29" t="s">
        <v>16</v>
      </c>
      <c r="D55" s="29" t="s">
        <v>11</v>
      </c>
      <c r="E55" s="48">
        <v>11</v>
      </c>
      <c r="F55" s="38">
        <f>11*1500</f>
        <v>16500</v>
      </c>
      <c r="G55" s="38">
        <f>11*500</f>
        <v>5500</v>
      </c>
      <c r="H55" s="38">
        <v>11000</v>
      </c>
      <c r="I55" s="4"/>
    </row>
    <row r="56" spans="1:9" x14ac:dyDescent="0.25">
      <c r="A56" s="29"/>
      <c r="B56" s="29"/>
      <c r="C56" s="29"/>
      <c r="D56" s="29" t="s">
        <v>12</v>
      </c>
      <c r="E56" s="48">
        <v>2</v>
      </c>
      <c r="F56" s="38">
        <v>6000</v>
      </c>
      <c r="G56" s="38">
        <v>4000</v>
      </c>
      <c r="H56" s="38">
        <v>2000</v>
      </c>
      <c r="I56" s="4"/>
    </row>
    <row r="57" spans="1:9" x14ac:dyDescent="0.25">
      <c r="A57" s="126" t="s">
        <v>17</v>
      </c>
      <c r="B57" s="126"/>
      <c r="C57" s="126"/>
      <c r="D57" s="126"/>
      <c r="E57" s="126"/>
      <c r="F57" s="17">
        <f>SUM(F50:F56)</f>
        <v>170600</v>
      </c>
      <c r="G57" s="17">
        <f>SUM(G50:G56)</f>
        <v>78000</v>
      </c>
      <c r="H57" s="17">
        <f>SUM(H50:H56)</f>
        <v>92600</v>
      </c>
      <c r="I57" s="4"/>
    </row>
    <row r="58" spans="1:9" x14ac:dyDescent="0.25">
      <c r="A58" s="29"/>
      <c r="B58" s="29"/>
      <c r="C58" s="29" t="s">
        <v>10</v>
      </c>
      <c r="D58" s="29" t="s">
        <v>11</v>
      </c>
      <c r="E58" s="48">
        <v>30</v>
      </c>
      <c r="F58" s="38">
        <f>E58*1500</f>
        <v>45000</v>
      </c>
      <c r="G58" s="38">
        <f>E58*500</f>
        <v>15000</v>
      </c>
      <c r="H58" s="38">
        <f>E58*1000</f>
        <v>30000</v>
      </c>
      <c r="I58" s="4"/>
    </row>
    <row r="59" spans="1:9" x14ac:dyDescent="0.25">
      <c r="A59" s="29"/>
      <c r="B59" s="29"/>
      <c r="C59" s="29"/>
      <c r="D59" s="29" t="s">
        <v>13</v>
      </c>
      <c r="E59" s="48">
        <v>3</v>
      </c>
      <c r="F59" s="38">
        <f>E59*6500</f>
        <v>19500</v>
      </c>
      <c r="G59" s="38">
        <f>E59*4500</f>
        <v>13500</v>
      </c>
      <c r="H59" s="38">
        <f>E59*2000</f>
        <v>6000</v>
      </c>
      <c r="I59" s="4"/>
    </row>
    <row r="60" spans="1:9" x14ac:dyDescent="0.25">
      <c r="A60" s="29"/>
      <c r="B60" s="29"/>
      <c r="C60" s="29"/>
      <c r="D60" s="29" t="s">
        <v>14</v>
      </c>
      <c r="E60" s="48">
        <v>3</v>
      </c>
      <c r="F60" s="38">
        <f>E60*8000</f>
        <v>24000</v>
      </c>
      <c r="G60" s="38">
        <f>E60*5500</f>
        <v>16500</v>
      </c>
      <c r="H60" s="38">
        <f>E60*2500</f>
        <v>7500</v>
      </c>
      <c r="I60" s="4"/>
    </row>
    <row r="61" spans="1:9" x14ac:dyDescent="0.25">
      <c r="A61" s="126" t="s">
        <v>17</v>
      </c>
      <c r="B61" s="126"/>
      <c r="C61" s="126"/>
      <c r="D61" s="126"/>
      <c r="E61" s="126"/>
      <c r="F61" s="17">
        <f>SUM(F58:F60)</f>
        <v>88500</v>
      </c>
      <c r="G61" s="17">
        <f>SUM(G58:G60)</f>
        <v>45000</v>
      </c>
      <c r="H61" s="17">
        <f>SUM(H58:H60)</f>
        <v>43500</v>
      </c>
      <c r="I61" s="4"/>
    </row>
    <row r="62" spans="1:9" x14ac:dyDescent="0.25">
      <c r="A62" s="29" t="s">
        <v>8</v>
      </c>
      <c r="B62" s="37">
        <v>44691</v>
      </c>
      <c r="C62" s="29" t="s">
        <v>288</v>
      </c>
      <c r="D62" s="29" t="s">
        <v>11</v>
      </c>
      <c r="E62" s="48">
        <v>42</v>
      </c>
      <c r="F62" s="38">
        <f>42*1800</f>
        <v>75600</v>
      </c>
      <c r="G62" s="38">
        <f>E62*500</f>
        <v>21000</v>
      </c>
      <c r="H62" s="38">
        <f>42*1300</f>
        <v>54600</v>
      </c>
      <c r="I62" s="4"/>
    </row>
    <row r="63" spans="1:9" x14ac:dyDescent="0.25">
      <c r="A63" s="29"/>
      <c r="B63" s="29"/>
      <c r="C63" s="29" t="s">
        <v>106</v>
      </c>
      <c r="D63" s="29" t="s">
        <v>11</v>
      </c>
      <c r="E63" s="48">
        <v>25</v>
      </c>
      <c r="F63" s="38">
        <f>25*1500</f>
        <v>37500</v>
      </c>
      <c r="G63" s="38">
        <f>E63*500</f>
        <v>12500</v>
      </c>
      <c r="H63" s="38">
        <f>E63*1000</f>
        <v>25000</v>
      </c>
      <c r="I63" s="4"/>
    </row>
    <row r="64" spans="1:9" x14ac:dyDescent="0.25">
      <c r="A64" s="29"/>
      <c r="B64" s="29"/>
      <c r="C64" s="29" t="s">
        <v>108</v>
      </c>
      <c r="D64" s="29" t="s">
        <v>11</v>
      </c>
      <c r="E64" s="48">
        <v>16</v>
      </c>
      <c r="F64" s="38">
        <f>16*1500</f>
        <v>24000</v>
      </c>
      <c r="G64" s="38">
        <f>E64*500</f>
        <v>8000</v>
      </c>
      <c r="H64" s="38">
        <f>E64*1000</f>
        <v>16000</v>
      </c>
    </row>
    <row r="65" spans="1:9" x14ac:dyDescent="0.25">
      <c r="A65" s="29"/>
      <c r="B65" s="29"/>
      <c r="C65" s="29" t="s">
        <v>16</v>
      </c>
      <c r="D65" s="29" t="s">
        <v>11</v>
      </c>
      <c r="E65" s="48">
        <v>54</v>
      </c>
      <c r="F65" s="38">
        <v>79500</v>
      </c>
      <c r="G65" s="38">
        <f>E65*500</f>
        <v>27000</v>
      </c>
      <c r="H65" s="38">
        <f>E65*1000</f>
        <v>54000</v>
      </c>
      <c r="I65" s="4"/>
    </row>
    <row r="66" spans="1:9" x14ac:dyDescent="0.25">
      <c r="A66" s="29"/>
      <c r="B66" s="29"/>
      <c r="C66" s="29" t="s">
        <v>10</v>
      </c>
      <c r="D66" s="29" t="s">
        <v>11</v>
      </c>
      <c r="E66" s="48">
        <v>22</v>
      </c>
      <c r="F66" s="38">
        <v>33000</v>
      </c>
      <c r="G66" s="38">
        <f>E66*500</f>
        <v>11000</v>
      </c>
      <c r="H66" s="38">
        <f>E66*1000</f>
        <v>22000</v>
      </c>
      <c r="I66" s="4"/>
    </row>
    <row r="67" spans="1:9" x14ac:dyDescent="0.25">
      <c r="A67" s="29"/>
      <c r="B67" s="29"/>
      <c r="C67" s="29"/>
      <c r="D67" s="29" t="s">
        <v>13</v>
      </c>
      <c r="E67" s="48">
        <v>9</v>
      </c>
      <c r="F67" s="38">
        <v>58500</v>
      </c>
      <c r="G67" s="38">
        <f>9*4500</f>
        <v>40500</v>
      </c>
      <c r="H67" s="38">
        <v>18000</v>
      </c>
      <c r="I67" s="4"/>
    </row>
    <row r="68" spans="1:9" x14ac:dyDescent="0.25">
      <c r="A68" s="29"/>
      <c r="B68" s="29"/>
      <c r="C68" s="29"/>
      <c r="D68" s="29" t="s">
        <v>14</v>
      </c>
      <c r="E68" s="48">
        <v>11</v>
      </c>
      <c r="F68" s="38">
        <v>88000</v>
      </c>
      <c r="G68" s="38">
        <f>11*5500</f>
        <v>60500</v>
      </c>
      <c r="H68" s="38">
        <f>11*2500</f>
        <v>27500</v>
      </c>
      <c r="I68" s="4"/>
    </row>
    <row r="69" spans="1:9" x14ac:dyDescent="0.25">
      <c r="A69" s="29"/>
      <c r="B69" s="29"/>
      <c r="C69" s="29" t="s">
        <v>217</v>
      </c>
      <c r="D69" s="29" t="s">
        <v>11</v>
      </c>
      <c r="E69" s="48">
        <v>72</v>
      </c>
      <c r="F69" s="38">
        <v>108000</v>
      </c>
      <c r="G69" s="38">
        <f>71*500</f>
        <v>35500</v>
      </c>
      <c r="H69" s="38">
        <v>72000</v>
      </c>
      <c r="I69" s="4"/>
    </row>
    <row r="70" spans="1:9" x14ac:dyDescent="0.25">
      <c r="A70" s="29"/>
      <c r="B70" s="29"/>
      <c r="C70" s="29"/>
      <c r="D70" s="29" t="s">
        <v>13</v>
      </c>
      <c r="E70" s="48">
        <v>4</v>
      </c>
      <c r="F70" s="38">
        <v>26000</v>
      </c>
      <c r="G70" s="38">
        <f>4*4500</f>
        <v>18000</v>
      </c>
      <c r="H70" s="38">
        <v>8000</v>
      </c>
      <c r="I70" s="4"/>
    </row>
    <row r="71" spans="1:9" x14ac:dyDescent="0.25">
      <c r="A71" s="29"/>
      <c r="B71" s="29"/>
      <c r="C71" s="29"/>
      <c r="D71" s="29" t="s">
        <v>14</v>
      </c>
      <c r="E71" s="48">
        <v>1</v>
      </c>
      <c r="F71" s="38">
        <v>8000</v>
      </c>
      <c r="G71" s="38">
        <v>5500</v>
      </c>
      <c r="H71" s="38">
        <v>2500</v>
      </c>
      <c r="I71" s="4"/>
    </row>
    <row r="72" spans="1:9" x14ac:dyDescent="0.25">
      <c r="A72" s="126" t="s">
        <v>17</v>
      </c>
      <c r="B72" s="126"/>
      <c r="C72" s="126"/>
      <c r="D72" s="126"/>
      <c r="E72" s="126"/>
      <c r="F72" s="17">
        <f>SUM(F62:F71)</f>
        <v>538100</v>
      </c>
      <c r="G72" s="17">
        <f>SUM(G62:G71)</f>
        <v>239500</v>
      </c>
      <c r="H72" s="17">
        <f>SUM(H62:H71)</f>
        <v>299600</v>
      </c>
      <c r="I72" s="4"/>
    </row>
    <row r="73" spans="1:9" x14ac:dyDescent="0.25">
      <c r="A73" s="29" t="s">
        <v>18</v>
      </c>
      <c r="B73" s="37">
        <v>44722</v>
      </c>
      <c r="C73" s="29" t="s">
        <v>288</v>
      </c>
      <c r="D73" s="29" t="s">
        <v>11</v>
      </c>
      <c r="E73" s="48">
        <v>25</v>
      </c>
      <c r="F73" s="38">
        <f>E73*1800</f>
        <v>45000</v>
      </c>
      <c r="G73" s="38">
        <f>E73*500</f>
        <v>12500</v>
      </c>
      <c r="H73" s="38">
        <f>E73*1300</f>
        <v>32500</v>
      </c>
      <c r="I73" s="4"/>
    </row>
    <row r="74" spans="1:9" x14ac:dyDescent="0.25">
      <c r="A74" s="29"/>
      <c r="B74" s="29"/>
      <c r="C74" s="29" t="s">
        <v>292</v>
      </c>
      <c r="D74" s="29" t="s">
        <v>11</v>
      </c>
      <c r="E74" s="48">
        <v>30</v>
      </c>
      <c r="F74" s="38">
        <v>45000</v>
      </c>
      <c r="G74" s="38">
        <f>E74*500</f>
        <v>15000</v>
      </c>
      <c r="H74" s="38">
        <f>E74*1000</f>
        <v>30000</v>
      </c>
      <c r="I74" s="4"/>
    </row>
    <row r="75" spans="1:9" x14ac:dyDescent="0.25">
      <c r="A75" s="29"/>
      <c r="B75" s="29"/>
      <c r="C75" s="29" t="s">
        <v>108</v>
      </c>
      <c r="D75" s="29" t="s">
        <v>11</v>
      </c>
      <c r="E75" s="48">
        <v>9</v>
      </c>
      <c r="F75" s="38">
        <v>13500</v>
      </c>
      <c r="G75" s="38">
        <f>E75*500</f>
        <v>4500</v>
      </c>
      <c r="H75" s="38">
        <f>E75*1000</f>
        <v>9000</v>
      </c>
      <c r="I75" s="4"/>
    </row>
    <row r="76" spans="1:9" x14ac:dyDescent="0.25">
      <c r="A76" s="29"/>
      <c r="B76" s="29"/>
      <c r="C76" s="29" t="s">
        <v>106</v>
      </c>
      <c r="D76" s="29" t="s">
        <v>11</v>
      </c>
      <c r="E76" s="48">
        <v>25</v>
      </c>
      <c r="F76" s="38">
        <v>37500</v>
      </c>
      <c r="G76" s="38">
        <f>E76*500</f>
        <v>12500</v>
      </c>
      <c r="H76" s="38">
        <v>25000</v>
      </c>
      <c r="I76" s="4"/>
    </row>
    <row r="77" spans="1:9" x14ac:dyDescent="0.25">
      <c r="A77" s="29"/>
      <c r="B77" s="29"/>
      <c r="C77" s="29" t="s">
        <v>16</v>
      </c>
      <c r="D77" s="29" t="s">
        <v>11</v>
      </c>
      <c r="E77" s="48">
        <v>23</v>
      </c>
      <c r="F77" s="38">
        <v>34500</v>
      </c>
      <c r="G77" s="38">
        <f>23*500</f>
        <v>11500</v>
      </c>
      <c r="H77" s="38">
        <v>23000</v>
      </c>
      <c r="I77" s="4"/>
    </row>
    <row r="78" spans="1:9" x14ac:dyDescent="0.25">
      <c r="A78" s="29"/>
      <c r="B78" s="29"/>
      <c r="C78" s="29"/>
      <c r="D78" s="29" t="s">
        <v>12</v>
      </c>
      <c r="E78" s="48">
        <v>4</v>
      </c>
      <c r="F78" s="38">
        <v>12000</v>
      </c>
      <c r="G78" s="38">
        <v>8000</v>
      </c>
      <c r="H78" s="38">
        <v>4000</v>
      </c>
      <c r="I78" s="4"/>
    </row>
    <row r="79" spans="1:9" x14ac:dyDescent="0.25">
      <c r="A79" s="29"/>
      <c r="B79" s="29"/>
      <c r="C79" s="29" t="s">
        <v>10</v>
      </c>
      <c r="D79" s="29" t="s">
        <v>11</v>
      </c>
      <c r="E79" s="48">
        <v>26</v>
      </c>
      <c r="F79" s="38">
        <v>39000</v>
      </c>
      <c r="G79" s="38">
        <f>26*500</f>
        <v>13000</v>
      </c>
      <c r="H79" s="38">
        <v>26000</v>
      </c>
      <c r="I79" s="4"/>
    </row>
    <row r="80" spans="1:9" x14ac:dyDescent="0.25">
      <c r="A80" s="29"/>
      <c r="B80" s="29"/>
      <c r="C80" s="29"/>
      <c r="D80" s="29" t="s">
        <v>13</v>
      </c>
      <c r="E80" s="48">
        <v>5</v>
      </c>
      <c r="F80" s="38">
        <v>32500</v>
      </c>
      <c r="G80" s="38">
        <f>5*4500</f>
        <v>22500</v>
      </c>
      <c r="H80" s="38">
        <v>10000</v>
      </c>
      <c r="I80" s="4"/>
    </row>
    <row r="81" spans="1:9" x14ac:dyDescent="0.25">
      <c r="A81" s="29"/>
      <c r="B81" s="29"/>
      <c r="C81" s="29"/>
      <c r="D81" s="29" t="s">
        <v>14</v>
      </c>
      <c r="E81" s="48">
        <v>10</v>
      </c>
      <c r="F81" s="38">
        <v>80000</v>
      </c>
      <c r="G81" s="38">
        <f>10*5500</f>
        <v>55000</v>
      </c>
      <c r="H81" s="38">
        <v>25000</v>
      </c>
      <c r="I81" s="4"/>
    </row>
    <row r="82" spans="1:9" x14ac:dyDescent="0.25">
      <c r="A82" s="126" t="s">
        <v>17</v>
      </c>
      <c r="B82" s="126"/>
      <c r="C82" s="126"/>
      <c r="D82" s="126"/>
      <c r="E82" s="126"/>
      <c r="F82" s="17">
        <f>SUM(F73:F81)</f>
        <v>339000</v>
      </c>
      <c r="G82" s="17">
        <f>SUM(G73:G81)</f>
        <v>154500</v>
      </c>
      <c r="H82" s="17">
        <f>SUM(H73:H81)</f>
        <v>184500</v>
      </c>
      <c r="I82" s="4"/>
    </row>
    <row r="83" spans="1:9" x14ac:dyDescent="0.25">
      <c r="A83" s="29" t="s">
        <v>22</v>
      </c>
      <c r="B83" s="37">
        <v>44752</v>
      </c>
      <c r="C83" s="29" t="s">
        <v>288</v>
      </c>
      <c r="D83" s="29" t="s">
        <v>11</v>
      </c>
      <c r="E83" s="48">
        <v>23</v>
      </c>
      <c r="F83" s="38">
        <v>41400</v>
      </c>
      <c r="G83" s="38">
        <f>E83*500</f>
        <v>11500</v>
      </c>
      <c r="H83" s="38">
        <f>23*1300</f>
        <v>29900</v>
      </c>
      <c r="I83" s="4"/>
    </row>
    <row r="84" spans="1:9" x14ac:dyDescent="0.25">
      <c r="A84" s="29"/>
      <c r="B84" s="29"/>
      <c r="C84" s="29" t="s">
        <v>108</v>
      </c>
      <c r="D84" s="29" t="s">
        <v>11</v>
      </c>
      <c r="E84" s="29">
        <v>4</v>
      </c>
      <c r="F84" s="38">
        <v>6000</v>
      </c>
      <c r="G84" s="38">
        <f t="shared" ref="G84:G92" si="6">E84*500</f>
        <v>2000</v>
      </c>
      <c r="H84" s="38">
        <f>E84*1000</f>
        <v>4000</v>
      </c>
      <c r="I84" s="4"/>
    </row>
    <row r="85" spans="1:9" x14ac:dyDescent="0.25">
      <c r="A85" s="29"/>
      <c r="B85" s="29"/>
      <c r="C85" s="29" t="s">
        <v>106</v>
      </c>
      <c r="D85" s="29" t="s">
        <v>11</v>
      </c>
      <c r="E85" s="48">
        <v>25</v>
      </c>
      <c r="F85" s="38">
        <v>37500</v>
      </c>
      <c r="G85" s="38">
        <f t="shared" si="6"/>
        <v>12500</v>
      </c>
      <c r="H85" s="38">
        <f t="shared" ref="H85:H92" si="7">E85*1000</f>
        <v>25000</v>
      </c>
      <c r="I85" s="4"/>
    </row>
    <row r="86" spans="1:9" x14ac:dyDescent="0.25">
      <c r="A86" s="29"/>
      <c r="B86" s="29"/>
      <c r="C86" s="29" t="s">
        <v>81</v>
      </c>
      <c r="D86" s="29" t="s">
        <v>11</v>
      </c>
      <c r="E86" s="48">
        <v>70</v>
      </c>
      <c r="F86" s="38">
        <v>126000</v>
      </c>
      <c r="G86" s="38">
        <f t="shared" si="6"/>
        <v>35000</v>
      </c>
      <c r="H86" s="38">
        <f>70*1300</f>
        <v>91000</v>
      </c>
      <c r="I86" s="4"/>
    </row>
    <row r="87" spans="1:9" x14ac:dyDescent="0.25">
      <c r="A87" s="29"/>
      <c r="B87" s="29"/>
      <c r="C87" s="29" t="s">
        <v>77</v>
      </c>
      <c r="D87" s="29" t="s">
        <v>11</v>
      </c>
      <c r="E87" s="48">
        <v>128</v>
      </c>
      <c r="F87" s="38">
        <v>192000</v>
      </c>
      <c r="G87" s="38">
        <f t="shared" si="6"/>
        <v>64000</v>
      </c>
      <c r="H87" s="38">
        <f t="shared" si="7"/>
        <v>128000</v>
      </c>
      <c r="I87" s="4"/>
    </row>
    <row r="88" spans="1:9" x14ac:dyDescent="0.25">
      <c r="A88" s="29"/>
      <c r="B88" s="29"/>
      <c r="C88" s="29"/>
      <c r="D88" s="29" t="s">
        <v>11</v>
      </c>
      <c r="E88" s="48">
        <v>99</v>
      </c>
      <c r="F88" s="38">
        <v>148500</v>
      </c>
      <c r="G88" s="38">
        <f t="shared" si="6"/>
        <v>49500</v>
      </c>
      <c r="H88" s="38">
        <f t="shared" si="7"/>
        <v>99000</v>
      </c>
      <c r="I88" s="4"/>
    </row>
    <row r="89" spans="1:9" x14ac:dyDescent="0.25">
      <c r="A89" s="29"/>
      <c r="B89" s="29"/>
      <c r="C89" s="29"/>
      <c r="D89" s="29" t="s">
        <v>11</v>
      </c>
      <c r="E89" s="48">
        <v>130</v>
      </c>
      <c r="F89" s="38">
        <v>195000</v>
      </c>
      <c r="G89" s="38">
        <f t="shared" si="6"/>
        <v>65000</v>
      </c>
      <c r="H89" s="38">
        <f t="shared" si="7"/>
        <v>130000</v>
      </c>
      <c r="I89" s="4"/>
    </row>
    <row r="90" spans="1:9" x14ac:dyDescent="0.25">
      <c r="A90" s="29"/>
      <c r="B90" s="29"/>
      <c r="C90" s="29"/>
      <c r="D90" s="29" t="s">
        <v>11</v>
      </c>
      <c r="E90" s="48">
        <v>130</v>
      </c>
      <c r="F90" s="38">
        <v>195000</v>
      </c>
      <c r="G90" s="38">
        <f t="shared" si="6"/>
        <v>65000</v>
      </c>
      <c r="H90" s="38">
        <f t="shared" si="7"/>
        <v>130000</v>
      </c>
      <c r="I90" s="4"/>
    </row>
    <row r="91" spans="1:9" x14ac:dyDescent="0.25">
      <c r="A91" s="29"/>
      <c r="B91" s="29"/>
      <c r="C91" s="29"/>
      <c r="D91" s="29" t="s">
        <v>11</v>
      </c>
      <c r="E91" s="48">
        <v>110</v>
      </c>
      <c r="F91" s="38">
        <v>165000</v>
      </c>
      <c r="G91" s="38">
        <f t="shared" si="6"/>
        <v>55000</v>
      </c>
      <c r="H91" s="38">
        <f t="shared" si="7"/>
        <v>110000</v>
      </c>
      <c r="I91" s="4"/>
    </row>
    <row r="92" spans="1:9" x14ac:dyDescent="0.25">
      <c r="A92" s="29"/>
      <c r="B92" s="29"/>
      <c r="C92" s="29" t="s">
        <v>16</v>
      </c>
      <c r="D92" s="29" t="s">
        <v>11</v>
      </c>
      <c r="E92" s="48">
        <v>27</v>
      </c>
      <c r="F92" s="38">
        <v>40500</v>
      </c>
      <c r="G92" s="38">
        <f t="shared" si="6"/>
        <v>13500</v>
      </c>
      <c r="H92" s="38">
        <f t="shared" si="7"/>
        <v>27000</v>
      </c>
      <c r="I92" s="4"/>
    </row>
    <row r="93" spans="1:9" x14ac:dyDescent="0.25">
      <c r="A93" s="29"/>
      <c r="B93" s="29"/>
      <c r="C93" s="29"/>
      <c r="D93" s="29" t="s">
        <v>12</v>
      </c>
      <c r="E93" s="48">
        <v>2</v>
      </c>
      <c r="F93" s="38">
        <v>6000</v>
      </c>
      <c r="G93" s="38">
        <v>4000</v>
      </c>
      <c r="H93" s="38">
        <v>2000</v>
      </c>
      <c r="I93" s="4"/>
    </row>
    <row r="94" spans="1:9" x14ac:dyDescent="0.25">
      <c r="A94" s="29"/>
      <c r="B94" s="29"/>
      <c r="C94" s="29"/>
      <c r="D94" s="29" t="s">
        <v>13</v>
      </c>
      <c r="E94" s="48">
        <v>1</v>
      </c>
      <c r="F94" s="38">
        <v>6500</v>
      </c>
      <c r="G94" s="38">
        <v>4500</v>
      </c>
      <c r="H94" s="38">
        <v>2000</v>
      </c>
      <c r="I94" s="4"/>
    </row>
    <row r="95" spans="1:9" x14ac:dyDescent="0.25">
      <c r="A95" s="29"/>
      <c r="B95" s="29"/>
      <c r="C95" s="29" t="s">
        <v>10</v>
      </c>
      <c r="D95" s="29" t="s">
        <v>11</v>
      </c>
      <c r="E95" s="48">
        <v>5</v>
      </c>
      <c r="F95" s="38">
        <v>7500</v>
      </c>
      <c r="G95" s="38">
        <v>2500</v>
      </c>
      <c r="H95" s="38">
        <v>5000</v>
      </c>
      <c r="I95" s="4"/>
    </row>
    <row r="96" spans="1:9" x14ac:dyDescent="0.25">
      <c r="A96" s="29"/>
      <c r="B96" s="29"/>
      <c r="C96" s="29"/>
      <c r="D96" s="29" t="s">
        <v>13</v>
      </c>
      <c r="E96" s="48">
        <v>23</v>
      </c>
      <c r="F96" s="38">
        <v>149500</v>
      </c>
      <c r="G96" s="38">
        <f>23*4500</f>
        <v>103500</v>
      </c>
      <c r="H96" s="38">
        <f>23*2000</f>
        <v>46000</v>
      </c>
      <c r="I96" s="4"/>
    </row>
    <row r="97" spans="1:9" x14ac:dyDescent="0.25">
      <c r="A97" s="29"/>
      <c r="B97" s="29"/>
      <c r="C97" s="29"/>
      <c r="D97" s="29" t="s">
        <v>14</v>
      </c>
      <c r="E97" s="48">
        <v>9</v>
      </c>
      <c r="F97" s="38">
        <v>72000</v>
      </c>
      <c r="G97" s="38">
        <f>9*5500</f>
        <v>49500</v>
      </c>
      <c r="H97" s="38">
        <f>9*2500</f>
        <v>22500</v>
      </c>
      <c r="I97" s="4"/>
    </row>
    <row r="98" spans="1:9" x14ac:dyDescent="0.25">
      <c r="A98" s="126" t="s">
        <v>17</v>
      </c>
      <c r="B98" s="126"/>
      <c r="C98" s="126"/>
      <c r="D98" s="126"/>
      <c r="E98" s="126"/>
      <c r="F98" s="17">
        <f>SUM(F83:F97)</f>
        <v>1388400</v>
      </c>
      <c r="G98" s="17">
        <f>SUM(G83:G97)</f>
        <v>537000</v>
      </c>
      <c r="H98" s="17">
        <f>SUM(H83:H97)</f>
        <v>851400</v>
      </c>
      <c r="I98" s="4"/>
    </row>
    <row r="99" spans="1:9" x14ac:dyDescent="0.25">
      <c r="A99" s="29" t="s">
        <v>26</v>
      </c>
      <c r="B99" s="37">
        <v>44783</v>
      </c>
      <c r="C99" s="29" t="s">
        <v>16</v>
      </c>
      <c r="D99" s="29" t="s">
        <v>11</v>
      </c>
      <c r="E99" s="48">
        <v>70</v>
      </c>
      <c r="F99" s="38">
        <v>105000</v>
      </c>
      <c r="G99" s="38">
        <f>70*500</f>
        <v>35000</v>
      </c>
      <c r="H99" s="38">
        <v>70000</v>
      </c>
      <c r="I99" s="4"/>
    </row>
    <row r="100" spans="1:9" x14ac:dyDescent="0.25">
      <c r="A100" s="29"/>
      <c r="B100" s="29"/>
      <c r="C100" s="29"/>
      <c r="D100" s="29" t="s">
        <v>12</v>
      </c>
      <c r="E100" s="48">
        <v>7</v>
      </c>
      <c r="F100" s="38">
        <v>21000</v>
      </c>
      <c r="G100" s="38">
        <v>14000</v>
      </c>
      <c r="H100" s="38">
        <v>7000</v>
      </c>
      <c r="I100" s="4"/>
    </row>
    <row r="101" spans="1:9" x14ac:dyDescent="0.25">
      <c r="A101" s="29"/>
      <c r="B101" s="29"/>
      <c r="C101" s="29"/>
      <c r="D101" s="29" t="s">
        <v>13</v>
      </c>
      <c r="E101" s="48">
        <v>2</v>
      </c>
      <c r="F101" s="38">
        <v>13000</v>
      </c>
      <c r="G101" s="38">
        <v>9000</v>
      </c>
      <c r="H101" s="38">
        <v>4000</v>
      </c>
      <c r="I101" s="4"/>
    </row>
    <row r="102" spans="1:9" x14ac:dyDescent="0.25">
      <c r="A102" s="29"/>
      <c r="B102" s="29"/>
      <c r="C102" s="29"/>
      <c r="D102" s="29" t="s">
        <v>14</v>
      </c>
      <c r="E102" s="48">
        <v>1</v>
      </c>
      <c r="F102" s="38">
        <v>10000</v>
      </c>
      <c r="G102" s="38">
        <v>5500</v>
      </c>
      <c r="H102" s="38">
        <v>4500</v>
      </c>
      <c r="I102" s="4"/>
    </row>
    <row r="103" spans="1:9" x14ac:dyDescent="0.25">
      <c r="A103" s="29"/>
      <c r="B103" s="29"/>
      <c r="C103" s="29"/>
      <c r="D103" s="29" t="s">
        <v>25</v>
      </c>
      <c r="E103" s="48">
        <v>1</v>
      </c>
      <c r="F103" s="38">
        <v>13000</v>
      </c>
      <c r="G103" s="38">
        <v>10000</v>
      </c>
      <c r="H103" s="38">
        <v>3000</v>
      </c>
      <c r="I103" s="4"/>
    </row>
    <row r="104" spans="1:9" x14ac:dyDescent="0.25">
      <c r="A104" s="29"/>
      <c r="B104" s="29"/>
      <c r="C104" s="29" t="s">
        <v>63</v>
      </c>
      <c r="D104" s="29" t="s">
        <v>21</v>
      </c>
      <c r="E104" s="48">
        <v>1</v>
      </c>
      <c r="F104" s="38">
        <v>15000</v>
      </c>
      <c r="G104" s="38">
        <v>11000</v>
      </c>
      <c r="H104" s="38">
        <v>4000</v>
      </c>
      <c r="I104" s="4"/>
    </row>
    <row r="105" spans="1:9" x14ac:dyDescent="0.25">
      <c r="A105" s="29"/>
      <c r="B105" s="29"/>
      <c r="C105" s="29" t="s">
        <v>351</v>
      </c>
      <c r="D105" s="29" t="s">
        <v>21</v>
      </c>
      <c r="E105" s="48">
        <v>3</v>
      </c>
      <c r="F105" s="38">
        <v>45000</v>
      </c>
      <c r="G105" s="38">
        <v>33000</v>
      </c>
      <c r="H105" s="38">
        <v>12000</v>
      </c>
      <c r="I105" s="4"/>
    </row>
    <row r="106" spans="1:9" x14ac:dyDescent="0.25">
      <c r="A106" s="29"/>
      <c r="B106" s="29"/>
      <c r="C106" s="29" t="s">
        <v>10</v>
      </c>
      <c r="D106" s="29" t="s">
        <v>11</v>
      </c>
      <c r="E106" s="48">
        <v>10</v>
      </c>
      <c r="F106" s="38">
        <v>15000</v>
      </c>
      <c r="G106" s="38">
        <v>5000</v>
      </c>
      <c r="H106" s="38">
        <v>10000</v>
      </c>
      <c r="I106" s="4"/>
    </row>
    <row r="107" spans="1:9" x14ac:dyDescent="0.25">
      <c r="A107" s="29"/>
      <c r="B107" s="29"/>
      <c r="C107" s="29"/>
      <c r="D107" s="29" t="s">
        <v>13</v>
      </c>
      <c r="E107" s="48">
        <v>8</v>
      </c>
      <c r="F107" s="38">
        <v>52000</v>
      </c>
      <c r="G107" s="38">
        <f>8*4500</f>
        <v>36000</v>
      </c>
      <c r="H107" s="38">
        <v>16000</v>
      </c>
      <c r="I107" s="4"/>
    </row>
    <row r="108" spans="1:9" x14ac:dyDescent="0.25">
      <c r="A108" s="29"/>
      <c r="B108" s="29"/>
      <c r="C108" s="29"/>
      <c r="D108" s="29" t="s">
        <v>14</v>
      </c>
      <c r="E108" s="48">
        <v>16</v>
      </c>
      <c r="F108" s="38">
        <v>128000</v>
      </c>
      <c r="G108" s="38">
        <f>16*5500</f>
        <v>88000</v>
      </c>
      <c r="H108" s="38">
        <f>16*2500</f>
        <v>40000</v>
      </c>
      <c r="I108" s="4"/>
    </row>
    <row r="109" spans="1:9" x14ac:dyDescent="0.25">
      <c r="A109" s="29"/>
      <c r="B109" s="29"/>
      <c r="C109" s="29" t="s">
        <v>217</v>
      </c>
      <c r="D109" s="29" t="s">
        <v>13</v>
      </c>
      <c r="E109" s="48">
        <v>6</v>
      </c>
      <c r="F109" s="38">
        <v>39000</v>
      </c>
      <c r="G109" s="38">
        <f>6*4500</f>
        <v>27000</v>
      </c>
      <c r="H109" s="38">
        <v>12000</v>
      </c>
      <c r="I109" s="4"/>
    </row>
    <row r="110" spans="1:9" x14ac:dyDescent="0.25">
      <c r="A110" s="29"/>
      <c r="B110" s="29"/>
      <c r="C110" s="29"/>
      <c r="D110" s="29" t="s">
        <v>14</v>
      </c>
      <c r="E110" s="48">
        <v>8</v>
      </c>
      <c r="F110" s="38">
        <v>64000</v>
      </c>
      <c r="G110" s="38">
        <f>8*5500</f>
        <v>44000</v>
      </c>
      <c r="H110" s="38">
        <f>8*2500</f>
        <v>20000</v>
      </c>
      <c r="I110" s="4"/>
    </row>
    <row r="111" spans="1:9" x14ac:dyDescent="0.25">
      <c r="A111" s="126" t="s">
        <v>17</v>
      </c>
      <c r="B111" s="126"/>
      <c r="C111" s="126"/>
      <c r="D111" s="126"/>
      <c r="E111" s="126"/>
      <c r="F111" s="17">
        <f>SUM(F99:F110)</f>
        <v>520000</v>
      </c>
      <c r="G111" s="17">
        <f>SUM(G99:G110)</f>
        <v>317500</v>
      </c>
      <c r="H111" s="17">
        <f>SUM(H99:H110)</f>
        <v>202500</v>
      </c>
      <c r="I111" s="4"/>
    </row>
    <row r="112" spans="1:9" x14ac:dyDescent="0.25">
      <c r="A112" s="29" t="s">
        <v>28</v>
      </c>
      <c r="B112" s="37">
        <v>44814</v>
      </c>
      <c r="C112" s="29" t="s">
        <v>217</v>
      </c>
      <c r="D112" s="29" t="s">
        <v>13</v>
      </c>
      <c r="E112" s="48">
        <v>19</v>
      </c>
      <c r="F112" s="38">
        <v>123500</v>
      </c>
      <c r="G112" s="38">
        <f>E112*4500</f>
        <v>85500</v>
      </c>
      <c r="H112" s="38">
        <f>E112*2000</f>
        <v>38000</v>
      </c>
      <c r="I112" s="4"/>
    </row>
    <row r="113" spans="1:9" x14ac:dyDescent="0.25">
      <c r="A113" s="29"/>
      <c r="B113" s="29"/>
      <c r="C113" s="29"/>
      <c r="D113" s="29" t="s">
        <v>14</v>
      </c>
      <c r="E113" s="48">
        <v>14</v>
      </c>
      <c r="F113" s="38">
        <v>140000</v>
      </c>
      <c r="G113" s="38">
        <f>E113*5500</f>
        <v>77000</v>
      </c>
      <c r="H113" s="38">
        <f>E113*4500</f>
        <v>63000</v>
      </c>
      <c r="I113" s="4"/>
    </row>
    <row r="114" spans="1:9" x14ac:dyDescent="0.25">
      <c r="A114" s="29"/>
      <c r="B114" s="29"/>
      <c r="C114" s="29" t="s">
        <v>10</v>
      </c>
      <c r="D114" s="29" t="s">
        <v>11</v>
      </c>
      <c r="E114" s="48">
        <v>10</v>
      </c>
      <c r="F114" s="38">
        <v>15000</v>
      </c>
      <c r="G114" s="38">
        <f>E114*500</f>
        <v>5000</v>
      </c>
      <c r="H114" s="38">
        <v>10000</v>
      </c>
      <c r="I114" s="4"/>
    </row>
    <row r="115" spans="1:9" x14ac:dyDescent="0.25">
      <c r="A115" s="29"/>
      <c r="B115" s="29"/>
      <c r="C115" s="29"/>
      <c r="D115" s="29" t="s">
        <v>13</v>
      </c>
      <c r="E115" s="48">
        <v>12</v>
      </c>
      <c r="F115" s="38">
        <f>E115*6500</f>
        <v>78000</v>
      </c>
      <c r="G115" s="38">
        <f>E115*4500</f>
        <v>54000</v>
      </c>
      <c r="H115" s="38">
        <f>E115*2000</f>
        <v>24000</v>
      </c>
      <c r="I115" s="4"/>
    </row>
    <row r="116" spans="1:9" x14ac:dyDescent="0.25">
      <c r="A116" s="29"/>
      <c r="B116" s="29"/>
      <c r="C116" s="29"/>
      <c r="D116" s="29" t="s">
        <v>14</v>
      </c>
      <c r="E116" s="48">
        <v>27</v>
      </c>
      <c r="F116" s="38">
        <f>E116*8000</f>
        <v>216000</v>
      </c>
      <c r="G116" s="38">
        <f>E116*5500</f>
        <v>148500</v>
      </c>
      <c r="H116" s="38">
        <f>E116*2500</f>
        <v>67500</v>
      </c>
      <c r="I116" s="4"/>
    </row>
    <row r="117" spans="1:9" x14ac:dyDescent="0.25">
      <c r="A117" s="29"/>
      <c r="B117" s="29"/>
      <c r="C117" s="29" t="s">
        <v>81</v>
      </c>
      <c r="D117" s="29" t="s">
        <v>11</v>
      </c>
      <c r="E117" s="48">
        <v>75</v>
      </c>
      <c r="F117" s="38">
        <v>135000</v>
      </c>
      <c r="G117" s="38">
        <f>E117*500</f>
        <v>37500</v>
      </c>
      <c r="H117" s="38">
        <f>E117*1300</f>
        <v>97500</v>
      </c>
      <c r="I117" s="4"/>
    </row>
    <row r="118" spans="1:9" x14ac:dyDescent="0.25">
      <c r="A118" s="29"/>
      <c r="B118" s="29"/>
      <c r="C118" s="29"/>
      <c r="D118" s="29" t="s">
        <v>11</v>
      </c>
      <c r="E118" s="48">
        <v>67</v>
      </c>
      <c r="F118" s="38">
        <v>120600</v>
      </c>
      <c r="G118" s="38">
        <f>E118*500</f>
        <v>33500</v>
      </c>
      <c r="H118" s="38">
        <f>E118*1300</f>
        <v>87100</v>
      </c>
      <c r="I118" s="4"/>
    </row>
    <row r="119" spans="1:9" x14ac:dyDescent="0.25">
      <c r="A119" s="29"/>
      <c r="B119" s="29"/>
      <c r="C119" s="29"/>
      <c r="D119" s="29" t="s">
        <v>11</v>
      </c>
      <c r="E119" s="48">
        <v>79</v>
      </c>
      <c r="F119" s="38">
        <v>142200</v>
      </c>
      <c r="G119" s="38">
        <f>E119*500</f>
        <v>39500</v>
      </c>
      <c r="H119" s="38">
        <f>E119*1300</f>
        <v>102700</v>
      </c>
      <c r="I119" s="4"/>
    </row>
    <row r="120" spans="1:9" x14ac:dyDescent="0.25">
      <c r="A120" s="29"/>
      <c r="B120" s="29"/>
      <c r="C120" s="29"/>
      <c r="D120" s="29" t="s">
        <v>11</v>
      </c>
      <c r="E120" s="48">
        <v>71</v>
      </c>
      <c r="F120" s="38">
        <v>127800</v>
      </c>
      <c r="G120" s="38">
        <f>E120*500</f>
        <v>35500</v>
      </c>
      <c r="H120" s="38">
        <f>E120*1300</f>
        <v>92300</v>
      </c>
      <c r="I120" s="4"/>
    </row>
    <row r="121" spans="1:9" x14ac:dyDescent="0.25">
      <c r="A121" s="126" t="s">
        <v>17</v>
      </c>
      <c r="B121" s="126"/>
      <c r="C121" s="126"/>
      <c r="D121" s="126"/>
      <c r="E121" s="126"/>
      <c r="F121" s="38">
        <f>SUM(F112:F120)</f>
        <v>1098100</v>
      </c>
      <c r="G121" s="38">
        <f>SUM(G112:G120)</f>
        <v>516000</v>
      </c>
      <c r="H121" s="38">
        <f>SUM(H112:H120)</f>
        <v>582100</v>
      </c>
      <c r="I121" s="4"/>
    </row>
    <row r="122" spans="1:9" x14ac:dyDescent="0.25">
      <c r="A122" s="29" t="s">
        <v>352</v>
      </c>
      <c r="B122" s="37">
        <v>44844</v>
      </c>
      <c r="C122" s="29" t="s">
        <v>288</v>
      </c>
      <c r="D122" s="29" t="s">
        <v>11</v>
      </c>
      <c r="E122" s="29">
        <f>30-17</f>
        <v>13</v>
      </c>
      <c r="F122" s="38">
        <f>E122*1800</f>
        <v>23400</v>
      </c>
      <c r="G122" s="38">
        <f>E122*500</f>
        <v>6500</v>
      </c>
      <c r="H122" s="38">
        <f>E122*1300</f>
        <v>16900</v>
      </c>
      <c r="I122" s="4"/>
    </row>
    <row r="123" spans="1:9" x14ac:dyDescent="0.25">
      <c r="A123" s="29"/>
      <c r="B123" s="29"/>
      <c r="C123" s="29" t="s">
        <v>108</v>
      </c>
      <c r="D123" s="29" t="s">
        <v>11</v>
      </c>
      <c r="E123" s="48">
        <v>6</v>
      </c>
      <c r="F123" s="38">
        <f>E123*1500</f>
        <v>9000</v>
      </c>
      <c r="G123" s="38">
        <f>E123*500</f>
        <v>3000</v>
      </c>
      <c r="H123" s="38">
        <f>E123*1000</f>
        <v>6000</v>
      </c>
      <c r="I123" s="4"/>
    </row>
    <row r="124" spans="1:9" x14ac:dyDescent="0.25">
      <c r="A124" s="29"/>
      <c r="B124" s="29"/>
      <c r="C124" s="29" t="s">
        <v>106</v>
      </c>
      <c r="D124" s="29" t="s">
        <v>11</v>
      </c>
      <c r="E124" s="48">
        <v>25</v>
      </c>
      <c r="F124" s="38">
        <f>E124*1500</f>
        <v>37500</v>
      </c>
      <c r="G124" s="38">
        <f>E124*500</f>
        <v>12500</v>
      </c>
      <c r="H124" s="38">
        <v>25000</v>
      </c>
      <c r="I124" s="4"/>
    </row>
    <row r="125" spans="1:9" x14ac:dyDescent="0.25">
      <c r="A125" s="29"/>
      <c r="B125" s="29"/>
      <c r="C125" s="29" t="s">
        <v>217</v>
      </c>
      <c r="D125" s="29" t="s">
        <v>11</v>
      </c>
      <c r="E125" s="48">
        <v>64</v>
      </c>
      <c r="F125" s="38">
        <f>E125*1500</f>
        <v>96000</v>
      </c>
      <c r="G125" s="38">
        <f>E125*500</f>
        <v>32000</v>
      </c>
      <c r="H125" s="38">
        <v>64000</v>
      </c>
      <c r="I125" s="4"/>
    </row>
    <row r="126" spans="1:9" x14ac:dyDescent="0.25">
      <c r="A126" s="29"/>
      <c r="B126" s="29"/>
      <c r="C126" s="29" t="s">
        <v>16</v>
      </c>
      <c r="D126" s="29" t="s">
        <v>11</v>
      </c>
      <c r="E126" s="48">
        <v>30</v>
      </c>
      <c r="F126" s="38">
        <v>45000</v>
      </c>
      <c r="G126" s="38">
        <f>E126*500</f>
        <v>15000</v>
      </c>
      <c r="H126" s="38">
        <v>30000</v>
      </c>
      <c r="I126" s="4"/>
    </row>
    <row r="127" spans="1:9" x14ac:dyDescent="0.25">
      <c r="A127" s="29"/>
      <c r="B127" s="29"/>
      <c r="C127" s="29"/>
      <c r="D127" s="29" t="s">
        <v>12</v>
      </c>
      <c r="E127" s="48">
        <v>4</v>
      </c>
      <c r="F127" s="38">
        <v>12000</v>
      </c>
      <c r="G127" s="38">
        <v>8000</v>
      </c>
      <c r="H127" s="38">
        <v>4000</v>
      </c>
      <c r="I127" s="4"/>
    </row>
    <row r="128" spans="1:9" x14ac:dyDescent="0.25">
      <c r="A128" s="29"/>
      <c r="B128" s="29"/>
      <c r="C128" s="29"/>
      <c r="D128" s="29" t="s">
        <v>13</v>
      </c>
      <c r="E128" s="48">
        <v>1</v>
      </c>
      <c r="F128" s="38">
        <v>6500</v>
      </c>
      <c r="G128" s="38">
        <v>4500</v>
      </c>
      <c r="H128" s="38">
        <v>2000</v>
      </c>
      <c r="I128" s="4"/>
    </row>
    <row r="129" spans="1:9" x14ac:dyDescent="0.25">
      <c r="A129" s="29"/>
      <c r="B129" s="29"/>
      <c r="C129" s="29" t="s">
        <v>217</v>
      </c>
      <c r="D129" s="29" t="s">
        <v>13</v>
      </c>
      <c r="E129" s="48">
        <v>2</v>
      </c>
      <c r="F129" s="38">
        <v>13000</v>
      </c>
      <c r="G129" s="38">
        <v>9000</v>
      </c>
      <c r="H129" s="38">
        <v>4000</v>
      </c>
      <c r="I129" s="4"/>
    </row>
    <row r="130" spans="1:9" x14ac:dyDescent="0.25">
      <c r="A130" s="29"/>
      <c r="B130" s="29"/>
      <c r="C130" s="29"/>
      <c r="D130" s="29" t="s">
        <v>14</v>
      </c>
      <c r="E130" s="48">
        <v>3</v>
      </c>
      <c r="F130" s="38">
        <v>24000</v>
      </c>
      <c r="G130" s="38">
        <f>3*5500</f>
        <v>16500</v>
      </c>
      <c r="H130" s="38">
        <f>3*2500</f>
        <v>7500</v>
      </c>
      <c r="I130" s="4"/>
    </row>
    <row r="131" spans="1:9" x14ac:dyDescent="0.25">
      <c r="A131" s="29"/>
      <c r="B131" s="29"/>
      <c r="C131" s="29"/>
      <c r="D131" s="29" t="s">
        <v>25</v>
      </c>
      <c r="E131" s="48">
        <v>1</v>
      </c>
      <c r="F131" s="38">
        <v>13000</v>
      </c>
      <c r="G131" s="38">
        <v>10000</v>
      </c>
      <c r="H131" s="38">
        <v>3000</v>
      </c>
      <c r="I131" s="4"/>
    </row>
    <row r="132" spans="1:9" x14ac:dyDescent="0.25">
      <c r="A132" s="29"/>
      <c r="B132" s="29"/>
      <c r="C132" s="29"/>
      <c r="D132" s="29" t="s">
        <v>11</v>
      </c>
      <c r="E132" s="48">
        <v>39</v>
      </c>
      <c r="F132" s="38">
        <v>58500</v>
      </c>
      <c r="G132" s="38">
        <f>E132*500</f>
        <v>19500</v>
      </c>
      <c r="H132" s="38">
        <v>39000</v>
      </c>
      <c r="I132" s="4"/>
    </row>
    <row r="133" spans="1:9" x14ac:dyDescent="0.25">
      <c r="A133" s="29"/>
      <c r="B133" s="29"/>
      <c r="C133" s="29" t="s">
        <v>353</v>
      </c>
      <c r="D133" s="29" t="s">
        <v>13</v>
      </c>
      <c r="E133" s="48">
        <v>3</v>
      </c>
      <c r="F133" s="38">
        <v>19500</v>
      </c>
      <c r="G133" s="38">
        <f>3*4500</f>
        <v>13500</v>
      </c>
      <c r="H133" s="38">
        <v>6000</v>
      </c>
      <c r="I133" s="4"/>
    </row>
    <row r="134" spans="1:9" x14ac:dyDescent="0.25">
      <c r="A134" s="29"/>
      <c r="B134" s="29"/>
      <c r="C134" s="29"/>
      <c r="D134" s="29" t="s">
        <v>14</v>
      </c>
      <c r="E134" s="48">
        <v>3</v>
      </c>
      <c r="F134" s="38">
        <v>24000</v>
      </c>
      <c r="G134" s="38">
        <f>3*5500</f>
        <v>16500</v>
      </c>
      <c r="H134" s="38">
        <f>3*2500</f>
        <v>7500</v>
      </c>
      <c r="I134" s="4"/>
    </row>
    <row r="135" spans="1:9" x14ac:dyDescent="0.25">
      <c r="A135" s="126" t="s">
        <v>17</v>
      </c>
      <c r="B135" s="126"/>
      <c r="C135" s="126"/>
      <c r="D135" s="126"/>
      <c r="E135" s="126"/>
      <c r="F135" s="17">
        <f>SUM(F122:F134)</f>
        <v>381400</v>
      </c>
      <c r="G135" s="17">
        <f>SUM(G122:G134)</f>
        <v>166500</v>
      </c>
      <c r="H135" s="17">
        <f>SUM(H122:H134)</f>
        <v>214900</v>
      </c>
      <c r="I135" s="4"/>
    </row>
    <row r="136" spans="1:9" x14ac:dyDescent="0.25">
      <c r="A136" s="29" t="s">
        <v>32</v>
      </c>
      <c r="B136" s="37">
        <v>44875</v>
      </c>
      <c r="C136" s="29" t="s">
        <v>288</v>
      </c>
      <c r="D136" s="29" t="s">
        <v>11</v>
      </c>
      <c r="E136" s="29">
        <f>57-13</f>
        <v>44</v>
      </c>
      <c r="F136" s="38">
        <f>E136*1800</f>
        <v>79200</v>
      </c>
      <c r="G136" s="38">
        <f>E136*500</f>
        <v>22000</v>
      </c>
      <c r="H136" s="38">
        <f>E136*1300</f>
        <v>57200</v>
      </c>
      <c r="I136" s="4"/>
    </row>
    <row r="137" spans="1:9" x14ac:dyDescent="0.25">
      <c r="A137" s="29"/>
      <c r="B137" s="29"/>
      <c r="C137" s="29" t="s">
        <v>108</v>
      </c>
      <c r="D137" s="29" t="s">
        <v>11</v>
      </c>
      <c r="E137" s="48">
        <v>35</v>
      </c>
      <c r="F137" s="38">
        <f>E137*1500</f>
        <v>52500</v>
      </c>
      <c r="G137" s="38">
        <f>E137*500</f>
        <v>17500</v>
      </c>
      <c r="H137" s="38">
        <f>E137*1000</f>
        <v>35000</v>
      </c>
      <c r="I137" s="4"/>
    </row>
    <row r="138" spans="1:9" x14ac:dyDescent="0.25">
      <c r="A138" s="29"/>
      <c r="B138" s="29"/>
      <c r="C138" s="29" t="s">
        <v>106</v>
      </c>
      <c r="D138" s="29" t="s">
        <v>11</v>
      </c>
      <c r="E138" s="48">
        <v>25</v>
      </c>
      <c r="F138" s="38">
        <v>37500</v>
      </c>
      <c r="G138" s="38">
        <f>E138*500</f>
        <v>12500</v>
      </c>
      <c r="H138" s="38">
        <v>25000</v>
      </c>
      <c r="I138" s="4"/>
    </row>
    <row r="139" spans="1:9" x14ac:dyDescent="0.25">
      <c r="A139" s="29"/>
      <c r="B139" s="29"/>
      <c r="C139" s="29" t="s">
        <v>10</v>
      </c>
      <c r="D139" s="29" t="s">
        <v>11</v>
      </c>
      <c r="E139" s="48">
        <v>60</v>
      </c>
      <c r="F139" s="38">
        <f>E139*1500</f>
        <v>90000</v>
      </c>
      <c r="G139" s="38">
        <f>E139*500</f>
        <v>30000</v>
      </c>
      <c r="H139" s="38">
        <v>60000</v>
      </c>
      <c r="I139" s="4"/>
    </row>
    <row r="140" spans="1:9" x14ac:dyDescent="0.25">
      <c r="A140" s="29"/>
      <c r="B140" s="29"/>
      <c r="C140" s="29"/>
      <c r="D140" s="29" t="s">
        <v>13</v>
      </c>
      <c r="E140" s="48">
        <v>3</v>
      </c>
      <c r="F140" s="38">
        <f>E140*6500</f>
        <v>19500</v>
      </c>
      <c r="G140" s="38">
        <f>E140*4500</f>
        <v>13500</v>
      </c>
      <c r="H140" s="38">
        <f>E140*2000</f>
        <v>6000</v>
      </c>
      <c r="I140" s="4"/>
    </row>
    <row r="141" spans="1:9" x14ac:dyDescent="0.25">
      <c r="A141" s="29"/>
      <c r="B141" s="29"/>
      <c r="C141" s="29"/>
      <c r="D141" s="29" t="s">
        <v>14</v>
      </c>
      <c r="E141" s="48">
        <v>2</v>
      </c>
      <c r="F141" s="38">
        <v>16000</v>
      </c>
      <c r="G141" s="38">
        <f>E141*5500</f>
        <v>11000</v>
      </c>
      <c r="H141" s="38">
        <f>E141*2500</f>
        <v>5000</v>
      </c>
      <c r="I141" s="4"/>
    </row>
    <row r="142" spans="1:9" x14ac:dyDescent="0.25">
      <c r="A142" s="29"/>
      <c r="B142" s="29"/>
      <c r="C142" s="29" t="s">
        <v>16</v>
      </c>
      <c r="D142" s="29" t="s">
        <v>11</v>
      </c>
      <c r="E142" s="48">
        <v>58</v>
      </c>
      <c r="F142" s="38">
        <v>87000</v>
      </c>
      <c r="G142" s="38">
        <f>E142*500</f>
        <v>29000</v>
      </c>
      <c r="H142" s="38">
        <v>58000</v>
      </c>
      <c r="I142" s="4"/>
    </row>
    <row r="143" spans="1:9" x14ac:dyDescent="0.25">
      <c r="A143" s="29"/>
      <c r="B143" s="29"/>
      <c r="C143" s="29"/>
      <c r="D143" s="29" t="s">
        <v>12</v>
      </c>
      <c r="E143" s="48">
        <v>7</v>
      </c>
      <c r="F143" s="38">
        <v>21000</v>
      </c>
      <c r="G143" s="38">
        <f>E143*2000</f>
        <v>14000</v>
      </c>
      <c r="H143" s="38">
        <v>7000</v>
      </c>
      <c r="I143" s="4"/>
    </row>
    <row r="144" spans="1:9" x14ac:dyDescent="0.25">
      <c r="A144" s="29"/>
      <c r="B144" s="29"/>
      <c r="C144" s="29"/>
      <c r="D144" s="29" t="s">
        <v>13</v>
      </c>
      <c r="E144" s="48">
        <v>3</v>
      </c>
      <c r="F144" s="38">
        <v>19500</v>
      </c>
      <c r="G144" s="38">
        <f>E144*4500</f>
        <v>13500</v>
      </c>
      <c r="H144" s="38">
        <f>E144*2000</f>
        <v>6000</v>
      </c>
      <c r="I144" s="4"/>
    </row>
    <row r="145" spans="1:9" x14ac:dyDescent="0.25">
      <c r="A145" s="29"/>
      <c r="B145" s="29"/>
      <c r="C145" s="29"/>
      <c r="D145" s="29" t="s">
        <v>14</v>
      </c>
      <c r="E145" s="48">
        <v>2</v>
      </c>
      <c r="F145" s="38">
        <v>20000</v>
      </c>
      <c r="G145" s="38">
        <f>E145*5500</f>
        <v>11000</v>
      </c>
      <c r="H145" s="38">
        <f>E145*4500</f>
        <v>9000</v>
      </c>
      <c r="I145" s="4"/>
    </row>
    <row r="146" spans="1:9" x14ac:dyDescent="0.25">
      <c r="A146" s="29"/>
      <c r="B146" s="29"/>
      <c r="C146" s="29" t="s">
        <v>217</v>
      </c>
      <c r="D146" s="29" t="s">
        <v>11</v>
      </c>
      <c r="E146" s="48">
        <v>30</v>
      </c>
      <c r="F146" s="38">
        <v>45000</v>
      </c>
      <c r="G146" s="38">
        <f>E146*500</f>
        <v>15000</v>
      </c>
      <c r="H146" s="38">
        <v>30000</v>
      </c>
      <c r="I146" s="4"/>
    </row>
    <row r="147" spans="1:9" x14ac:dyDescent="0.25">
      <c r="A147" s="29"/>
      <c r="B147" s="29"/>
      <c r="C147" s="29"/>
      <c r="D147" s="29" t="s">
        <v>13</v>
      </c>
      <c r="E147" s="48">
        <v>1</v>
      </c>
      <c r="F147" s="38">
        <v>6500</v>
      </c>
      <c r="G147" s="38">
        <v>4500</v>
      </c>
      <c r="H147" s="38">
        <v>2000</v>
      </c>
      <c r="I147" s="4"/>
    </row>
    <row r="148" spans="1:9" x14ac:dyDescent="0.25">
      <c r="A148" s="29"/>
      <c r="B148" s="29"/>
      <c r="C148" s="29"/>
      <c r="D148" s="29" t="s">
        <v>14</v>
      </c>
      <c r="E148" s="48">
        <v>1</v>
      </c>
      <c r="F148" s="38">
        <v>8000</v>
      </c>
      <c r="G148" s="38">
        <v>5500</v>
      </c>
      <c r="H148" s="38">
        <v>2500</v>
      </c>
      <c r="I148" s="4"/>
    </row>
    <row r="149" spans="1:9" x14ac:dyDescent="0.25">
      <c r="A149" s="126" t="s">
        <v>17</v>
      </c>
      <c r="B149" s="126"/>
      <c r="C149" s="126"/>
      <c r="D149" s="126"/>
      <c r="E149" s="126"/>
      <c r="F149" s="17">
        <f>SUM(F136:F148)</f>
        <v>501700</v>
      </c>
      <c r="G149" s="17">
        <f>SUM(G136:G148)</f>
        <v>199000</v>
      </c>
      <c r="H149" s="17">
        <f>SUM(H136:H148)</f>
        <v>302700</v>
      </c>
      <c r="I149" s="4"/>
    </row>
    <row r="150" spans="1:9" x14ac:dyDescent="0.25">
      <c r="A150" s="29" t="s">
        <v>8</v>
      </c>
      <c r="B150" s="37">
        <v>44905</v>
      </c>
      <c r="C150" s="29" t="s">
        <v>288</v>
      </c>
      <c r="D150" s="29" t="s">
        <v>11</v>
      </c>
      <c r="E150" s="48">
        <v>37</v>
      </c>
      <c r="F150" s="38">
        <f>E150*1500</f>
        <v>55500</v>
      </c>
      <c r="G150" s="38">
        <f>E150*500</f>
        <v>18500</v>
      </c>
      <c r="H150" s="38">
        <f>E150*1300</f>
        <v>48100</v>
      </c>
      <c r="I150" s="4"/>
    </row>
    <row r="151" spans="1:9" x14ac:dyDescent="0.25">
      <c r="A151" s="29"/>
      <c r="B151" s="29"/>
      <c r="C151" s="29" t="s">
        <v>292</v>
      </c>
      <c r="D151" s="29" t="s">
        <v>11</v>
      </c>
      <c r="E151" s="48">
        <v>10</v>
      </c>
      <c r="F151" s="38">
        <v>15000</v>
      </c>
      <c r="G151" s="38">
        <f>E151*500</f>
        <v>5000</v>
      </c>
      <c r="H151" s="38">
        <v>10000</v>
      </c>
      <c r="I151" s="4"/>
    </row>
    <row r="152" spans="1:9" x14ac:dyDescent="0.25">
      <c r="A152" s="29"/>
      <c r="B152" s="29"/>
      <c r="C152" s="29" t="s">
        <v>108</v>
      </c>
      <c r="D152" s="29" t="s">
        <v>11</v>
      </c>
      <c r="E152" s="48">
        <v>24</v>
      </c>
      <c r="F152" s="38">
        <f>E152*1500</f>
        <v>36000</v>
      </c>
      <c r="G152" s="38">
        <f>E152*500</f>
        <v>12000</v>
      </c>
      <c r="H152" s="38">
        <v>24000</v>
      </c>
      <c r="I152" s="4"/>
    </row>
    <row r="153" spans="1:9" x14ac:dyDescent="0.25">
      <c r="A153" s="29"/>
      <c r="B153" s="29"/>
      <c r="C153" s="29" t="s">
        <v>106</v>
      </c>
      <c r="D153" s="29" t="s">
        <v>11</v>
      </c>
      <c r="E153" s="48">
        <v>25</v>
      </c>
      <c r="F153" s="38">
        <v>37500</v>
      </c>
      <c r="G153" s="38">
        <f>E153*500</f>
        <v>12500</v>
      </c>
      <c r="H153" s="38">
        <v>25000</v>
      </c>
      <c r="I153" s="4"/>
    </row>
    <row r="154" spans="1:9" x14ac:dyDescent="0.25">
      <c r="A154" s="29"/>
      <c r="B154" s="29"/>
      <c r="C154" s="29" t="s">
        <v>16</v>
      </c>
      <c r="D154" s="29" t="s">
        <v>11</v>
      </c>
      <c r="E154" s="48">
        <v>67</v>
      </c>
      <c r="F154" s="38">
        <v>100500</v>
      </c>
      <c r="G154" s="38">
        <f>E154*500</f>
        <v>33500</v>
      </c>
      <c r="H154" s="38">
        <v>67000</v>
      </c>
      <c r="I154" s="4"/>
    </row>
    <row r="155" spans="1:9" x14ac:dyDescent="0.25">
      <c r="A155" s="29"/>
      <c r="B155" s="29"/>
      <c r="C155" s="29"/>
      <c r="D155" s="29" t="s">
        <v>12</v>
      </c>
      <c r="E155" s="48">
        <v>3</v>
      </c>
      <c r="F155" s="38">
        <v>9000</v>
      </c>
      <c r="G155" s="38">
        <f>E155*2000</f>
        <v>6000</v>
      </c>
      <c r="H155" s="38">
        <v>3000</v>
      </c>
      <c r="I155" s="4"/>
    </row>
    <row r="156" spans="1:9" x14ac:dyDescent="0.25">
      <c r="A156" s="29"/>
      <c r="B156" s="29"/>
      <c r="C156" s="29"/>
      <c r="D156" s="29" t="s">
        <v>13</v>
      </c>
      <c r="E156" s="48">
        <v>3</v>
      </c>
      <c r="F156" s="38">
        <v>19500</v>
      </c>
      <c r="G156" s="38">
        <f>E156*4500</f>
        <v>13500</v>
      </c>
      <c r="H156" s="38">
        <f>E156*2000</f>
        <v>6000</v>
      </c>
      <c r="I156" s="4"/>
    </row>
    <row r="157" spans="1:9" x14ac:dyDescent="0.25">
      <c r="A157" s="29"/>
      <c r="B157" s="29"/>
      <c r="C157" s="29"/>
      <c r="D157" s="29" t="s">
        <v>14</v>
      </c>
      <c r="E157" s="48">
        <v>1</v>
      </c>
      <c r="F157" s="38">
        <v>10000</v>
      </c>
      <c r="G157" s="38">
        <v>5500</v>
      </c>
      <c r="H157" s="38">
        <v>4500</v>
      </c>
      <c r="I157" s="4"/>
    </row>
    <row r="158" spans="1:9" x14ac:dyDescent="0.25">
      <c r="A158" s="126" t="s">
        <v>17</v>
      </c>
      <c r="B158" s="126"/>
      <c r="C158" s="126"/>
      <c r="D158" s="126"/>
      <c r="E158" s="126"/>
      <c r="F158" s="17">
        <f>SUM(F150:F157)</f>
        <v>283000</v>
      </c>
      <c r="G158" s="17">
        <f>SUM(G150:G157)</f>
        <v>106500</v>
      </c>
      <c r="H158" s="17">
        <f>SUM(H150:H157)</f>
        <v>187600</v>
      </c>
      <c r="I158" s="4"/>
    </row>
    <row r="159" spans="1:9" x14ac:dyDescent="0.25">
      <c r="A159" s="29" t="s">
        <v>18</v>
      </c>
      <c r="B159" s="29" t="s">
        <v>354</v>
      </c>
      <c r="C159" s="29" t="s">
        <v>16</v>
      </c>
      <c r="D159" s="29" t="s">
        <v>11</v>
      </c>
      <c r="E159" s="48">
        <v>17</v>
      </c>
      <c r="F159" s="38">
        <v>25500</v>
      </c>
      <c r="G159" s="38">
        <f>E159*500</f>
        <v>8500</v>
      </c>
      <c r="H159" s="38">
        <v>17000</v>
      </c>
      <c r="I159" s="4"/>
    </row>
    <row r="160" spans="1:9" x14ac:dyDescent="0.25">
      <c r="A160" s="29"/>
      <c r="B160" s="29"/>
      <c r="C160" s="29" t="s">
        <v>231</v>
      </c>
      <c r="D160" s="29" t="s">
        <v>11</v>
      </c>
      <c r="E160" s="48">
        <v>30</v>
      </c>
      <c r="F160" s="38">
        <v>45000</v>
      </c>
      <c r="G160" s="38">
        <f>E160*500</f>
        <v>15000</v>
      </c>
      <c r="H160" s="38">
        <v>30000</v>
      </c>
      <c r="I160" s="4"/>
    </row>
    <row r="161" spans="1:9" x14ac:dyDescent="0.25">
      <c r="A161" s="126" t="s">
        <v>17</v>
      </c>
      <c r="B161" s="126"/>
      <c r="C161" s="126"/>
      <c r="D161" s="126"/>
      <c r="E161" s="126"/>
      <c r="F161" s="17">
        <f>SUM(F159:F160)</f>
        <v>70500</v>
      </c>
      <c r="G161" s="17">
        <f>SUM(G159:G160)</f>
        <v>23500</v>
      </c>
      <c r="H161" s="17">
        <f>SUM(H159:H160)</f>
        <v>47000</v>
      </c>
      <c r="I161" s="4"/>
    </row>
    <row r="162" spans="1:9" x14ac:dyDescent="0.25">
      <c r="A162" s="29" t="s">
        <v>22</v>
      </c>
      <c r="B162" s="29" t="s">
        <v>355</v>
      </c>
      <c r="C162" s="29" t="s">
        <v>16</v>
      </c>
      <c r="D162" s="29" t="s">
        <v>11</v>
      </c>
      <c r="E162" s="48">
        <v>47</v>
      </c>
      <c r="F162" s="38">
        <v>70500</v>
      </c>
      <c r="G162" s="38">
        <f>E162*500</f>
        <v>23500</v>
      </c>
      <c r="H162" s="38">
        <v>47000</v>
      </c>
      <c r="I162" s="4"/>
    </row>
    <row r="163" spans="1:9" x14ac:dyDescent="0.25">
      <c r="A163" s="29"/>
      <c r="B163" s="29"/>
      <c r="C163" s="29"/>
      <c r="D163" s="29" t="s">
        <v>12</v>
      </c>
      <c r="E163" s="48">
        <v>4</v>
      </c>
      <c r="F163" s="38">
        <v>12000</v>
      </c>
      <c r="G163" s="38">
        <v>8000</v>
      </c>
      <c r="H163" s="38">
        <v>4000</v>
      </c>
      <c r="I163" s="4"/>
    </row>
    <row r="164" spans="1:9" x14ac:dyDescent="0.25">
      <c r="A164" s="29"/>
      <c r="B164" s="29"/>
      <c r="C164" s="29"/>
      <c r="D164" s="29" t="s">
        <v>13</v>
      </c>
      <c r="E164" s="48">
        <v>1</v>
      </c>
      <c r="F164" s="38">
        <v>6500</v>
      </c>
      <c r="G164" s="38">
        <v>4500</v>
      </c>
      <c r="H164" s="38">
        <v>2000</v>
      </c>
      <c r="I164" s="4"/>
    </row>
    <row r="165" spans="1:9" x14ac:dyDescent="0.25">
      <c r="A165" s="29"/>
      <c r="B165" s="29"/>
      <c r="C165" s="29"/>
      <c r="D165" s="29" t="s">
        <v>14</v>
      </c>
      <c r="E165" s="48">
        <v>1</v>
      </c>
      <c r="F165" s="38">
        <v>10000</v>
      </c>
      <c r="G165" s="38">
        <v>5500</v>
      </c>
      <c r="H165" s="38">
        <v>4500</v>
      </c>
      <c r="I165" s="4"/>
    </row>
    <row r="166" spans="1:9" x14ac:dyDescent="0.25">
      <c r="A166" s="126" t="s">
        <v>17</v>
      </c>
      <c r="B166" s="126"/>
      <c r="C166" s="126"/>
      <c r="D166" s="126"/>
      <c r="E166" s="126"/>
      <c r="F166" s="17">
        <f>SUM(F162:F165)</f>
        <v>99000</v>
      </c>
      <c r="G166" s="17">
        <f>SUM(G162:G165)</f>
        <v>41500</v>
      </c>
      <c r="H166" s="17">
        <f>SUM(H162:H165)</f>
        <v>57500</v>
      </c>
      <c r="I166" s="4"/>
    </row>
    <row r="167" spans="1:9" x14ac:dyDescent="0.25">
      <c r="A167" s="29" t="s">
        <v>26</v>
      </c>
      <c r="B167" s="29" t="s">
        <v>356</v>
      </c>
      <c r="C167" s="29" t="s">
        <v>77</v>
      </c>
      <c r="D167" s="29" t="s">
        <v>11</v>
      </c>
      <c r="E167" s="48">
        <v>122</v>
      </c>
      <c r="F167" s="38">
        <f t="shared" ref="F167:F172" si="8">E167*1500</f>
        <v>183000</v>
      </c>
      <c r="G167" s="38">
        <f>E167*500</f>
        <v>61000</v>
      </c>
      <c r="H167" s="38">
        <f>E167*1000</f>
        <v>122000</v>
      </c>
      <c r="I167" s="4"/>
    </row>
    <row r="168" spans="1:9" x14ac:dyDescent="0.25">
      <c r="A168" s="29"/>
      <c r="B168" s="29"/>
      <c r="C168" s="29"/>
      <c r="D168" s="29" t="s">
        <v>11</v>
      </c>
      <c r="E168" s="48">
        <v>110</v>
      </c>
      <c r="F168" s="38">
        <f t="shared" si="8"/>
        <v>165000</v>
      </c>
      <c r="G168" s="38">
        <f t="shared" ref="G168:G173" si="9">E168*500</f>
        <v>55000</v>
      </c>
      <c r="H168" s="38">
        <f t="shared" ref="H168:H173" si="10">E168*1000</f>
        <v>110000</v>
      </c>
      <c r="I168" s="4"/>
    </row>
    <row r="169" spans="1:9" x14ac:dyDescent="0.25">
      <c r="A169" s="29"/>
      <c r="B169" s="29"/>
      <c r="C169" s="29"/>
      <c r="D169" s="29" t="s">
        <v>11</v>
      </c>
      <c r="E169" s="48">
        <v>99</v>
      </c>
      <c r="F169" s="38">
        <f t="shared" si="8"/>
        <v>148500</v>
      </c>
      <c r="G169" s="38">
        <f t="shared" si="9"/>
        <v>49500</v>
      </c>
      <c r="H169" s="38">
        <f t="shared" si="10"/>
        <v>99000</v>
      </c>
      <c r="I169" s="4"/>
    </row>
    <row r="170" spans="1:9" x14ac:dyDescent="0.25">
      <c r="A170" s="29"/>
      <c r="B170" s="29"/>
      <c r="C170" s="29"/>
      <c r="D170" s="29" t="s">
        <v>11</v>
      </c>
      <c r="E170" s="48">
        <v>130</v>
      </c>
      <c r="F170" s="38">
        <f t="shared" si="8"/>
        <v>195000</v>
      </c>
      <c r="G170" s="38">
        <f t="shared" si="9"/>
        <v>65000</v>
      </c>
      <c r="H170" s="38">
        <f t="shared" si="10"/>
        <v>130000</v>
      </c>
      <c r="I170" s="4"/>
    </row>
    <row r="171" spans="1:9" x14ac:dyDescent="0.25">
      <c r="A171" s="29"/>
      <c r="B171" s="29"/>
      <c r="C171" s="29"/>
      <c r="D171" s="29" t="s">
        <v>11</v>
      </c>
      <c r="E171" s="48">
        <v>99</v>
      </c>
      <c r="F171" s="38">
        <f t="shared" si="8"/>
        <v>148500</v>
      </c>
      <c r="G171" s="38">
        <f t="shared" si="9"/>
        <v>49500</v>
      </c>
      <c r="H171" s="38">
        <f t="shared" si="10"/>
        <v>99000</v>
      </c>
      <c r="I171" s="4"/>
    </row>
    <row r="172" spans="1:9" x14ac:dyDescent="0.25">
      <c r="A172" s="29"/>
      <c r="B172" s="29"/>
      <c r="C172" s="29"/>
      <c r="D172" s="29" t="s">
        <v>11</v>
      </c>
      <c r="E172" s="48">
        <v>57</v>
      </c>
      <c r="F172" s="38">
        <f t="shared" si="8"/>
        <v>85500</v>
      </c>
      <c r="G172" s="38">
        <f t="shared" si="9"/>
        <v>28500</v>
      </c>
      <c r="H172" s="38">
        <f t="shared" si="10"/>
        <v>57000</v>
      </c>
      <c r="I172" s="4"/>
    </row>
    <row r="173" spans="1:9" x14ac:dyDescent="0.25">
      <c r="A173" s="29"/>
      <c r="B173" s="29"/>
      <c r="C173" s="29" t="s">
        <v>16</v>
      </c>
      <c r="D173" s="29" t="s">
        <v>11</v>
      </c>
      <c r="E173" s="48">
        <v>75</v>
      </c>
      <c r="F173" s="38">
        <v>112500</v>
      </c>
      <c r="G173" s="38">
        <f t="shared" si="9"/>
        <v>37500</v>
      </c>
      <c r="H173" s="38">
        <f t="shared" si="10"/>
        <v>75000</v>
      </c>
      <c r="I173" s="4"/>
    </row>
    <row r="174" spans="1:9" x14ac:dyDescent="0.25">
      <c r="A174" s="29"/>
      <c r="B174" s="29"/>
      <c r="C174" s="29"/>
      <c r="D174" s="29" t="s">
        <v>12</v>
      </c>
      <c r="E174" s="48">
        <v>10</v>
      </c>
      <c r="F174" s="38">
        <v>30000</v>
      </c>
      <c r="G174" s="38">
        <v>20000</v>
      </c>
      <c r="H174" s="38">
        <v>10000</v>
      </c>
      <c r="I174" s="4"/>
    </row>
    <row r="175" spans="1:9" x14ac:dyDescent="0.25">
      <c r="A175" s="29"/>
      <c r="B175" s="29"/>
      <c r="C175" s="29"/>
      <c r="D175" s="29" t="s">
        <v>13</v>
      </c>
      <c r="E175" s="48">
        <v>2</v>
      </c>
      <c r="F175" s="38">
        <v>13000</v>
      </c>
      <c r="G175" s="38">
        <v>9000</v>
      </c>
      <c r="H175" s="38">
        <v>4000</v>
      </c>
      <c r="I175" s="4"/>
    </row>
    <row r="176" spans="1:9" x14ac:dyDescent="0.25">
      <c r="A176" s="29"/>
      <c r="B176" s="29"/>
      <c r="C176" s="29" t="s">
        <v>217</v>
      </c>
      <c r="D176" s="29" t="s">
        <v>13</v>
      </c>
      <c r="E176" s="48">
        <v>5</v>
      </c>
      <c r="F176" s="38">
        <v>32500</v>
      </c>
      <c r="G176" s="38">
        <f>5*4500</f>
        <v>22500</v>
      </c>
      <c r="H176" s="38">
        <v>10000</v>
      </c>
      <c r="I176" s="4"/>
    </row>
    <row r="177" spans="1:9" x14ac:dyDescent="0.25">
      <c r="A177" s="29"/>
      <c r="B177" s="29"/>
      <c r="C177" s="29"/>
      <c r="D177" s="29" t="s">
        <v>14</v>
      </c>
      <c r="E177" s="48">
        <v>1</v>
      </c>
      <c r="F177" s="38">
        <v>8000</v>
      </c>
      <c r="G177" s="38">
        <v>5500</v>
      </c>
      <c r="H177" s="38">
        <v>2500</v>
      </c>
      <c r="I177" s="4"/>
    </row>
    <row r="178" spans="1:9" x14ac:dyDescent="0.25">
      <c r="A178" s="29"/>
      <c r="B178" s="29"/>
      <c r="C178" s="29" t="s">
        <v>10</v>
      </c>
      <c r="D178" s="29" t="s">
        <v>11</v>
      </c>
      <c r="E178" s="48">
        <v>6</v>
      </c>
      <c r="F178" s="38">
        <v>9000</v>
      </c>
      <c r="G178" s="38">
        <f>6*500</f>
        <v>3000</v>
      </c>
      <c r="H178" s="38">
        <v>6000</v>
      </c>
      <c r="I178" s="4"/>
    </row>
    <row r="179" spans="1:9" x14ac:dyDescent="0.25">
      <c r="A179" s="29"/>
      <c r="B179" s="29"/>
      <c r="C179" s="29"/>
      <c r="D179" s="29" t="s">
        <v>13</v>
      </c>
      <c r="E179" s="48">
        <v>4</v>
      </c>
      <c r="F179" s="38">
        <v>26000</v>
      </c>
      <c r="G179" s="38">
        <f>4*4500</f>
        <v>18000</v>
      </c>
      <c r="H179" s="38">
        <v>8000</v>
      </c>
      <c r="I179" s="4"/>
    </row>
    <row r="180" spans="1:9" x14ac:dyDescent="0.25">
      <c r="A180" s="29"/>
      <c r="B180" s="29"/>
      <c r="C180" s="29"/>
      <c r="D180" s="29" t="s">
        <v>14</v>
      </c>
      <c r="E180" s="48">
        <v>8</v>
      </c>
      <c r="F180" s="38">
        <v>64000</v>
      </c>
      <c r="G180" s="38">
        <f>8*5500</f>
        <v>44000</v>
      </c>
      <c r="H180" s="38">
        <f>8*2500</f>
        <v>20000</v>
      </c>
      <c r="I180" s="4"/>
    </row>
    <row r="181" spans="1:9" x14ac:dyDescent="0.25">
      <c r="A181" s="126" t="s">
        <v>17</v>
      </c>
      <c r="B181" s="126"/>
      <c r="C181" s="126"/>
      <c r="D181" s="126"/>
      <c r="E181" s="126"/>
      <c r="F181" s="17">
        <f>SUM(F167:F180)</f>
        <v>1220500</v>
      </c>
      <c r="G181" s="17">
        <f>SUM(G167:G180)</f>
        <v>468000</v>
      </c>
      <c r="H181" s="17">
        <f>SUM(H167:H180)</f>
        <v>752500</v>
      </c>
      <c r="I181" s="4"/>
    </row>
    <row r="182" spans="1:9" x14ac:dyDescent="0.25">
      <c r="A182" s="29" t="s">
        <v>28</v>
      </c>
      <c r="B182" s="29" t="s">
        <v>357</v>
      </c>
      <c r="C182" s="29" t="s">
        <v>217</v>
      </c>
      <c r="D182" s="29" t="s">
        <v>11</v>
      </c>
      <c r="E182" s="48">
        <v>74</v>
      </c>
      <c r="F182" s="38">
        <v>111000</v>
      </c>
      <c r="G182" s="38">
        <f>E182*500</f>
        <v>37000</v>
      </c>
      <c r="H182" s="38">
        <v>74000</v>
      </c>
      <c r="I182" s="4"/>
    </row>
    <row r="183" spans="1:9" x14ac:dyDescent="0.25">
      <c r="A183" s="29"/>
      <c r="B183" s="29"/>
      <c r="C183" s="29"/>
      <c r="D183" s="29" t="s">
        <v>13</v>
      </c>
      <c r="E183" s="48">
        <v>9</v>
      </c>
      <c r="F183" s="38">
        <v>58500</v>
      </c>
      <c r="G183" s="38">
        <f>E183*4500</f>
        <v>40500</v>
      </c>
      <c r="H183" s="38">
        <f>E183*2000</f>
        <v>18000</v>
      </c>
      <c r="I183" s="4"/>
    </row>
    <row r="184" spans="1:9" x14ac:dyDescent="0.25">
      <c r="A184" s="29"/>
      <c r="B184" s="29"/>
      <c r="C184" s="29"/>
      <c r="D184" s="29" t="s">
        <v>14</v>
      </c>
      <c r="E184" s="48">
        <v>5</v>
      </c>
      <c r="F184" s="38">
        <v>40000</v>
      </c>
      <c r="G184" s="38">
        <f>E184*5500</f>
        <v>27500</v>
      </c>
      <c r="H184" s="38">
        <f>E184*2500</f>
        <v>12500</v>
      </c>
      <c r="I184" s="4"/>
    </row>
    <row r="185" spans="1:9" x14ac:dyDescent="0.25">
      <c r="A185" s="29"/>
      <c r="B185" s="29"/>
      <c r="C185" s="29" t="s">
        <v>10</v>
      </c>
      <c r="D185" s="29" t="s">
        <v>13</v>
      </c>
      <c r="E185" s="48">
        <v>16</v>
      </c>
      <c r="F185" s="38">
        <f>E185*6500</f>
        <v>104000</v>
      </c>
      <c r="G185" s="38">
        <f>E185*4500</f>
        <v>72000</v>
      </c>
      <c r="H185" s="38">
        <f>E185*2000</f>
        <v>32000</v>
      </c>
      <c r="I185" s="4"/>
    </row>
    <row r="186" spans="1:9" x14ac:dyDescent="0.25">
      <c r="A186" s="29"/>
      <c r="B186" s="29"/>
      <c r="C186" s="29"/>
      <c r="D186" s="29" t="s">
        <v>14</v>
      </c>
      <c r="E186" s="48">
        <v>12</v>
      </c>
      <c r="F186" s="38">
        <f>E186*8000</f>
        <v>96000</v>
      </c>
      <c r="G186" s="38">
        <f>E186*5500</f>
        <v>66000</v>
      </c>
      <c r="H186" s="38">
        <f>E186*2500</f>
        <v>30000</v>
      </c>
      <c r="I186" s="4"/>
    </row>
    <row r="187" spans="1:9" x14ac:dyDescent="0.25">
      <c r="A187" s="29"/>
      <c r="B187" s="29"/>
      <c r="C187" s="29" t="s">
        <v>20</v>
      </c>
      <c r="D187" s="29" t="s">
        <v>11</v>
      </c>
      <c r="E187" s="48">
        <v>18</v>
      </c>
      <c r="F187" s="38">
        <f>E187*1500</f>
        <v>27000</v>
      </c>
      <c r="G187" s="38">
        <f>E187*500</f>
        <v>9000</v>
      </c>
      <c r="H187" s="38">
        <v>18000</v>
      </c>
      <c r="I187" s="4"/>
    </row>
    <row r="188" spans="1:9" x14ac:dyDescent="0.25">
      <c r="A188" s="29"/>
      <c r="B188" s="29"/>
      <c r="C188" s="29"/>
      <c r="D188" s="29" t="s">
        <v>13</v>
      </c>
      <c r="E188" s="48">
        <v>13</v>
      </c>
      <c r="F188" s="38">
        <f>E188*6500</f>
        <v>84500</v>
      </c>
      <c r="G188" s="38">
        <f>E188*4500</f>
        <v>58500</v>
      </c>
      <c r="H188" s="38">
        <f>E188*2000</f>
        <v>26000</v>
      </c>
      <c r="I188" s="4"/>
    </row>
    <row r="189" spans="1:9" x14ac:dyDescent="0.25">
      <c r="A189" s="29"/>
      <c r="B189" s="29"/>
      <c r="C189" s="29"/>
      <c r="D189" s="29" t="s">
        <v>14</v>
      </c>
      <c r="E189" s="48">
        <v>18</v>
      </c>
      <c r="F189" s="38">
        <f>E189*10000</f>
        <v>180000</v>
      </c>
      <c r="G189" s="38">
        <f>E189*5500</f>
        <v>99000</v>
      </c>
      <c r="H189" s="38">
        <f>E189*4500</f>
        <v>81000</v>
      </c>
      <c r="I189" s="4"/>
    </row>
    <row r="190" spans="1:9" x14ac:dyDescent="0.25">
      <c r="A190" s="29"/>
      <c r="B190" s="29"/>
      <c r="C190" s="29" t="s">
        <v>338</v>
      </c>
      <c r="D190" s="29" t="s">
        <v>11</v>
      </c>
      <c r="E190" s="48">
        <v>75</v>
      </c>
      <c r="F190" s="38">
        <f>E190*1800</f>
        <v>135000</v>
      </c>
      <c r="G190" s="38">
        <f>E190*500</f>
        <v>37500</v>
      </c>
      <c r="H190" s="38">
        <f t="shared" ref="H190:H195" si="11">E190*1300</f>
        <v>97500</v>
      </c>
      <c r="I190" s="4"/>
    </row>
    <row r="191" spans="1:9" x14ac:dyDescent="0.25">
      <c r="A191" s="29"/>
      <c r="B191" s="29"/>
      <c r="C191" s="29"/>
      <c r="D191" s="29" t="s">
        <v>11</v>
      </c>
      <c r="E191" s="48">
        <v>75</v>
      </c>
      <c r="F191" s="38">
        <f>E191*1800</f>
        <v>135000</v>
      </c>
      <c r="G191" s="38">
        <f t="shared" ref="G191:G196" si="12">E191*500</f>
        <v>37500</v>
      </c>
      <c r="H191" s="38">
        <f t="shared" si="11"/>
        <v>97500</v>
      </c>
      <c r="I191" s="4"/>
    </row>
    <row r="192" spans="1:9" x14ac:dyDescent="0.25">
      <c r="A192" s="29"/>
      <c r="B192" s="29"/>
      <c r="C192" s="29"/>
      <c r="D192" s="29" t="s">
        <v>11</v>
      </c>
      <c r="E192" s="48">
        <v>75</v>
      </c>
      <c r="F192" s="38">
        <f>E192*1800</f>
        <v>135000</v>
      </c>
      <c r="G192" s="38">
        <f t="shared" si="12"/>
        <v>37500</v>
      </c>
      <c r="H192" s="38">
        <f t="shared" si="11"/>
        <v>97500</v>
      </c>
      <c r="I192" s="4"/>
    </row>
    <row r="193" spans="1:9" x14ac:dyDescent="0.25">
      <c r="A193" s="29"/>
      <c r="B193" s="29"/>
      <c r="C193" s="29"/>
      <c r="D193" s="29" t="s">
        <v>11</v>
      </c>
      <c r="E193" s="48">
        <v>75</v>
      </c>
      <c r="F193" s="38">
        <f>E193*1800</f>
        <v>135000</v>
      </c>
      <c r="G193" s="38">
        <f t="shared" si="12"/>
        <v>37500</v>
      </c>
      <c r="H193" s="38">
        <f t="shared" si="11"/>
        <v>97500</v>
      </c>
      <c r="I193" s="4"/>
    </row>
    <row r="194" spans="1:9" x14ac:dyDescent="0.25">
      <c r="A194" s="29"/>
      <c r="B194" s="29"/>
      <c r="C194" s="29"/>
      <c r="D194" s="29" t="s">
        <v>11</v>
      </c>
      <c r="E194" s="48">
        <v>65</v>
      </c>
      <c r="F194" s="38">
        <v>117000</v>
      </c>
      <c r="G194" s="38">
        <f t="shared" si="12"/>
        <v>32500</v>
      </c>
      <c r="H194" s="38">
        <f t="shared" si="11"/>
        <v>84500</v>
      </c>
      <c r="I194" s="4"/>
    </row>
    <row r="195" spans="1:9" x14ac:dyDescent="0.25">
      <c r="A195" s="29"/>
      <c r="B195" s="29"/>
      <c r="C195" s="29"/>
      <c r="D195" s="29" t="s">
        <v>11</v>
      </c>
      <c r="E195" s="48">
        <v>65</v>
      </c>
      <c r="F195" s="38">
        <v>117000</v>
      </c>
      <c r="G195" s="38">
        <f t="shared" si="12"/>
        <v>32500</v>
      </c>
      <c r="H195" s="38">
        <f t="shared" si="11"/>
        <v>84500</v>
      </c>
      <c r="I195" s="4"/>
    </row>
    <row r="196" spans="1:9" x14ac:dyDescent="0.25">
      <c r="A196" s="29"/>
      <c r="B196" s="29"/>
      <c r="C196" s="29" t="s">
        <v>16</v>
      </c>
      <c r="D196" s="29" t="s">
        <v>11</v>
      </c>
      <c r="E196" s="48">
        <v>33</v>
      </c>
      <c r="F196" s="38">
        <v>49500</v>
      </c>
      <c r="G196" s="38">
        <f t="shared" si="12"/>
        <v>16500</v>
      </c>
      <c r="H196" s="38">
        <v>33000</v>
      </c>
      <c r="I196" s="4"/>
    </row>
    <row r="197" spans="1:9" x14ac:dyDescent="0.25">
      <c r="A197" s="29"/>
      <c r="B197" s="29"/>
      <c r="C197" s="29"/>
      <c r="D197" s="29" t="s">
        <v>12</v>
      </c>
      <c r="E197" s="48">
        <v>8</v>
      </c>
      <c r="F197" s="38">
        <v>24000</v>
      </c>
      <c r="G197" s="38">
        <v>16000</v>
      </c>
      <c r="H197" s="38">
        <v>8000</v>
      </c>
      <c r="I197" s="4"/>
    </row>
    <row r="198" spans="1:9" x14ac:dyDescent="0.25">
      <c r="A198" s="29"/>
      <c r="B198" s="29"/>
      <c r="C198" s="29"/>
      <c r="D198" s="29" t="s">
        <v>13</v>
      </c>
      <c r="E198" s="48">
        <v>2</v>
      </c>
      <c r="F198" s="38">
        <v>13000</v>
      </c>
      <c r="G198" s="38">
        <v>9000</v>
      </c>
      <c r="H198" s="38">
        <v>4000</v>
      </c>
      <c r="I198" s="4"/>
    </row>
    <row r="199" spans="1:9" x14ac:dyDescent="0.25">
      <c r="A199" s="29"/>
      <c r="B199" s="29"/>
      <c r="C199" s="29"/>
      <c r="D199" s="29" t="s">
        <v>14</v>
      </c>
      <c r="E199" s="48">
        <v>1</v>
      </c>
      <c r="F199" s="38">
        <v>10000</v>
      </c>
      <c r="G199" s="38">
        <v>5500</v>
      </c>
      <c r="H199" s="38">
        <v>4500</v>
      </c>
      <c r="I199" s="4"/>
    </row>
    <row r="200" spans="1:9" x14ac:dyDescent="0.25">
      <c r="A200" s="29"/>
      <c r="B200" s="29"/>
      <c r="C200" s="29"/>
      <c r="D200" s="29" t="s">
        <v>25</v>
      </c>
      <c r="E200" s="48">
        <v>1</v>
      </c>
      <c r="F200" s="38">
        <v>13000</v>
      </c>
      <c r="G200" s="38">
        <v>10000</v>
      </c>
      <c r="H200" s="38">
        <v>3000</v>
      </c>
      <c r="I200" s="4"/>
    </row>
    <row r="201" spans="1:9" x14ac:dyDescent="0.25">
      <c r="A201" s="126" t="s">
        <v>17</v>
      </c>
      <c r="B201" s="126"/>
      <c r="C201" s="126"/>
      <c r="D201" s="126"/>
      <c r="E201" s="126"/>
      <c r="F201" s="17">
        <f>SUM(F182:F200)</f>
        <v>1584500</v>
      </c>
      <c r="G201" s="17">
        <f>SUM(G182:G200)</f>
        <v>681500</v>
      </c>
      <c r="H201" s="17">
        <f>SUM(H182:H200)</f>
        <v>903000</v>
      </c>
      <c r="I201" s="4"/>
    </row>
    <row r="202" spans="1:9" x14ac:dyDescent="0.25">
      <c r="A202" s="29" t="s">
        <v>30</v>
      </c>
      <c r="B202" s="29" t="s">
        <v>358</v>
      </c>
      <c r="C202" s="29" t="s">
        <v>288</v>
      </c>
      <c r="D202" s="29" t="s">
        <v>11</v>
      </c>
      <c r="E202" s="48">
        <v>7</v>
      </c>
      <c r="F202" s="38">
        <f>E202*1800</f>
        <v>12600</v>
      </c>
      <c r="G202" s="38">
        <f>E202*500</f>
        <v>3500</v>
      </c>
      <c r="H202" s="38">
        <f>E202*1300</f>
        <v>9100</v>
      </c>
      <c r="I202" s="4"/>
    </row>
    <row r="203" spans="1:9" x14ac:dyDescent="0.25">
      <c r="A203" s="29"/>
      <c r="B203" s="29"/>
      <c r="C203" s="29" t="s">
        <v>106</v>
      </c>
      <c r="D203" s="29" t="s">
        <v>11</v>
      </c>
      <c r="E203" s="48">
        <v>25</v>
      </c>
      <c r="F203" s="38">
        <v>37500</v>
      </c>
      <c r="G203" s="38">
        <f>E203*500</f>
        <v>12500</v>
      </c>
      <c r="H203" s="38">
        <f>E203*1000</f>
        <v>25000</v>
      </c>
      <c r="I203" s="4"/>
    </row>
    <row r="204" spans="1:9" x14ac:dyDescent="0.25">
      <c r="A204" s="126" t="s">
        <v>17</v>
      </c>
      <c r="B204" s="126"/>
      <c r="C204" s="126"/>
      <c r="D204" s="126"/>
      <c r="E204" s="126"/>
      <c r="F204" s="17">
        <f>SUM(F202:F203)</f>
        <v>50100</v>
      </c>
      <c r="G204" s="17">
        <f>SUM(G202:G203)</f>
        <v>16000</v>
      </c>
      <c r="H204" s="17">
        <f>SUM(H202:H203)</f>
        <v>34100</v>
      </c>
      <c r="I204" s="4"/>
    </row>
    <row r="205" spans="1:9" x14ac:dyDescent="0.25">
      <c r="A205" s="29" t="s">
        <v>32</v>
      </c>
      <c r="B205" s="29" t="s">
        <v>359</v>
      </c>
      <c r="C205" s="29" t="s">
        <v>288</v>
      </c>
      <c r="D205" s="29" t="s">
        <v>11</v>
      </c>
      <c r="E205" s="48">
        <v>45</v>
      </c>
      <c r="F205" s="38">
        <v>81000</v>
      </c>
      <c r="G205" s="38">
        <f>E205*500</f>
        <v>22500</v>
      </c>
      <c r="H205" s="38">
        <f>E205*1300</f>
        <v>58500</v>
      </c>
      <c r="I205" s="4"/>
    </row>
    <row r="206" spans="1:9" x14ac:dyDescent="0.25">
      <c r="A206" s="29"/>
      <c r="B206" s="29"/>
      <c r="C206" s="29" t="s">
        <v>106</v>
      </c>
      <c r="D206" s="29" t="s">
        <v>11</v>
      </c>
      <c r="E206" s="48">
        <v>15</v>
      </c>
      <c r="F206" s="38">
        <f>E206*1500</f>
        <v>22500</v>
      </c>
      <c r="G206" s="38">
        <f>E206*500</f>
        <v>7500</v>
      </c>
      <c r="H206" s="38">
        <v>15000</v>
      </c>
      <c r="I206" s="4"/>
    </row>
    <row r="207" spans="1:9" x14ac:dyDescent="0.25">
      <c r="A207" s="126" t="s">
        <v>17</v>
      </c>
      <c r="B207" s="126"/>
      <c r="C207" s="126"/>
      <c r="D207" s="126"/>
      <c r="E207" s="126"/>
      <c r="F207" s="17">
        <f>SUM(F205:F206)</f>
        <v>103500</v>
      </c>
      <c r="G207" s="17">
        <f>SUM(G205:G206)</f>
        <v>30000</v>
      </c>
      <c r="H207" s="17">
        <f>SUM(H205:H206)</f>
        <v>73500</v>
      </c>
      <c r="I207" s="4"/>
    </row>
    <row r="208" spans="1:9" x14ac:dyDescent="0.25">
      <c r="A208" s="29" t="s">
        <v>8</v>
      </c>
      <c r="B208" s="29" t="s">
        <v>360</v>
      </c>
      <c r="C208" s="29" t="s">
        <v>288</v>
      </c>
      <c r="D208" s="29" t="s">
        <v>11</v>
      </c>
      <c r="E208" s="29">
        <f>60-12</f>
        <v>48</v>
      </c>
      <c r="F208" s="38">
        <f>E208*1800</f>
        <v>86400</v>
      </c>
      <c r="G208" s="38">
        <f>E208*500</f>
        <v>24000</v>
      </c>
      <c r="H208" s="38">
        <f>E208*1300</f>
        <v>62400</v>
      </c>
      <c r="I208" s="4"/>
    </row>
    <row r="209" spans="1:9" x14ac:dyDescent="0.25">
      <c r="A209" s="29"/>
      <c r="B209" s="29"/>
      <c r="C209" s="29" t="s">
        <v>292</v>
      </c>
      <c r="D209" s="29" t="s">
        <v>11</v>
      </c>
      <c r="E209" s="29">
        <v>28</v>
      </c>
      <c r="F209" s="38">
        <f>E209*1500</f>
        <v>42000</v>
      </c>
      <c r="G209" s="38">
        <f>E209*500</f>
        <v>14000</v>
      </c>
      <c r="H209" s="38">
        <v>28000</v>
      </c>
      <c r="I209" s="4"/>
    </row>
    <row r="210" spans="1:9" x14ac:dyDescent="0.25">
      <c r="A210" s="29"/>
      <c r="B210" s="29"/>
      <c r="C210" s="29" t="s">
        <v>108</v>
      </c>
      <c r="D210" s="29" t="s">
        <v>11</v>
      </c>
      <c r="E210" s="29">
        <v>25</v>
      </c>
      <c r="F210" s="38">
        <v>37500</v>
      </c>
      <c r="G210" s="38">
        <f>E210*500</f>
        <v>12500</v>
      </c>
      <c r="H210" s="38">
        <v>25000</v>
      </c>
      <c r="I210" s="4"/>
    </row>
    <row r="211" spans="1:9" x14ac:dyDescent="0.25">
      <c r="A211" s="29"/>
      <c r="B211" s="29"/>
      <c r="C211" s="29" t="s">
        <v>106</v>
      </c>
      <c r="D211" s="29" t="s">
        <v>11</v>
      </c>
      <c r="E211" s="29">
        <v>25</v>
      </c>
      <c r="F211" s="38">
        <v>37500</v>
      </c>
      <c r="G211" s="38">
        <f>E211*500</f>
        <v>12500</v>
      </c>
      <c r="H211" s="38">
        <v>25000</v>
      </c>
      <c r="I211" s="4"/>
    </row>
    <row r="212" spans="1:9" x14ac:dyDescent="0.25">
      <c r="A212" s="29"/>
      <c r="B212" s="29"/>
      <c r="C212" s="29" t="s">
        <v>16</v>
      </c>
      <c r="D212" s="29" t="s">
        <v>11</v>
      </c>
      <c r="E212" s="29">
        <v>68</v>
      </c>
      <c r="F212" s="38">
        <f>E212*1500</f>
        <v>102000</v>
      </c>
      <c r="G212" s="38">
        <f>E212*500</f>
        <v>34000</v>
      </c>
      <c r="H212" s="38">
        <v>68000</v>
      </c>
      <c r="I212" s="4"/>
    </row>
    <row r="213" spans="1:9" x14ac:dyDescent="0.25">
      <c r="A213" s="29"/>
      <c r="B213" s="29"/>
      <c r="C213" s="29"/>
      <c r="D213" s="29" t="s">
        <v>12</v>
      </c>
      <c r="E213" s="29">
        <v>4</v>
      </c>
      <c r="F213" s="38">
        <f>E213*3000</f>
        <v>12000</v>
      </c>
      <c r="G213" s="38">
        <f>E213*2000</f>
        <v>8000</v>
      </c>
      <c r="H213" s="38">
        <v>4000</v>
      </c>
      <c r="I213" s="4"/>
    </row>
    <row r="214" spans="1:9" x14ac:dyDescent="0.25">
      <c r="A214" s="29"/>
      <c r="B214" s="29"/>
      <c r="C214" s="29"/>
      <c r="D214" s="29" t="s">
        <v>13</v>
      </c>
      <c r="E214" s="29">
        <v>2</v>
      </c>
      <c r="F214" s="29">
        <v>13000</v>
      </c>
      <c r="G214" s="38">
        <f>E214*4500</f>
        <v>9000</v>
      </c>
      <c r="H214" s="38">
        <v>4000</v>
      </c>
      <c r="I214" s="4"/>
    </row>
    <row r="215" spans="1:9" x14ac:dyDescent="0.25">
      <c r="A215" s="29"/>
      <c r="B215" s="29"/>
      <c r="C215" s="29"/>
      <c r="D215" s="29" t="s">
        <v>14</v>
      </c>
      <c r="E215" s="29">
        <v>2</v>
      </c>
      <c r="F215" s="38">
        <v>20000</v>
      </c>
      <c r="G215" s="38">
        <f>E215*5500</f>
        <v>11000</v>
      </c>
      <c r="H215" s="29">
        <f>E215*4500</f>
        <v>9000</v>
      </c>
      <c r="I215" s="4"/>
    </row>
    <row r="216" spans="1:9" x14ac:dyDescent="0.25">
      <c r="A216" s="29"/>
      <c r="B216" s="29"/>
      <c r="C216" s="29" t="s">
        <v>10</v>
      </c>
      <c r="D216" s="29" t="s">
        <v>11</v>
      </c>
      <c r="E216" s="29">
        <v>55</v>
      </c>
      <c r="F216" s="29">
        <f>E216*1500</f>
        <v>82500</v>
      </c>
      <c r="G216" s="29">
        <f>E216*500</f>
        <v>27500</v>
      </c>
      <c r="H216" s="38">
        <v>55000</v>
      </c>
      <c r="I216" s="4"/>
    </row>
    <row r="217" spans="1:9" x14ac:dyDescent="0.25">
      <c r="A217" s="29"/>
      <c r="B217" s="29"/>
      <c r="C217" s="29"/>
      <c r="D217" s="29" t="s">
        <v>13</v>
      </c>
      <c r="E217" s="29">
        <v>10</v>
      </c>
      <c r="F217" s="29">
        <v>65000</v>
      </c>
      <c r="G217" s="29">
        <f>E217*4500</f>
        <v>45000</v>
      </c>
      <c r="H217" s="38">
        <v>20000</v>
      </c>
      <c r="I217" s="4"/>
    </row>
    <row r="218" spans="1:9" x14ac:dyDescent="0.25">
      <c r="A218" s="29"/>
      <c r="B218" s="29"/>
      <c r="C218" s="29"/>
      <c r="D218" s="29" t="s">
        <v>14</v>
      </c>
      <c r="E218" s="29">
        <v>10</v>
      </c>
      <c r="F218" s="29">
        <v>80000</v>
      </c>
      <c r="G218" s="29">
        <f>E218*5500</f>
        <v>55000</v>
      </c>
      <c r="H218" s="29">
        <f>E218*2500</f>
        <v>25000</v>
      </c>
      <c r="I218" s="4"/>
    </row>
    <row r="219" spans="1:9" x14ac:dyDescent="0.25">
      <c r="A219" s="126" t="s">
        <v>17</v>
      </c>
      <c r="B219" s="126"/>
      <c r="C219" s="126"/>
      <c r="D219" s="126"/>
      <c r="E219" s="126"/>
      <c r="F219" s="41">
        <f>SUM(F208:F218)</f>
        <v>577900</v>
      </c>
      <c r="G219" s="41">
        <f>SUM(G208:G218)</f>
        <v>252500</v>
      </c>
      <c r="H219" s="41">
        <f>SUM(H208:H218)</f>
        <v>325400</v>
      </c>
      <c r="I219" s="4"/>
    </row>
    <row r="220" spans="1:9" x14ac:dyDescent="0.25">
      <c r="A220" s="29" t="s">
        <v>18</v>
      </c>
      <c r="B220" s="29" t="s">
        <v>361</v>
      </c>
      <c r="C220" s="29" t="s">
        <v>288</v>
      </c>
      <c r="D220" s="29" t="s">
        <v>11</v>
      </c>
      <c r="E220" s="29">
        <f>62-17</f>
        <v>45</v>
      </c>
      <c r="F220" s="29">
        <f>E220*1800</f>
        <v>81000</v>
      </c>
      <c r="G220" s="29">
        <f>E220*500</f>
        <v>22500</v>
      </c>
      <c r="H220" s="29">
        <f>E220*1300</f>
        <v>58500</v>
      </c>
    </row>
    <row r="221" spans="1:9" x14ac:dyDescent="0.25">
      <c r="A221" s="29"/>
      <c r="B221" s="29"/>
      <c r="C221" s="29" t="s">
        <v>106</v>
      </c>
      <c r="D221" s="29" t="s">
        <v>11</v>
      </c>
      <c r="E221" s="29">
        <v>25</v>
      </c>
      <c r="F221" s="29">
        <v>37500</v>
      </c>
      <c r="G221" s="29">
        <f>E221*500</f>
        <v>12500</v>
      </c>
      <c r="H221" s="29">
        <v>25000</v>
      </c>
    </row>
    <row r="222" spans="1:9" x14ac:dyDescent="0.25">
      <c r="A222" s="29"/>
      <c r="B222" s="29"/>
      <c r="C222" s="29" t="s">
        <v>108</v>
      </c>
      <c r="D222" s="29" t="s">
        <v>11</v>
      </c>
      <c r="E222" s="29">
        <v>10</v>
      </c>
      <c r="F222" s="29">
        <v>15000</v>
      </c>
      <c r="G222" s="29">
        <v>5000</v>
      </c>
      <c r="H222" s="29">
        <v>10000</v>
      </c>
    </row>
    <row r="223" spans="1:9" x14ac:dyDescent="0.25">
      <c r="A223" s="29"/>
      <c r="B223" s="29"/>
      <c r="C223" s="29" t="s">
        <v>217</v>
      </c>
      <c r="D223" s="29" t="s">
        <v>11</v>
      </c>
      <c r="E223" s="29">
        <v>41</v>
      </c>
      <c r="F223" s="29">
        <v>61500</v>
      </c>
      <c r="G223" s="29">
        <f>41*500</f>
        <v>20500</v>
      </c>
      <c r="H223" s="29">
        <v>41000</v>
      </c>
    </row>
    <row r="224" spans="1:9" x14ac:dyDescent="0.25">
      <c r="A224" s="29"/>
      <c r="B224" s="29"/>
      <c r="C224" s="29" t="s">
        <v>16</v>
      </c>
      <c r="D224" s="29" t="s">
        <v>11</v>
      </c>
      <c r="E224" s="29">
        <v>55</v>
      </c>
      <c r="F224" s="29">
        <v>82500</v>
      </c>
      <c r="G224" s="29">
        <f>55*500</f>
        <v>27500</v>
      </c>
      <c r="H224" s="29">
        <v>55000</v>
      </c>
    </row>
    <row r="225" spans="1:8" x14ac:dyDescent="0.25">
      <c r="A225" s="29"/>
      <c r="B225" s="29"/>
      <c r="C225" s="29"/>
      <c r="D225" s="29" t="s">
        <v>13</v>
      </c>
      <c r="E225" s="29">
        <v>1</v>
      </c>
      <c r="F225" s="29">
        <v>6500</v>
      </c>
      <c r="G225" s="29">
        <v>4500</v>
      </c>
      <c r="H225" s="29">
        <v>2000</v>
      </c>
    </row>
    <row r="226" spans="1:8" x14ac:dyDescent="0.25">
      <c r="A226" s="29"/>
      <c r="B226" s="29"/>
      <c r="C226" s="29" t="s">
        <v>351</v>
      </c>
      <c r="D226" s="29" t="s">
        <v>21</v>
      </c>
      <c r="E226" s="29">
        <v>3</v>
      </c>
      <c r="F226" s="29">
        <v>45000</v>
      </c>
      <c r="G226" s="29">
        <v>33000</v>
      </c>
      <c r="H226" s="29">
        <v>12000</v>
      </c>
    </row>
    <row r="227" spans="1:8" x14ac:dyDescent="0.25">
      <c r="A227" s="29"/>
      <c r="B227" s="29"/>
      <c r="C227" s="29" t="s">
        <v>235</v>
      </c>
      <c r="D227" s="29" t="s">
        <v>25</v>
      </c>
      <c r="E227" s="29">
        <v>2</v>
      </c>
      <c r="F227" s="29">
        <v>26000</v>
      </c>
      <c r="G227" s="29">
        <v>20000</v>
      </c>
      <c r="H227" s="29">
        <v>6000</v>
      </c>
    </row>
    <row r="228" spans="1:8" x14ac:dyDescent="0.25">
      <c r="A228" s="126" t="s">
        <v>17</v>
      </c>
      <c r="B228" s="126"/>
      <c r="C228" s="126"/>
      <c r="D228" s="126"/>
      <c r="E228" s="126"/>
      <c r="F228" s="16">
        <f>SUM(F220:F227)</f>
        <v>355000</v>
      </c>
      <c r="G228" s="16">
        <f>SUM(G220:G227)</f>
        <v>145500</v>
      </c>
      <c r="H228" s="16">
        <f>SUM(H220:H227)</f>
        <v>209500</v>
      </c>
    </row>
    <row r="229" spans="1:8" x14ac:dyDescent="0.25">
      <c r="A229" s="29" t="s">
        <v>22</v>
      </c>
      <c r="B229" s="29" t="s">
        <v>362</v>
      </c>
      <c r="C229" s="29" t="s">
        <v>288</v>
      </c>
      <c r="D229" s="29" t="s">
        <v>11</v>
      </c>
      <c r="E229" s="29">
        <f>67-17</f>
        <v>50</v>
      </c>
      <c r="F229" s="29">
        <f>E229*1800</f>
        <v>90000</v>
      </c>
      <c r="G229" s="29">
        <f>E229*500</f>
        <v>25000</v>
      </c>
      <c r="H229" s="29">
        <f>E229*1300</f>
        <v>65000</v>
      </c>
    </row>
    <row r="230" spans="1:8" x14ac:dyDescent="0.25">
      <c r="A230" s="29"/>
      <c r="B230" s="29"/>
      <c r="C230" s="29" t="s">
        <v>106</v>
      </c>
      <c r="D230" s="29" t="s">
        <v>11</v>
      </c>
      <c r="E230" s="29">
        <v>24</v>
      </c>
      <c r="F230" s="29">
        <v>36000</v>
      </c>
      <c r="G230" s="29">
        <f>E230*500</f>
        <v>12000</v>
      </c>
      <c r="H230" s="29">
        <f>E230*1000</f>
        <v>24000</v>
      </c>
    </row>
    <row r="231" spans="1:8" x14ac:dyDescent="0.25">
      <c r="A231" s="29"/>
      <c r="B231" s="29"/>
      <c r="C231" s="29" t="s">
        <v>16</v>
      </c>
      <c r="D231" s="29" t="s">
        <v>11</v>
      </c>
      <c r="E231" s="29">
        <v>32</v>
      </c>
      <c r="F231" s="29">
        <v>48000</v>
      </c>
      <c r="G231" s="29">
        <f>E231*500</f>
        <v>16000</v>
      </c>
      <c r="H231" s="29">
        <v>32000</v>
      </c>
    </row>
    <row r="232" spans="1:8" x14ac:dyDescent="0.25">
      <c r="A232" s="29"/>
      <c r="B232" s="29"/>
      <c r="C232" s="29"/>
      <c r="D232" s="29" t="s">
        <v>12</v>
      </c>
      <c r="E232" s="29">
        <v>2</v>
      </c>
      <c r="F232" s="29">
        <v>6000</v>
      </c>
      <c r="G232" s="29">
        <v>4000</v>
      </c>
      <c r="H232" s="29">
        <v>2000</v>
      </c>
    </row>
    <row r="233" spans="1:8" x14ac:dyDescent="0.25">
      <c r="A233" s="29"/>
      <c r="B233" s="29"/>
      <c r="C233" s="29"/>
      <c r="D233" s="29" t="s">
        <v>14</v>
      </c>
      <c r="E233" s="29">
        <v>1</v>
      </c>
      <c r="F233" s="29">
        <v>10000</v>
      </c>
      <c r="G233" s="29">
        <v>5500</v>
      </c>
      <c r="H233" s="29">
        <v>4500</v>
      </c>
    </row>
    <row r="234" spans="1:8" x14ac:dyDescent="0.25">
      <c r="A234" s="125" t="s">
        <v>17</v>
      </c>
      <c r="B234" s="125"/>
      <c r="C234" s="125"/>
      <c r="D234" s="125"/>
      <c r="E234" s="17"/>
      <c r="F234" s="17">
        <f>SUM(F229:F233)</f>
        <v>190000</v>
      </c>
      <c r="G234" s="17">
        <f>SUM(G229:G233)</f>
        <v>62500</v>
      </c>
      <c r="H234" s="17">
        <f>SUM(H229:H233)</f>
        <v>127500</v>
      </c>
    </row>
    <row r="235" spans="1:8" x14ac:dyDescent="0.25">
      <c r="A235" s="29" t="s">
        <v>26</v>
      </c>
      <c r="B235" s="29" t="s">
        <v>363</v>
      </c>
      <c r="C235" s="29" t="s">
        <v>106</v>
      </c>
      <c r="D235" s="29" t="s">
        <v>11</v>
      </c>
      <c r="E235" s="29">
        <v>22</v>
      </c>
      <c r="F235" s="29">
        <f>E235*1500</f>
        <v>33000</v>
      </c>
      <c r="G235" s="29">
        <f>E235*500</f>
        <v>11000</v>
      </c>
      <c r="H235" s="29">
        <v>22000</v>
      </c>
    </row>
    <row r="236" spans="1:8" x14ac:dyDescent="0.25">
      <c r="A236" s="29"/>
      <c r="B236" s="29"/>
      <c r="C236" s="29" t="s">
        <v>10</v>
      </c>
      <c r="D236" s="29" t="s">
        <v>11</v>
      </c>
      <c r="E236" s="29">
        <v>24</v>
      </c>
      <c r="F236" s="29">
        <v>36000</v>
      </c>
      <c r="G236" s="29">
        <f>E236*500</f>
        <v>12000</v>
      </c>
      <c r="H236" s="29">
        <v>24000</v>
      </c>
    </row>
    <row r="237" spans="1:8" x14ac:dyDescent="0.25">
      <c r="A237" s="29"/>
      <c r="B237" s="29"/>
      <c r="C237" s="29"/>
      <c r="D237" s="29" t="s">
        <v>13</v>
      </c>
      <c r="E237" s="29">
        <v>8</v>
      </c>
      <c r="F237" s="29">
        <v>52000</v>
      </c>
      <c r="G237" s="29">
        <f>E237*4500</f>
        <v>36000</v>
      </c>
      <c r="H237" s="29">
        <f>E237*2000</f>
        <v>16000</v>
      </c>
    </row>
    <row r="238" spans="1:8" x14ac:dyDescent="0.25">
      <c r="A238" s="29"/>
      <c r="B238" s="29"/>
      <c r="C238" s="29"/>
      <c r="D238" s="29" t="s">
        <v>14</v>
      </c>
      <c r="E238" s="29">
        <v>7</v>
      </c>
      <c r="F238" s="29">
        <f>E238*8000</f>
        <v>56000</v>
      </c>
      <c r="G238" s="29">
        <f>E238*5500</f>
        <v>38500</v>
      </c>
      <c r="H238" s="29">
        <f>E238*2500</f>
        <v>17500</v>
      </c>
    </row>
    <row r="239" spans="1:8" x14ac:dyDescent="0.25">
      <c r="A239" s="29"/>
      <c r="B239" s="29"/>
      <c r="C239" s="29" t="s">
        <v>81</v>
      </c>
      <c r="D239" s="29" t="s">
        <v>11</v>
      </c>
      <c r="E239" s="29">
        <v>49</v>
      </c>
      <c r="F239" s="29">
        <v>88200</v>
      </c>
      <c r="G239" s="29">
        <f t="shared" ref="G239:G244" si="13">E239*500</f>
        <v>24500</v>
      </c>
      <c r="H239" s="29">
        <v>49000</v>
      </c>
    </row>
    <row r="240" spans="1:8" x14ac:dyDescent="0.25">
      <c r="A240" s="29"/>
      <c r="B240" s="29"/>
      <c r="C240" s="29"/>
      <c r="D240" s="29" t="s">
        <v>11</v>
      </c>
      <c r="E240" s="29">
        <v>102</v>
      </c>
      <c r="F240" s="29">
        <f>E240*1500</f>
        <v>153000</v>
      </c>
      <c r="G240" s="29">
        <f t="shared" si="13"/>
        <v>51000</v>
      </c>
      <c r="H240" s="29">
        <v>102000</v>
      </c>
    </row>
    <row r="241" spans="1:8" x14ac:dyDescent="0.25">
      <c r="A241" s="29"/>
      <c r="B241" s="29"/>
      <c r="C241" s="29"/>
      <c r="D241" s="29" t="s">
        <v>11</v>
      </c>
      <c r="E241" s="29">
        <v>75</v>
      </c>
      <c r="F241" s="29">
        <v>135000</v>
      </c>
      <c r="G241" s="29">
        <f t="shared" si="13"/>
        <v>37500</v>
      </c>
      <c r="H241" s="29">
        <v>75000</v>
      </c>
    </row>
    <row r="242" spans="1:8" x14ac:dyDescent="0.25">
      <c r="A242" s="29"/>
      <c r="B242" s="29"/>
      <c r="C242" s="29"/>
      <c r="D242" s="29" t="s">
        <v>11</v>
      </c>
      <c r="E242" s="29">
        <v>75</v>
      </c>
      <c r="F242" s="29">
        <v>135000</v>
      </c>
      <c r="G242" s="29">
        <f t="shared" si="13"/>
        <v>37500</v>
      </c>
      <c r="H242" s="29">
        <v>75000</v>
      </c>
    </row>
    <row r="243" spans="1:8" x14ac:dyDescent="0.25">
      <c r="A243" s="29"/>
      <c r="B243" s="29"/>
      <c r="C243" s="29"/>
      <c r="D243" s="29" t="s">
        <v>11</v>
      </c>
      <c r="E243" s="29">
        <v>75</v>
      </c>
      <c r="F243" s="29">
        <v>135000</v>
      </c>
      <c r="G243" s="29">
        <f t="shared" si="13"/>
        <v>37500</v>
      </c>
      <c r="H243" s="29">
        <v>75000</v>
      </c>
    </row>
    <row r="244" spans="1:8" x14ac:dyDescent="0.25">
      <c r="A244" s="29"/>
      <c r="B244" s="29"/>
      <c r="C244" s="29"/>
      <c r="D244" s="29" t="s">
        <v>11</v>
      </c>
      <c r="E244" s="29">
        <v>63</v>
      </c>
      <c r="F244" s="29">
        <v>113400</v>
      </c>
      <c r="G244" s="29">
        <f t="shared" si="13"/>
        <v>31500</v>
      </c>
      <c r="H244" s="29">
        <v>63000</v>
      </c>
    </row>
    <row r="245" spans="1:8" x14ac:dyDescent="0.25">
      <c r="A245" s="126" t="s">
        <v>17</v>
      </c>
      <c r="B245" s="126"/>
      <c r="C245" s="126"/>
      <c r="D245" s="126"/>
      <c r="E245" s="126"/>
      <c r="F245" s="17">
        <f>SUM(F235:F244)</f>
        <v>936600</v>
      </c>
      <c r="G245" s="17">
        <f>SUM(G235:G244)</f>
        <v>317000</v>
      </c>
      <c r="H245" s="17">
        <f>SUM(H235:H244)</f>
        <v>518500</v>
      </c>
    </row>
    <row r="246" spans="1:8" x14ac:dyDescent="0.25">
      <c r="A246" s="29" t="s">
        <v>28</v>
      </c>
      <c r="B246" s="29" t="s">
        <v>364</v>
      </c>
      <c r="C246" s="29" t="s">
        <v>16</v>
      </c>
      <c r="D246" s="29" t="s">
        <v>11</v>
      </c>
      <c r="E246" s="29">
        <v>61</v>
      </c>
      <c r="F246" s="38">
        <f>E246*1500</f>
        <v>91500</v>
      </c>
      <c r="G246" s="38">
        <f>E246*500</f>
        <v>30500</v>
      </c>
      <c r="H246" s="38">
        <v>61000</v>
      </c>
    </row>
    <row r="247" spans="1:8" x14ac:dyDescent="0.25">
      <c r="A247" s="29"/>
      <c r="B247" s="29"/>
      <c r="C247" s="29"/>
      <c r="D247" s="29" t="s">
        <v>12</v>
      </c>
      <c r="E247" s="29">
        <v>3</v>
      </c>
      <c r="F247" s="38">
        <v>9000</v>
      </c>
      <c r="G247" s="38">
        <f>E247*2000</f>
        <v>6000</v>
      </c>
      <c r="H247" s="38">
        <v>3000</v>
      </c>
    </row>
    <row r="248" spans="1:8" x14ac:dyDescent="0.25">
      <c r="A248" s="29"/>
      <c r="B248" s="29"/>
      <c r="C248" s="29"/>
      <c r="D248" s="29" t="s">
        <v>14</v>
      </c>
      <c r="E248" s="29">
        <v>1</v>
      </c>
      <c r="F248" s="38">
        <v>10000</v>
      </c>
      <c r="G248" s="38">
        <v>5500</v>
      </c>
      <c r="H248" s="38">
        <v>4500</v>
      </c>
    </row>
    <row r="249" spans="1:8" x14ac:dyDescent="0.25">
      <c r="A249" s="29"/>
      <c r="B249" s="29"/>
      <c r="C249" s="29"/>
      <c r="D249" s="29" t="s">
        <v>11</v>
      </c>
      <c r="E249" s="29">
        <v>70</v>
      </c>
      <c r="F249" s="38">
        <v>105000</v>
      </c>
      <c r="G249" s="38">
        <f>E249*500</f>
        <v>35000</v>
      </c>
      <c r="H249" s="38">
        <v>70000</v>
      </c>
    </row>
    <row r="250" spans="1:8" x14ac:dyDescent="0.25">
      <c r="A250" s="29"/>
      <c r="B250" s="29"/>
      <c r="C250" s="29"/>
      <c r="D250" s="29" t="s">
        <v>12</v>
      </c>
      <c r="E250" s="29">
        <v>6</v>
      </c>
      <c r="F250" s="38">
        <v>18000</v>
      </c>
      <c r="G250" s="38">
        <f>E250*2000</f>
        <v>12000</v>
      </c>
      <c r="H250" s="38">
        <v>6000</v>
      </c>
    </row>
    <row r="251" spans="1:8" x14ac:dyDescent="0.25">
      <c r="A251" s="29"/>
      <c r="B251" s="29"/>
      <c r="C251" s="29"/>
      <c r="D251" s="29" t="s">
        <v>13</v>
      </c>
      <c r="E251" s="29">
        <v>1</v>
      </c>
      <c r="F251" s="38">
        <v>6500</v>
      </c>
      <c r="G251" s="38">
        <v>4500</v>
      </c>
      <c r="H251" s="38">
        <v>2000</v>
      </c>
    </row>
    <row r="252" spans="1:8" x14ac:dyDescent="0.25">
      <c r="A252" s="29"/>
      <c r="B252" s="29"/>
      <c r="C252" s="29"/>
      <c r="D252" s="29" t="s">
        <v>14</v>
      </c>
      <c r="E252" s="29">
        <v>1</v>
      </c>
      <c r="F252" s="38">
        <v>10000</v>
      </c>
      <c r="G252" s="38">
        <v>5500</v>
      </c>
      <c r="H252" s="38">
        <v>4500</v>
      </c>
    </row>
    <row r="253" spans="1:8" x14ac:dyDescent="0.25">
      <c r="A253" s="29"/>
      <c r="B253" s="29"/>
      <c r="C253" s="29" t="s">
        <v>217</v>
      </c>
      <c r="D253" s="29" t="s">
        <v>11</v>
      </c>
      <c r="E253" s="29">
        <v>64</v>
      </c>
      <c r="F253" s="38">
        <v>96000</v>
      </c>
      <c r="G253" s="38">
        <f>E253*500</f>
        <v>32000</v>
      </c>
      <c r="H253" s="38">
        <v>64000</v>
      </c>
    </row>
    <row r="254" spans="1:8" x14ac:dyDescent="0.25">
      <c r="A254" s="29"/>
      <c r="B254" s="29"/>
      <c r="C254" s="29"/>
      <c r="D254" s="29" t="s">
        <v>13</v>
      </c>
      <c r="E254" s="29">
        <v>6</v>
      </c>
      <c r="F254" s="38">
        <f>E254*6500</f>
        <v>39000</v>
      </c>
      <c r="G254" s="38">
        <f>E254*4500</f>
        <v>27000</v>
      </c>
      <c r="H254" s="38">
        <f>E254*2000</f>
        <v>12000</v>
      </c>
    </row>
    <row r="255" spans="1:8" x14ac:dyDescent="0.25">
      <c r="A255" s="29"/>
      <c r="B255" s="29"/>
      <c r="C255" s="29"/>
      <c r="D255" s="29" t="s">
        <v>14</v>
      </c>
      <c r="E255" s="29">
        <v>7</v>
      </c>
      <c r="F255" s="38">
        <f>E255*8000</f>
        <v>56000</v>
      </c>
      <c r="G255" s="38">
        <f>E255*5500</f>
        <v>38500</v>
      </c>
      <c r="H255" s="38">
        <f>E255*2500</f>
        <v>17500</v>
      </c>
    </row>
    <row r="256" spans="1:8" x14ac:dyDescent="0.25">
      <c r="A256" s="29"/>
      <c r="B256" s="29"/>
      <c r="C256" s="29" t="s">
        <v>10</v>
      </c>
      <c r="D256" s="29" t="s">
        <v>11</v>
      </c>
      <c r="E256" s="29">
        <v>6</v>
      </c>
      <c r="F256" s="38">
        <v>9000</v>
      </c>
      <c r="G256" s="38">
        <f>E256*500</f>
        <v>3000</v>
      </c>
      <c r="H256" s="38">
        <v>6000</v>
      </c>
    </row>
    <row r="257" spans="1:8" x14ac:dyDescent="0.25">
      <c r="A257" s="29"/>
      <c r="B257" s="29"/>
      <c r="C257" s="29"/>
      <c r="D257" s="29" t="s">
        <v>13</v>
      </c>
      <c r="E257" s="29">
        <v>20</v>
      </c>
      <c r="F257" s="38">
        <v>130000</v>
      </c>
      <c r="G257" s="38">
        <f>E257*4500</f>
        <v>90000</v>
      </c>
      <c r="H257" s="38">
        <f>E257*2000</f>
        <v>40000</v>
      </c>
    </row>
    <row r="258" spans="1:8" x14ac:dyDescent="0.25">
      <c r="A258" s="29"/>
      <c r="B258" s="29"/>
      <c r="C258" s="29"/>
      <c r="D258" s="29" t="s">
        <v>14</v>
      </c>
      <c r="E258" s="29">
        <v>32</v>
      </c>
      <c r="F258" s="38">
        <f>E258*8000</f>
        <v>256000</v>
      </c>
      <c r="G258" s="38">
        <f>E258*5500</f>
        <v>176000</v>
      </c>
      <c r="H258" s="38">
        <f>E258*2500</f>
        <v>80000</v>
      </c>
    </row>
    <row r="259" spans="1:8" x14ac:dyDescent="0.25">
      <c r="A259" s="126" t="s">
        <v>17</v>
      </c>
      <c r="B259" s="126"/>
      <c r="C259" s="126"/>
      <c r="D259" s="126"/>
      <c r="E259" s="126"/>
      <c r="F259" s="17">
        <f>SUM(F246:F258)</f>
        <v>836000</v>
      </c>
      <c r="G259" s="17">
        <f>SUM(G246:G258)</f>
        <v>465500</v>
      </c>
      <c r="H259" s="17">
        <f>SUM(H246:H258)</f>
        <v>370500</v>
      </c>
    </row>
    <row r="260" spans="1:8" x14ac:dyDescent="0.25">
      <c r="A260" s="29" t="s">
        <v>30</v>
      </c>
      <c r="B260" s="29" t="s">
        <v>365</v>
      </c>
      <c r="C260" s="29" t="s">
        <v>108</v>
      </c>
      <c r="D260" s="29" t="s">
        <v>11</v>
      </c>
      <c r="E260" s="29">
        <f>25-11</f>
        <v>14</v>
      </c>
      <c r="F260" s="38">
        <f>E260*1500</f>
        <v>21000</v>
      </c>
      <c r="G260" s="38">
        <f t="shared" ref="G260:G267" si="14">E260*500</f>
        <v>7000</v>
      </c>
      <c r="H260" s="38">
        <v>14000</v>
      </c>
    </row>
    <row r="261" spans="1:8" x14ac:dyDescent="0.25">
      <c r="A261" s="29"/>
      <c r="B261" s="29"/>
      <c r="C261" s="29" t="s">
        <v>288</v>
      </c>
      <c r="D261" s="29" t="s">
        <v>11</v>
      </c>
      <c r="E261" s="29">
        <v>4</v>
      </c>
      <c r="F261" s="38">
        <f>E261*1800</f>
        <v>7200</v>
      </c>
      <c r="G261" s="38">
        <f t="shared" si="14"/>
        <v>2000</v>
      </c>
      <c r="H261" s="38">
        <f>E261*1300</f>
        <v>5200</v>
      </c>
    </row>
    <row r="262" spans="1:8" x14ac:dyDescent="0.25">
      <c r="A262" s="29"/>
      <c r="B262" s="29"/>
      <c r="C262" s="29" t="s">
        <v>77</v>
      </c>
      <c r="D262" s="29" t="s">
        <v>11</v>
      </c>
      <c r="E262" s="29">
        <v>100</v>
      </c>
      <c r="F262" s="38">
        <f t="shared" ref="F262:F267" si="15">E262*1500</f>
        <v>150000</v>
      </c>
      <c r="G262" s="38">
        <f t="shared" si="14"/>
        <v>50000</v>
      </c>
      <c r="H262" s="38">
        <f t="shared" ref="H262:H267" si="16">E262*1000</f>
        <v>100000</v>
      </c>
    </row>
    <row r="263" spans="1:8" x14ac:dyDescent="0.25">
      <c r="A263" s="29"/>
      <c r="B263" s="29"/>
      <c r="C263" s="29"/>
      <c r="D263" s="29"/>
      <c r="E263" s="29">
        <v>109</v>
      </c>
      <c r="F263" s="38">
        <f t="shared" si="15"/>
        <v>163500</v>
      </c>
      <c r="G263" s="38">
        <f t="shared" si="14"/>
        <v>54500</v>
      </c>
      <c r="H263" s="38">
        <f t="shared" si="16"/>
        <v>109000</v>
      </c>
    </row>
    <row r="264" spans="1:8" x14ac:dyDescent="0.25">
      <c r="A264" s="29"/>
      <c r="B264" s="29"/>
      <c r="C264" s="29"/>
      <c r="D264" s="29"/>
      <c r="E264" s="29">
        <v>113</v>
      </c>
      <c r="F264" s="38">
        <f t="shared" si="15"/>
        <v>169500</v>
      </c>
      <c r="G264" s="38">
        <f t="shared" si="14"/>
        <v>56500</v>
      </c>
      <c r="H264" s="38">
        <f t="shared" si="16"/>
        <v>113000</v>
      </c>
    </row>
    <row r="265" spans="1:8" x14ac:dyDescent="0.25">
      <c r="A265" s="29"/>
      <c r="B265" s="29"/>
      <c r="C265" s="29"/>
      <c r="D265" s="29"/>
      <c r="E265" s="29">
        <v>115</v>
      </c>
      <c r="F265" s="38">
        <f t="shared" si="15"/>
        <v>172500</v>
      </c>
      <c r="G265" s="38">
        <f t="shared" si="14"/>
        <v>57500</v>
      </c>
      <c r="H265" s="38">
        <f t="shared" si="16"/>
        <v>115000</v>
      </c>
    </row>
    <row r="266" spans="1:8" x14ac:dyDescent="0.25">
      <c r="A266" s="29"/>
      <c r="B266" s="29"/>
      <c r="C266" s="29"/>
      <c r="D266" s="29"/>
      <c r="E266" s="29">
        <v>120</v>
      </c>
      <c r="F266" s="38">
        <f t="shared" si="15"/>
        <v>180000</v>
      </c>
      <c r="G266" s="38">
        <f t="shared" si="14"/>
        <v>60000</v>
      </c>
      <c r="H266" s="38">
        <f t="shared" si="16"/>
        <v>120000</v>
      </c>
    </row>
    <row r="267" spans="1:8" x14ac:dyDescent="0.25">
      <c r="A267" s="29"/>
      <c r="B267" s="29"/>
      <c r="C267" s="29"/>
      <c r="D267" s="29"/>
      <c r="E267" s="29">
        <v>92</v>
      </c>
      <c r="F267" s="38">
        <f t="shared" si="15"/>
        <v>138000</v>
      </c>
      <c r="G267" s="38">
        <f t="shared" si="14"/>
        <v>46000</v>
      </c>
      <c r="H267" s="38">
        <f t="shared" si="16"/>
        <v>92000</v>
      </c>
    </row>
    <row r="268" spans="1:8" x14ac:dyDescent="0.25">
      <c r="A268" s="29"/>
      <c r="B268" s="29"/>
      <c r="C268" s="29" t="s">
        <v>235</v>
      </c>
      <c r="D268" s="29" t="s">
        <v>243</v>
      </c>
      <c r="E268" s="29">
        <v>5</v>
      </c>
      <c r="F268" s="38">
        <f>E268*13000</f>
        <v>65000</v>
      </c>
      <c r="G268" s="38">
        <f>E268*10000</f>
        <v>50000</v>
      </c>
      <c r="H268" s="38">
        <f>E268*3000</f>
        <v>15000</v>
      </c>
    </row>
    <row r="269" spans="1:8" x14ac:dyDescent="0.25">
      <c r="A269" s="29"/>
      <c r="B269" s="29"/>
      <c r="C269" s="29" t="s">
        <v>16</v>
      </c>
      <c r="D269" s="29" t="s">
        <v>11</v>
      </c>
      <c r="E269" s="29">
        <v>51</v>
      </c>
      <c r="F269" s="38">
        <f>E269*1500</f>
        <v>76500</v>
      </c>
      <c r="G269" s="38">
        <f>E269*500</f>
        <v>25500</v>
      </c>
      <c r="H269" s="38">
        <f>E269*1000</f>
        <v>51000</v>
      </c>
    </row>
    <row r="270" spans="1:8" x14ac:dyDescent="0.25">
      <c r="A270" s="29"/>
      <c r="B270" s="29"/>
      <c r="C270" s="29"/>
      <c r="D270" s="29" t="s">
        <v>12</v>
      </c>
      <c r="E270" s="29">
        <v>1</v>
      </c>
      <c r="F270" s="38">
        <f>E270*3000</f>
        <v>3000</v>
      </c>
      <c r="G270" s="38">
        <f>E270*2000</f>
        <v>2000</v>
      </c>
      <c r="H270" s="38">
        <f>E270*1000</f>
        <v>1000</v>
      </c>
    </row>
    <row r="271" spans="1:8" x14ac:dyDescent="0.25">
      <c r="A271" s="29"/>
      <c r="B271" s="29"/>
      <c r="C271" s="29"/>
      <c r="D271" s="29" t="s">
        <v>13</v>
      </c>
      <c r="E271" s="29">
        <v>1</v>
      </c>
      <c r="F271" s="38">
        <v>6500</v>
      </c>
      <c r="G271" s="38">
        <v>4500</v>
      </c>
      <c r="H271" s="38">
        <v>2000</v>
      </c>
    </row>
    <row r="272" spans="1:8" x14ac:dyDescent="0.25">
      <c r="A272" s="29"/>
      <c r="B272" s="29"/>
      <c r="C272" s="29" t="s">
        <v>10</v>
      </c>
      <c r="D272" s="29" t="s">
        <v>11</v>
      </c>
      <c r="E272" s="29">
        <v>23</v>
      </c>
      <c r="F272" s="38">
        <f>E272*1500</f>
        <v>34500</v>
      </c>
      <c r="G272" s="38">
        <f>E272*500</f>
        <v>11500</v>
      </c>
      <c r="H272" s="38">
        <v>23000</v>
      </c>
    </row>
    <row r="273" spans="1:8" x14ac:dyDescent="0.25">
      <c r="A273" s="29"/>
      <c r="B273" s="29"/>
      <c r="C273" s="29"/>
      <c r="D273" s="29" t="s">
        <v>13</v>
      </c>
      <c r="E273" s="29">
        <v>7</v>
      </c>
      <c r="F273" s="38">
        <f>E273*6500</f>
        <v>45500</v>
      </c>
      <c r="G273" s="38">
        <f>E273*4500</f>
        <v>31500</v>
      </c>
      <c r="H273" s="38">
        <f>E273*2000</f>
        <v>14000</v>
      </c>
    </row>
    <row r="274" spans="1:8" x14ac:dyDescent="0.25">
      <c r="A274" s="29"/>
      <c r="B274" s="29"/>
      <c r="C274" s="29"/>
      <c r="D274" s="29" t="s">
        <v>14</v>
      </c>
      <c r="E274" s="29">
        <v>3</v>
      </c>
      <c r="F274" s="38">
        <f>E274*8000</f>
        <v>24000</v>
      </c>
      <c r="G274" s="38">
        <f>E274*5500</f>
        <v>16500</v>
      </c>
      <c r="H274" s="38">
        <f>E274*2500</f>
        <v>7500</v>
      </c>
    </row>
    <row r="275" spans="1:8" x14ac:dyDescent="0.25">
      <c r="A275" s="126" t="s">
        <v>17</v>
      </c>
      <c r="B275" s="126"/>
      <c r="C275" s="126"/>
      <c r="D275" s="126"/>
      <c r="E275" s="126"/>
      <c r="F275" s="17">
        <f>SUM(F260:F274)</f>
        <v>1256700</v>
      </c>
      <c r="G275" s="17">
        <f>SUM(G260:G274)</f>
        <v>475000</v>
      </c>
      <c r="H275" s="17">
        <f>SUM(H260:H274)</f>
        <v>781700</v>
      </c>
    </row>
    <row r="276" spans="1:8" x14ac:dyDescent="0.25">
      <c r="A276" s="29" t="s">
        <v>32</v>
      </c>
      <c r="B276" s="29" t="s">
        <v>366</v>
      </c>
      <c r="C276" s="29" t="s">
        <v>288</v>
      </c>
      <c r="D276" s="29" t="s">
        <v>11</v>
      </c>
      <c r="E276" s="29">
        <f>60-19</f>
        <v>41</v>
      </c>
      <c r="F276" s="38">
        <f>E276*1800</f>
        <v>73800</v>
      </c>
      <c r="G276" s="38">
        <f>E276*500</f>
        <v>20500</v>
      </c>
      <c r="H276" s="38">
        <f>E276*1300</f>
        <v>53300</v>
      </c>
    </row>
    <row r="277" spans="1:8" x14ac:dyDescent="0.25">
      <c r="A277" s="29"/>
      <c r="B277" s="29"/>
      <c r="C277" s="29" t="s">
        <v>106</v>
      </c>
      <c r="D277" s="29" t="s">
        <v>11</v>
      </c>
      <c r="E277" s="29">
        <v>25</v>
      </c>
      <c r="F277" s="38">
        <v>37500</v>
      </c>
      <c r="G277" s="38">
        <f>E277*500</f>
        <v>12500</v>
      </c>
      <c r="H277" s="38">
        <f>E277*1000</f>
        <v>25000</v>
      </c>
    </row>
    <row r="278" spans="1:8" x14ac:dyDescent="0.25">
      <c r="A278" s="29"/>
      <c r="B278" s="29"/>
      <c r="C278" s="29" t="s">
        <v>16</v>
      </c>
      <c r="D278" s="29" t="s">
        <v>11</v>
      </c>
      <c r="E278" s="29">
        <v>10</v>
      </c>
      <c r="F278" s="38">
        <v>15000</v>
      </c>
      <c r="G278" s="38">
        <f>E278*500</f>
        <v>5000</v>
      </c>
      <c r="H278" s="38">
        <v>10000</v>
      </c>
    </row>
    <row r="279" spans="1:8" x14ac:dyDescent="0.25">
      <c r="A279" s="29"/>
      <c r="B279" s="29"/>
      <c r="C279" s="29"/>
      <c r="D279" s="29" t="s">
        <v>12</v>
      </c>
      <c r="E279" s="29">
        <v>2</v>
      </c>
      <c r="F279" s="38">
        <v>6000</v>
      </c>
      <c r="G279" s="38">
        <v>4000</v>
      </c>
      <c r="H279" s="38">
        <v>2000</v>
      </c>
    </row>
    <row r="280" spans="1:8" x14ac:dyDescent="0.25">
      <c r="A280" s="29"/>
      <c r="B280" s="29"/>
      <c r="C280" s="29"/>
      <c r="D280" s="29" t="s">
        <v>13</v>
      </c>
      <c r="E280" s="29">
        <v>1</v>
      </c>
      <c r="F280" s="38">
        <v>6500</v>
      </c>
      <c r="G280" s="38">
        <v>4500</v>
      </c>
      <c r="H280" s="38">
        <v>2000</v>
      </c>
    </row>
    <row r="281" spans="1:8" x14ac:dyDescent="0.25">
      <c r="A281" s="126" t="s">
        <v>17</v>
      </c>
      <c r="B281" s="126"/>
      <c r="C281" s="126"/>
      <c r="D281" s="126"/>
      <c r="E281" s="16"/>
      <c r="F281" s="17">
        <f>SUM(F276:F280)</f>
        <v>138800</v>
      </c>
      <c r="G281" s="17">
        <f>SUM(G276:G280)</f>
        <v>46500</v>
      </c>
      <c r="H281" s="17">
        <f>SUM(H276:H280)</f>
        <v>92300</v>
      </c>
    </row>
    <row r="282" spans="1:8" x14ac:dyDescent="0.25">
      <c r="A282" s="29" t="s">
        <v>8</v>
      </c>
      <c r="B282" s="29" t="s">
        <v>367</v>
      </c>
      <c r="C282" s="29" t="s">
        <v>288</v>
      </c>
      <c r="D282" s="29" t="s">
        <v>11</v>
      </c>
      <c r="E282" s="29">
        <v>41</v>
      </c>
      <c r="F282" s="38">
        <v>73800</v>
      </c>
      <c r="G282" s="38">
        <f>E282*500</f>
        <v>20500</v>
      </c>
      <c r="H282" s="38">
        <f>E282*1300</f>
        <v>53300</v>
      </c>
    </row>
    <row r="283" spans="1:8" x14ac:dyDescent="0.25">
      <c r="A283" s="29"/>
      <c r="B283" s="29"/>
      <c r="C283" s="29" t="s">
        <v>106</v>
      </c>
      <c r="D283" s="29" t="s">
        <v>11</v>
      </c>
      <c r="E283" s="29">
        <v>25</v>
      </c>
      <c r="F283" s="38">
        <v>37500</v>
      </c>
      <c r="G283" s="38">
        <v>12500</v>
      </c>
      <c r="H283" s="38">
        <v>25000</v>
      </c>
    </row>
    <row r="284" spans="1:8" x14ac:dyDescent="0.25">
      <c r="A284" s="29"/>
      <c r="B284" s="29"/>
      <c r="C284" s="29" t="s">
        <v>217</v>
      </c>
      <c r="D284" s="29" t="s">
        <v>11</v>
      </c>
      <c r="E284" s="29">
        <v>106</v>
      </c>
      <c r="F284" s="38">
        <f>E284*1500</f>
        <v>159000</v>
      </c>
      <c r="G284" s="38">
        <f>E284*500</f>
        <v>53000</v>
      </c>
      <c r="H284" s="38">
        <v>106000</v>
      </c>
    </row>
    <row r="285" spans="1:8" x14ac:dyDescent="0.25">
      <c r="A285" s="29"/>
      <c r="B285" s="29"/>
      <c r="C285" s="29" t="s">
        <v>16</v>
      </c>
      <c r="D285" s="29" t="s">
        <v>11</v>
      </c>
      <c r="E285" s="29">
        <v>60</v>
      </c>
      <c r="F285" s="38">
        <v>90000</v>
      </c>
      <c r="G285" s="38">
        <f>E285*500</f>
        <v>30000</v>
      </c>
      <c r="H285" s="38">
        <v>60000</v>
      </c>
    </row>
    <row r="286" spans="1:8" x14ac:dyDescent="0.25">
      <c r="A286" s="29"/>
      <c r="B286" s="29"/>
      <c r="C286" s="29"/>
      <c r="D286" s="29" t="s">
        <v>12</v>
      </c>
      <c r="E286" s="29">
        <v>5</v>
      </c>
      <c r="F286" s="38">
        <v>15000</v>
      </c>
      <c r="G286" s="38">
        <f>E286*2000</f>
        <v>10000</v>
      </c>
      <c r="H286" s="38">
        <v>5000</v>
      </c>
    </row>
    <row r="287" spans="1:8" x14ac:dyDescent="0.25">
      <c r="A287" s="29"/>
      <c r="B287" s="29"/>
      <c r="C287" s="29"/>
      <c r="D287" s="29" t="s">
        <v>13</v>
      </c>
      <c r="E287" s="29">
        <v>1</v>
      </c>
      <c r="F287" s="38">
        <v>6500</v>
      </c>
      <c r="G287" s="38">
        <v>4500</v>
      </c>
      <c r="H287" s="38">
        <v>2000</v>
      </c>
    </row>
    <row r="288" spans="1:8" x14ac:dyDescent="0.25">
      <c r="A288" s="29"/>
      <c r="B288" s="29"/>
      <c r="C288" s="29" t="s">
        <v>10</v>
      </c>
      <c r="D288" s="29" t="s">
        <v>11</v>
      </c>
      <c r="E288" s="29">
        <v>59</v>
      </c>
      <c r="F288" s="38">
        <f>E288*1500</f>
        <v>88500</v>
      </c>
      <c r="G288" s="38">
        <f>E288*500</f>
        <v>29500</v>
      </c>
      <c r="H288" s="38">
        <v>59000</v>
      </c>
    </row>
    <row r="289" spans="1:8" x14ac:dyDescent="0.25">
      <c r="A289" s="29"/>
      <c r="B289" s="29"/>
      <c r="C289" s="29"/>
      <c r="D289" s="29" t="s">
        <v>13</v>
      </c>
      <c r="E289" s="29">
        <v>5</v>
      </c>
      <c r="F289" s="38">
        <f>E289*6500</f>
        <v>32500</v>
      </c>
      <c r="G289" s="38">
        <f>E289*4500</f>
        <v>22500</v>
      </c>
      <c r="H289" s="38">
        <f>E289*2000</f>
        <v>10000</v>
      </c>
    </row>
    <row r="290" spans="1:8" x14ac:dyDescent="0.25">
      <c r="A290" s="126" t="s">
        <v>17</v>
      </c>
      <c r="B290" s="126"/>
      <c r="C290" s="126"/>
      <c r="D290" s="126"/>
      <c r="E290" s="126"/>
      <c r="F290" s="17">
        <f>SUM(F282:F289)</f>
        <v>502800</v>
      </c>
      <c r="G290" s="17">
        <f>SUM(G282:G289)</f>
        <v>182500</v>
      </c>
      <c r="H290" s="17">
        <f>SUM(H282:H289)</f>
        <v>320300</v>
      </c>
    </row>
    <row r="291" spans="1:8" x14ac:dyDescent="0.25">
      <c r="A291" s="29" t="s">
        <v>18</v>
      </c>
      <c r="B291" s="29" t="s">
        <v>368</v>
      </c>
      <c r="C291" s="29" t="s">
        <v>288</v>
      </c>
      <c r="D291" s="29" t="s">
        <v>11</v>
      </c>
      <c r="E291" s="29">
        <f>50-22</f>
        <v>28</v>
      </c>
      <c r="F291" s="38">
        <f>E291*1800</f>
        <v>50400</v>
      </c>
      <c r="G291" s="38">
        <f>E291*500</f>
        <v>14000</v>
      </c>
      <c r="H291" s="38">
        <f>E291*1300</f>
        <v>36400</v>
      </c>
    </row>
    <row r="292" spans="1:8" x14ac:dyDescent="0.25">
      <c r="A292" s="29"/>
      <c r="B292" s="29"/>
      <c r="C292" s="29" t="s">
        <v>106</v>
      </c>
      <c r="D292" s="29" t="s">
        <v>11</v>
      </c>
      <c r="E292" s="29">
        <v>25</v>
      </c>
      <c r="F292" s="38">
        <v>37500</v>
      </c>
      <c r="G292" s="38">
        <f>E292*500</f>
        <v>12500</v>
      </c>
      <c r="H292" s="38">
        <v>25000</v>
      </c>
    </row>
    <row r="293" spans="1:8" x14ac:dyDescent="0.25">
      <c r="A293" s="29"/>
      <c r="B293" s="29"/>
      <c r="C293" s="29" t="s">
        <v>16</v>
      </c>
      <c r="D293" s="29" t="s">
        <v>11</v>
      </c>
      <c r="E293" s="29">
        <v>36</v>
      </c>
      <c r="F293" s="38">
        <f>E293*1500</f>
        <v>54000</v>
      </c>
      <c r="G293" s="38">
        <f>E293*500</f>
        <v>18000</v>
      </c>
      <c r="H293" s="38">
        <f>E293*1000</f>
        <v>36000</v>
      </c>
    </row>
    <row r="294" spans="1:8" x14ac:dyDescent="0.25">
      <c r="A294" s="29"/>
      <c r="B294" s="29"/>
      <c r="C294" s="29"/>
      <c r="D294" s="29" t="s">
        <v>12</v>
      </c>
      <c r="E294" s="29">
        <v>3</v>
      </c>
      <c r="F294" s="38">
        <f>E294*3000</f>
        <v>9000</v>
      </c>
      <c r="G294" s="38">
        <f>E294*2000</f>
        <v>6000</v>
      </c>
      <c r="H294" s="38">
        <f>E294*1000</f>
        <v>3000</v>
      </c>
    </row>
    <row r="295" spans="1:8" x14ac:dyDescent="0.25">
      <c r="A295" s="29"/>
      <c r="B295" s="29"/>
      <c r="C295" s="29"/>
      <c r="D295" s="29" t="s">
        <v>13</v>
      </c>
      <c r="E295" s="29">
        <v>1</v>
      </c>
      <c r="F295" s="38">
        <v>6500</v>
      </c>
      <c r="G295" s="38">
        <v>4500</v>
      </c>
      <c r="H295" s="38">
        <v>2000</v>
      </c>
    </row>
    <row r="296" spans="1:8" x14ac:dyDescent="0.25">
      <c r="A296" s="29"/>
      <c r="B296" s="29"/>
      <c r="C296" s="29"/>
      <c r="D296" s="29" t="s">
        <v>14</v>
      </c>
      <c r="E296" s="29">
        <v>1</v>
      </c>
      <c r="F296" s="38">
        <v>10000</v>
      </c>
      <c r="G296" s="38">
        <v>5500</v>
      </c>
      <c r="H296" s="38">
        <v>4500</v>
      </c>
    </row>
    <row r="297" spans="1:8" x14ac:dyDescent="0.25">
      <c r="A297" s="126" t="s">
        <v>17</v>
      </c>
      <c r="B297" s="126"/>
      <c r="C297" s="126"/>
      <c r="D297" s="126"/>
      <c r="E297" s="126"/>
      <c r="F297" s="41">
        <f>SUM(F291:F296)</f>
        <v>167400</v>
      </c>
      <c r="G297" s="41">
        <f>SUM(G291:G296)</f>
        <v>60500</v>
      </c>
      <c r="H297" s="41">
        <f>SUM(H291:H296)</f>
        <v>106900</v>
      </c>
    </row>
    <row r="298" spans="1:8" x14ac:dyDescent="0.25">
      <c r="A298" s="29" t="s">
        <v>22</v>
      </c>
      <c r="B298" s="29" t="s">
        <v>369</v>
      </c>
      <c r="C298" s="29" t="s">
        <v>288</v>
      </c>
      <c r="D298" s="29" t="s">
        <v>11</v>
      </c>
      <c r="E298" s="29">
        <v>35</v>
      </c>
      <c r="F298" s="38">
        <f>E298*1800</f>
        <v>63000</v>
      </c>
      <c r="G298" s="38">
        <f>E298*500</f>
        <v>17500</v>
      </c>
      <c r="H298" s="38">
        <f>E298*1300</f>
        <v>45500</v>
      </c>
    </row>
    <row r="299" spans="1:8" x14ac:dyDescent="0.25">
      <c r="A299" s="29"/>
      <c r="B299" s="29"/>
      <c r="C299" s="29" t="s">
        <v>106</v>
      </c>
      <c r="D299" s="29" t="s">
        <v>11</v>
      </c>
      <c r="E299" s="29">
        <v>24</v>
      </c>
      <c r="F299" s="38">
        <v>36000</v>
      </c>
      <c r="G299" s="38">
        <f>E299*500</f>
        <v>12000</v>
      </c>
      <c r="H299" s="38">
        <f>E299*1000</f>
        <v>24000</v>
      </c>
    </row>
    <row r="300" spans="1:8" x14ac:dyDescent="0.25">
      <c r="A300" s="29"/>
      <c r="B300" s="29"/>
      <c r="C300" s="29" t="s">
        <v>16</v>
      </c>
      <c r="D300" s="29" t="s">
        <v>11</v>
      </c>
      <c r="E300" s="29">
        <v>59</v>
      </c>
      <c r="F300" s="38">
        <f>E300*1500</f>
        <v>88500</v>
      </c>
      <c r="G300" s="38">
        <f>E300*500</f>
        <v>29500</v>
      </c>
      <c r="H300" s="38">
        <v>59000</v>
      </c>
    </row>
    <row r="301" spans="1:8" x14ac:dyDescent="0.25">
      <c r="A301" s="29"/>
      <c r="B301" s="29"/>
      <c r="C301" s="29"/>
      <c r="D301" s="29" t="s">
        <v>12</v>
      </c>
      <c r="E301" s="29">
        <v>6</v>
      </c>
      <c r="F301" s="38">
        <v>18000</v>
      </c>
      <c r="G301" s="38">
        <f>E301*2000</f>
        <v>12000</v>
      </c>
      <c r="H301" s="38">
        <v>6000</v>
      </c>
    </row>
    <row r="302" spans="1:8" x14ac:dyDescent="0.25">
      <c r="A302" s="126" t="s">
        <v>17</v>
      </c>
      <c r="B302" s="126"/>
      <c r="C302" s="126"/>
      <c r="D302" s="126"/>
      <c r="E302" s="126"/>
      <c r="F302" s="17">
        <f>SUM(F298:F301)</f>
        <v>205500</v>
      </c>
      <c r="G302" s="17">
        <f>SUM(G298:G301)</f>
        <v>71000</v>
      </c>
      <c r="H302" s="17">
        <f>SUM(H298:H301)</f>
        <v>134500</v>
      </c>
    </row>
    <row r="303" spans="1:8" x14ac:dyDescent="0.25">
      <c r="A303" s="29" t="s">
        <v>26</v>
      </c>
      <c r="B303" s="29" t="s">
        <v>370</v>
      </c>
      <c r="C303" s="29" t="s">
        <v>288</v>
      </c>
      <c r="D303" s="29" t="s">
        <v>11</v>
      </c>
      <c r="E303" s="29">
        <v>33</v>
      </c>
      <c r="F303" s="38">
        <v>59400</v>
      </c>
      <c r="G303" s="38">
        <f t="shared" ref="G303:G311" si="17">E303*500</f>
        <v>16500</v>
      </c>
      <c r="H303" s="38">
        <f>E303*1300</f>
        <v>42900</v>
      </c>
    </row>
    <row r="304" spans="1:8" x14ac:dyDescent="0.25">
      <c r="A304" s="29"/>
      <c r="B304" s="29"/>
      <c r="C304" s="29" t="s">
        <v>106</v>
      </c>
      <c r="D304" s="29" t="s">
        <v>11</v>
      </c>
      <c r="E304" s="29">
        <v>24</v>
      </c>
      <c r="F304" s="38">
        <v>36000</v>
      </c>
      <c r="G304" s="38">
        <f t="shared" si="17"/>
        <v>12000</v>
      </c>
      <c r="H304" s="38">
        <v>36000</v>
      </c>
    </row>
    <row r="305" spans="1:8" x14ac:dyDescent="0.25">
      <c r="A305" s="29"/>
      <c r="B305" s="29"/>
      <c r="C305" s="29" t="s">
        <v>292</v>
      </c>
      <c r="D305" s="29" t="s">
        <v>11</v>
      </c>
      <c r="E305" s="29">
        <v>23</v>
      </c>
      <c r="F305" s="38">
        <f t="shared" ref="F305:F311" si="18">E305*1500</f>
        <v>34500</v>
      </c>
      <c r="G305" s="38">
        <f t="shared" si="17"/>
        <v>11500</v>
      </c>
      <c r="H305" s="38">
        <v>23000</v>
      </c>
    </row>
    <row r="306" spans="1:8" x14ac:dyDescent="0.25">
      <c r="A306" s="29"/>
      <c r="B306" s="29"/>
      <c r="C306" s="29" t="s">
        <v>77</v>
      </c>
      <c r="D306" s="29" t="s">
        <v>11</v>
      </c>
      <c r="E306" s="29">
        <v>130</v>
      </c>
      <c r="F306" s="38">
        <f t="shared" si="18"/>
        <v>195000</v>
      </c>
      <c r="G306" s="38">
        <f t="shared" si="17"/>
        <v>65000</v>
      </c>
      <c r="H306" s="38">
        <f t="shared" ref="H306:H311" si="19">E306*1000</f>
        <v>130000</v>
      </c>
    </row>
    <row r="307" spans="1:8" x14ac:dyDescent="0.25">
      <c r="A307" s="29"/>
      <c r="B307" s="29"/>
      <c r="C307" s="29"/>
      <c r="D307" s="29"/>
      <c r="E307" s="29">
        <v>120</v>
      </c>
      <c r="F307" s="38">
        <f t="shared" si="18"/>
        <v>180000</v>
      </c>
      <c r="G307" s="38">
        <f t="shared" si="17"/>
        <v>60000</v>
      </c>
      <c r="H307" s="38">
        <f t="shared" si="19"/>
        <v>120000</v>
      </c>
    </row>
    <row r="308" spans="1:8" x14ac:dyDescent="0.25">
      <c r="A308" s="29"/>
      <c r="B308" s="29"/>
      <c r="C308" s="29"/>
      <c r="D308" s="29"/>
      <c r="E308" s="29">
        <v>130</v>
      </c>
      <c r="F308" s="38">
        <f t="shared" si="18"/>
        <v>195000</v>
      </c>
      <c r="G308" s="38">
        <f t="shared" si="17"/>
        <v>65000</v>
      </c>
      <c r="H308" s="38">
        <f t="shared" si="19"/>
        <v>130000</v>
      </c>
    </row>
    <row r="309" spans="1:8" x14ac:dyDescent="0.25">
      <c r="A309" s="29"/>
      <c r="B309" s="29"/>
      <c r="C309" s="29"/>
      <c r="D309" s="29"/>
      <c r="E309" s="29">
        <v>101</v>
      </c>
      <c r="F309" s="38">
        <f t="shared" si="18"/>
        <v>151500</v>
      </c>
      <c r="G309" s="38">
        <f t="shared" si="17"/>
        <v>50500</v>
      </c>
      <c r="H309" s="38">
        <f t="shared" si="19"/>
        <v>101000</v>
      </c>
    </row>
    <row r="310" spans="1:8" x14ac:dyDescent="0.25">
      <c r="A310" s="29"/>
      <c r="B310" s="29"/>
      <c r="C310" s="29"/>
      <c r="D310" s="29"/>
      <c r="E310" s="29">
        <v>101</v>
      </c>
      <c r="F310" s="38">
        <f t="shared" si="18"/>
        <v>151500</v>
      </c>
      <c r="G310" s="38">
        <f t="shared" si="17"/>
        <v>50500</v>
      </c>
      <c r="H310" s="38">
        <f t="shared" si="19"/>
        <v>101000</v>
      </c>
    </row>
    <row r="311" spans="1:8" x14ac:dyDescent="0.25">
      <c r="A311" s="29"/>
      <c r="B311" s="29"/>
      <c r="C311" s="29"/>
      <c r="D311" s="29"/>
      <c r="E311" s="29">
        <v>97</v>
      </c>
      <c r="F311" s="38">
        <f t="shared" si="18"/>
        <v>145500</v>
      </c>
      <c r="G311" s="38">
        <f t="shared" si="17"/>
        <v>48500</v>
      </c>
      <c r="H311" s="38">
        <f t="shared" si="19"/>
        <v>97000</v>
      </c>
    </row>
    <row r="312" spans="1:8" x14ac:dyDescent="0.25">
      <c r="A312" s="29"/>
      <c r="B312" s="29"/>
      <c r="C312" s="29" t="s">
        <v>235</v>
      </c>
      <c r="D312" s="29" t="s">
        <v>243</v>
      </c>
      <c r="E312" s="29">
        <v>3</v>
      </c>
      <c r="F312" s="38">
        <f>E312*13000</f>
        <v>39000</v>
      </c>
      <c r="G312" s="38">
        <v>30000</v>
      </c>
      <c r="H312" s="38">
        <v>9000</v>
      </c>
    </row>
    <row r="313" spans="1:8" x14ac:dyDescent="0.25">
      <c r="A313" s="29"/>
      <c r="B313" s="29"/>
      <c r="C313" s="29" t="s">
        <v>217</v>
      </c>
      <c r="D313" s="29" t="s">
        <v>11</v>
      </c>
      <c r="E313" s="29">
        <v>75</v>
      </c>
      <c r="F313" s="38">
        <f>E313*1500</f>
        <v>112500</v>
      </c>
      <c r="G313" s="38">
        <f>E313*500</f>
        <v>37500</v>
      </c>
      <c r="H313" s="29">
        <v>75000</v>
      </c>
    </row>
    <row r="314" spans="1:8" x14ac:dyDescent="0.25">
      <c r="A314" s="29"/>
      <c r="B314" s="29"/>
      <c r="C314" s="29"/>
      <c r="D314" s="29" t="s">
        <v>13</v>
      </c>
      <c r="E314" s="29">
        <v>44</v>
      </c>
      <c r="F314" s="38">
        <f>E314*6500</f>
        <v>286000</v>
      </c>
      <c r="G314" s="38">
        <f>E314*4500</f>
        <v>198000</v>
      </c>
      <c r="H314" s="29">
        <f>E314*2000</f>
        <v>88000</v>
      </c>
    </row>
    <row r="315" spans="1:8" x14ac:dyDescent="0.25">
      <c r="A315" s="29"/>
      <c r="B315" s="29"/>
      <c r="C315" s="29"/>
      <c r="D315" s="29" t="s">
        <v>14</v>
      </c>
      <c r="E315" s="29">
        <v>22</v>
      </c>
      <c r="F315" s="38">
        <f>E315*10000</f>
        <v>220000</v>
      </c>
      <c r="G315" s="38">
        <f>E315*5500</f>
        <v>121000</v>
      </c>
      <c r="H315" s="29">
        <f>E315*4500</f>
        <v>99000</v>
      </c>
    </row>
    <row r="316" spans="1:8" x14ac:dyDescent="0.25">
      <c r="A316" s="29"/>
      <c r="B316" s="29"/>
      <c r="C316" s="29" t="s">
        <v>10</v>
      </c>
      <c r="D316" s="29" t="s">
        <v>11</v>
      </c>
      <c r="E316" s="29">
        <v>69</v>
      </c>
      <c r="F316" s="38">
        <f>E316*1500</f>
        <v>103500</v>
      </c>
      <c r="G316" s="38">
        <f>E316*500</f>
        <v>34500</v>
      </c>
      <c r="H316" s="38">
        <v>69000</v>
      </c>
    </row>
    <row r="317" spans="1:8" x14ac:dyDescent="0.25">
      <c r="A317" s="29"/>
      <c r="B317" s="29"/>
      <c r="C317" s="29"/>
      <c r="D317" s="29" t="s">
        <v>13</v>
      </c>
      <c r="E317" s="29">
        <f>35+8</f>
        <v>43</v>
      </c>
      <c r="F317" s="38">
        <f>E317*6500</f>
        <v>279500</v>
      </c>
      <c r="G317" s="38">
        <f>E317*5500</f>
        <v>236500</v>
      </c>
      <c r="H317" s="38">
        <v>43000</v>
      </c>
    </row>
    <row r="318" spans="1:8" x14ac:dyDescent="0.25">
      <c r="A318" s="29"/>
      <c r="B318" s="29"/>
      <c r="C318" s="29"/>
      <c r="D318" s="29" t="s">
        <v>14</v>
      </c>
      <c r="E318" s="29">
        <f>26+7</f>
        <v>33</v>
      </c>
      <c r="F318" s="38">
        <f>E318*10000</f>
        <v>330000</v>
      </c>
      <c r="G318" s="38">
        <f>E318*5500</f>
        <v>181500</v>
      </c>
      <c r="H318" s="38">
        <f>E318*4500</f>
        <v>148500</v>
      </c>
    </row>
    <row r="319" spans="1:8" x14ac:dyDescent="0.25">
      <c r="A319" s="29"/>
      <c r="B319" s="29"/>
      <c r="C319" s="29" t="s">
        <v>16</v>
      </c>
      <c r="D319" s="29" t="s">
        <v>11</v>
      </c>
      <c r="E319" s="29">
        <v>22</v>
      </c>
      <c r="F319" s="38">
        <f>E319*1500</f>
        <v>33000</v>
      </c>
      <c r="G319" s="38">
        <f>E319*500</f>
        <v>11000</v>
      </c>
      <c r="H319" s="38">
        <v>22000</v>
      </c>
    </row>
    <row r="320" spans="1:8" x14ac:dyDescent="0.25">
      <c r="A320" s="29"/>
      <c r="B320" s="29"/>
      <c r="C320" s="29"/>
      <c r="D320" s="29" t="s">
        <v>12</v>
      </c>
      <c r="E320" s="29">
        <v>3</v>
      </c>
      <c r="F320" s="38">
        <v>9000</v>
      </c>
      <c r="G320" s="38">
        <v>6000</v>
      </c>
      <c r="H320" s="38">
        <v>3000</v>
      </c>
    </row>
    <row r="321" spans="1:8" x14ac:dyDescent="0.25">
      <c r="A321" s="29"/>
      <c r="B321" s="29"/>
      <c r="C321" s="29"/>
      <c r="D321" s="29" t="s">
        <v>14</v>
      </c>
      <c r="E321" s="29">
        <v>1</v>
      </c>
      <c r="F321" s="38">
        <v>10000</v>
      </c>
      <c r="G321" s="38">
        <v>5500</v>
      </c>
      <c r="H321" s="38">
        <v>4500</v>
      </c>
    </row>
    <row r="322" spans="1:8" x14ac:dyDescent="0.25">
      <c r="A322" s="126" t="s">
        <v>17</v>
      </c>
      <c r="B322" s="126"/>
      <c r="C322" s="126"/>
      <c r="D322" s="126"/>
      <c r="E322" s="126"/>
      <c r="F322" s="17">
        <f>SUM(F303:F321)</f>
        <v>2570900</v>
      </c>
      <c r="G322" s="17">
        <f>SUM(G303:G321)</f>
        <v>1241000</v>
      </c>
      <c r="H322" s="17">
        <f>SUM(H303:H321)</f>
        <v>1341900</v>
      </c>
    </row>
    <row r="323" spans="1:8" x14ac:dyDescent="0.25">
      <c r="A323" s="29" t="s">
        <v>28</v>
      </c>
      <c r="B323" s="29" t="s">
        <v>371</v>
      </c>
      <c r="C323" s="29" t="s">
        <v>10</v>
      </c>
      <c r="D323" s="29" t="s">
        <v>13</v>
      </c>
      <c r="E323" s="29">
        <v>18</v>
      </c>
      <c r="F323" s="38">
        <f>E323*6500</f>
        <v>117000</v>
      </c>
      <c r="G323" s="38">
        <f>E323*4500</f>
        <v>81000</v>
      </c>
      <c r="H323" s="38">
        <f>E323*2000</f>
        <v>36000</v>
      </c>
    </row>
    <row r="324" spans="1:8" x14ac:dyDescent="0.25">
      <c r="A324" s="29"/>
      <c r="B324" s="29"/>
      <c r="C324" s="29"/>
      <c r="D324" s="29" t="s">
        <v>14</v>
      </c>
      <c r="E324" s="29">
        <v>19</v>
      </c>
      <c r="F324" s="38">
        <f>E324*8000</f>
        <v>152000</v>
      </c>
      <c r="G324" s="38">
        <f>E324*5500</f>
        <v>104500</v>
      </c>
      <c r="H324" s="38">
        <f>E324*2500</f>
        <v>47500</v>
      </c>
    </row>
    <row r="325" spans="1:8" x14ac:dyDescent="0.25">
      <c r="A325" s="29"/>
      <c r="B325" s="29"/>
      <c r="C325" s="29" t="s">
        <v>20</v>
      </c>
      <c r="D325" s="29" t="s">
        <v>13</v>
      </c>
      <c r="E325" s="29">
        <v>15</v>
      </c>
      <c r="F325" s="38">
        <f>E325*6500</f>
        <v>97500</v>
      </c>
      <c r="G325" s="38">
        <f>E325*4500</f>
        <v>67500</v>
      </c>
      <c r="H325" s="38">
        <f>E325*2000</f>
        <v>30000</v>
      </c>
    </row>
    <row r="326" spans="1:8" x14ac:dyDescent="0.25">
      <c r="A326" s="29"/>
      <c r="B326" s="29"/>
      <c r="C326" s="29"/>
      <c r="D326" s="29" t="s">
        <v>14</v>
      </c>
      <c r="E326" s="29">
        <v>23</v>
      </c>
      <c r="F326" s="38">
        <f>E326*10000</f>
        <v>230000</v>
      </c>
      <c r="G326" s="38">
        <f>E326*5500</f>
        <v>126500</v>
      </c>
      <c r="H326" s="38">
        <f>E326*4500</f>
        <v>103500</v>
      </c>
    </row>
    <row r="327" spans="1:8" x14ac:dyDescent="0.25">
      <c r="A327" s="126" t="s">
        <v>17</v>
      </c>
      <c r="B327" s="126"/>
      <c r="C327" s="126"/>
      <c r="D327" s="126"/>
      <c r="E327" s="126"/>
      <c r="F327" s="41">
        <f>SUM(F323:F326)</f>
        <v>596500</v>
      </c>
      <c r="G327" s="41">
        <f>SUM(G323:G326)</f>
        <v>379500</v>
      </c>
      <c r="H327" s="41">
        <f>SUM(H323:H326)</f>
        <v>217000</v>
      </c>
    </row>
    <row r="328" spans="1:8" x14ac:dyDescent="0.25">
      <c r="A328" s="29"/>
      <c r="B328" s="29"/>
      <c r="C328" s="29" t="s">
        <v>81</v>
      </c>
      <c r="D328" s="29" t="s">
        <v>11</v>
      </c>
      <c r="E328" s="29">
        <v>73</v>
      </c>
      <c r="F328" s="38">
        <f t="shared" ref="F328:F333" si="20">E328*1800</f>
        <v>131400</v>
      </c>
      <c r="G328" s="38">
        <f>E328*500</f>
        <v>36500</v>
      </c>
      <c r="H328" s="38">
        <f t="shared" ref="H328:H333" si="21">E328*1300</f>
        <v>94900</v>
      </c>
    </row>
    <row r="329" spans="1:8" x14ac:dyDescent="0.25">
      <c r="A329" s="29"/>
      <c r="B329" s="29"/>
      <c r="C329" s="29"/>
      <c r="D329" s="29"/>
      <c r="E329" s="29">
        <v>75</v>
      </c>
      <c r="F329" s="38">
        <f t="shared" si="20"/>
        <v>135000</v>
      </c>
      <c r="G329" s="38">
        <f t="shared" ref="G329:G334" si="22">E329*500</f>
        <v>37500</v>
      </c>
      <c r="H329" s="38">
        <f t="shared" si="21"/>
        <v>97500</v>
      </c>
    </row>
    <row r="330" spans="1:8" x14ac:dyDescent="0.25">
      <c r="A330" s="29"/>
      <c r="B330" s="29"/>
      <c r="C330" s="29"/>
      <c r="D330" s="29"/>
      <c r="E330" s="29">
        <v>75</v>
      </c>
      <c r="F330" s="38">
        <f t="shared" si="20"/>
        <v>135000</v>
      </c>
      <c r="G330" s="38">
        <f t="shared" si="22"/>
        <v>37500</v>
      </c>
      <c r="H330" s="38">
        <f t="shared" si="21"/>
        <v>97500</v>
      </c>
    </row>
    <row r="331" spans="1:8" x14ac:dyDescent="0.25">
      <c r="A331" s="29"/>
      <c r="B331" s="29"/>
      <c r="C331" s="29"/>
      <c r="D331" s="29"/>
      <c r="E331" s="29">
        <v>75</v>
      </c>
      <c r="F331" s="38">
        <f t="shared" si="20"/>
        <v>135000</v>
      </c>
      <c r="G331" s="38">
        <f t="shared" si="22"/>
        <v>37500</v>
      </c>
      <c r="H331" s="38">
        <f t="shared" si="21"/>
        <v>97500</v>
      </c>
    </row>
    <row r="332" spans="1:8" x14ac:dyDescent="0.25">
      <c r="A332" s="29"/>
      <c r="B332" s="29"/>
      <c r="C332" s="29"/>
      <c r="D332" s="29"/>
      <c r="E332" s="29">
        <v>75</v>
      </c>
      <c r="F332" s="38">
        <f t="shared" si="20"/>
        <v>135000</v>
      </c>
      <c r="G332" s="38">
        <f t="shared" si="22"/>
        <v>37500</v>
      </c>
      <c r="H332" s="38">
        <f t="shared" si="21"/>
        <v>97500</v>
      </c>
    </row>
    <row r="333" spans="1:8" x14ac:dyDescent="0.25">
      <c r="A333" s="29"/>
      <c r="B333" s="29"/>
      <c r="C333" s="29"/>
      <c r="D333" s="29"/>
      <c r="E333" s="29">
        <v>75</v>
      </c>
      <c r="F333" s="38">
        <f t="shared" si="20"/>
        <v>135000</v>
      </c>
      <c r="G333" s="38">
        <f t="shared" si="22"/>
        <v>37500</v>
      </c>
      <c r="H333" s="38">
        <f t="shared" si="21"/>
        <v>97500</v>
      </c>
    </row>
    <row r="334" spans="1:8" x14ac:dyDescent="0.25">
      <c r="A334" s="29"/>
      <c r="B334" s="29"/>
      <c r="C334" s="29" t="s">
        <v>16</v>
      </c>
      <c r="D334" s="29" t="s">
        <v>11</v>
      </c>
      <c r="E334" s="29">
        <v>74</v>
      </c>
      <c r="F334" s="38">
        <f>E334*1500</f>
        <v>111000</v>
      </c>
      <c r="G334" s="38">
        <f t="shared" si="22"/>
        <v>37000</v>
      </c>
      <c r="H334" s="38">
        <f>E334*1000</f>
        <v>74000</v>
      </c>
    </row>
    <row r="335" spans="1:8" x14ac:dyDescent="0.25">
      <c r="A335" s="29"/>
      <c r="B335" s="29"/>
      <c r="C335" s="29"/>
      <c r="D335" s="29" t="s">
        <v>12</v>
      </c>
      <c r="E335" s="29">
        <v>10</v>
      </c>
      <c r="F335" s="38">
        <f>E335*3000</f>
        <v>30000</v>
      </c>
      <c r="G335" s="38">
        <f>E335*2000</f>
        <v>20000</v>
      </c>
      <c r="H335" s="38">
        <f>E335*1000</f>
        <v>10000</v>
      </c>
    </row>
    <row r="336" spans="1:8" x14ac:dyDescent="0.25">
      <c r="A336" s="29"/>
      <c r="B336" s="29"/>
      <c r="C336" s="29"/>
      <c r="D336" s="29" t="s">
        <v>13</v>
      </c>
      <c r="E336" s="29">
        <v>3</v>
      </c>
      <c r="F336" s="38">
        <f>E336*6500</f>
        <v>19500</v>
      </c>
      <c r="G336" s="38">
        <f>E336*4500</f>
        <v>13500</v>
      </c>
      <c r="H336" s="38">
        <f>E336*2000</f>
        <v>6000</v>
      </c>
    </row>
    <row r="337" spans="1:8" x14ac:dyDescent="0.25">
      <c r="A337" s="29"/>
      <c r="B337" s="29"/>
      <c r="C337" s="29"/>
      <c r="D337" s="29" t="s">
        <v>14</v>
      </c>
      <c r="E337" s="29">
        <v>2</v>
      </c>
      <c r="F337" s="38">
        <v>20000</v>
      </c>
      <c r="G337" s="38">
        <f>E337*5500</f>
        <v>11000</v>
      </c>
      <c r="H337" s="38">
        <f>E337*4500</f>
        <v>9000</v>
      </c>
    </row>
    <row r="338" spans="1:8" x14ac:dyDescent="0.25">
      <c r="A338" s="29"/>
      <c r="B338" s="29"/>
      <c r="C338" s="29" t="s">
        <v>217</v>
      </c>
      <c r="D338" s="29" t="s">
        <v>13</v>
      </c>
      <c r="E338" s="29">
        <v>1</v>
      </c>
      <c r="F338" s="38">
        <v>6500</v>
      </c>
      <c r="G338" s="38">
        <v>4500</v>
      </c>
      <c r="H338" s="38">
        <v>2000</v>
      </c>
    </row>
    <row r="339" spans="1:8" x14ac:dyDescent="0.25">
      <c r="A339" s="29"/>
      <c r="B339" s="29"/>
      <c r="C339" s="29"/>
      <c r="D339" s="29" t="s">
        <v>14</v>
      </c>
      <c r="E339" s="29">
        <v>2</v>
      </c>
      <c r="F339" s="38">
        <v>16000</v>
      </c>
      <c r="G339" s="38">
        <f>E339*5500</f>
        <v>11000</v>
      </c>
      <c r="H339" s="38">
        <f>E339*2500</f>
        <v>5000</v>
      </c>
    </row>
    <row r="340" spans="1:8" x14ac:dyDescent="0.25">
      <c r="A340" s="126" t="s">
        <v>17</v>
      </c>
      <c r="B340" s="126"/>
      <c r="C340" s="126"/>
      <c r="D340" s="126"/>
      <c r="E340" s="126"/>
      <c r="F340" s="17">
        <f>SUM(F328:F339)</f>
        <v>1009400</v>
      </c>
      <c r="G340" s="17">
        <f>SUM(G328:G339)</f>
        <v>321000</v>
      </c>
      <c r="H340" s="17">
        <f>SUM(H328:H339)</f>
        <v>688400</v>
      </c>
    </row>
    <row r="341" spans="1:8" x14ac:dyDescent="0.25">
      <c r="A341" s="29" t="s">
        <v>30</v>
      </c>
      <c r="B341" s="29" t="s">
        <v>372</v>
      </c>
      <c r="C341" s="29" t="s">
        <v>16</v>
      </c>
      <c r="D341" s="29" t="s">
        <v>11</v>
      </c>
      <c r="E341" s="29">
        <v>58</v>
      </c>
      <c r="F341" s="38">
        <f>E341*1500</f>
        <v>87000</v>
      </c>
      <c r="G341" s="38">
        <f>E341*500</f>
        <v>29000</v>
      </c>
      <c r="H341" s="38">
        <v>58000</v>
      </c>
    </row>
    <row r="342" spans="1:8" x14ac:dyDescent="0.25">
      <c r="A342" s="29"/>
      <c r="B342" s="29"/>
      <c r="C342" s="29"/>
      <c r="D342" s="29" t="s">
        <v>12</v>
      </c>
      <c r="E342" s="29">
        <v>4</v>
      </c>
      <c r="F342" s="29">
        <f>E342*3000</f>
        <v>12000</v>
      </c>
      <c r="G342" s="29">
        <f>E342*2000</f>
        <v>8000</v>
      </c>
      <c r="H342" s="29">
        <f>E342*1000</f>
        <v>4000</v>
      </c>
    </row>
    <row r="343" spans="1:8" x14ac:dyDescent="0.25">
      <c r="A343" s="29"/>
      <c r="B343" s="29"/>
      <c r="C343" s="29" t="s">
        <v>10</v>
      </c>
      <c r="D343" s="29" t="s">
        <v>11</v>
      </c>
      <c r="E343" s="29">
        <v>14</v>
      </c>
      <c r="F343" s="29">
        <f>E343*1500</f>
        <v>21000</v>
      </c>
      <c r="G343" s="29">
        <f>E343*500</f>
        <v>7000</v>
      </c>
      <c r="H343" s="29">
        <v>14000</v>
      </c>
    </row>
    <row r="344" spans="1:8" x14ac:dyDescent="0.25">
      <c r="A344" s="126" t="s">
        <v>17</v>
      </c>
      <c r="B344" s="126"/>
      <c r="C344" s="126"/>
      <c r="D344" s="126"/>
      <c r="E344" s="126"/>
      <c r="F344" s="41">
        <f>SUM(F341:F343)</f>
        <v>120000</v>
      </c>
      <c r="G344" s="41">
        <f>SUM(G341:G343)</f>
        <v>44000</v>
      </c>
      <c r="H344" s="41">
        <f>SUM(H341:H343)</f>
        <v>76000</v>
      </c>
    </row>
    <row r="345" spans="1:8" x14ac:dyDescent="0.25">
      <c r="A345" s="29"/>
      <c r="B345" s="29"/>
      <c r="C345" s="29"/>
      <c r="D345" s="29"/>
      <c r="E345" s="29"/>
      <c r="F345" s="29"/>
      <c r="G345" s="29"/>
      <c r="H345" s="29"/>
    </row>
  </sheetData>
  <mergeCells count="34">
    <mergeCell ref="A61:E61"/>
    <mergeCell ref="A121:E121"/>
    <mergeCell ref="A98:E98"/>
    <mergeCell ref="A297:E297"/>
    <mergeCell ref="A72:E72"/>
    <mergeCell ref="A135:E135"/>
    <mergeCell ref="A181:E181"/>
    <mergeCell ref="A166:E166"/>
    <mergeCell ref="A161:E161"/>
    <mergeCell ref="A158:E158"/>
    <mergeCell ref="A149:E149"/>
    <mergeCell ref="A290:E290"/>
    <mergeCell ref="A111:E111"/>
    <mergeCell ref="A204:E204"/>
    <mergeCell ref="A16:E16"/>
    <mergeCell ref="A26:E26"/>
    <mergeCell ref="A41:E41"/>
    <mergeCell ref="A49:E49"/>
    <mergeCell ref="A57:E57"/>
    <mergeCell ref="A322:E322"/>
    <mergeCell ref="A302:E302"/>
    <mergeCell ref="A344:E344"/>
    <mergeCell ref="A82:E82"/>
    <mergeCell ref="A201:E201"/>
    <mergeCell ref="A281:D281"/>
    <mergeCell ref="A234:D234"/>
    <mergeCell ref="A245:E245"/>
    <mergeCell ref="A228:E228"/>
    <mergeCell ref="A207:E207"/>
    <mergeCell ref="A219:E219"/>
    <mergeCell ref="A275:E275"/>
    <mergeCell ref="A259:E259"/>
    <mergeCell ref="A340:E340"/>
    <mergeCell ref="A327:E32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11"/>
  <sheetViews>
    <sheetView topLeftCell="A330" workbookViewId="0">
      <selection activeCell="F349" sqref="F349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16.85546875" bestFit="1" customWidth="1"/>
    <col min="4" max="4" width="8.5703125" bestFit="1" customWidth="1"/>
    <col min="5" max="5" width="7" bestFit="1" customWidth="1"/>
    <col min="6" max="6" width="10.5703125" bestFit="1" customWidth="1"/>
    <col min="7" max="7" width="9" bestFit="1" customWidth="1"/>
    <col min="8" max="8" width="10.5703125" bestFit="1" customWidth="1"/>
  </cols>
  <sheetData>
    <row r="1" spans="1: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s="29" t="s">
        <v>32</v>
      </c>
      <c r="B2" s="37">
        <v>44572</v>
      </c>
      <c r="C2" s="29" t="s">
        <v>16</v>
      </c>
      <c r="D2" s="29" t="s">
        <v>11</v>
      </c>
      <c r="E2" s="29">
        <v>56</v>
      </c>
      <c r="F2" s="38">
        <f>E2*1500</f>
        <v>84000</v>
      </c>
      <c r="G2" s="38">
        <f>E2*500</f>
        <v>28000</v>
      </c>
      <c r="H2" s="38">
        <f>E2*1000</f>
        <v>56000</v>
      </c>
    </row>
    <row r="3" spans="1:8" x14ac:dyDescent="0.25">
      <c r="A3" s="29"/>
      <c r="B3" s="29"/>
      <c r="C3" s="29"/>
      <c r="D3" s="29" t="s">
        <v>12</v>
      </c>
      <c r="E3" s="29">
        <v>3</v>
      </c>
      <c r="F3" s="38">
        <f>E3*3000</f>
        <v>9000</v>
      </c>
      <c r="G3" s="38">
        <f>E3*2000</f>
        <v>6000</v>
      </c>
      <c r="H3" s="38">
        <f>E3*1000</f>
        <v>3000</v>
      </c>
    </row>
    <row r="4" spans="1:8" x14ac:dyDescent="0.25">
      <c r="A4" s="29"/>
      <c r="B4" s="29"/>
      <c r="C4" s="29"/>
      <c r="D4" s="29" t="s">
        <v>13</v>
      </c>
      <c r="E4" s="29">
        <v>3</v>
      </c>
      <c r="F4" s="38">
        <f>E4*6500</f>
        <v>19500</v>
      </c>
      <c r="G4" s="38">
        <f>E4*4500</f>
        <v>13500</v>
      </c>
      <c r="H4" s="38">
        <f>E4*2000</f>
        <v>6000</v>
      </c>
    </row>
    <row r="5" spans="1:8" x14ac:dyDescent="0.25">
      <c r="A5" s="29"/>
      <c r="B5" s="29"/>
      <c r="C5" s="29" t="s">
        <v>288</v>
      </c>
      <c r="D5" s="29" t="s">
        <v>11</v>
      </c>
      <c r="E5" s="29">
        <v>34</v>
      </c>
      <c r="F5" s="38">
        <f>E5*1800</f>
        <v>61200</v>
      </c>
      <c r="G5" s="38">
        <f>E5*500</f>
        <v>17000</v>
      </c>
      <c r="H5" s="38">
        <f>E5*1300</f>
        <v>44200</v>
      </c>
    </row>
    <row r="6" spans="1:8" x14ac:dyDescent="0.25">
      <c r="A6" s="29"/>
      <c r="B6" s="29"/>
      <c r="C6" s="29" t="s">
        <v>106</v>
      </c>
      <c r="D6" s="29" t="s">
        <v>11</v>
      </c>
      <c r="E6" s="29">
        <v>25</v>
      </c>
      <c r="F6" s="38">
        <f>E6*1500</f>
        <v>37500</v>
      </c>
      <c r="G6" s="38">
        <f>E6*500</f>
        <v>12500</v>
      </c>
      <c r="H6" s="38">
        <f>E6*1000</f>
        <v>25000</v>
      </c>
    </row>
    <row r="7" spans="1:8" x14ac:dyDescent="0.25">
      <c r="A7" s="29"/>
      <c r="B7" s="29"/>
      <c r="C7" s="29"/>
      <c r="D7" s="29"/>
      <c r="E7" s="29"/>
      <c r="F7" s="38"/>
      <c r="G7" s="38"/>
      <c r="H7" s="38"/>
    </row>
    <row r="8" spans="1:8" x14ac:dyDescent="0.25">
      <c r="A8" s="126" t="s">
        <v>17</v>
      </c>
      <c r="B8" s="126"/>
      <c r="C8" s="126"/>
      <c r="D8" s="126"/>
      <c r="E8" s="126"/>
      <c r="F8" s="17">
        <f>SUM(F2:F6)</f>
        <v>211200</v>
      </c>
      <c r="G8" s="17">
        <f>SUM(G2:G6)</f>
        <v>77000</v>
      </c>
      <c r="H8" s="17">
        <f>SUM(H2:H6)</f>
        <v>134200</v>
      </c>
    </row>
    <row r="9" spans="1:8" x14ac:dyDescent="0.25">
      <c r="A9" s="29" t="s">
        <v>8</v>
      </c>
      <c r="B9" s="37">
        <v>44603</v>
      </c>
      <c r="C9" s="29" t="s">
        <v>288</v>
      </c>
      <c r="D9" s="29" t="s">
        <v>11</v>
      </c>
      <c r="E9" s="29">
        <f>36-2</f>
        <v>34</v>
      </c>
      <c r="F9" s="38">
        <f>E9*1500</f>
        <v>51000</v>
      </c>
      <c r="G9" s="38">
        <f>E9*500</f>
        <v>17000</v>
      </c>
      <c r="H9" s="38">
        <f>E9*1000</f>
        <v>34000</v>
      </c>
    </row>
    <row r="10" spans="1:8" x14ac:dyDescent="0.25">
      <c r="A10" s="29"/>
      <c r="B10" s="29"/>
      <c r="C10" s="29" t="s">
        <v>106</v>
      </c>
      <c r="D10" s="29" t="s">
        <v>11</v>
      </c>
      <c r="E10" s="29">
        <v>23</v>
      </c>
      <c r="F10" s="38">
        <f>E10*1500</f>
        <v>34500</v>
      </c>
      <c r="G10" s="38">
        <f>E10*500</f>
        <v>11500</v>
      </c>
      <c r="H10" s="38">
        <v>23000</v>
      </c>
    </row>
    <row r="11" spans="1:8" x14ac:dyDescent="0.25">
      <c r="A11" s="29"/>
      <c r="B11" s="29"/>
      <c r="C11" s="29" t="s">
        <v>16</v>
      </c>
      <c r="D11" s="29" t="s">
        <v>11</v>
      </c>
      <c r="E11" s="29">
        <v>69</v>
      </c>
      <c r="F11" s="38">
        <f>E11*1500</f>
        <v>103500</v>
      </c>
      <c r="G11" s="38">
        <f>E11*500</f>
        <v>34500</v>
      </c>
      <c r="H11" s="38">
        <v>103000</v>
      </c>
    </row>
    <row r="12" spans="1:8" x14ac:dyDescent="0.25">
      <c r="A12" s="29"/>
      <c r="B12" s="29"/>
      <c r="C12" s="29"/>
      <c r="D12" s="29" t="s">
        <v>12</v>
      </c>
      <c r="E12" s="29">
        <v>6</v>
      </c>
      <c r="F12" s="38">
        <f>E12*3000</f>
        <v>18000</v>
      </c>
      <c r="G12" s="38">
        <f>E12*2000</f>
        <v>12000</v>
      </c>
      <c r="H12" s="38">
        <v>6000</v>
      </c>
    </row>
    <row r="13" spans="1:8" x14ac:dyDescent="0.25">
      <c r="A13" s="29"/>
      <c r="B13" s="29"/>
      <c r="C13" s="29"/>
      <c r="D13" s="29" t="s">
        <v>13</v>
      </c>
      <c r="E13" s="29">
        <v>2</v>
      </c>
      <c r="F13" s="38">
        <f>E13*6500</f>
        <v>13000</v>
      </c>
      <c r="G13" s="38">
        <f>E13*4500</f>
        <v>9000</v>
      </c>
      <c r="H13" s="38">
        <f>E13*2000</f>
        <v>4000</v>
      </c>
    </row>
    <row r="14" spans="1:8" x14ac:dyDescent="0.25">
      <c r="A14" s="29"/>
      <c r="B14" s="29"/>
      <c r="C14" s="29" t="s">
        <v>10</v>
      </c>
      <c r="D14" s="29" t="s">
        <v>11</v>
      </c>
      <c r="E14" s="29">
        <v>55</v>
      </c>
      <c r="F14" s="38">
        <v>82500</v>
      </c>
      <c r="G14" s="38">
        <f>E14*500</f>
        <v>27500</v>
      </c>
      <c r="H14" s="38">
        <v>55000</v>
      </c>
    </row>
    <row r="15" spans="1:8" x14ac:dyDescent="0.25">
      <c r="A15" s="29"/>
      <c r="B15" s="29"/>
      <c r="C15" s="29"/>
      <c r="D15" s="29" t="s">
        <v>13</v>
      </c>
      <c r="E15" s="29">
        <v>8</v>
      </c>
      <c r="F15" s="38">
        <f>E15*6500</f>
        <v>52000</v>
      </c>
      <c r="G15" s="38">
        <f>E15*4500</f>
        <v>36000</v>
      </c>
      <c r="H15" s="38">
        <f>E15*2000</f>
        <v>16000</v>
      </c>
    </row>
    <row r="16" spans="1:8" x14ac:dyDescent="0.25">
      <c r="A16" s="29"/>
      <c r="B16" s="29"/>
      <c r="C16" s="29"/>
      <c r="D16" s="29" t="s">
        <v>14</v>
      </c>
      <c r="E16" s="29">
        <v>2</v>
      </c>
      <c r="F16" s="38">
        <v>16000</v>
      </c>
      <c r="G16" s="38">
        <f>E16*5500</f>
        <v>11000</v>
      </c>
      <c r="H16" s="38">
        <f>E16*2500</f>
        <v>5000</v>
      </c>
    </row>
    <row r="17" spans="1:8" x14ac:dyDescent="0.25">
      <c r="A17" s="29"/>
      <c r="B17" s="29"/>
      <c r="C17" s="29" t="s">
        <v>373</v>
      </c>
      <c r="D17" s="29" t="s">
        <v>243</v>
      </c>
      <c r="E17" s="29">
        <v>3</v>
      </c>
      <c r="F17" s="38">
        <v>39000</v>
      </c>
      <c r="G17" s="38">
        <f>E17*10000</f>
        <v>30000</v>
      </c>
      <c r="H17" s="38">
        <f>E17*3000</f>
        <v>9000</v>
      </c>
    </row>
    <row r="18" spans="1:8" x14ac:dyDescent="0.25">
      <c r="A18" s="126" t="s">
        <v>17</v>
      </c>
      <c r="B18" s="126"/>
      <c r="C18" s="126"/>
      <c r="D18" s="126"/>
      <c r="E18" s="16">
        <f>SUM(E10:E17)</f>
        <v>168</v>
      </c>
      <c r="F18" s="17">
        <f>SUM(F10:F17)</f>
        <v>358500</v>
      </c>
      <c r="G18" s="17">
        <f>SUM(G10:G17)</f>
        <v>171500</v>
      </c>
      <c r="H18" s="17">
        <f>SUM(H10:H17)</f>
        <v>221000</v>
      </c>
    </row>
    <row r="19" spans="1:8" x14ac:dyDescent="0.25">
      <c r="A19" s="29" t="s">
        <v>18</v>
      </c>
      <c r="B19" s="37">
        <v>44631</v>
      </c>
      <c r="C19" s="29" t="s">
        <v>288</v>
      </c>
      <c r="D19" s="29" t="s">
        <v>11</v>
      </c>
      <c r="E19" s="29">
        <v>38</v>
      </c>
      <c r="F19" s="38">
        <f>E19*1800</f>
        <v>68400</v>
      </c>
      <c r="G19" s="38">
        <f>E19*500</f>
        <v>19000</v>
      </c>
      <c r="H19" s="38">
        <f>E19*1300</f>
        <v>49400</v>
      </c>
    </row>
    <row r="20" spans="1:8" x14ac:dyDescent="0.25">
      <c r="A20" s="29"/>
      <c r="B20" s="29"/>
      <c r="C20" s="29" t="s">
        <v>106</v>
      </c>
      <c r="D20" s="29" t="s">
        <v>11</v>
      </c>
      <c r="E20" s="29">
        <v>25</v>
      </c>
      <c r="F20" s="38">
        <f>E20*1500</f>
        <v>37500</v>
      </c>
      <c r="G20" s="38">
        <f>E20*500</f>
        <v>12500</v>
      </c>
      <c r="H20" s="38">
        <v>25000</v>
      </c>
    </row>
    <row r="21" spans="1:8" x14ac:dyDescent="0.25">
      <c r="A21" s="29"/>
      <c r="B21" s="29"/>
      <c r="C21" s="29" t="s">
        <v>374</v>
      </c>
      <c r="D21" s="29" t="s">
        <v>11</v>
      </c>
      <c r="E21" s="29">
        <v>50</v>
      </c>
      <c r="F21" s="38">
        <f>E21*1500</f>
        <v>75000</v>
      </c>
      <c r="G21" s="38">
        <f>E21*500</f>
        <v>25000</v>
      </c>
      <c r="H21" s="38">
        <f>E21*1000</f>
        <v>50000</v>
      </c>
    </row>
    <row r="22" spans="1:8" x14ac:dyDescent="0.25">
      <c r="A22" s="29"/>
      <c r="B22" s="29"/>
      <c r="C22" s="29"/>
      <c r="D22" s="29" t="s">
        <v>13</v>
      </c>
      <c r="E22" s="29">
        <v>2</v>
      </c>
      <c r="F22" s="38">
        <f>E22*6500</f>
        <v>13000</v>
      </c>
      <c r="G22" s="38">
        <f>E22*4500</f>
        <v>9000</v>
      </c>
      <c r="H22" s="38">
        <f>E22*2000</f>
        <v>4000</v>
      </c>
    </row>
    <row r="23" spans="1:8" x14ac:dyDescent="0.25">
      <c r="A23" s="29"/>
      <c r="B23" s="29"/>
      <c r="C23" s="29"/>
      <c r="D23" s="29" t="s">
        <v>14</v>
      </c>
      <c r="E23" s="29">
        <v>4</v>
      </c>
      <c r="F23" s="38">
        <f>E23*8000</f>
        <v>32000</v>
      </c>
      <c r="G23" s="38">
        <f>E23*5500</f>
        <v>22000</v>
      </c>
      <c r="H23" s="38">
        <f>E23*2500</f>
        <v>10000</v>
      </c>
    </row>
    <row r="24" spans="1:8" x14ac:dyDescent="0.25">
      <c r="A24" s="29"/>
      <c r="B24" s="29"/>
      <c r="C24" s="29" t="s">
        <v>16</v>
      </c>
      <c r="D24" s="29" t="s">
        <v>11</v>
      </c>
      <c r="E24" s="29">
        <v>51</v>
      </c>
      <c r="F24" s="38">
        <f>E24*1500</f>
        <v>76500</v>
      </c>
      <c r="G24" s="38">
        <f>E24*500</f>
        <v>25500</v>
      </c>
      <c r="H24" s="38">
        <v>51000</v>
      </c>
    </row>
    <row r="25" spans="1:8" x14ac:dyDescent="0.25">
      <c r="A25" s="29"/>
      <c r="B25" s="29"/>
      <c r="C25" s="29"/>
      <c r="D25" s="29" t="s">
        <v>12</v>
      </c>
      <c r="E25" s="29">
        <v>7</v>
      </c>
      <c r="F25" s="38">
        <f>E25*3000</f>
        <v>21000</v>
      </c>
      <c r="G25" s="38">
        <f>E25*2000</f>
        <v>14000</v>
      </c>
      <c r="H25" s="38">
        <f>E25*1000</f>
        <v>7000</v>
      </c>
    </row>
    <row r="26" spans="1:8" x14ac:dyDescent="0.25">
      <c r="A26" s="29"/>
      <c r="B26" s="29"/>
      <c r="C26" s="29"/>
      <c r="D26" s="29" t="s">
        <v>13</v>
      </c>
      <c r="E26" s="29">
        <v>2</v>
      </c>
      <c r="F26" s="38">
        <f>E26*6500</f>
        <v>13000</v>
      </c>
      <c r="G26" s="38">
        <f>E26*4500</f>
        <v>9000</v>
      </c>
      <c r="H26" s="38">
        <f>E26*2000</f>
        <v>4000</v>
      </c>
    </row>
    <row r="27" spans="1:8" x14ac:dyDescent="0.25">
      <c r="A27" s="29"/>
      <c r="B27" s="29"/>
      <c r="C27" s="29"/>
      <c r="D27" s="29" t="s">
        <v>14</v>
      </c>
      <c r="E27" s="29">
        <v>1</v>
      </c>
      <c r="F27" s="38">
        <f>E27*10000</f>
        <v>10000</v>
      </c>
      <c r="G27" s="38">
        <f>E27*5500</f>
        <v>5500</v>
      </c>
      <c r="H27" s="38">
        <f>E27*4500</f>
        <v>4500</v>
      </c>
    </row>
    <row r="28" spans="1:8" x14ac:dyDescent="0.25">
      <c r="A28" s="125" t="s">
        <v>17</v>
      </c>
      <c r="B28" s="125"/>
      <c r="C28" s="125"/>
      <c r="D28" s="125"/>
      <c r="E28" s="17">
        <f>SUM(E19:E27)</f>
        <v>180</v>
      </c>
      <c r="F28" s="17">
        <f>SUM(F19:F27)</f>
        <v>346400</v>
      </c>
      <c r="G28" s="17">
        <f>SUM(G19:G27)</f>
        <v>141500</v>
      </c>
      <c r="H28" s="17">
        <f>SUM(H19:H27)</f>
        <v>204900</v>
      </c>
    </row>
    <row r="29" spans="1:8" x14ac:dyDescent="0.25">
      <c r="A29" s="29" t="s">
        <v>22</v>
      </c>
      <c r="B29" s="37">
        <v>44662</v>
      </c>
      <c r="C29" s="29" t="s">
        <v>288</v>
      </c>
      <c r="D29" s="29" t="s">
        <v>11</v>
      </c>
      <c r="E29" s="29">
        <v>37</v>
      </c>
      <c r="F29" s="38">
        <f>E29*1800</f>
        <v>66600</v>
      </c>
      <c r="G29" s="38">
        <f>E29*500</f>
        <v>18500</v>
      </c>
      <c r="H29" s="38">
        <f>E29*1300</f>
        <v>48100</v>
      </c>
    </row>
    <row r="30" spans="1:8" x14ac:dyDescent="0.25">
      <c r="A30" s="29"/>
      <c r="B30" s="29"/>
      <c r="C30" s="29" t="s">
        <v>106</v>
      </c>
      <c r="D30" s="29" t="s">
        <v>11</v>
      </c>
      <c r="E30" s="29">
        <v>22</v>
      </c>
      <c r="F30" s="38">
        <f>E30*1500</f>
        <v>33000</v>
      </c>
      <c r="G30" s="38">
        <f>E30*500</f>
        <v>11000</v>
      </c>
      <c r="H30" s="38">
        <f>E30*1000</f>
        <v>22000</v>
      </c>
    </row>
    <row r="31" spans="1:8" x14ac:dyDescent="0.25">
      <c r="A31" s="29"/>
      <c r="B31" s="29"/>
      <c r="C31" s="29" t="s">
        <v>217</v>
      </c>
      <c r="D31" s="29" t="s">
        <v>11</v>
      </c>
      <c r="E31" s="29">
        <v>35</v>
      </c>
      <c r="F31" s="38">
        <f>E31*1500</f>
        <v>52500</v>
      </c>
      <c r="G31" s="38">
        <f>E31*500</f>
        <v>17500</v>
      </c>
      <c r="H31" s="38">
        <v>35000</v>
      </c>
    </row>
    <row r="32" spans="1:8" x14ac:dyDescent="0.25">
      <c r="A32" s="29"/>
      <c r="B32" s="29"/>
      <c r="C32" s="29" t="s">
        <v>16</v>
      </c>
      <c r="D32" s="29" t="s">
        <v>11</v>
      </c>
      <c r="E32" s="29">
        <v>48</v>
      </c>
      <c r="F32" s="38">
        <f>E32*1500</f>
        <v>72000</v>
      </c>
      <c r="G32" s="38">
        <f>E32*500</f>
        <v>24000</v>
      </c>
      <c r="H32" s="38">
        <v>48000</v>
      </c>
    </row>
    <row r="33" spans="1:8" x14ac:dyDescent="0.25">
      <c r="A33" s="29"/>
      <c r="B33" s="29"/>
      <c r="C33" s="29"/>
      <c r="D33" s="29" t="s">
        <v>12</v>
      </c>
      <c r="E33" s="29">
        <v>2</v>
      </c>
      <c r="F33" s="38">
        <f>E33*3000</f>
        <v>6000</v>
      </c>
      <c r="G33" s="38">
        <f>E33*2000</f>
        <v>4000</v>
      </c>
      <c r="H33" s="38">
        <v>2000</v>
      </c>
    </row>
    <row r="34" spans="1:8" x14ac:dyDescent="0.25">
      <c r="A34" s="29"/>
      <c r="B34" s="29"/>
      <c r="C34" s="29"/>
      <c r="D34" s="29" t="s">
        <v>13</v>
      </c>
      <c r="E34" s="29">
        <v>2</v>
      </c>
      <c r="F34" s="38">
        <f>E34*6500</f>
        <v>13000</v>
      </c>
      <c r="G34" s="38">
        <f>E34*4500</f>
        <v>9000</v>
      </c>
      <c r="H34" s="38">
        <v>4000</v>
      </c>
    </row>
    <row r="35" spans="1:8" x14ac:dyDescent="0.25">
      <c r="A35" s="29"/>
      <c r="B35" s="29"/>
      <c r="C35" s="29" t="s">
        <v>375</v>
      </c>
      <c r="D35" s="29" t="s">
        <v>243</v>
      </c>
      <c r="E35" s="29">
        <v>1</v>
      </c>
      <c r="F35" s="38">
        <v>13000</v>
      </c>
      <c r="G35" s="38">
        <v>10000</v>
      </c>
      <c r="H35" s="38">
        <v>3000</v>
      </c>
    </row>
    <row r="36" spans="1:8" x14ac:dyDescent="0.25">
      <c r="A36" s="125" t="s">
        <v>17</v>
      </c>
      <c r="B36" s="125"/>
      <c r="C36" s="125"/>
      <c r="D36" s="125"/>
      <c r="E36" s="17">
        <f>SUM(E29:E35)</f>
        <v>147</v>
      </c>
      <c r="F36" s="17">
        <f>SUM(F29:F35)</f>
        <v>256100</v>
      </c>
      <c r="G36" s="17">
        <f>SUM(G29:G35)</f>
        <v>94000</v>
      </c>
      <c r="H36" s="17">
        <f>SUM(H29:H35)</f>
        <v>162100</v>
      </c>
    </row>
    <row r="37" spans="1:8" x14ac:dyDescent="0.25">
      <c r="A37" s="29" t="s">
        <v>26</v>
      </c>
      <c r="B37" s="37">
        <v>44692</v>
      </c>
      <c r="C37" s="29" t="s">
        <v>10</v>
      </c>
      <c r="D37" s="29" t="s">
        <v>11</v>
      </c>
      <c r="E37" s="44">
        <f>F37/1500</f>
        <v>42</v>
      </c>
      <c r="F37" s="38">
        <v>63000</v>
      </c>
      <c r="G37" s="38">
        <f>E37*500</f>
        <v>21000</v>
      </c>
      <c r="H37" s="38">
        <v>42000</v>
      </c>
    </row>
    <row r="38" spans="1:8" x14ac:dyDescent="0.25">
      <c r="A38" s="29"/>
      <c r="B38" s="29"/>
      <c r="C38" s="29"/>
      <c r="D38" s="29" t="s">
        <v>13</v>
      </c>
      <c r="E38" s="29">
        <v>11</v>
      </c>
      <c r="F38" s="38">
        <v>71500</v>
      </c>
      <c r="G38" s="38">
        <f>E38*4500</f>
        <v>49500</v>
      </c>
      <c r="H38" s="38">
        <f>E38*2000</f>
        <v>22000</v>
      </c>
    </row>
    <row r="39" spans="1:8" x14ac:dyDescent="0.25">
      <c r="A39" s="29"/>
      <c r="B39" s="29"/>
      <c r="C39" s="29"/>
      <c r="D39" s="29" t="s">
        <v>14</v>
      </c>
      <c r="E39" s="29">
        <v>13</v>
      </c>
      <c r="F39" s="38">
        <f>E39*8000</f>
        <v>104000</v>
      </c>
      <c r="G39" s="38">
        <f>E39*5500</f>
        <v>71500</v>
      </c>
      <c r="H39" s="38">
        <f>E39*2500</f>
        <v>32500</v>
      </c>
    </row>
    <row r="40" spans="1:8" x14ac:dyDescent="0.25">
      <c r="A40" s="29"/>
      <c r="B40" s="29"/>
      <c r="C40" s="29" t="s">
        <v>16</v>
      </c>
      <c r="D40" s="29" t="s">
        <v>11</v>
      </c>
      <c r="E40" s="29">
        <v>22</v>
      </c>
      <c r="F40" s="38">
        <f>E40*1500</f>
        <v>33000</v>
      </c>
      <c r="G40" s="38">
        <f>E40*500</f>
        <v>11000</v>
      </c>
      <c r="H40" s="38">
        <v>22000</v>
      </c>
    </row>
    <row r="41" spans="1:8" x14ac:dyDescent="0.25">
      <c r="A41" s="29"/>
      <c r="B41" s="29"/>
      <c r="C41" s="29"/>
      <c r="D41" s="29" t="s">
        <v>12</v>
      </c>
      <c r="E41" s="29">
        <v>2</v>
      </c>
      <c r="F41" s="38">
        <f>E41*3000</f>
        <v>6000</v>
      </c>
      <c r="G41" s="38">
        <f>E41*2000</f>
        <v>4000</v>
      </c>
      <c r="H41" s="38">
        <f>E41*1000</f>
        <v>2000</v>
      </c>
    </row>
    <row r="42" spans="1:8" x14ac:dyDescent="0.25">
      <c r="A42" s="29"/>
      <c r="B42" s="29"/>
      <c r="C42" s="29"/>
      <c r="D42" s="29" t="s">
        <v>13</v>
      </c>
      <c r="E42" s="29">
        <v>1</v>
      </c>
      <c r="F42" s="38">
        <f>E42*6500</f>
        <v>6500</v>
      </c>
      <c r="G42" s="38">
        <f>E42*4500</f>
        <v>4500</v>
      </c>
      <c r="H42" s="38">
        <v>2000</v>
      </c>
    </row>
    <row r="43" spans="1:8" x14ac:dyDescent="0.25">
      <c r="A43" s="126" t="s">
        <v>17</v>
      </c>
      <c r="B43" s="126"/>
      <c r="C43" s="126"/>
      <c r="D43" s="126"/>
      <c r="E43" s="41">
        <f>SUM(E37:E42)</f>
        <v>91</v>
      </c>
      <c r="F43" s="41">
        <f>SUM(F37:F42)</f>
        <v>284000</v>
      </c>
      <c r="G43" s="41">
        <f>SUM(G37:G42)</f>
        <v>161500</v>
      </c>
      <c r="H43" s="41">
        <f>SUM(H37:H42)</f>
        <v>122500</v>
      </c>
    </row>
    <row r="44" spans="1:8" x14ac:dyDescent="0.25">
      <c r="A44" s="29" t="s">
        <v>28</v>
      </c>
      <c r="B44" s="37">
        <v>44723</v>
      </c>
      <c r="C44" s="29" t="s">
        <v>217</v>
      </c>
      <c r="D44" s="29" t="s">
        <v>11</v>
      </c>
      <c r="E44" s="29">
        <v>55</v>
      </c>
      <c r="F44" s="38">
        <f>E44*1500</f>
        <v>82500</v>
      </c>
      <c r="G44" s="38">
        <f>E44*500</f>
        <v>27500</v>
      </c>
      <c r="H44" s="38">
        <v>55000</v>
      </c>
    </row>
    <row r="45" spans="1:8" x14ac:dyDescent="0.25">
      <c r="A45" s="29"/>
      <c r="B45" s="29"/>
      <c r="C45" s="29"/>
      <c r="D45" s="29" t="s">
        <v>13</v>
      </c>
      <c r="E45" s="29">
        <v>15</v>
      </c>
      <c r="F45" s="38">
        <f>E45*6500</f>
        <v>97500</v>
      </c>
      <c r="G45" s="38">
        <f>E45*4500</f>
        <v>67500</v>
      </c>
      <c r="H45" s="38">
        <f>E45*2000</f>
        <v>30000</v>
      </c>
    </row>
    <row r="46" spans="1:8" x14ac:dyDescent="0.25">
      <c r="A46" s="29"/>
      <c r="B46" s="29"/>
      <c r="C46" s="29"/>
      <c r="D46" s="29" t="s">
        <v>14</v>
      </c>
      <c r="E46" s="29">
        <v>20</v>
      </c>
      <c r="F46" s="38">
        <f>E46*10000</f>
        <v>200000</v>
      </c>
      <c r="G46" s="38">
        <f>E46*5500</f>
        <v>110000</v>
      </c>
      <c r="H46" s="38">
        <f>E46*4500</f>
        <v>90000</v>
      </c>
    </row>
    <row r="47" spans="1:8" x14ac:dyDescent="0.25">
      <c r="A47" s="29"/>
      <c r="B47" s="29"/>
      <c r="C47" s="29" t="s">
        <v>10</v>
      </c>
      <c r="D47" s="29" t="s">
        <v>11</v>
      </c>
      <c r="E47" s="29">
        <v>15</v>
      </c>
      <c r="F47" s="38">
        <f>E47*1500</f>
        <v>22500</v>
      </c>
      <c r="G47" s="38">
        <f>E47*500</f>
        <v>7500</v>
      </c>
      <c r="H47" s="38">
        <v>15000</v>
      </c>
    </row>
    <row r="48" spans="1:8" x14ac:dyDescent="0.25">
      <c r="A48" s="29"/>
      <c r="B48" s="29"/>
      <c r="C48" s="29"/>
      <c r="D48" s="29" t="s">
        <v>13</v>
      </c>
      <c r="E48" s="29">
        <v>13</v>
      </c>
      <c r="F48" s="38">
        <f>E48*6500</f>
        <v>84500</v>
      </c>
      <c r="G48" s="38">
        <f>E48*4500</f>
        <v>58500</v>
      </c>
      <c r="H48" s="38">
        <f>E48*2000</f>
        <v>26000</v>
      </c>
    </row>
    <row r="49" spans="1:8" x14ac:dyDescent="0.25">
      <c r="A49" s="29"/>
      <c r="B49" s="29"/>
      <c r="C49" s="29"/>
      <c r="D49" s="29" t="s">
        <v>14</v>
      </c>
      <c r="E49" s="29">
        <v>17</v>
      </c>
      <c r="F49" s="38">
        <f>E49*8000</f>
        <v>136000</v>
      </c>
      <c r="G49" s="38">
        <f>E49*5500</f>
        <v>93500</v>
      </c>
      <c r="H49" s="38">
        <f>E49*2500</f>
        <v>42500</v>
      </c>
    </row>
    <row r="50" spans="1:8" x14ac:dyDescent="0.25">
      <c r="A50" s="29"/>
      <c r="B50" s="29"/>
      <c r="C50" s="29" t="s">
        <v>81</v>
      </c>
      <c r="D50" s="29" t="s">
        <v>11</v>
      </c>
      <c r="E50" s="29">
        <v>75</v>
      </c>
      <c r="F50" s="38">
        <f>E50*1500</f>
        <v>112500</v>
      </c>
      <c r="G50" s="38">
        <f>E50*500</f>
        <v>37500</v>
      </c>
      <c r="H50" s="38">
        <f>E50*1000</f>
        <v>75000</v>
      </c>
    </row>
    <row r="51" spans="1:8" x14ac:dyDescent="0.25">
      <c r="A51" s="29"/>
      <c r="B51" s="29"/>
      <c r="C51" s="29"/>
      <c r="D51" s="29" t="s">
        <v>11</v>
      </c>
      <c r="E51" s="29">
        <v>70</v>
      </c>
      <c r="F51" s="38">
        <f>E51*1500</f>
        <v>105000</v>
      </c>
      <c r="G51" s="38">
        <f>E51*500</f>
        <v>35000</v>
      </c>
      <c r="H51" s="38">
        <f>E51*1000</f>
        <v>70000</v>
      </c>
    </row>
    <row r="52" spans="1:8" x14ac:dyDescent="0.25">
      <c r="A52" s="29"/>
      <c r="B52" s="29"/>
      <c r="C52" s="29"/>
      <c r="D52" s="29" t="s">
        <v>11</v>
      </c>
      <c r="E52" s="29">
        <v>70</v>
      </c>
      <c r="F52" s="38">
        <f>E52*1500</f>
        <v>105000</v>
      </c>
      <c r="G52" s="38">
        <f>E52*500</f>
        <v>35000</v>
      </c>
      <c r="H52" s="38">
        <f>E52*1000</f>
        <v>70000</v>
      </c>
    </row>
    <row r="53" spans="1:8" x14ac:dyDescent="0.25">
      <c r="A53" s="29"/>
      <c r="B53" s="29"/>
      <c r="C53" s="29"/>
      <c r="D53" s="29" t="s">
        <v>11</v>
      </c>
      <c r="E53" s="29">
        <v>70</v>
      </c>
      <c r="F53" s="38">
        <f>E53*1500</f>
        <v>105000</v>
      </c>
      <c r="G53" s="38">
        <f>E53*500</f>
        <v>35000</v>
      </c>
      <c r="H53" s="38">
        <f>E53*1000</f>
        <v>70000</v>
      </c>
    </row>
    <row r="54" spans="1:8" x14ac:dyDescent="0.25">
      <c r="A54" s="126" t="s">
        <v>17</v>
      </c>
      <c r="B54" s="126"/>
      <c r="C54" s="126"/>
      <c r="D54" s="126"/>
      <c r="E54" s="16">
        <f>SUM(E44:E53)</f>
        <v>420</v>
      </c>
      <c r="F54" s="17">
        <f>SUM(F44:F53)</f>
        <v>1050500</v>
      </c>
      <c r="G54" s="17">
        <f>SUM(G44:G53)</f>
        <v>507000</v>
      </c>
      <c r="H54" s="17">
        <f>SUM(H44:H53)</f>
        <v>543500</v>
      </c>
    </row>
    <row r="55" spans="1:8" x14ac:dyDescent="0.25">
      <c r="A55" s="29"/>
      <c r="B55" s="29"/>
      <c r="C55" s="29" t="s">
        <v>16</v>
      </c>
      <c r="D55" s="29" t="s">
        <v>11</v>
      </c>
      <c r="E55" s="29">
        <v>53</v>
      </c>
      <c r="F55" s="38">
        <f>E55*1500</f>
        <v>79500</v>
      </c>
      <c r="G55" s="38">
        <f>E55*500</f>
        <v>26500</v>
      </c>
      <c r="H55" s="38">
        <f>E55*1000</f>
        <v>53000</v>
      </c>
    </row>
    <row r="56" spans="1:8" x14ac:dyDescent="0.25">
      <c r="A56" s="29"/>
      <c r="B56" s="29"/>
      <c r="C56" s="29"/>
      <c r="D56" s="29" t="s">
        <v>12</v>
      </c>
      <c r="E56" s="29">
        <v>5</v>
      </c>
      <c r="F56" s="38">
        <f>E56*3000</f>
        <v>15000</v>
      </c>
      <c r="G56" s="38">
        <f>E56*2000</f>
        <v>10000</v>
      </c>
      <c r="H56" s="38">
        <f>E56*1000</f>
        <v>5000</v>
      </c>
    </row>
    <row r="57" spans="1:8" x14ac:dyDescent="0.25">
      <c r="A57" s="29"/>
      <c r="B57" s="29"/>
      <c r="C57" s="29"/>
      <c r="D57" s="29" t="s">
        <v>13</v>
      </c>
      <c r="E57" s="29">
        <v>2</v>
      </c>
      <c r="F57" s="38">
        <f>E57*6500</f>
        <v>13000</v>
      </c>
      <c r="G57" s="38">
        <f>E57*4500</f>
        <v>9000</v>
      </c>
      <c r="H57" s="38">
        <f>E57*2000</f>
        <v>4000</v>
      </c>
    </row>
    <row r="58" spans="1:8" x14ac:dyDescent="0.25">
      <c r="A58" s="29"/>
      <c r="B58" s="29"/>
      <c r="C58" s="29"/>
      <c r="D58" s="29" t="s">
        <v>14</v>
      </c>
      <c r="E58" s="29">
        <v>1</v>
      </c>
      <c r="F58" s="38">
        <v>10000</v>
      </c>
      <c r="G58" s="38">
        <v>5500</v>
      </c>
      <c r="H58" s="38">
        <v>4500</v>
      </c>
    </row>
    <row r="59" spans="1:8" x14ac:dyDescent="0.25">
      <c r="A59" s="125" t="s">
        <v>17</v>
      </c>
      <c r="B59" s="125"/>
      <c r="C59" s="125"/>
      <c r="D59" s="125"/>
      <c r="E59" s="17">
        <f>SUM(E55:E58)</f>
        <v>61</v>
      </c>
      <c r="F59" s="17">
        <f>SUM(F55:F58)</f>
        <v>117500</v>
      </c>
      <c r="G59" s="17">
        <f>SUM(G55:G58)</f>
        <v>51000</v>
      </c>
      <c r="H59" s="17">
        <f>SUM(H55:H58)</f>
        <v>66500</v>
      </c>
    </row>
    <row r="60" spans="1:8" x14ac:dyDescent="0.25">
      <c r="A60" s="29" t="s">
        <v>30</v>
      </c>
      <c r="B60" s="37">
        <v>44753</v>
      </c>
      <c r="C60" s="29" t="s">
        <v>376</v>
      </c>
      <c r="D60" s="29" t="s">
        <v>11</v>
      </c>
      <c r="E60" s="29">
        <v>85</v>
      </c>
      <c r="F60" s="38">
        <f t="shared" ref="F60:F65" si="0">E60*1500</f>
        <v>127500</v>
      </c>
      <c r="G60" s="38">
        <f t="shared" ref="G60:G70" si="1">E60*500</f>
        <v>42500</v>
      </c>
      <c r="H60" s="38">
        <f t="shared" ref="H60:H66" si="2">E60*1000</f>
        <v>85000</v>
      </c>
    </row>
    <row r="61" spans="1:8" x14ac:dyDescent="0.25">
      <c r="A61" s="29"/>
      <c r="B61" s="29"/>
      <c r="C61" s="29"/>
      <c r="D61" s="29"/>
      <c r="E61" s="29">
        <v>109</v>
      </c>
      <c r="F61" s="38">
        <f t="shared" si="0"/>
        <v>163500</v>
      </c>
      <c r="G61" s="38">
        <f t="shared" si="1"/>
        <v>54500</v>
      </c>
      <c r="H61" s="38">
        <f t="shared" si="2"/>
        <v>109000</v>
      </c>
    </row>
    <row r="62" spans="1:8" x14ac:dyDescent="0.25">
      <c r="A62" s="29"/>
      <c r="B62" s="29"/>
      <c r="C62" s="29"/>
      <c r="D62" s="29"/>
      <c r="E62" s="29">
        <v>129</v>
      </c>
      <c r="F62" s="38">
        <f t="shared" si="0"/>
        <v>193500</v>
      </c>
      <c r="G62" s="38">
        <f t="shared" si="1"/>
        <v>64500</v>
      </c>
      <c r="H62" s="38">
        <f t="shared" si="2"/>
        <v>129000</v>
      </c>
    </row>
    <row r="63" spans="1:8" x14ac:dyDescent="0.25">
      <c r="A63" s="29"/>
      <c r="B63" s="29"/>
      <c r="C63" s="29"/>
      <c r="D63" s="29"/>
      <c r="E63" s="29">
        <v>130</v>
      </c>
      <c r="F63" s="38">
        <f t="shared" si="0"/>
        <v>195000</v>
      </c>
      <c r="G63" s="38">
        <f t="shared" si="1"/>
        <v>65000</v>
      </c>
      <c r="H63" s="38">
        <f t="shared" si="2"/>
        <v>130000</v>
      </c>
    </row>
    <row r="64" spans="1:8" x14ac:dyDescent="0.25">
      <c r="A64" s="29"/>
      <c r="B64" s="29"/>
      <c r="C64" s="29"/>
      <c r="D64" s="29"/>
      <c r="E64" s="29">
        <v>110</v>
      </c>
      <c r="F64" s="38">
        <f t="shared" si="0"/>
        <v>165000</v>
      </c>
      <c r="G64" s="38">
        <f t="shared" si="1"/>
        <v>55000</v>
      </c>
      <c r="H64" s="38">
        <f t="shared" si="2"/>
        <v>110000</v>
      </c>
    </row>
    <row r="65" spans="1:8" x14ac:dyDescent="0.25">
      <c r="A65" s="29"/>
      <c r="B65" s="29"/>
      <c r="C65" s="29"/>
      <c r="D65" s="29"/>
      <c r="E65" s="29">
        <v>108</v>
      </c>
      <c r="F65" s="38">
        <f t="shared" si="0"/>
        <v>162000</v>
      </c>
      <c r="G65" s="38">
        <f t="shared" si="1"/>
        <v>54000</v>
      </c>
      <c r="H65" s="38">
        <f t="shared" si="2"/>
        <v>108000</v>
      </c>
    </row>
    <row r="66" spans="1:8" x14ac:dyDescent="0.25">
      <c r="A66" s="29"/>
      <c r="B66" s="29"/>
      <c r="C66" s="29" t="s">
        <v>288</v>
      </c>
      <c r="D66" s="29" t="s">
        <v>11</v>
      </c>
      <c r="E66" s="29">
        <f>57-11</f>
        <v>46</v>
      </c>
      <c r="F66" s="38">
        <f>E66*1800</f>
        <v>82800</v>
      </c>
      <c r="G66" s="38">
        <f t="shared" si="1"/>
        <v>23000</v>
      </c>
      <c r="H66" s="38">
        <f t="shared" si="2"/>
        <v>46000</v>
      </c>
    </row>
    <row r="67" spans="1:8" x14ac:dyDescent="0.25">
      <c r="A67" s="29"/>
      <c r="B67" s="29"/>
      <c r="C67" s="29" t="s">
        <v>106</v>
      </c>
      <c r="D67" s="29" t="s">
        <v>11</v>
      </c>
      <c r="E67" s="29">
        <v>25</v>
      </c>
      <c r="F67" s="38">
        <f>E67*1500</f>
        <v>37500</v>
      </c>
      <c r="G67" s="38">
        <f t="shared" si="1"/>
        <v>12500</v>
      </c>
      <c r="H67" s="38">
        <v>25000</v>
      </c>
    </row>
    <row r="68" spans="1:8" x14ac:dyDescent="0.25">
      <c r="A68" s="29"/>
      <c r="B68" s="29"/>
      <c r="C68" s="29" t="s">
        <v>292</v>
      </c>
      <c r="D68" s="29" t="s">
        <v>11</v>
      </c>
      <c r="E68" s="29">
        <v>26</v>
      </c>
      <c r="F68" s="38">
        <f>E68*1500</f>
        <v>39000</v>
      </c>
      <c r="G68" s="38">
        <f t="shared" si="1"/>
        <v>13000</v>
      </c>
      <c r="H68" s="38">
        <v>26000</v>
      </c>
    </row>
    <row r="69" spans="1:8" x14ac:dyDescent="0.25">
      <c r="A69" s="29"/>
      <c r="B69" s="29"/>
      <c r="C69" s="29" t="s">
        <v>108</v>
      </c>
      <c r="D69" s="29" t="s">
        <v>11</v>
      </c>
      <c r="E69" s="44">
        <f>F69/1500</f>
        <v>18</v>
      </c>
      <c r="F69" s="38">
        <v>27000</v>
      </c>
      <c r="G69" s="38">
        <f t="shared" si="1"/>
        <v>9000</v>
      </c>
      <c r="H69" s="38">
        <v>18000</v>
      </c>
    </row>
    <row r="70" spans="1:8" x14ac:dyDescent="0.25">
      <c r="A70" s="29"/>
      <c r="B70" s="29"/>
      <c r="C70" s="29" t="s">
        <v>16</v>
      </c>
      <c r="D70" s="29" t="s">
        <v>11</v>
      </c>
      <c r="E70" s="29">
        <v>55</v>
      </c>
      <c r="F70" s="38">
        <f>E70*1500</f>
        <v>82500</v>
      </c>
      <c r="G70" s="38">
        <f t="shared" si="1"/>
        <v>27500</v>
      </c>
      <c r="H70" s="38">
        <v>55000</v>
      </c>
    </row>
    <row r="71" spans="1:8" x14ac:dyDescent="0.25">
      <c r="A71" s="29"/>
      <c r="B71" s="29"/>
      <c r="C71" s="29"/>
      <c r="D71" s="29" t="s">
        <v>12</v>
      </c>
      <c r="E71" s="29">
        <v>2</v>
      </c>
      <c r="F71" s="38">
        <f>E71*3000</f>
        <v>6000</v>
      </c>
      <c r="G71" s="38">
        <f>E71*2000</f>
        <v>4000</v>
      </c>
      <c r="H71" s="38">
        <v>2000</v>
      </c>
    </row>
    <row r="72" spans="1:8" x14ac:dyDescent="0.25">
      <c r="A72" s="29"/>
      <c r="B72" s="29"/>
      <c r="C72" s="29"/>
      <c r="D72" s="29" t="s">
        <v>13</v>
      </c>
      <c r="E72" s="29">
        <v>1</v>
      </c>
      <c r="F72" s="38">
        <v>6500</v>
      </c>
      <c r="G72" s="38">
        <v>4500</v>
      </c>
      <c r="H72" s="38">
        <v>2000</v>
      </c>
    </row>
    <row r="73" spans="1:8" x14ac:dyDescent="0.25">
      <c r="A73" s="29"/>
      <c r="B73" s="29"/>
      <c r="C73" s="29" t="s">
        <v>375</v>
      </c>
      <c r="D73" s="29" t="s">
        <v>243</v>
      </c>
      <c r="E73" s="29">
        <v>3</v>
      </c>
      <c r="F73" s="38">
        <f>E73*13000</f>
        <v>39000</v>
      </c>
      <c r="G73" s="38">
        <f>E73*10000</f>
        <v>30000</v>
      </c>
      <c r="H73" s="38">
        <v>9000</v>
      </c>
    </row>
    <row r="74" spans="1:8" x14ac:dyDescent="0.25">
      <c r="A74" s="125" t="s">
        <v>17</v>
      </c>
      <c r="B74" s="125"/>
      <c r="C74" s="125"/>
      <c r="D74" s="125"/>
      <c r="E74" s="17">
        <f>SUM(E60:E73)</f>
        <v>847</v>
      </c>
      <c r="F74" s="17">
        <f>SUM(F60:F73)</f>
        <v>1326800</v>
      </c>
      <c r="G74" s="17">
        <f>SUM(G60:G73)</f>
        <v>459000</v>
      </c>
      <c r="H74" s="17">
        <f>SUM(H60:H73)</f>
        <v>854000</v>
      </c>
    </row>
    <row r="75" spans="1:8" x14ac:dyDescent="0.25">
      <c r="A75" s="29"/>
      <c r="B75" s="29"/>
      <c r="C75" s="29" t="s">
        <v>10</v>
      </c>
      <c r="D75" s="29" t="s">
        <v>11</v>
      </c>
      <c r="E75" s="29">
        <v>45</v>
      </c>
      <c r="F75" s="38">
        <f>E75*1500</f>
        <v>67500</v>
      </c>
      <c r="G75" s="38">
        <f>E75*500</f>
        <v>22500</v>
      </c>
      <c r="H75" s="38">
        <v>45000</v>
      </c>
    </row>
    <row r="76" spans="1:8" x14ac:dyDescent="0.25">
      <c r="A76" s="29"/>
      <c r="B76" s="29"/>
      <c r="C76" s="29"/>
      <c r="D76" s="29" t="s">
        <v>13</v>
      </c>
      <c r="E76" s="29">
        <v>6</v>
      </c>
      <c r="F76" s="38">
        <f>E76*6500</f>
        <v>39000</v>
      </c>
      <c r="G76" s="38">
        <f>E76*4500</f>
        <v>27000</v>
      </c>
      <c r="H76" s="38">
        <f>E76*2000</f>
        <v>12000</v>
      </c>
    </row>
    <row r="77" spans="1:8" x14ac:dyDescent="0.25">
      <c r="A77" s="29"/>
      <c r="B77" s="29"/>
      <c r="C77" s="29"/>
      <c r="D77" s="29" t="s">
        <v>14</v>
      </c>
      <c r="E77" s="29">
        <v>3</v>
      </c>
      <c r="F77" s="38">
        <f>E77*8000</f>
        <v>24000</v>
      </c>
      <c r="G77" s="38">
        <f>E77*5500</f>
        <v>16500</v>
      </c>
      <c r="H77" s="38">
        <f>E77*2500</f>
        <v>7500</v>
      </c>
    </row>
    <row r="78" spans="1:8" x14ac:dyDescent="0.25">
      <c r="A78" s="126" t="s">
        <v>17</v>
      </c>
      <c r="B78" s="126"/>
      <c r="C78" s="126"/>
      <c r="D78" s="126"/>
      <c r="E78" s="16">
        <f>SUM(E75:E77)</f>
        <v>54</v>
      </c>
      <c r="F78" s="17">
        <f>SUM(F75:F77)</f>
        <v>130500</v>
      </c>
      <c r="G78" s="17">
        <f>SUM(G75:G77)</f>
        <v>66000</v>
      </c>
      <c r="H78" s="17">
        <f>SUM(H75:H77)</f>
        <v>64500</v>
      </c>
    </row>
    <row r="79" spans="1:8" x14ac:dyDescent="0.25">
      <c r="A79" s="29" t="s">
        <v>32</v>
      </c>
      <c r="B79" s="37">
        <v>44784</v>
      </c>
      <c r="C79" s="29" t="s">
        <v>288</v>
      </c>
      <c r="D79" s="29" t="s">
        <v>11</v>
      </c>
      <c r="E79" s="29">
        <f>61-4</f>
        <v>57</v>
      </c>
      <c r="F79" s="38">
        <f>E79*1800</f>
        <v>102600</v>
      </c>
      <c r="G79" s="38">
        <f>E79*500</f>
        <v>28500</v>
      </c>
      <c r="H79" s="38">
        <f>E79*1300</f>
        <v>74100</v>
      </c>
    </row>
    <row r="80" spans="1:8" x14ac:dyDescent="0.25">
      <c r="A80" s="29"/>
      <c r="B80" s="29"/>
      <c r="C80" s="29" t="s">
        <v>106</v>
      </c>
      <c r="D80" s="29" t="s">
        <v>11</v>
      </c>
      <c r="E80" s="29">
        <v>25</v>
      </c>
      <c r="F80" s="38">
        <f>E80*1500</f>
        <v>37500</v>
      </c>
      <c r="G80" s="38">
        <f>E80*500</f>
        <v>12500</v>
      </c>
      <c r="H80" s="38">
        <v>25000</v>
      </c>
    </row>
    <row r="81" spans="1:8" x14ac:dyDescent="0.25">
      <c r="A81" s="29"/>
      <c r="B81" s="29"/>
      <c r="C81" s="29" t="s">
        <v>217</v>
      </c>
      <c r="D81" s="29" t="s">
        <v>11</v>
      </c>
      <c r="E81" s="29">
        <v>54</v>
      </c>
      <c r="F81" s="38">
        <f>E81*1500</f>
        <v>81000</v>
      </c>
      <c r="G81" s="38">
        <f>E81*500</f>
        <v>27000</v>
      </c>
      <c r="H81" s="38">
        <v>54000</v>
      </c>
    </row>
    <row r="82" spans="1:8" x14ac:dyDescent="0.25">
      <c r="A82" s="29"/>
      <c r="B82" s="29"/>
      <c r="C82" s="29" t="s">
        <v>16</v>
      </c>
      <c r="D82" s="29" t="s">
        <v>11</v>
      </c>
      <c r="E82" s="29">
        <v>19</v>
      </c>
      <c r="F82" s="38">
        <f>E82*1500</f>
        <v>28500</v>
      </c>
      <c r="G82" s="38">
        <f>E82*500</f>
        <v>9500</v>
      </c>
      <c r="H82" s="38">
        <f>E82*1000</f>
        <v>19000</v>
      </c>
    </row>
    <row r="83" spans="1:8" x14ac:dyDescent="0.25">
      <c r="A83" s="29"/>
      <c r="B83" s="29"/>
      <c r="C83" s="29" t="s">
        <v>375</v>
      </c>
      <c r="D83" s="29" t="s">
        <v>243</v>
      </c>
      <c r="E83" s="29">
        <v>3</v>
      </c>
      <c r="F83" s="38">
        <f>E83*13000</f>
        <v>39000</v>
      </c>
      <c r="G83" s="38">
        <f>E83*10000</f>
        <v>30000</v>
      </c>
      <c r="H83" s="38">
        <v>9000</v>
      </c>
    </row>
    <row r="84" spans="1:8" x14ac:dyDescent="0.25">
      <c r="A84" s="125" t="s">
        <v>17</v>
      </c>
      <c r="B84" s="125"/>
      <c r="C84" s="125"/>
      <c r="D84" s="125"/>
      <c r="E84" s="17">
        <f>SUM(E79:E83)</f>
        <v>158</v>
      </c>
      <c r="F84" s="17">
        <f>SUM(F79:F83)</f>
        <v>288600</v>
      </c>
      <c r="G84" s="17">
        <f>SUM(G79:G83)</f>
        <v>107500</v>
      </c>
      <c r="H84" s="17">
        <f>SUM(H79:H83)</f>
        <v>181100</v>
      </c>
    </row>
    <row r="85" spans="1:8" x14ac:dyDescent="0.25">
      <c r="A85" s="29" t="s">
        <v>8</v>
      </c>
      <c r="B85" s="37">
        <v>44815</v>
      </c>
      <c r="C85" s="29" t="s">
        <v>288</v>
      </c>
      <c r="D85" s="29" t="s">
        <v>11</v>
      </c>
      <c r="E85" s="29">
        <f>54-15</f>
        <v>39</v>
      </c>
      <c r="F85" s="38">
        <f>E85*1800</f>
        <v>70200</v>
      </c>
      <c r="G85" s="38">
        <f>E85*500</f>
        <v>19500</v>
      </c>
      <c r="H85" s="38">
        <f>E85*1300</f>
        <v>50700</v>
      </c>
    </row>
    <row r="86" spans="1:8" x14ac:dyDescent="0.25">
      <c r="A86" s="29"/>
      <c r="B86" s="29"/>
      <c r="C86" s="29" t="s">
        <v>106</v>
      </c>
      <c r="D86" s="29" t="s">
        <v>11</v>
      </c>
      <c r="E86" s="29">
        <v>25</v>
      </c>
      <c r="F86" s="38">
        <f>E86*1500</f>
        <v>37500</v>
      </c>
      <c r="G86" s="38">
        <f>E86*500</f>
        <v>12500</v>
      </c>
      <c r="H86" s="38">
        <f>E86*1000</f>
        <v>25000</v>
      </c>
    </row>
    <row r="87" spans="1:8" x14ac:dyDescent="0.25">
      <c r="A87" s="29"/>
      <c r="B87" s="29"/>
      <c r="C87" s="29" t="s">
        <v>108</v>
      </c>
      <c r="D87" s="29" t="s">
        <v>11</v>
      </c>
      <c r="E87" s="29">
        <v>6</v>
      </c>
      <c r="F87" s="38">
        <f>E87*1500</f>
        <v>9000</v>
      </c>
      <c r="G87" s="38">
        <f>E87*500</f>
        <v>3000</v>
      </c>
      <c r="H87" s="38">
        <v>6000</v>
      </c>
    </row>
    <row r="88" spans="1:8" x14ac:dyDescent="0.25">
      <c r="A88" s="29"/>
      <c r="B88" s="29"/>
      <c r="C88" s="29" t="s">
        <v>16</v>
      </c>
      <c r="D88" s="29" t="s">
        <v>11</v>
      </c>
      <c r="E88" s="29">
        <v>10</v>
      </c>
      <c r="F88" s="38">
        <f>E88*1500</f>
        <v>15000</v>
      </c>
      <c r="G88" s="38">
        <f>E88*500</f>
        <v>5000</v>
      </c>
      <c r="H88" s="38">
        <v>10000</v>
      </c>
    </row>
    <row r="89" spans="1:8" x14ac:dyDescent="0.25">
      <c r="A89" s="29"/>
      <c r="B89" s="29"/>
      <c r="C89" s="29"/>
      <c r="D89" s="29" t="s">
        <v>12</v>
      </c>
      <c r="E89" s="29">
        <v>1</v>
      </c>
      <c r="F89" s="38">
        <v>3000</v>
      </c>
      <c r="G89" s="38">
        <v>2000</v>
      </c>
      <c r="H89" s="38">
        <v>1000</v>
      </c>
    </row>
    <row r="90" spans="1:8" x14ac:dyDescent="0.25">
      <c r="A90" s="29"/>
      <c r="B90" s="29"/>
      <c r="C90" s="29"/>
      <c r="D90" s="29" t="s">
        <v>14</v>
      </c>
      <c r="E90" s="29">
        <v>2</v>
      </c>
      <c r="F90" s="38">
        <v>20000</v>
      </c>
      <c r="G90" s="38">
        <f>E90*5500</f>
        <v>11000</v>
      </c>
      <c r="H90" s="38">
        <f>E90*4500</f>
        <v>9000</v>
      </c>
    </row>
    <row r="91" spans="1:8" x14ac:dyDescent="0.25">
      <c r="A91" s="125" t="s">
        <v>17</v>
      </c>
      <c r="B91" s="125"/>
      <c r="C91" s="125"/>
      <c r="D91" s="125"/>
      <c r="E91" s="17">
        <f>SUM(E85:E90)</f>
        <v>83</v>
      </c>
      <c r="F91" s="17">
        <f>SUM(F85:F90)</f>
        <v>154700</v>
      </c>
      <c r="G91" s="17">
        <f>SUM(G85:G90)</f>
        <v>53000</v>
      </c>
      <c r="H91" s="17">
        <f>SUM(H85:H90)</f>
        <v>101700</v>
      </c>
    </row>
    <row r="92" spans="1:8" x14ac:dyDescent="0.25">
      <c r="A92" s="29" t="s">
        <v>18</v>
      </c>
      <c r="B92" s="37">
        <v>44845</v>
      </c>
      <c r="C92" s="29" t="s">
        <v>288</v>
      </c>
      <c r="D92" s="29" t="s">
        <v>11</v>
      </c>
      <c r="E92" s="29">
        <f>70-19</f>
        <v>51</v>
      </c>
      <c r="F92" s="38">
        <f>E92*1800</f>
        <v>91800</v>
      </c>
      <c r="G92" s="38">
        <f>E92*500</f>
        <v>25500</v>
      </c>
      <c r="H92" s="38">
        <f>E92*1300</f>
        <v>66300</v>
      </c>
    </row>
    <row r="93" spans="1:8" x14ac:dyDescent="0.25">
      <c r="A93" s="29"/>
      <c r="B93" s="29"/>
      <c r="C93" s="29" t="s">
        <v>106</v>
      </c>
      <c r="D93" s="29" t="s">
        <v>11</v>
      </c>
      <c r="E93" s="29">
        <v>25</v>
      </c>
      <c r="F93" s="38">
        <f>E93*1500</f>
        <v>37500</v>
      </c>
      <c r="G93" s="38">
        <f>E93*500</f>
        <v>12500</v>
      </c>
      <c r="H93" s="38">
        <f>E93*1000</f>
        <v>25000</v>
      </c>
    </row>
    <row r="94" spans="1:8" x14ac:dyDescent="0.25">
      <c r="A94" s="29"/>
      <c r="B94" s="29"/>
      <c r="C94" s="29" t="s">
        <v>16</v>
      </c>
      <c r="D94" s="29" t="s">
        <v>11</v>
      </c>
      <c r="E94" s="29">
        <v>45</v>
      </c>
      <c r="F94" s="38">
        <f>E94*1500</f>
        <v>67500</v>
      </c>
      <c r="G94" s="38">
        <f>E94*500</f>
        <v>22500</v>
      </c>
      <c r="H94" s="38">
        <v>45000</v>
      </c>
    </row>
    <row r="95" spans="1:8" x14ac:dyDescent="0.25">
      <c r="A95" s="29"/>
      <c r="B95" s="29"/>
      <c r="C95" s="29"/>
      <c r="D95" s="29" t="s">
        <v>12</v>
      </c>
      <c r="E95" s="29">
        <v>7</v>
      </c>
      <c r="F95" s="38">
        <f>E95*3000</f>
        <v>21000</v>
      </c>
      <c r="G95" s="38">
        <f>E95*2000</f>
        <v>14000</v>
      </c>
      <c r="H95" s="38">
        <v>7000</v>
      </c>
    </row>
    <row r="96" spans="1:8" x14ac:dyDescent="0.25">
      <c r="A96" s="29"/>
      <c r="B96" s="29"/>
      <c r="C96" s="29"/>
      <c r="D96" s="29" t="s">
        <v>13</v>
      </c>
      <c r="E96" s="29">
        <v>2</v>
      </c>
      <c r="F96" s="38">
        <f>E96*6500</f>
        <v>13000</v>
      </c>
      <c r="G96" s="38">
        <f>E96*4500</f>
        <v>9000</v>
      </c>
      <c r="H96" s="38">
        <f>E96*2000</f>
        <v>4000</v>
      </c>
    </row>
    <row r="97" spans="1:8" x14ac:dyDescent="0.25">
      <c r="A97" s="29"/>
      <c r="B97" s="29"/>
      <c r="C97" s="29"/>
      <c r="D97" s="29" t="s">
        <v>14</v>
      </c>
      <c r="E97" s="29">
        <v>1</v>
      </c>
      <c r="F97" s="38">
        <f>E97*10000</f>
        <v>10000</v>
      </c>
      <c r="G97" s="38">
        <f>E97*5500</f>
        <v>5500</v>
      </c>
      <c r="H97" s="38">
        <v>4500</v>
      </c>
    </row>
    <row r="98" spans="1:8" x14ac:dyDescent="0.25">
      <c r="A98" s="29"/>
      <c r="B98" s="29"/>
      <c r="C98" s="29" t="s">
        <v>10</v>
      </c>
      <c r="D98" s="29" t="s">
        <v>11</v>
      </c>
      <c r="E98" s="29">
        <v>49</v>
      </c>
      <c r="F98" s="38">
        <f>E98*1500</f>
        <v>73500</v>
      </c>
      <c r="G98" s="38">
        <f>E98*500</f>
        <v>24500</v>
      </c>
      <c r="H98" s="38">
        <v>49000</v>
      </c>
    </row>
    <row r="99" spans="1:8" x14ac:dyDescent="0.25">
      <c r="A99" s="29"/>
      <c r="B99" s="29"/>
      <c r="C99" s="29"/>
      <c r="D99" s="29" t="s">
        <v>13</v>
      </c>
      <c r="E99" s="29">
        <v>1</v>
      </c>
      <c r="F99" s="38">
        <v>6500</v>
      </c>
      <c r="G99" s="38">
        <v>4500</v>
      </c>
      <c r="H99" s="38">
        <v>2000</v>
      </c>
    </row>
    <row r="100" spans="1:8" x14ac:dyDescent="0.25">
      <c r="A100" s="29"/>
      <c r="B100" s="29"/>
      <c r="C100" s="29"/>
      <c r="D100" s="29" t="s">
        <v>14</v>
      </c>
      <c r="E100" s="29">
        <v>3</v>
      </c>
      <c r="F100" s="38">
        <f>E100*8000</f>
        <v>24000</v>
      </c>
      <c r="G100" s="38">
        <f>E100*5500</f>
        <v>16500</v>
      </c>
      <c r="H100" s="38">
        <f>E100*4500</f>
        <v>13500</v>
      </c>
    </row>
    <row r="101" spans="1:8" x14ac:dyDescent="0.25">
      <c r="A101" s="29"/>
      <c r="B101" s="29"/>
      <c r="C101" s="29" t="s">
        <v>377</v>
      </c>
      <c r="D101" s="29" t="s">
        <v>11</v>
      </c>
      <c r="E101" s="29">
        <v>88</v>
      </c>
      <c r="F101" s="38">
        <f>E101*1500</f>
        <v>132000</v>
      </c>
      <c r="G101" s="38">
        <f>E101*500</f>
        <v>44000</v>
      </c>
      <c r="H101" s="38">
        <v>88000</v>
      </c>
    </row>
    <row r="102" spans="1:8" x14ac:dyDescent="0.25">
      <c r="A102" s="29"/>
      <c r="B102" s="29"/>
      <c r="C102" s="29"/>
      <c r="D102" s="29" t="s">
        <v>13</v>
      </c>
      <c r="E102" s="29">
        <v>4</v>
      </c>
      <c r="F102" s="38">
        <f>E102*6500</f>
        <v>26000</v>
      </c>
      <c r="G102" s="38">
        <f>E102*4500</f>
        <v>18000</v>
      </c>
      <c r="H102" s="38">
        <f>E102*2000</f>
        <v>8000</v>
      </c>
    </row>
    <row r="103" spans="1:8" x14ac:dyDescent="0.25">
      <c r="A103" s="29"/>
      <c r="B103" s="29"/>
      <c r="C103" s="29"/>
      <c r="D103" s="29" t="s">
        <v>14</v>
      </c>
      <c r="E103" s="29">
        <v>2</v>
      </c>
      <c r="F103" s="38">
        <f>E103*8000</f>
        <v>16000</v>
      </c>
      <c r="G103" s="38">
        <f>E103*5500</f>
        <v>11000</v>
      </c>
      <c r="H103" s="38">
        <f>E103*2500</f>
        <v>5000</v>
      </c>
    </row>
    <row r="104" spans="1:8" x14ac:dyDescent="0.25">
      <c r="A104" s="125" t="s">
        <v>17</v>
      </c>
      <c r="B104" s="125"/>
      <c r="C104" s="125"/>
      <c r="D104" s="125"/>
      <c r="E104" s="17">
        <f>SUM(E92:E103)</f>
        <v>278</v>
      </c>
      <c r="F104" s="17">
        <f>SUM(F92:F103)</f>
        <v>518800</v>
      </c>
      <c r="G104" s="17">
        <f>SUM(G92:G103)</f>
        <v>207500</v>
      </c>
      <c r="H104" s="17">
        <f>SUM(H92:H103)</f>
        <v>317300</v>
      </c>
    </row>
    <row r="105" spans="1:8" x14ac:dyDescent="0.25">
      <c r="A105" s="29" t="s">
        <v>22</v>
      </c>
      <c r="B105" s="37">
        <v>44876</v>
      </c>
      <c r="C105" s="29" t="s">
        <v>288</v>
      </c>
      <c r="D105" s="29" t="s">
        <v>11</v>
      </c>
      <c r="E105" s="29">
        <f>67-13</f>
        <v>54</v>
      </c>
      <c r="F105" s="38">
        <f>E105*1800</f>
        <v>97200</v>
      </c>
      <c r="G105" s="38">
        <f>E105*500</f>
        <v>27000</v>
      </c>
      <c r="H105" s="38">
        <f>E105*1300</f>
        <v>70200</v>
      </c>
    </row>
    <row r="106" spans="1:8" x14ac:dyDescent="0.25">
      <c r="A106" s="29"/>
      <c r="B106" s="29"/>
      <c r="C106" s="29" t="s">
        <v>106</v>
      </c>
      <c r="D106" s="29" t="s">
        <v>11</v>
      </c>
      <c r="E106" s="29">
        <v>25</v>
      </c>
      <c r="F106" s="38">
        <f>E106*1500</f>
        <v>37500</v>
      </c>
      <c r="G106" s="38">
        <f>E106*500</f>
        <v>12500</v>
      </c>
      <c r="H106" s="38">
        <v>25000</v>
      </c>
    </row>
    <row r="107" spans="1:8" x14ac:dyDescent="0.25">
      <c r="A107" s="29"/>
      <c r="B107" s="29"/>
      <c r="C107" s="29" t="s">
        <v>108</v>
      </c>
      <c r="D107" s="29" t="s">
        <v>11</v>
      </c>
      <c r="E107" s="29">
        <v>25</v>
      </c>
      <c r="F107" s="38">
        <f>E107*1500</f>
        <v>37500</v>
      </c>
      <c r="G107" s="38">
        <f>E107*500</f>
        <v>12500</v>
      </c>
      <c r="H107" s="38">
        <v>25000</v>
      </c>
    </row>
    <row r="108" spans="1:8" x14ac:dyDescent="0.25">
      <c r="A108" s="29"/>
      <c r="B108" s="29"/>
      <c r="C108" s="29" t="s">
        <v>292</v>
      </c>
      <c r="D108" s="29" t="s">
        <v>11</v>
      </c>
      <c r="E108" s="29">
        <v>48</v>
      </c>
      <c r="F108" s="38">
        <f>E108*1500</f>
        <v>72000</v>
      </c>
      <c r="G108" s="38">
        <f>E108*500</f>
        <v>24000</v>
      </c>
      <c r="H108" s="38">
        <v>48000</v>
      </c>
    </row>
    <row r="109" spans="1:8" x14ac:dyDescent="0.25">
      <c r="A109" s="29"/>
      <c r="B109" s="29"/>
      <c r="C109" s="29" t="s">
        <v>16</v>
      </c>
      <c r="D109" s="29" t="s">
        <v>11</v>
      </c>
      <c r="E109" s="29">
        <v>60</v>
      </c>
      <c r="F109" s="38">
        <f>E109*1500</f>
        <v>90000</v>
      </c>
      <c r="G109" s="38">
        <f>E109*500</f>
        <v>30000</v>
      </c>
      <c r="H109" s="38">
        <v>60000</v>
      </c>
    </row>
    <row r="110" spans="1:8" x14ac:dyDescent="0.25">
      <c r="A110" s="29"/>
      <c r="B110" s="29"/>
      <c r="C110" s="29"/>
      <c r="D110" s="29" t="s">
        <v>12</v>
      </c>
      <c r="E110" s="29">
        <v>2</v>
      </c>
      <c r="F110" s="38">
        <f>E110*1500</f>
        <v>3000</v>
      </c>
      <c r="G110" s="38">
        <f>E110*2000</f>
        <v>4000</v>
      </c>
      <c r="H110" s="38">
        <f>E110*1000</f>
        <v>2000</v>
      </c>
    </row>
    <row r="111" spans="1:8" x14ac:dyDescent="0.25">
      <c r="A111" s="29"/>
      <c r="B111" s="29"/>
      <c r="C111" s="29"/>
      <c r="D111" s="29" t="s">
        <v>13</v>
      </c>
      <c r="E111" s="29">
        <v>1</v>
      </c>
      <c r="F111" s="38">
        <v>6500</v>
      </c>
      <c r="G111" s="38">
        <v>4500</v>
      </c>
      <c r="H111" s="38">
        <v>2000</v>
      </c>
    </row>
    <row r="112" spans="1:8" x14ac:dyDescent="0.25">
      <c r="A112" s="29"/>
      <c r="B112" s="29"/>
      <c r="C112" s="29" t="s">
        <v>378</v>
      </c>
      <c r="D112" s="29" t="s">
        <v>243</v>
      </c>
      <c r="E112" s="29">
        <v>2</v>
      </c>
      <c r="F112" s="38">
        <f>E112*13000</f>
        <v>26000</v>
      </c>
      <c r="G112" s="38">
        <f>E112*10000</f>
        <v>20000</v>
      </c>
      <c r="H112" s="38">
        <f>E112*3000</f>
        <v>6000</v>
      </c>
    </row>
    <row r="113" spans="1:8" x14ac:dyDescent="0.25">
      <c r="A113" s="29"/>
      <c r="B113" s="29"/>
      <c r="C113" s="29" t="s">
        <v>375</v>
      </c>
      <c r="D113" s="29" t="s">
        <v>243</v>
      </c>
      <c r="E113" s="29">
        <v>5</v>
      </c>
      <c r="F113" s="38">
        <f>E113*13000</f>
        <v>65000</v>
      </c>
      <c r="G113" s="38">
        <f>E113*10000</f>
        <v>50000</v>
      </c>
      <c r="H113" s="38">
        <f>E113*3000</f>
        <v>15000</v>
      </c>
    </row>
    <row r="114" spans="1:8" x14ac:dyDescent="0.25">
      <c r="A114" s="29"/>
      <c r="B114" s="29"/>
      <c r="C114" s="29" t="s">
        <v>379</v>
      </c>
      <c r="D114" s="29" t="s">
        <v>243</v>
      </c>
      <c r="E114" s="29">
        <v>2</v>
      </c>
      <c r="F114" s="38">
        <f>E114*13000</f>
        <v>26000</v>
      </c>
      <c r="G114" s="38">
        <f>E114*10000</f>
        <v>20000</v>
      </c>
      <c r="H114" s="38">
        <f>E114*3000</f>
        <v>6000</v>
      </c>
    </row>
    <row r="115" spans="1:8" x14ac:dyDescent="0.25">
      <c r="A115" s="29"/>
      <c r="B115" s="29"/>
      <c r="C115" s="29" t="s">
        <v>217</v>
      </c>
      <c r="D115" s="29" t="s">
        <v>11</v>
      </c>
      <c r="E115" s="29">
        <v>51</v>
      </c>
      <c r="F115" s="38">
        <f>E115*1500</f>
        <v>76500</v>
      </c>
      <c r="G115" s="38">
        <f>E115*500</f>
        <v>25500</v>
      </c>
      <c r="H115" s="38">
        <v>51000</v>
      </c>
    </row>
    <row r="116" spans="1:8" x14ac:dyDescent="0.25">
      <c r="A116" s="125" t="s">
        <v>17</v>
      </c>
      <c r="B116" s="125"/>
      <c r="C116" s="125"/>
      <c r="D116" s="125"/>
      <c r="E116" s="17">
        <f>SUM(E105:E115)</f>
        <v>275</v>
      </c>
      <c r="F116" s="17">
        <f>SUM(F105:F115)</f>
        <v>537200</v>
      </c>
      <c r="G116" s="17">
        <f>SUM(G105:G115)</f>
        <v>230000</v>
      </c>
      <c r="H116" s="17">
        <f>SUM(H105:H115)</f>
        <v>310200</v>
      </c>
    </row>
    <row r="117" spans="1:8" x14ac:dyDescent="0.25">
      <c r="A117" s="29" t="s">
        <v>26</v>
      </c>
      <c r="B117" s="37">
        <v>44906</v>
      </c>
      <c r="C117" s="29" t="s">
        <v>288</v>
      </c>
      <c r="D117" s="29" t="s">
        <v>11</v>
      </c>
      <c r="E117" s="29">
        <v>41</v>
      </c>
      <c r="F117" s="38">
        <f>E117*1800</f>
        <v>73800</v>
      </c>
      <c r="G117" s="38">
        <f>E117*500</f>
        <v>20500</v>
      </c>
      <c r="H117" s="38">
        <f>E117*1300</f>
        <v>53300</v>
      </c>
    </row>
    <row r="118" spans="1:8" x14ac:dyDescent="0.25">
      <c r="A118" s="29"/>
      <c r="B118" s="29"/>
      <c r="C118" s="29" t="s">
        <v>106</v>
      </c>
      <c r="D118" s="29" t="s">
        <v>11</v>
      </c>
      <c r="E118" s="29">
        <v>25</v>
      </c>
      <c r="F118" s="38">
        <v>37500</v>
      </c>
      <c r="G118" s="38">
        <f>E118*500</f>
        <v>12500</v>
      </c>
      <c r="H118" s="38">
        <f t="shared" ref="H118:H124" si="3">E118*1000</f>
        <v>25000</v>
      </c>
    </row>
    <row r="119" spans="1:8" x14ac:dyDescent="0.25">
      <c r="A119" s="29"/>
      <c r="B119" s="29"/>
      <c r="C119" s="29" t="s">
        <v>376</v>
      </c>
      <c r="D119" s="29" t="s">
        <v>11</v>
      </c>
      <c r="E119" s="29">
        <v>130</v>
      </c>
      <c r="F119" s="38">
        <f t="shared" ref="F119:F124" si="4">E119*1500</f>
        <v>195000</v>
      </c>
      <c r="G119" s="38">
        <f>E119*500</f>
        <v>65000</v>
      </c>
      <c r="H119" s="38">
        <f t="shared" si="3"/>
        <v>130000</v>
      </c>
    </row>
    <row r="120" spans="1:8" x14ac:dyDescent="0.25">
      <c r="A120" s="29"/>
      <c r="B120" s="29"/>
      <c r="C120" s="29"/>
      <c r="D120" s="29" t="s">
        <v>11</v>
      </c>
      <c r="E120" s="29">
        <v>120</v>
      </c>
      <c r="F120" s="38">
        <f t="shared" si="4"/>
        <v>180000</v>
      </c>
      <c r="G120" s="38">
        <f t="shared" ref="G120:G126" si="5">E120*500</f>
        <v>60000</v>
      </c>
      <c r="H120" s="38">
        <f t="shared" si="3"/>
        <v>120000</v>
      </c>
    </row>
    <row r="121" spans="1:8" x14ac:dyDescent="0.25">
      <c r="A121" s="29"/>
      <c r="B121" s="29"/>
      <c r="C121" s="29"/>
      <c r="D121" s="29" t="s">
        <v>11</v>
      </c>
      <c r="E121" s="29">
        <v>43</v>
      </c>
      <c r="F121" s="38">
        <f t="shared" si="4"/>
        <v>64500</v>
      </c>
      <c r="G121" s="38">
        <f t="shared" si="5"/>
        <v>21500</v>
      </c>
      <c r="H121" s="38">
        <f t="shared" si="3"/>
        <v>43000</v>
      </c>
    </row>
    <row r="122" spans="1:8" x14ac:dyDescent="0.25">
      <c r="A122" s="29"/>
      <c r="B122" s="29"/>
      <c r="C122" s="29"/>
      <c r="D122" s="29" t="s">
        <v>11</v>
      </c>
      <c r="E122" s="29">
        <v>130</v>
      </c>
      <c r="F122" s="38">
        <f t="shared" si="4"/>
        <v>195000</v>
      </c>
      <c r="G122" s="38">
        <f t="shared" si="5"/>
        <v>65000</v>
      </c>
      <c r="H122" s="38">
        <f t="shared" si="3"/>
        <v>130000</v>
      </c>
    </row>
    <row r="123" spans="1:8" x14ac:dyDescent="0.25">
      <c r="A123" s="29"/>
      <c r="B123" s="29"/>
      <c r="C123" s="29"/>
      <c r="D123" s="29" t="s">
        <v>11</v>
      </c>
      <c r="E123" s="29">
        <v>93</v>
      </c>
      <c r="F123" s="38">
        <f t="shared" si="4"/>
        <v>139500</v>
      </c>
      <c r="G123" s="38">
        <f t="shared" si="5"/>
        <v>46500</v>
      </c>
      <c r="H123" s="38">
        <f t="shared" si="3"/>
        <v>93000</v>
      </c>
    </row>
    <row r="124" spans="1:8" x14ac:dyDescent="0.25">
      <c r="A124" s="29"/>
      <c r="B124" s="29"/>
      <c r="C124" s="29"/>
      <c r="D124" s="29" t="s">
        <v>11</v>
      </c>
      <c r="E124" s="29">
        <v>40</v>
      </c>
      <c r="F124" s="38">
        <f t="shared" si="4"/>
        <v>60000</v>
      </c>
      <c r="G124" s="38">
        <f t="shared" si="5"/>
        <v>20000</v>
      </c>
      <c r="H124" s="38">
        <f t="shared" si="3"/>
        <v>40000</v>
      </c>
    </row>
    <row r="125" spans="1:8" x14ac:dyDescent="0.25">
      <c r="A125" s="29"/>
      <c r="B125" s="29"/>
      <c r="C125" s="29" t="s">
        <v>81</v>
      </c>
      <c r="D125" s="29" t="s">
        <v>11</v>
      </c>
      <c r="E125" s="29">
        <v>75</v>
      </c>
      <c r="F125" s="38">
        <f>E125*1800</f>
        <v>135000</v>
      </c>
      <c r="G125" s="38">
        <f t="shared" si="5"/>
        <v>37500</v>
      </c>
      <c r="H125" s="38">
        <f>E125*1300</f>
        <v>97500</v>
      </c>
    </row>
    <row r="126" spans="1:8" x14ac:dyDescent="0.25">
      <c r="A126" s="29"/>
      <c r="B126" s="29"/>
      <c r="C126" s="29" t="s">
        <v>16</v>
      </c>
      <c r="D126" s="29" t="s">
        <v>11</v>
      </c>
      <c r="E126" s="29">
        <v>25</v>
      </c>
      <c r="F126" s="38">
        <f>E126*1500</f>
        <v>37500</v>
      </c>
      <c r="G126" s="38">
        <f t="shared" si="5"/>
        <v>12500</v>
      </c>
      <c r="H126" s="38">
        <f>E126*1000</f>
        <v>25000</v>
      </c>
    </row>
    <row r="127" spans="1:8" x14ac:dyDescent="0.25">
      <c r="A127" s="29"/>
      <c r="B127" s="29"/>
      <c r="C127" s="29"/>
      <c r="D127" s="29" t="s">
        <v>12</v>
      </c>
      <c r="E127" s="29">
        <v>3</v>
      </c>
      <c r="F127" s="38">
        <f>E127*3000</f>
        <v>9000</v>
      </c>
      <c r="G127" s="38">
        <f>E127*2000</f>
        <v>6000</v>
      </c>
      <c r="H127" s="38">
        <f>E127*1000</f>
        <v>3000</v>
      </c>
    </row>
    <row r="128" spans="1:8" x14ac:dyDescent="0.25">
      <c r="A128" s="29"/>
      <c r="B128" s="29"/>
      <c r="C128" s="29"/>
      <c r="D128" s="29" t="s">
        <v>13</v>
      </c>
      <c r="E128" s="29">
        <v>1</v>
      </c>
      <c r="F128" s="38">
        <v>6500</v>
      </c>
      <c r="G128" s="38">
        <v>4500</v>
      </c>
      <c r="H128" s="38">
        <v>2000</v>
      </c>
    </row>
    <row r="129" spans="1:8" x14ac:dyDescent="0.25">
      <c r="A129" s="29"/>
      <c r="B129" s="29"/>
      <c r="C129" s="29"/>
      <c r="D129" s="29" t="s">
        <v>243</v>
      </c>
      <c r="E129" s="29">
        <v>1</v>
      </c>
      <c r="F129" s="38">
        <v>13000</v>
      </c>
      <c r="G129" s="38">
        <v>10000</v>
      </c>
      <c r="H129" s="38">
        <v>3000</v>
      </c>
    </row>
    <row r="130" spans="1:8" x14ac:dyDescent="0.25">
      <c r="A130" s="29"/>
      <c r="B130" s="29"/>
      <c r="C130" s="29" t="s">
        <v>10</v>
      </c>
      <c r="D130" s="29" t="s">
        <v>11</v>
      </c>
      <c r="E130" s="29">
        <v>72</v>
      </c>
      <c r="F130" s="38">
        <f>E130*1500</f>
        <v>108000</v>
      </c>
      <c r="G130" s="38">
        <f>E130*500</f>
        <v>36000</v>
      </c>
      <c r="H130" s="38">
        <f>E130*1000</f>
        <v>72000</v>
      </c>
    </row>
    <row r="131" spans="1:8" x14ac:dyDescent="0.25">
      <c r="A131" s="29"/>
      <c r="B131" s="29"/>
      <c r="C131" s="29"/>
      <c r="D131" s="29" t="s">
        <v>12</v>
      </c>
      <c r="E131" s="29">
        <v>3</v>
      </c>
      <c r="F131" s="38">
        <v>9000</v>
      </c>
      <c r="G131" s="38">
        <v>6000</v>
      </c>
      <c r="H131" s="38">
        <v>3000</v>
      </c>
    </row>
    <row r="132" spans="1:8" x14ac:dyDescent="0.25">
      <c r="A132" s="29"/>
      <c r="B132" s="29"/>
      <c r="C132" s="29"/>
      <c r="D132" s="29" t="s">
        <v>13</v>
      </c>
      <c r="E132" s="29">
        <v>10</v>
      </c>
      <c r="F132" s="38">
        <f>E132*6500</f>
        <v>65000</v>
      </c>
      <c r="G132" s="38">
        <f>E132*4500</f>
        <v>45000</v>
      </c>
      <c r="H132" s="38">
        <f>E132*2000</f>
        <v>20000</v>
      </c>
    </row>
    <row r="133" spans="1:8" x14ac:dyDescent="0.25">
      <c r="A133" s="29"/>
      <c r="B133" s="29"/>
      <c r="C133" s="29"/>
      <c r="D133" s="29" t="s">
        <v>14</v>
      </c>
      <c r="E133" s="29">
        <v>13</v>
      </c>
      <c r="F133" s="38">
        <f>E133*8000</f>
        <v>104000</v>
      </c>
      <c r="G133" s="38">
        <f>E133*5500</f>
        <v>71500</v>
      </c>
      <c r="H133" s="38">
        <f>E133*2500</f>
        <v>32500</v>
      </c>
    </row>
    <row r="134" spans="1:8" x14ac:dyDescent="0.25">
      <c r="A134" s="126" t="s">
        <v>17</v>
      </c>
      <c r="B134" s="126"/>
      <c r="C134" s="126"/>
      <c r="D134" s="126"/>
      <c r="E134" s="17">
        <f>SUM(E117:E133)</f>
        <v>825</v>
      </c>
      <c r="F134" s="17">
        <f>SUM(F117:F133)</f>
        <v>1432300</v>
      </c>
      <c r="G134" s="17">
        <f>SUM(G117:G133)</f>
        <v>540000</v>
      </c>
      <c r="H134" s="17">
        <f>SUM(H117:H133)</f>
        <v>892300</v>
      </c>
    </row>
    <row r="135" spans="1:8" x14ac:dyDescent="0.25">
      <c r="A135" s="29" t="s">
        <v>28</v>
      </c>
      <c r="B135" s="29" t="s">
        <v>380</v>
      </c>
      <c r="C135" s="29" t="s">
        <v>10</v>
      </c>
      <c r="D135" s="29" t="s">
        <v>13</v>
      </c>
      <c r="E135" s="29">
        <v>15</v>
      </c>
      <c r="F135" s="38">
        <f>E135*6500</f>
        <v>97500</v>
      </c>
      <c r="G135" s="38">
        <f>E135*4500</f>
        <v>67500</v>
      </c>
      <c r="H135" s="38">
        <f>E135*2000</f>
        <v>30000</v>
      </c>
    </row>
    <row r="136" spans="1:8" x14ac:dyDescent="0.25">
      <c r="A136" s="29"/>
      <c r="B136" s="29"/>
      <c r="C136" s="29"/>
      <c r="D136" s="29" t="s">
        <v>14</v>
      </c>
      <c r="E136" s="29">
        <v>20</v>
      </c>
      <c r="F136" s="38">
        <f>E136*8000</f>
        <v>160000</v>
      </c>
      <c r="G136" s="38">
        <f>E136*5500</f>
        <v>110000</v>
      </c>
      <c r="H136" s="38">
        <f>E136*2500</f>
        <v>50000</v>
      </c>
    </row>
    <row r="137" spans="1:8" x14ac:dyDescent="0.25">
      <c r="A137" s="29"/>
      <c r="B137" s="29"/>
      <c r="C137" s="29" t="s">
        <v>217</v>
      </c>
      <c r="D137" s="29" t="s">
        <v>11</v>
      </c>
      <c r="E137" s="29">
        <v>36</v>
      </c>
      <c r="F137" s="38">
        <f>E137*1500</f>
        <v>54000</v>
      </c>
      <c r="G137" s="38">
        <f>E137*500</f>
        <v>18000</v>
      </c>
      <c r="H137" s="38">
        <v>36000</v>
      </c>
    </row>
    <row r="138" spans="1:8" x14ac:dyDescent="0.25">
      <c r="A138" s="29"/>
      <c r="B138" s="29"/>
      <c r="C138" s="29"/>
      <c r="D138" s="29" t="s">
        <v>13</v>
      </c>
      <c r="E138" s="29">
        <v>20</v>
      </c>
      <c r="F138" s="38">
        <f>E138*6500</f>
        <v>130000</v>
      </c>
      <c r="G138" s="38">
        <f>E138*4500</f>
        <v>90000</v>
      </c>
      <c r="H138" s="38">
        <f>E138*2000</f>
        <v>40000</v>
      </c>
    </row>
    <row r="139" spans="1:8" x14ac:dyDescent="0.25">
      <c r="A139" s="29"/>
      <c r="B139" s="29"/>
      <c r="C139" s="29"/>
      <c r="D139" s="29" t="s">
        <v>14</v>
      </c>
      <c r="E139" s="29">
        <v>10</v>
      </c>
      <c r="F139" s="38">
        <f>E139*10000</f>
        <v>100000</v>
      </c>
      <c r="G139" s="38">
        <f>E139*5500</f>
        <v>55000</v>
      </c>
      <c r="H139" s="38">
        <f>E139*4500</f>
        <v>45000</v>
      </c>
    </row>
    <row r="140" spans="1:8" x14ac:dyDescent="0.25">
      <c r="A140" s="29"/>
      <c r="B140" s="29"/>
      <c r="C140" s="29" t="s">
        <v>20</v>
      </c>
      <c r="D140" s="29" t="s">
        <v>11</v>
      </c>
      <c r="E140" s="29">
        <v>10</v>
      </c>
      <c r="F140" s="38">
        <f>E140*1500</f>
        <v>15000</v>
      </c>
      <c r="G140" s="38">
        <f>E140*500</f>
        <v>5000</v>
      </c>
      <c r="H140" s="38">
        <v>10000</v>
      </c>
    </row>
    <row r="141" spans="1:8" x14ac:dyDescent="0.25">
      <c r="A141" s="29"/>
      <c r="B141" s="29"/>
      <c r="C141" s="29"/>
      <c r="D141" s="29" t="s">
        <v>13</v>
      </c>
      <c r="E141" s="29">
        <v>23</v>
      </c>
      <c r="F141" s="38">
        <f>E141*6500</f>
        <v>149500</v>
      </c>
      <c r="G141" s="38">
        <f>E141*4500</f>
        <v>103500</v>
      </c>
      <c r="H141" s="38">
        <f>E141*2000</f>
        <v>46000</v>
      </c>
    </row>
    <row r="142" spans="1:8" x14ac:dyDescent="0.25">
      <c r="A142" s="29"/>
      <c r="B142" s="29"/>
      <c r="C142" s="29"/>
      <c r="D142" s="29" t="s">
        <v>14</v>
      </c>
      <c r="E142" s="29">
        <v>25</v>
      </c>
      <c r="F142" s="38">
        <f>E142*10000</f>
        <v>250000</v>
      </c>
      <c r="G142" s="38">
        <f>E142*5500</f>
        <v>137500</v>
      </c>
      <c r="H142" s="38">
        <f>E142*3500</f>
        <v>87500</v>
      </c>
    </row>
    <row r="143" spans="1:8" x14ac:dyDescent="0.25">
      <c r="A143" s="126" t="s">
        <v>17</v>
      </c>
      <c r="B143" s="126"/>
      <c r="C143" s="126"/>
      <c r="D143" s="126"/>
      <c r="E143" s="16">
        <f>SUM(E135:E142)</f>
        <v>159</v>
      </c>
      <c r="F143" s="17">
        <f>SUM(F135:F142)</f>
        <v>956000</v>
      </c>
      <c r="G143" s="17">
        <f>SUM(G135:G142)</f>
        <v>586500</v>
      </c>
      <c r="H143" s="17">
        <f>SUM(H135:H142)</f>
        <v>344500</v>
      </c>
    </row>
    <row r="144" spans="1:8" x14ac:dyDescent="0.25">
      <c r="A144" s="29" t="s">
        <v>381</v>
      </c>
      <c r="B144" s="29" t="s">
        <v>382</v>
      </c>
      <c r="C144" s="29" t="s">
        <v>288</v>
      </c>
      <c r="D144" s="29" t="s">
        <v>11</v>
      </c>
      <c r="E144" s="29">
        <f>32-14</f>
        <v>18</v>
      </c>
      <c r="F144" s="38">
        <f>E144*1800</f>
        <v>32400</v>
      </c>
      <c r="G144" s="38">
        <f t="shared" ref="G144:G154" si="6">E144*500</f>
        <v>9000</v>
      </c>
      <c r="H144" s="38">
        <f>E144*1300</f>
        <v>23400</v>
      </c>
    </row>
    <row r="145" spans="1:8" x14ac:dyDescent="0.25">
      <c r="A145" s="29"/>
      <c r="B145" s="29"/>
      <c r="C145" s="29" t="s">
        <v>106</v>
      </c>
      <c r="D145" s="29" t="s">
        <v>11</v>
      </c>
      <c r="E145" s="29">
        <v>24</v>
      </c>
      <c r="F145" s="38">
        <v>36000</v>
      </c>
      <c r="G145" s="38">
        <f t="shared" si="6"/>
        <v>12000</v>
      </c>
      <c r="H145" s="38">
        <v>24000</v>
      </c>
    </row>
    <row r="146" spans="1:8" x14ac:dyDescent="0.25">
      <c r="A146" s="29"/>
      <c r="B146" s="29"/>
      <c r="C146" s="29" t="s">
        <v>292</v>
      </c>
      <c r="D146" s="29" t="s">
        <v>11</v>
      </c>
      <c r="E146" s="29">
        <v>30</v>
      </c>
      <c r="F146" s="38">
        <f>E146*1500</f>
        <v>45000</v>
      </c>
      <c r="G146" s="38">
        <f t="shared" si="6"/>
        <v>15000</v>
      </c>
      <c r="H146" s="38">
        <v>30000</v>
      </c>
    </row>
    <row r="147" spans="1:8" x14ac:dyDescent="0.25">
      <c r="A147" s="29"/>
      <c r="B147" s="29"/>
      <c r="C147" s="29" t="s">
        <v>108</v>
      </c>
      <c r="D147" s="29" t="s">
        <v>11</v>
      </c>
      <c r="E147" s="29">
        <f>25-13</f>
        <v>12</v>
      </c>
      <c r="F147" s="38">
        <f>E147*1500</f>
        <v>18000</v>
      </c>
      <c r="G147" s="38">
        <f t="shared" si="6"/>
        <v>6000</v>
      </c>
      <c r="H147" s="38">
        <v>12000</v>
      </c>
    </row>
    <row r="148" spans="1:8" x14ac:dyDescent="0.25">
      <c r="A148" s="29"/>
      <c r="B148" s="29"/>
      <c r="C148" s="29" t="s">
        <v>81</v>
      </c>
      <c r="D148" s="29" t="s">
        <v>11</v>
      </c>
      <c r="E148" s="29">
        <v>75</v>
      </c>
      <c r="F148" s="38">
        <f t="shared" ref="F148:F153" si="7">E148*1800</f>
        <v>135000</v>
      </c>
      <c r="G148" s="38">
        <f t="shared" si="6"/>
        <v>37500</v>
      </c>
      <c r="H148" s="38">
        <f t="shared" ref="H148:H153" si="8">E148*1300</f>
        <v>97500</v>
      </c>
    </row>
    <row r="149" spans="1:8" x14ac:dyDescent="0.25">
      <c r="A149" s="29"/>
      <c r="B149" s="29"/>
      <c r="C149" s="29"/>
      <c r="D149" s="29"/>
      <c r="E149" s="29">
        <v>75</v>
      </c>
      <c r="F149" s="38">
        <f t="shared" si="7"/>
        <v>135000</v>
      </c>
      <c r="G149" s="38">
        <f t="shared" si="6"/>
        <v>37500</v>
      </c>
      <c r="H149" s="38">
        <f t="shared" si="8"/>
        <v>97500</v>
      </c>
    </row>
    <row r="150" spans="1:8" x14ac:dyDescent="0.25">
      <c r="A150" s="29"/>
      <c r="B150" s="29"/>
      <c r="C150" s="29"/>
      <c r="D150" s="29"/>
      <c r="E150" s="29">
        <v>75</v>
      </c>
      <c r="F150" s="38">
        <f t="shared" si="7"/>
        <v>135000</v>
      </c>
      <c r="G150" s="38">
        <f t="shared" si="6"/>
        <v>37500</v>
      </c>
      <c r="H150" s="38">
        <f t="shared" si="8"/>
        <v>97500</v>
      </c>
    </row>
    <row r="151" spans="1:8" x14ac:dyDescent="0.25">
      <c r="A151" s="29"/>
      <c r="B151" s="29"/>
      <c r="C151" s="29"/>
      <c r="D151" s="29"/>
      <c r="E151" s="29">
        <v>75</v>
      </c>
      <c r="F151" s="38">
        <f t="shared" si="7"/>
        <v>135000</v>
      </c>
      <c r="G151" s="38">
        <f t="shared" si="6"/>
        <v>37500</v>
      </c>
      <c r="H151" s="38">
        <f t="shared" si="8"/>
        <v>97500</v>
      </c>
    </row>
    <row r="152" spans="1:8" x14ac:dyDescent="0.25">
      <c r="A152" s="29"/>
      <c r="B152" s="29"/>
      <c r="C152" s="29"/>
      <c r="D152" s="29"/>
      <c r="E152" s="29">
        <v>75</v>
      </c>
      <c r="F152" s="38">
        <f t="shared" si="7"/>
        <v>135000</v>
      </c>
      <c r="G152" s="38">
        <f t="shared" si="6"/>
        <v>37500</v>
      </c>
      <c r="H152" s="38">
        <f t="shared" si="8"/>
        <v>97500</v>
      </c>
    </row>
    <row r="153" spans="1:8" x14ac:dyDescent="0.25">
      <c r="A153" s="29"/>
      <c r="B153" s="29"/>
      <c r="C153" s="29"/>
      <c r="D153" s="29"/>
      <c r="E153" s="29">
        <v>75</v>
      </c>
      <c r="F153" s="38">
        <f t="shared" si="7"/>
        <v>135000</v>
      </c>
      <c r="G153" s="38">
        <f t="shared" si="6"/>
        <v>37500</v>
      </c>
      <c r="H153" s="38">
        <f t="shared" si="8"/>
        <v>97500</v>
      </c>
    </row>
    <row r="154" spans="1:8" x14ac:dyDescent="0.25">
      <c r="A154" s="29"/>
      <c r="B154" s="29"/>
      <c r="C154" s="29" t="s">
        <v>10</v>
      </c>
      <c r="D154" s="29" t="s">
        <v>11</v>
      </c>
      <c r="E154" s="29">
        <v>49</v>
      </c>
      <c r="F154" s="38">
        <f>E154*1500</f>
        <v>73500</v>
      </c>
      <c r="G154" s="38">
        <f t="shared" si="6"/>
        <v>24500</v>
      </c>
      <c r="H154" s="38">
        <v>49000</v>
      </c>
    </row>
    <row r="155" spans="1:8" x14ac:dyDescent="0.25">
      <c r="A155" s="29"/>
      <c r="B155" s="29"/>
      <c r="C155" s="29"/>
      <c r="D155" s="29" t="s">
        <v>13</v>
      </c>
      <c r="E155" s="29">
        <v>5</v>
      </c>
      <c r="F155" s="38">
        <f>E155*6500</f>
        <v>32500</v>
      </c>
      <c r="G155" s="38">
        <f>E155*4500</f>
        <v>22500</v>
      </c>
      <c r="H155" s="38">
        <f>E155*2000</f>
        <v>10000</v>
      </c>
    </row>
    <row r="156" spans="1:8" x14ac:dyDescent="0.25">
      <c r="A156" s="29"/>
      <c r="B156" s="29"/>
      <c r="C156" s="29"/>
      <c r="D156" s="29" t="s">
        <v>14</v>
      </c>
      <c r="E156" s="29">
        <v>5</v>
      </c>
      <c r="F156" s="38">
        <f>E156*8000</f>
        <v>40000</v>
      </c>
      <c r="G156" s="38">
        <f>E156*5500</f>
        <v>27500</v>
      </c>
      <c r="H156" s="38">
        <f>E156*2500</f>
        <v>12500</v>
      </c>
    </row>
    <row r="157" spans="1:8" x14ac:dyDescent="0.25">
      <c r="A157" s="29"/>
      <c r="B157" s="29"/>
      <c r="C157" s="29" t="s">
        <v>16</v>
      </c>
      <c r="D157" s="29" t="s">
        <v>11</v>
      </c>
      <c r="E157" s="29">
        <v>5</v>
      </c>
      <c r="F157" s="38">
        <f>E157*1500</f>
        <v>7500</v>
      </c>
      <c r="G157" s="38">
        <f>E157*500</f>
        <v>2500</v>
      </c>
      <c r="H157" s="38">
        <v>5000</v>
      </c>
    </row>
    <row r="158" spans="1:8" x14ac:dyDescent="0.25">
      <c r="A158" s="29"/>
      <c r="B158" s="29"/>
      <c r="C158" s="29"/>
      <c r="D158" s="29" t="s">
        <v>12</v>
      </c>
      <c r="E158" s="29">
        <v>1</v>
      </c>
      <c r="F158" s="38">
        <v>3000</v>
      </c>
      <c r="G158" s="38">
        <v>2000</v>
      </c>
      <c r="H158" s="38">
        <v>1000</v>
      </c>
    </row>
    <row r="159" spans="1:8" x14ac:dyDescent="0.25">
      <c r="A159" s="29"/>
      <c r="B159" s="29"/>
      <c r="C159" s="29"/>
      <c r="D159" s="29" t="s">
        <v>11</v>
      </c>
      <c r="E159" s="29">
        <v>80</v>
      </c>
      <c r="F159" s="38">
        <f>E159*1500</f>
        <v>120000</v>
      </c>
      <c r="G159" s="38">
        <f>E159*500</f>
        <v>40000</v>
      </c>
      <c r="H159" s="38">
        <f>E159*1000</f>
        <v>80000</v>
      </c>
    </row>
    <row r="160" spans="1:8" x14ac:dyDescent="0.25">
      <c r="A160" s="29"/>
      <c r="B160" s="29"/>
      <c r="C160" s="29"/>
      <c r="D160" s="29" t="s">
        <v>12</v>
      </c>
      <c r="E160" s="29">
        <v>7</v>
      </c>
      <c r="F160" s="38">
        <f>E160*3000</f>
        <v>21000</v>
      </c>
      <c r="G160" s="38">
        <f>E160*2000</f>
        <v>14000</v>
      </c>
      <c r="H160" s="38">
        <v>7000</v>
      </c>
    </row>
    <row r="161" spans="1:8" x14ac:dyDescent="0.25">
      <c r="A161" s="29"/>
      <c r="B161" s="29"/>
      <c r="C161" s="29"/>
      <c r="D161" s="29" t="s">
        <v>13</v>
      </c>
      <c r="E161" s="29">
        <v>3</v>
      </c>
      <c r="F161" s="38">
        <f>E161*6500</f>
        <v>19500</v>
      </c>
      <c r="G161" s="38">
        <f>E161*4500</f>
        <v>13500</v>
      </c>
      <c r="H161" s="38">
        <f>E161*2000</f>
        <v>6000</v>
      </c>
    </row>
    <row r="162" spans="1:8" x14ac:dyDescent="0.25">
      <c r="A162" s="29"/>
      <c r="B162" s="29"/>
      <c r="C162" s="29"/>
      <c r="D162" s="29" t="s">
        <v>14</v>
      </c>
      <c r="E162" s="29">
        <v>2</v>
      </c>
      <c r="F162" s="38">
        <f>E162*10000</f>
        <v>20000</v>
      </c>
      <c r="G162" s="38">
        <f>E162*5500</f>
        <v>11000</v>
      </c>
      <c r="H162" s="38">
        <f>E162*4500</f>
        <v>9000</v>
      </c>
    </row>
    <row r="163" spans="1:8" x14ac:dyDescent="0.25">
      <c r="A163" s="29"/>
      <c r="B163" s="29"/>
      <c r="C163" s="29" t="s">
        <v>373</v>
      </c>
      <c r="D163" s="29" t="s">
        <v>243</v>
      </c>
      <c r="E163" s="29">
        <v>3</v>
      </c>
      <c r="F163" s="38">
        <f>E163*13000</f>
        <v>39000</v>
      </c>
      <c r="G163" s="38">
        <f>E163*10000</f>
        <v>30000</v>
      </c>
      <c r="H163" s="38">
        <f>E163*3000</f>
        <v>9000</v>
      </c>
    </row>
    <row r="164" spans="1:8" x14ac:dyDescent="0.25">
      <c r="A164" s="29"/>
      <c r="B164" s="29"/>
      <c r="C164" s="29" t="s">
        <v>24</v>
      </c>
      <c r="D164" s="29" t="s">
        <v>243</v>
      </c>
      <c r="E164" s="29">
        <v>1</v>
      </c>
      <c r="F164" s="38">
        <v>15000</v>
      </c>
      <c r="G164" s="38">
        <v>10000</v>
      </c>
      <c r="H164" s="38">
        <v>5000</v>
      </c>
    </row>
    <row r="165" spans="1:8" x14ac:dyDescent="0.25">
      <c r="A165" s="125" t="s">
        <v>17</v>
      </c>
      <c r="B165" s="125"/>
      <c r="C165" s="125"/>
      <c r="D165" s="125"/>
      <c r="E165" s="17">
        <f>SUM(E144:E164)</f>
        <v>695</v>
      </c>
      <c r="F165" s="17">
        <f>SUM(F144:F164)</f>
        <v>1332400</v>
      </c>
      <c r="G165" s="17">
        <f>SUM(G144:G164)</f>
        <v>464500</v>
      </c>
      <c r="H165" s="17">
        <f>SUM(H144:H164)</f>
        <v>867900</v>
      </c>
    </row>
    <row r="166" spans="1:8" x14ac:dyDescent="0.25">
      <c r="A166" s="29" t="s">
        <v>32</v>
      </c>
      <c r="B166" s="29" t="s">
        <v>383</v>
      </c>
      <c r="C166" s="29" t="s">
        <v>288</v>
      </c>
      <c r="D166" s="29" t="s">
        <v>11</v>
      </c>
      <c r="E166" s="29">
        <f>124200/1800</f>
        <v>69</v>
      </c>
      <c r="F166" s="38">
        <f>E166*1800</f>
        <v>124200</v>
      </c>
      <c r="G166" s="38">
        <f>E166*500</f>
        <v>34500</v>
      </c>
      <c r="H166" s="38">
        <f>E166*1300</f>
        <v>89700</v>
      </c>
    </row>
    <row r="167" spans="1:8" x14ac:dyDescent="0.25">
      <c r="A167" s="29"/>
      <c r="B167" s="29"/>
      <c r="C167" s="29" t="s">
        <v>106</v>
      </c>
      <c r="D167" s="29" t="s">
        <v>11</v>
      </c>
      <c r="E167" s="29">
        <v>25</v>
      </c>
      <c r="F167" s="38">
        <v>37500</v>
      </c>
      <c r="G167" s="38">
        <f>E167*500</f>
        <v>12500</v>
      </c>
      <c r="H167" s="38">
        <v>25000</v>
      </c>
    </row>
    <row r="168" spans="1:8" x14ac:dyDescent="0.25">
      <c r="A168" s="29"/>
      <c r="B168" s="29"/>
      <c r="C168" s="29" t="s">
        <v>292</v>
      </c>
      <c r="D168" s="29" t="s">
        <v>11</v>
      </c>
      <c r="E168" s="29">
        <v>28</v>
      </c>
      <c r="F168" s="38">
        <f>E168*1500</f>
        <v>42000</v>
      </c>
      <c r="G168" s="38">
        <f>E168*500</f>
        <v>14000</v>
      </c>
      <c r="H168" s="38">
        <v>28000</v>
      </c>
    </row>
    <row r="169" spans="1:8" x14ac:dyDescent="0.25">
      <c r="A169" s="29"/>
      <c r="B169" s="29"/>
      <c r="C169" s="29" t="s">
        <v>24</v>
      </c>
      <c r="D169" s="29" t="s">
        <v>243</v>
      </c>
      <c r="E169" s="29">
        <v>3</v>
      </c>
      <c r="F169" s="38">
        <v>45000</v>
      </c>
      <c r="G169" s="38">
        <f>E169*10000</f>
        <v>30000</v>
      </c>
      <c r="H169" s="38">
        <f>E169*5000</f>
        <v>15000</v>
      </c>
    </row>
    <row r="170" spans="1:8" x14ac:dyDescent="0.25">
      <c r="A170" s="125" t="s">
        <v>251</v>
      </c>
      <c r="B170" s="125"/>
      <c r="C170" s="125"/>
      <c r="D170" s="125"/>
      <c r="E170" s="17">
        <f>SUM(E166:E169)</f>
        <v>125</v>
      </c>
      <c r="F170" s="17">
        <f>SUM(F166:F169)</f>
        <v>248700</v>
      </c>
      <c r="G170" s="17">
        <f>SUM(G166:G169)</f>
        <v>91000</v>
      </c>
      <c r="H170" s="17">
        <f>SUM(H166:H169)</f>
        <v>157700</v>
      </c>
    </row>
    <row r="171" spans="1:8" x14ac:dyDescent="0.25">
      <c r="A171" s="29" t="s">
        <v>8</v>
      </c>
      <c r="B171" s="29" t="s">
        <v>384</v>
      </c>
      <c r="C171" s="29" t="s">
        <v>288</v>
      </c>
      <c r="D171" s="29" t="s">
        <v>11</v>
      </c>
      <c r="E171" s="29">
        <v>50</v>
      </c>
      <c r="F171" s="38">
        <f>E171*1800</f>
        <v>90000</v>
      </c>
      <c r="G171" s="38">
        <f>E171*500</f>
        <v>25000</v>
      </c>
      <c r="H171" s="38">
        <f>E171*1300</f>
        <v>65000</v>
      </c>
    </row>
    <row r="172" spans="1:8" x14ac:dyDescent="0.25">
      <c r="A172" s="29"/>
      <c r="B172" s="29"/>
      <c r="C172" s="29" t="s">
        <v>106</v>
      </c>
      <c r="D172" s="29" t="s">
        <v>11</v>
      </c>
      <c r="E172" s="29">
        <v>25</v>
      </c>
      <c r="F172" s="38">
        <v>37500</v>
      </c>
      <c r="G172" s="38">
        <f>E172*500</f>
        <v>12500</v>
      </c>
      <c r="H172" s="38">
        <v>25000</v>
      </c>
    </row>
    <row r="173" spans="1:8" x14ac:dyDescent="0.25">
      <c r="A173" s="29"/>
      <c r="B173" s="29"/>
      <c r="C173" s="29" t="s">
        <v>16</v>
      </c>
      <c r="D173" s="29" t="s">
        <v>11</v>
      </c>
      <c r="E173" s="29">
        <v>50</v>
      </c>
      <c r="F173" s="38">
        <v>75000</v>
      </c>
      <c r="G173" s="38">
        <f>E173*500</f>
        <v>25000</v>
      </c>
      <c r="H173" s="38">
        <v>50000</v>
      </c>
    </row>
    <row r="174" spans="1:8" x14ac:dyDescent="0.25">
      <c r="A174" s="29"/>
      <c r="B174" s="29"/>
      <c r="C174" s="29"/>
      <c r="D174" s="29" t="s">
        <v>12</v>
      </c>
      <c r="E174" s="29">
        <v>1</v>
      </c>
      <c r="F174" s="38">
        <v>3000</v>
      </c>
      <c r="G174" s="38">
        <v>2000</v>
      </c>
      <c r="H174" s="38">
        <v>1000</v>
      </c>
    </row>
    <row r="175" spans="1:8" x14ac:dyDescent="0.25">
      <c r="A175" s="29"/>
      <c r="B175" s="29"/>
      <c r="C175" s="29"/>
      <c r="D175" s="29" t="s">
        <v>13</v>
      </c>
      <c r="E175" s="29">
        <v>1</v>
      </c>
      <c r="F175" s="38">
        <v>6500</v>
      </c>
      <c r="G175" s="38">
        <v>4500</v>
      </c>
      <c r="H175" s="38">
        <v>2000</v>
      </c>
    </row>
    <row r="176" spans="1:8" x14ac:dyDescent="0.25">
      <c r="A176" s="29"/>
      <c r="B176" s="29"/>
      <c r="C176" s="29"/>
      <c r="D176" s="29" t="s">
        <v>243</v>
      </c>
      <c r="E176" s="29">
        <v>1</v>
      </c>
      <c r="F176" s="38">
        <v>13000</v>
      </c>
      <c r="G176" s="38">
        <v>10000</v>
      </c>
      <c r="H176" s="38">
        <v>3000</v>
      </c>
    </row>
    <row r="177" spans="1:8" x14ac:dyDescent="0.25">
      <c r="A177" s="29"/>
      <c r="B177" s="29"/>
      <c r="C177" s="29" t="s">
        <v>24</v>
      </c>
      <c r="D177" s="29" t="s">
        <v>243</v>
      </c>
      <c r="E177" s="29">
        <v>1</v>
      </c>
      <c r="F177" s="38">
        <v>13000</v>
      </c>
      <c r="G177" s="38">
        <v>10000</v>
      </c>
      <c r="H177" s="38">
        <v>3000</v>
      </c>
    </row>
    <row r="178" spans="1:8" x14ac:dyDescent="0.25">
      <c r="A178" s="29"/>
      <c r="B178" s="29"/>
      <c r="C178" s="29" t="s">
        <v>24</v>
      </c>
      <c r="D178" s="29" t="s">
        <v>243</v>
      </c>
      <c r="E178" s="29">
        <v>2</v>
      </c>
      <c r="F178" s="38">
        <f>E178*13000</f>
        <v>26000</v>
      </c>
      <c r="G178" s="38">
        <f>E178*10000</f>
        <v>20000</v>
      </c>
      <c r="H178" s="38">
        <v>6000</v>
      </c>
    </row>
    <row r="179" spans="1:8" x14ac:dyDescent="0.25">
      <c r="A179" s="125" t="s">
        <v>17</v>
      </c>
      <c r="B179" s="125"/>
      <c r="C179" s="125"/>
      <c r="D179" s="125"/>
      <c r="E179" s="17">
        <f>SUM(E171:E178)</f>
        <v>131</v>
      </c>
      <c r="F179" s="17">
        <f>SUM(F171:F178)</f>
        <v>264000</v>
      </c>
      <c r="G179" s="17">
        <f>SUM(G171:G178)</f>
        <v>109000</v>
      </c>
      <c r="H179" s="17">
        <f>SUM(H171:H178)</f>
        <v>155000</v>
      </c>
    </row>
    <row r="180" spans="1:8" x14ac:dyDescent="0.25">
      <c r="A180" s="29" t="s">
        <v>18</v>
      </c>
      <c r="B180" s="29" t="s">
        <v>385</v>
      </c>
      <c r="C180" s="29" t="s">
        <v>288</v>
      </c>
      <c r="D180" s="29" t="s">
        <v>11</v>
      </c>
      <c r="E180" s="29">
        <v>60</v>
      </c>
      <c r="F180" s="38">
        <f>E180*1800</f>
        <v>108000</v>
      </c>
      <c r="G180" s="38">
        <f>E180*500</f>
        <v>30000</v>
      </c>
      <c r="H180" s="38">
        <f>E180*1300</f>
        <v>78000</v>
      </c>
    </row>
    <row r="181" spans="1:8" x14ac:dyDescent="0.25">
      <c r="A181" s="29"/>
      <c r="B181" s="29"/>
      <c r="C181" s="29" t="s">
        <v>106</v>
      </c>
      <c r="D181" s="29" t="s">
        <v>11</v>
      </c>
      <c r="E181" s="29">
        <v>30</v>
      </c>
      <c r="F181" s="38">
        <f>E181*1500</f>
        <v>45000</v>
      </c>
      <c r="G181" s="38">
        <f>E181*500</f>
        <v>15000</v>
      </c>
      <c r="H181" s="38">
        <f>E181*1000</f>
        <v>30000</v>
      </c>
    </row>
    <row r="182" spans="1:8" x14ac:dyDescent="0.25">
      <c r="A182" s="29"/>
      <c r="B182" s="29"/>
      <c r="C182" s="29" t="s">
        <v>16</v>
      </c>
      <c r="D182" s="29" t="s">
        <v>11</v>
      </c>
      <c r="E182" s="29">
        <v>42</v>
      </c>
      <c r="F182" s="38">
        <f>E182*1500</f>
        <v>63000</v>
      </c>
      <c r="G182" s="38">
        <f>E182*500</f>
        <v>21000</v>
      </c>
      <c r="H182" s="38">
        <v>42000</v>
      </c>
    </row>
    <row r="183" spans="1:8" x14ac:dyDescent="0.25">
      <c r="A183" s="29"/>
      <c r="B183" s="29"/>
      <c r="C183" s="29"/>
      <c r="D183" s="29" t="s">
        <v>12</v>
      </c>
      <c r="E183" s="29">
        <v>5</v>
      </c>
      <c r="F183" s="38">
        <f>E183*3000</f>
        <v>15000</v>
      </c>
      <c r="G183" s="38">
        <f>E183*2000</f>
        <v>10000</v>
      </c>
      <c r="H183" s="38">
        <f>E183*1000</f>
        <v>5000</v>
      </c>
    </row>
    <row r="184" spans="1:8" x14ac:dyDescent="0.25">
      <c r="A184" s="29"/>
      <c r="B184" s="29"/>
      <c r="C184" s="29"/>
      <c r="D184" s="29" t="s">
        <v>13</v>
      </c>
      <c r="E184" s="29">
        <v>2</v>
      </c>
      <c r="F184" s="38">
        <f>E184*6500</f>
        <v>13000</v>
      </c>
      <c r="G184" s="38">
        <f>E184*4500</f>
        <v>9000</v>
      </c>
      <c r="H184" s="38">
        <f>E184*2000</f>
        <v>4000</v>
      </c>
    </row>
    <row r="185" spans="1:8" x14ac:dyDescent="0.25">
      <c r="A185" s="29"/>
      <c r="B185" s="29"/>
      <c r="C185" s="29"/>
      <c r="D185" s="29" t="s">
        <v>14</v>
      </c>
      <c r="E185" s="29">
        <v>1</v>
      </c>
      <c r="F185" s="38">
        <v>10000</v>
      </c>
      <c r="G185" s="38">
        <v>5500</v>
      </c>
      <c r="H185" s="38">
        <v>4500</v>
      </c>
    </row>
    <row r="186" spans="1:8" x14ac:dyDescent="0.25">
      <c r="A186" s="125" t="s">
        <v>17</v>
      </c>
      <c r="B186" s="125"/>
      <c r="C186" s="125"/>
      <c r="D186" s="125"/>
      <c r="E186" s="17">
        <f>SUM(E180:E185)</f>
        <v>140</v>
      </c>
      <c r="F186" s="17">
        <f>SUM(F180:F185)</f>
        <v>254000</v>
      </c>
      <c r="G186" s="17">
        <f>SUM(G180:G185)</f>
        <v>90500</v>
      </c>
      <c r="H186" s="17">
        <f>SUM(H180:H185)</f>
        <v>163500</v>
      </c>
    </row>
    <row r="187" spans="1:8" x14ac:dyDescent="0.25">
      <c r="A187" s="29" t="s">
        <v>22</v>
      </c>
      <c r="B187" s="29" t="s">
        <v>386</v>
      </c>
      <c r="C187" s="29" t="s">
        <v>288</v>
      </c>
      <c r="D187" s="29" t="s">
        <v>11</v>
      </c>
      <c r="E187" s="29">
        <v>60</v>
      </c>
      <c r="F187" s="38">
        <f>E187*1800</f>
        <v>108000</v>
      </c>
      <c r="G187" s="38">
        <f>E187*500</f>
        <v>30000</v>
      </c>
      <c r="H187" s="38">
        <f>E187*1300</f>
        <v>78000</v>
      </c>
    </row>
    <row r="188" spans="1:8" x14ac:dyDescent="0.25">
      <c r="A188" s="29"/>
      <c r="B188" s="29"/>
      <c r="C188" s="29" t="s">
        <v>106</v>
      </c>
      <c r="D188" s="29" t="s">
        <v>11</v>
      </c>
      <c r="E188" s="29">
        <v>30</v>
      </c>
      <c r="F188" s="38">
        <v>45000</v>
      </c>
      <c r="G188" s="38">
        <f>E188*500</f>
        <v>15000</v>
      </c>
      <c r="H188" s="38">
        <v>30000</v>
      </c>
    </row>
    <row r="189" spans="1:8" x14ac:dyDescent="0.25">
      <c r="A189" s="29"/>
      <c r="B189" s="29"/>
      <c r="C189" s="29" t="s">
        <v>16</v>
      </c>
      <c r="D189" s="29" t="s">
        <v>11</v>
      </c>
      <c r="E189" s="29">
        <v>45</v>
      </c>
      <c r="F189" s="38">
        <f>E189*1500</f>
        <v>67500</v>
      </c>
      <c r="G189" s="38">
        <f>E189*500</f>
        <v>22500</v>
      </c>
      <c r="H189" s="38">
        <v>45000</v>
      </c>
    </row>
    <row r="190" spans="1:8" x14ac:dyDescent="0.25">
      <c r="A190" s="29"/>
      <c r="B190" s="29"/>
      <c r="C190" s="29"/>
      <c r="D190" s="29" t="s">
        <v>12</v>
      </c>
      <c r="E190" s="29">
        <v>1</v>
      </c>
      <c r="F190" s="38">
        <v>3000</v>
      </c>
      <c r="G190" s="38">
        <v>2000</v>
      </c>
      <c r="H190" s="38">
        <v>1000</v>
      </c>
    </row>
    <row r="191" spans="1:8" x14ac:dyDescent="0.25">
      <c r="A191" s="29"/>
      <c r="B191" s="29"/>
      <c r="C191" s="29"/>
      <c r="D191" s="29" t="s">
        <v>13</v>
      </c>
      <c r="E191" s="29">
        <v>2</v>
      </c>
      <c r="F191" s="38">
        <f>E191*6500</f>
        <v>13000</v>
      </c>
      <c r="G191" s="38">
        <f>E191*4500</f>
        <v>9000</v>
      </c>
      <c r="H191" s="38">
        <v>4000</v>
      </c>
    </row>
    <row r="192" spans="1:8" x14ac:dyDescent="0.25">
      <c r="A192" s="125" t="s">
        <v>17</v>
      </c>
      <c r="B192" s="125"/>
      <c r="C192" s="125"/>
      <c r="D192" s="125"/>
      <c r="E192" s="17">
        <f>SUM(E187:E191)</f>
        <v>138</v>
      </c>
      <c r="F192" s="17">
        <f>SUM(F187:F191)</f>
        <v>236500</v>
      </c>
      <c r="G192" s="17">
        <f>SUM(G187:G191)</f>
        <v>78500</v>
      </c>
      <c r="H192" s="17">
        <f>SUM(H187:H191)</f>
        <v>158000</v>
      </c>
    </row>
    <row r="193" spans="1:8" x14ac:dyDescent="0.25">
      <c r="A193" s="29" t="s">
        <v>26</v>
      </c>
      <c r="B193" s="29" t="s">
        <v>387</v>
      </c>
      <c r="C193" s="29" t="s">
        <v>108</v>
      </c>
      <c r="D193" s="29" t="s">
        <v>11</v>
      </c>
      <c r="E193" s="29">
        <v>25</v>
      </c>
      <c r="F193" s="38">
        <v>37500</v>
      </c>
      <c r="G193" s="38">
        <f>E193*500</f>
        <v>12500</v>
      </c>
      <c r="H193" s="38">
        <v>25000</v>
      </c>
    </row>
    <row r="194" spans="1:8" x14ac:dyDescent="0.25">
      <c r="A194" s="29"/>
      <c r="B194" s="29"/>
      <c r="C194" s="29" t="s">
        <v>81</v>
      </c>
      <c r="D194" s="29" t="s">
        <v>11</v>
      </c>
      <c r="E194" s="29">
        <v>63</v>
      </c>
      <c r="F194" s="38">
        <f>E194*1800</f>
        <v>113400</v>
      </c>
      <c r="G194" s="38">
        <f>E194*500</f>
        <v>31500</v>
      </c>
      <c r="H194" s="38">
        <f>E194*1300</f>
        <v>81900</v>
      </c>
    </row>
    <row r="195" spans="1:8" x14ac:dyDescent="0.25">
      <c r="A195" s="29"/>
      <c r="B195" s="29"/>
      <c r="C195" s="29"/>
      <c r="D195" s="29" t="s">
        <v>11</v>
      </c>
      <c r="E195" s="29">
        <v>75</v>
      </c>
      <c r="F195" s="38">
        <f>E195*1800</f>
        <v>135000</v>
      </c>
      <c r="G195" s="38">
        <f t="shared" ref="G195:G200" si="9">E195*500</f>
        <v>37500</v>
      </c>
      <c r="H195" s="38">
        <f>E195*1300</f>
        <v>97500</v>
      </c>
    </row>
    <row r="196" spans="1:8" x14ac:dyDescent="0.25">
      <c r="A196" s="29"/>
      <c r="B196" s="29"/>
      <c r="C196" s="29"/>
      <c r="D196" s="29" t="s">
        <v>11</v>
      </c>
      <c r="E196" s="29">
        <v>75</v>
      </c>
      <c r="F196" s="38">
        <f>E196*1800</f>
        <v>135000</v>
      </c>
      <c r="G196" s="38">
        <f t="shared" si="9"/>
        <v>37500</v>
      </c>
      <c r="H196" s="38">
        <f>E196*1300</f>
        <v>97500</v>
      </c>
    </row>
    <row r="197" spans="1:8" x14ac:dyDescent="0.25">
      <c r="A197" s="29"/>
      <c r="B197" s="29"/>
      <c r="C197" s="29"/>
      <c r="D197" s="29" t="s">
        <v>11</v>
      </c>
      <c r="E197" s="29">
        <v>75</v>
      </c>
      <c r="F197" s="38">
        <f>E197*1800</f>
        <v>135000</v>
      </c>
      <c r="G197" s="38">
        <f t="shared" si="9"/>
        <v>37500</v>
      </c>
      <c r="H197" s="38">
        <f>E197*1300</f>
        <v>97500</v>
      </c>
    </row>
    <row r="198" spans="1:8" x14ac:dyDescent="0.25">
      <c r="A198" s="29"/>
      <c r="B198" s="29"/>
      <c r="C198" s="29"/>
      <c r="D198" s="29" t="s">
        <v>11</v>
      </c>
      <c r="E198" s="29">
        <v>70</v>
      </c>
      <c r="F198" s="38">
        <f>E198*1800</f>
        <v>126000</v>
      </c>
      <c r="G198" s="38">
        <f t="shared" si="9"/>
        <v>35000</v>
      </c>
      <c r="H198" s="38">
        <f>E198*1300</f>
        <v>91000</v>
      </c>
    </row>
    <row r="199" spans="1:8" x14ac:dyDescent="0.25">
      <c r="A199" s="29"/>
      <c r="B199" s="29"/>
      <c r="C199" s="29" t="s">
        <v>217</v>
      </c>
      <c r="D199" s="29" t="s">
        <v>11</v>
      </c>
      <c r="E199" s="29">
        <v>84</v>
      </c>
      <c r="F199" s="38">
        <f>E199*1500</f>
        <v>126000</v>
      </c>
      <c r="G199" s="38">
        <f t="shared" si="9"/>
        <v>42000</v>
      </c>
      <c r="H199" s="38">
        <f>E199*1000</f>
        <v>84000</v>
      </c>
    </row>
    <row r="200" spans="1:8" x14ac:dyDescent="0.25">
      <c r="A200" s="29"/>
      <c r="B200" s="29"/>
      <c r="C200" s="29" t="s">
        <v>16</v>
      </c>
      <c r="D200" s="29" t="s">
        <v>11</v>
      </c>
      <c r="E200" s="29">
        <v>38</v>
      </c>
      <c r="F200" s="38">
        <f>E200*1500</f>
        <v>57000</v>
      </c>
      <c r="G200" s="38">
        <f t="shared" si="9"/>
        <v>19000</v>
      </c>
      <c r="H200" s="38">
        <f>E200*1000</f>
        <v>38000</v>
      </c>
    </row>
    <row r="201" spans="1:8" x14ac:dyDescent="0.25">
      <c r="A201" s="29"/>
      <c r="B201" s="29"/>
      <c r="C201" s="29"/>
      <c r="D201" s="29" t="s">
        <v>318</v>
      </c>
      <c r="E201" s="29">
        <v>1</v>
      </c>
      <c r="F201" s="38">
        <v>3000</v>
      </c>
      <c r="G201" s="38">
        <v>2000</v>
      </c>
      <c r="H201" s="38">
        <v>1000</v>
      </c>
    </row>
    <row r="202" spans="1:8" x14ac:dyDescent="0.25">
      <c r="A202" s="125" t="s">
        <v>17</v>
      </c>
      <c r="B202" s="125"/>
      <c r="C202" s="125"/>
      <c r="D202" s="125"/>
      <c r="E202" s="17">
        <f>SUM(E193:E201)</f>
        <v>506</v>
      </c>
      <c r="F202" s="17">
        <f>SUM(F193:F201)</f>
        <v>867900</v>
      </c>
      <c r="G202" s="17">
        <f>SUM(G193:G201)</f>
        <v>254500</v>
      </c>
      <c r="H202" s="17">
        <f>SUM(H193:H201)</f>
        <v>613400</v>
      </c>
    </row>
    <row r="203" spans="1:8" x14ac:dyDescent="0.25">
      <c r="A203" s="29" t="s">
        <v>28</v>
      </c>
      <c r="B203" s="29" t="s">
        <v>388</v>
      </c>
      <c r="C203" s="29" t="s">
        <v>10</v>
      </c>
      <c r="D203" s="29" t="s">
        <v>11</v>
      </c>
      <c r="E203" s="29">
        <v>106</v>
      </c>
      <c r="F203" s="38">
        <v>159000</v>
      </c>
      <c r="G203" s="38">
        <f>E203*500</f>
        <v>53000</v>
      </c>
      <c r="H203" s="38">
        <v>106000</v>
      </c>
    </row>
    <row r="204" spans="1:8" x14ac:dyDescent="0.25">
      <c r="A204" s="29"/>
      <c r="B204" s="29"/>
      <c r="C204" s="29"/>
      <c r="D204" s="29" t="s">
        <v>13</v>
      </c>
      <c r="E204" s="29">
        <v>11</v>
      </c>
      <c r="F204" s="38">
        <v>71500</v>
      </c>
      <c r="G204" s="38">
        <f>E204*4500</f>
        <v>49500</v>
      </c>
      <c r="H204" s="38">
        <f>E204*2000</f>
        <v>22000</v>
      </c>
    </row>
    <row r="205" spans="1:8" x14ac:dyDescent="0.25">
      <c r="A205" s="29"/>
      <c r="B205" s="29"/>
      <c r="C205" s="29"/>
      <c r="D205" s="29" t="s">
        <v>14</v>
      </c>
      <c r="E205" s="29">
        <v>19</v>
      </c>
      <c r="F205" s="38">
        <f>E205*8000</f>
        <v>152000</v>
      </c>
      <c r="G205" s="38">
        <f>E205*5500</f>
        <v>104500</v>
      </c>
      <c r="H205" s="38">
        <f>E205*2500</f>
        <v>47500</v>
      </c>
    </row>
    <row r="206" spans="1:8" x14ac:dyDescent="0.25">
      <c r="A206" s="29"/>
      <c r="B206" s="29"/>
      <c r="C206" s="29" t="s">
        <v>217</v>
      </c>
      <c r="D206" s="29" t="s">
        <v>13</v>
      </c>
      <c r="E206" s="29">
        <v>2</v>
      </c>
      <c r="F206" s="38">
        <f>E206*6500</f>
        <v>13000</v>
      </c>
      <c r="G206" s="38">
        <f>E206*4500</f>
        <v>9000</v>
      </c>
      <c r="H206" s="38">
        <f>E206*2000</f>
        <v>4000</v>
      </c>
    </row>
    <row r="207" spans="1:8" x14ac:dyDescent="0.25">
      <c r="A207" s="29"/>
      <c r="B207" s="29"/>
      <c r="C207" s="29"/>
      <c r="D207" s="29" t="s">
        <v>14</v>
      </c>
      <c r="E207" s="29">
        <v>2</v>
      </c>
      <c r="F207" s="38">
        <f>E207*8000</f>
        <v>16000</v>
      </c>
      <c r="G207" s="38">
        <f>E207*5500</f>
        <v>11000</v>
      </c>
      <c r="H207" s="38">
        <f>E207*2500</f>
        <v>5000</v>
      </c>
    </row>
    <row r="208" spans="1:8" x14ac:dyDescent="0.25">
      <c r="A208" s="29"/>
      <c r="B208" s="29"/>
      <c r="C208" s="29" t="s">
        <v>10</v>
      </c>
      <c r="D208" s="29" t="s">
        <v>11</v>
      </c>
      <c r="E208" s="29">
        <v>19</v>
      </c>
      <c r="F208" s="38">
        <f>E208*1500</f>
        <v>28500</v>
      </c>
      <c r="G208" s="38">
        <f>E208*500</f>
        <v>9500</v>
      </c>
      <c r="H208" s="38">
        <v>19000</v>
      </c>
    </row>
    <row r="209" spans="1:8" x14ac:dyDescent="0.25">
      <c r="A209" s="29"/>
      <c r="B209" s="29"/>
      <c r="C209" s="29"/>
      <c r="D209" s="29" t="s">
        <v>13</v>
      </c>
      <c r="E209" s="29">
        <v>9</v>
      </c>
      <c r="F209" s="38">
        <f>E209*6500</f>
        <v>58500</v>
      </c>
      <c r="G209" s="38">
        <f>E209*4500</f>
        <v>40500</v>
      </c>
      <c r="H209" s="38">
        <f>E209*2000</f>
        <v>18000</v>
      </c>
    </row>
    <row r="210" spans="1:8" x14ac:dyDescent="0.25">
      <c r="A210" s="29"/>
      <c r="B210" s="29"/>
      <c r="C210" s="29"/>
      <c r="D210" s="29" t="s">
        <v>14</v>
      </c>
      <c r="E210" s="29">
        <v>35</v>
      </c>
      <c r="F210" s="38">
        <f>E210*8000</f>
        <v>280000</v>
      </c>
      <c r="G210" s="38">
        <f>E210*5500</f>
        <v>192500</v>
      </c>
      <c r="H210" s="38">
        <f>E210*2500</f>
        <v>87500</v>
      </c>
    </row>
    <row r="211" spans="1:8" x14ac:dyDescent="0.25">
      <c r="A211" s="29"/>
      <c r="B211" s="29"/>
      <c r="C211" s="29"/>
      <c r="D211" s="29" t="s">
        <v>243</v>
      </c>
      <c r="E211" s="29">
        <v>2</v>
      </c>
      <c r="F211" s="38">
        <f>E211*13000</f>
        <v>26000</v>
      </c>
      <c r="G211" s="38">
        <f>E211*10000</f>
        <v>20000</v>
      </c>
      <c r="H211" s="38">
        <f>E211*3000</f>
        <v>6000</v>
      </c>
    </row>
    <row r="212" spans="1:8" x14ac:dyDescent="0.25">
      <c r="A212" s="29"/>
      <c r="B212" s="29"/>
      <c r="C212" s="29" t="s">
        <v>217</v>
      </c>
      <c r="D212" s="29" t="s">
        <v>13</v>
      </c>
      <c r="E212" s="29">
        <v>17</v>
      </c>
      <c r="F212" s="38">
        <f>E212*6500</f>
        <v>110500</v>
      </c>
      <c r="G212" s="38">
        <f>E212*4500</f>
        <v>76500</v>
      </c>
      <c r="H212" s="38">
        <f>E212*2000</f>
        <v>34000</v>
      </c>
    </row>
    <row r="213" spans="1:8" x14ac:dyDescent="0.25">
      <c r="A213" s="29"/>
      <c r="B213" s="29"/>
      <c r="C213" s="29"/>
      <c r="D213" s="29" t="s">
        <v>14</v>
      </c>
      <c r="E213" s="29">
        <v>2</v>
      </c>
      <c r="F213" s="38">
        <f>E213*8000</f>
        <v>16000</v>
      </c>
      <c r="G213" s="38">
        <f>E213*5500</f>
        <v>11000</v>
      </c>
      <c r="H213" s="38">
        <f>E213*2500</f>
        <v>5000</v>
      </c>
    </row>
    <row r="214" spans="1:8" x14ac:dyDescent="0.25">
      <c r="A214" s="125" t="s">
        <v>17</v>
      </c>
      <c r="B214" s="125"/>
      <c r="C214" s="125"/>
      <c r="D214" s="125"/>
      <c r="E214" s="17">
        <f>SUM(E203:E213)</f>
        <v>224</v>
      </c>
      <c r="F214" s="17">
        <f>SUM(F203:F213)</f>
        <v>931000</v>
      </c>
      <c r="G214" s="17">
        <f>SUM(G203:G213)</f>
        <v>577000</v>
      </c>
      <c r="H214" s="17">
        <f>SUM(H203:H213)</f>
        <v>354000</v>
      </c>
    </row>
    <row r="215" spans="1:8" x14ac:dyDescent="0.25">
      <c r="A215" s="29"/>
      <c r="B215" s="29"/>
      <c r="C215" s="29" t="s">
        <v>16</v>
      </c>
      <c r="D215" s="29" t="s">
        <v>11</v>
      </c>
      <c r="E215" s="29">
        <v>52</v>
      </c>
      <c r="F215" s="38">
        <f>E215*1500</f>
        <v>78000</v>
      </c>
      <c r="G215" s="38">
        <f>E215*500</f>
        <v>26000</v>
      </c>
      <c r="H215" s="38">
        <v>52000</v>
      </c>
    </row>
    <row r="216" spans="1:8" x14ac:dyDescent="0.25">
      <c r="A216" s="29"/>
      <c r="B216" s="29"/>
      <c r="C216" s="29"/>
      <c r="D216" s="29" t="s">
        <v>12</v>
      </c>
      <c r="E216" s="29">
        <v>3</v>
      </c>
      <c r="F216" s="38">
        <f>E216*3000</f>
        <v>9000</v>
      </c>
      <c r="G216" s="38">
        <f>E216*2000</f>
        <v>6000</v>
      </c>
      <c r="H216" s="38">
        <f>E216*1000</f>
        <v>3000</v>
      </c>
    </row>
    <row r="217" spans="1:8" x14ac:dyDescent="0.25">
      <c r="A217" s="29"/>
      <c r="B217" s="29"/>
      <c r="C217" s="29"/>
      <c r="D217" s="29" t="s">
        <v>13</v>
      </c>
      <c r="E217" s="29">
        <v>3</v>
      </c>
      <c r="F217" s="38">
        <f>E217*6500</f>
        <v>19500</v>
      </c>
      <c r="G217" s="38">
        <f>E217*4500</f>
        <v>13500</v>
      </c>
      <c r="H217" s="38">
        <f>E217*2000</f>
        <v>6000</v>
      </c>
    </row>
    <row r="218" spans="1:8" x14ac:dyDescent="0.25">
      <c r="A218" s="29"/>
      <c r="B218" s="29"/>
      <c r="C218" s="29"/>
      <c r="D218" s="29" t="s">
        <v>14</v>
      </c>
      <c r="E218" s="29">
        <v>2</v>
      </c>
      <c r="F218" s="38">
        <f>E218*10000</f>
        <v>20000</v>
      </c>
      <c r="G218" s="38">
        <f>E218*5500</f>
        <v>11000</v>
      </c>
      <c r="H218" s="38">
        <f>E218*4500</f>
        <v>9000</v>
      </c>
    </row>
    <row r="219" spans="1:8" x14ac:dyDescent="0.25">
      <c r="A219" s="29"/>
      <c r="B219" s="29"/>
      <c r="C219" s="29"/>
      <c r="D219" s="29" t="s">
        <v>243</v>
      </c>
      <c r="E219" s="29">
        <v>1</v>
      </c>
      <c r="F219" s="38">
        <v>13000</v>
      </c>
      <c r="G219" s="38">
        <v>10000</v>
      </c>
      <c r="H219" s="38">
        <v>3000</v>
      </c>
    </row>
    <row r="220" spans="1:8" x14ac:dyDescent="0.25">
      <c r="A220" s="29"/>
      <c r="B220" s="29"/>
      <c r="C220" s="29" t="s">
        <v>373</v>
      </c>
      <c r="D220" s="29" t="s">
        <v>243</v>
      </c>
      <c r="E220" s="29">
        <v>3</v>
      </c>
      <c r="F220" s="38">
        <f>E220*13000</f>
        <v>39000</v>
      </c>
      <c r="G220" s="38">
        <f>E220*10000</f>
        <v>30000</v>
      </c>
      <c r="H220" s="38">
        <f>E220*3000</f>
        <v>9000</v>
      </c>
    </row>
    <row r="221" spans="1:8" x14ac:dyDescent="0.25">
      <c r="A221" s="125" t="s">
        <v>17</v>
      </c>
      <c r="B221" s="125"/>
      <c r="C221" s="125"/>
      <c r="D221" s="125"/>
      <c r="E221" s="17">
        <f>SUM(E215:E220)</f>
        <v>64</v>
      </c>
      <c r="F221" s="17">
        <f>SUM(F215:F220)</f>
        <v>178500</v>
      </c>
      <c r="G221" s="17">
        <f>SUM(G215:G220)</f>
        <v>96500</v>
      </c>
      <c r="H221" s="17">
        <f>SUM(H215:H220)</f>
        <v>82000</v>
      </c>
    </row>
    <row r="222" spans="1:8" x14ac:dyDescent="0.25">
      <c r="A222" s="29" t="s">
        <v>30</v>
      </c>
      <c r="B222" s="29" t="s">
        <v>389</v>
      </c>
      <c r="C222" s="29" t="s">
        <v>376</v>
      </c>
      <c r="D222" s="29" t="s">
        <v>11</v>
      </c>
      <c r="E222" s="29">
        <v>130</v>
      </c>
      <c r="F222" s="38">
        <f>E222*1500</f>
        <v>195000</v>
      </c>
      <c r="G222" s="38">
        <f>E222*500</f>
        <v>65000</v>
      </c>
      <c r="H222" s="38">
        <f>E222*1000</f>
        <v>130000</v>
      </c>
    </row>
    <row r="223" spans="1:8" x14ac:dyDescent="0.25">
      <c r="A223" s="29"/>
      <c r="B223" s="29"/>
      <c r="C223" s="29"/>
      <c r="D223" s="29" t="s">
        <v>11</v>
      </c>
      <c r="E223" s="29">
        <v>120</v>
      </c>
      <c r="F223" s="38">
        <f t="shared" ref="F223:F229" si="10">E223*1500</f>
        <v>180000</v>
      </c>
      <c r="G223" s="38">
        <f t="shared" ref="G223:G229" si="11">E223*500</f>
        <v>60000</v>
      </c>
      <c r="H223" s="38">
        <f t="shared" ref="H223:H229" si="12">E223*1000</f>
        <v>120000</v>
      </c>
    </row>
    <row r="224" spans="1:8" x14ac:dyDescent="0.25">
      <c r="A224" s="29"/>
      <c r="B224" s="29"/>
      <c r="C224" s="29"/>
      <c r="D224" s="29" t="s">
        <v>11</v>
      </c>
      <c r="E224" s="29">
        <v>122</v>
      </c>
      <c r="F224" s="38">
        <f t="shared" si="10"/>
        <v>183000</v>
      </c>
      <c r="G224" s="38">
        <f t="shared" si="11"/>
        <v>61000</v>
      </c>
      <c r="H224" s="38">
        <f t="shared" si="12"/>
        <v>122000</v>
      </c>
    </row>
    <row r="225" spans="1:8" x14ac:dyDescent="0.25">
      <c r="A225" s="29"/>
      <c r="B225" s="29"/>
      <c r="C225" s="29"/>
      <c r="D225" s="29" t="s">
        <v>11</v>
      </c>
      <c r="E225" s="29">
        <v>110</v>
      </c>
      <c r="F225" s="38">
        <f t="shared" si="10"/>
        <v>165000</v>
      </c>
      <c r="G225" s="38">
        <f t="shared" si="11"/>
        <v>55000</v>
      </c>
      <c r="H225" s="38">
        <f t="shared" si="12"/>
        <v>110000</v>
      </c>
    </row>
    <row r="226" spans="1:8" x14ac:dyDescent="0.25">
      <c r="A226" s="29"/>
      <c r="B226" s="29"/>
      <c r="C226" s="29"/>
      <c r="D226" s="29" t="s">
        <v>11</v>
      </c>
      <c r="E226" s="29">
        <v>63</v>
      </c>
      <c r="F226" s="38">
        <f t="shared" si="10"/>
        <v>94500</v>
      </c>
      <c r="G226" s="38">
        <f t="shared" si="11"/>
        <v>31500</v>
      </c>
      <c r="H226" s="38">
        <f t="shared" si="12"/>
        <v>63000</v>
      </c>
    </row>
    <row r="227" spans="1:8" x14ac:dyDescent="0.25">
      <c r="A227" s="29"/>
      <c r="B227" s="29"/>
      <c r="C227" s="29"/>
      <c r="D227" s="29" t="s">
        <v>11</v>
      </c>
      <c r="E227" s="29">
        <v>56</v>
      </c>
      <c r="F227" s="38">
        <f t="shared" si="10"/>
        <v>84000</v>
      </c>
      <c r="G227" s="38">
        <f t="shared" si="11"/>
        <v>28000</v>
      </c>
      <c r="H227" s="38">
        <f t="shared" si="12"/>
        <v>56000</v>
      </c>
    </row>
    <row r="228" spans="1:8" x14ac:dyDescent="0.25">
      <c r="A228" s="29"/>
      <c r="B228" s="29"/>
      <c r="C228" s="29" t="s">
        <v>106</v>
      </c>
      <c r="D228" s="29" t="s">
        <v>11</v>
      </c>
      <c r="E228" s="29">
        <v>21</v>
      </c>
      <c r="F228" s="38">
        <f t="shared" si="10"/>
        <v>31500</v>
      </c>
      <c r="G228" s="38">
        <f t="shared" si="11"/>
        <v>10500</v>
      </c>
      <c r="H228" s="38">
        <f t="shared" si="12"/>
        <v>21000</v>
      </c>
    </row>
    <row r="229" spans="1:8" x14ac:dyDescent="0.25">
      <c r="A229" s="29"/>
      <c r="B229" s="29"/>
      <c r="C229" s="29" t="s">
        <v>292</v>
      </c>
      <c r="D229" s="29" t="s">
        <v>11</v>
      </c>
      <c r="E229" s="29">
        <v>28</v>
      </c>
      <c r="F229" s="38">
        <f t="shared" si="10"/>
        <v>42000</v>
      </c>
      <c r="G229" s="38">
        <f t="shared" si="11"/>
        <v>14000</v>
      </c>
      <c r="H229" s="38">
        <f t="shared" si="12"/>
        <v>28000</v>
      </c>
    </row>
    <row r="230" spans="1:8" x14ac:dyDescent="0.25">
      <c r="A230" s="125" t="s">
        <v>17</v>
      </c>
      <c r="B230" s="125"/>
      <c r="C230" s="125"/>
      <c r="D230" s="125"/>
      <c r="E230" s="17">
        <f>SUM(E222:E229)</f>
        <v>650</v>
      </c>
      <c r="F230" s="17">
        <f>SUM(F222:F229)</f>
        <v>975000</v>
      </c>
      <c r="G230" s="17">
        <f>SUM(G222:G229)</f>
        <v>325000</v>
      </c>
      <c r="H230" s="17">
        <f>SUM(H222:H229)</f>
        <v>650000</v>
      </c>
    </row>
    <row r="231" spans="1:8" x14ac:dyDescent="0.25">
      <c r="A231" s="29"/>
      <c r="B231" s="29"/>
      <c r="C231" s="29" t="s">
        <v>16</v>
      </c>
      <c r="D231" s="29" t="s">
        <v>11</v>
      </c>
      <c r="E231" s="29">
        <v>38</v>
      </c>
      <c r="F231" s="38">
        <v>57000</v>
      </c>
      <c r="G231" s="38">
        <f>E231*500</f>
        <v>19000</v>
      </c>
      <c r="H231" s="38">
        <v>38000</v>
      </c>
    </row>
    <row r="232" spans="1:8" x14ac:dyDescent="0.25">
      <c r="A232" s="29"/>
      <c r="B232" s="29"/>
      <c r="C232" s="29"/>
      <c r="D232" s="29" t="s">
        <v>12</v>
      </c>
      <c r="E232" s="29">
        <v>4</v>
      </c>
      <c r="F232" s="38">
        <f>E232*3000</f>
        <v>12000</v>
      </c>
      <c r="G232" s="38">
        <f>E232*2000</f>
        <v>8000</v>
      </c>
      <c r="H232" s="38">
        <v>4000</v>
      </c>
    </row>
    <row r="233" spans="1:8" x14ac:dyDescent="0.25">
      <c r="A233" s="29"/>
      <c r="B233" s="29"/>
      <c r="C233" s="29"/>
      <c r="D233" s="29" t="s">
        <v>13</v>
      </c>
      <c r="E233" s="29">
        <v>1</v>
      </c>
      <c r="F233" s="38">
        <v>10000</v>
      </c>
      <c r="G233" s="38">
        <v>5500</v>
      </c>
      <c r="H233" s="38">
        <v>4500</v>
      </c>
    </row>
    <row r="234" spans="1:8" x14ac:dyDescent="0.25">
      <c r="A234" s="126" t="s">
        <v>17</v>
      </c>
      <c r="B234" s="126"/>
      <c r="C234" s="126"/>
      <c r="D234" s="126"/>
      <c r="E234" s="17">
        <f>SUM(E231:E233)</f>
        <v>43</v>
      </c>
      <c r="F234" s="17">
        <f>SUM(F231:F233)</f>
        <v>79000</v>
      </c>
      <c r="G234" s="17">
        <f>SUM(G231:G233)</f>
        <v>32500</v>
      </c>
      <c r="H234" s="17">
        <f>SUM(H231:H233)</f>
        <v>46500</v>
      </c>
    </row>
    <row r="235" spans="1:8" x14ac:dyDescent="0.25">
      <c r="A235" s="29" t="s">
        <v>32</v>
      </c>
      <c r="B235" s="29" t="s">
        <v>390</v>
      </c>
      <c r="C235" s="29" t="s">
        <v>288</v>
      </c>
      <c r="D235" s="29" t="s">
        <v>11</v>
      </c>
      <c r="E235" s="29">
        <v>70</v>
      </c>
      <c r="F235" s="38">
        <f>E235*1800</f>
        <v>126000</v>
      </c>
      <c r="G235" s="38">
        <f>E235*500</f>
        <v>35000</v>
      </c>
      <c r="H235" s="38">
        <f>E235*1300</f>
        <v>91000</v>
      </c>
    </row>
    <row r="236" spans="1:8" x14ac:dyDescent="0.25">
      <c r="A236" s="29"/>
      <c r="B236" s="29"/>
      <c r="C236" s="29" t="s">
        <v>106</v>
      </c>
      <c r="D236" s="29" t="s">
        <v>11</v>
      </c>
      <c r="E236" s="29">
        <v>24</v>
      </c>
      <c r="F236" s="38">
        <v>36000</v>
      </c>
      <c r="G236" s="38">
        <f>E236*500</f>
        <v>12000</v>
      </c>
      <c r="H236" s="38">
        <v>24000</v>
      </c>
    </row>
    <row r="237" spans="1:8" x14ac:dyDescent="0.25">
      <c r="A237" s="29"/>
      <c r="B237" s="29"/>
      <c r="C237" s="29" t="s">
        <v>108</v>
      </c>
      <c r="D237" s="29" t="s">
        <v>11</v>
      </c>
      <c r="E237" s="29">
        <v>5</v>
      </c>
      <c r="F237" s="38">
        <f>E237*1500</f>
        <v>7500</v>
      </c>
      <c r="G237" s="38">
        <f>E237*500</f>
        <v>2500</v>
      </c>
      <c r="H237" s="38">
        <v>5000</v>
      </c>
    </row>
    <row r="238" spans="1:8" x14ac:dyDescent="0.25">
      <c r="A238" s="29"/>
      <c r="B238" s="29"/>
      <c r="C238" s="29" t="s">
        <v>217</v>
      </c>
      <c r="D238" s="29" t="s">
        <v>11</v>
      </c>
      <c r="E238" s="29">
        <v>82</v>
      </c>
      <c r="F238" s="38">
        <f>E238*1500</f>
        <v>123000</v>
      </c>
      <c r="G238" s="38">
        <f>E238*500</f>
        <v>41000</v>
      </c>
      <c r="H238" s="38">
        <v>82000</v>
      </c>
    </row>
    <row r="239" spans="1:8" x14ac:dyDescent="0.25">
      <c r="A239" s="29"/>
      <c r="B239" s="29"/>
      <c r="C239" s="29"/>
      <c r="D239" s="29" t="s">
        <v>13</v>
      </c>
      <c r="E239" s="29">
        <v>1</v>
      </c>
      <c r="F239" s="38">
        <v>6500</v>
      </c>
      <c r="G239" s="38">
        <v>4500</v>
      </c>
      <c r="H239" s="38">
        <v>2000</v>
      </c>
    </row>
    <row r="240" spans="1:8" x14ac:dyDescent="0.25">
      <c r="A240" s="29"/>
      <c r="B240" s="29"/>
      <c r="C240" s="29" t="s">
        <v>16</v>
      </c>
      <c r="D240" s="29" t="s">
        <v>11</v>
      </c>
      <c r="E240" s="29">
        <v>34</v>
      </c>
      <c r="F240" s="38">
        <f>E240*1500</f>
        <v>51000</v>
      </c>
      <c r="G240" s="38">
        <f>E240*500</f>
        <v>17000</v>
      </c>
      <c r="H240" s="38">
        <v>34000</v>
      </c>
    </row>
    <row r="241" spans="1:8" x14ac:dyDescent="0.25">
      <c r="A241" s="29"/>
      <c r="B241" s="29"/>
      <c r="C241" s="29"/>
      <c r="D241" s="29" t="s">
        <v>12</v>
      </c>
      <c r="E241" s="29">
        <v>1</v>
      </c>
      <c r="F241" s="38">
        <v>3000</v>
      </c>
      <c r="G241" s="38">
        <v>2000</v>
      </c>
      <c r="H241" s="38">
        <v>1000</v>
      </c>
    </row>
    <row r="242" spans="1:8" x14ac:dyDescent="0.25">
      <c r="A242" s="29"/>
      <c r="B242" s="29"/>
      <c r="C242" s="29" t="s">
        <v>373</v>
      </c>
      <c r="D242" s="29" t="s">
        <v>243</v>
      </c>
      <c r="E242" s="29">
        <v>2</v>
      </c>
      <c r="F242" s="38">
        <f>E242*13000</f>
        <v>26000</v>
      </c>
      <c r="G242" s="38">
        <f>E242*10000</f>
        <v>20000</v>
      </c>
      <c r="H242" s="38">
        <f>E242*3000</f>
        <v>6000</v>
      </c>
    </row>
    <row r="243" spans="1:8" x14ac:dyDescent="0.25">
      <c r="A243" s="125" t="s">
        <v>17</v>
      </c>
      <c r="B243" s="125"/>
      <c r="C243" s="125"/>
      <c r="D243" s="125"/>
      <c r="E243" s="17">
        <f>SUM(E235:E242)</f>
        <v>219</v>
      </c>
      <c r="F243" s="17">
        <f>SUM(F235:F242)</f>
        <v>379000</v>
      </c>
      <c r="G243" s="17">
        <f>SUM(G235:G242)</f>
        <v>134000</v>
      </c>
      <c r="H243" s="17">
        <f>SUM(H235:H242)</f>
        <v>245000</v>
      </c>
    </row>
    <row r="244" spans="1:8" x14ac:dyDescent="0.25">
      <c r="A244" s="29" t="s">
        <v>8</v>
      </c>
      <c r="B244" s="29" t="s">
        <v>391</v>
      </c>
      <c r="C244" s="29" t="s">
        <v>288</v>
      </c>
      <c r="D244" s="29" t="s">
        <v>11</v>
      </c>
      <c r="E244" s="29">
        <v>56</v>
      </c>
      <c r="F244" s="38">
        <f>E244*1800</f>
        <v>100800</v>
      </c>
      <c r="G244" s="38">
        <f>E244*500</f>
        <v>28000</v>
      </c>
      <c r="H244" s="38">
        <f>E244*1300</f>
        <v>72800</v>
      </c>
    </row>
    <row r="245" spans="1:8" x14ac:dyDescent="0.25">
      <c r="A245" s="29"/>
      <c r="B245" s="29"/>
      <c r="C245" s="29" t="s">
        <v>106</v>
      </c>
      <c r="D245" s="29" t="s">
        <v>11</v>
      </c>
      <c r="E245" s="29">
        <v>30</v>
      </c>
      <c r="F245" s="38">
        <f>E245*1500</f>
        <v>45000</v>
      </c>
      <c r="G245" s="38">
        <f>E245*500</f>
        <v>15000</v>
      </c>
      <c r="H245" s="38">
        <v>30000</v>
      </c>
    </row>
    <row r="246" spans="1:8" x14ac:dyDescent="0.25">
      <c r="A246" s="29"/>
      <c r="B246" s="29"/>
      <c r="C246" s="29" t="s">
        <v>292</v>
      </c>
      <c r="D246" s="29" t="s">
        <v>11</v>
      </c>
      <c r="E246" s="29">
        <v>23</v>
      </c>
      <c r="F246" s="38">
        <f>E246*1500</f>
        <v>34500</v>
      </c>
      <c r="G246" s="38">
        <f>E246*500</f>
        <v>11500</v>
      </c>
      <c r="H246" s="38">
        <v>23000</v>
      </c>
    </row>
    <row r="247" spans="1:8" x14ac:dyDescent="0.25">
      <c r="A247" s="29"/>
      <c r="B247" s="29"/>
      <c r="C247" s="29" t="s">
        <v>217</v>
      </c>
      <c r="D247" s="29" t="s">
        <v>11</v>
      </c>
      <c r="E247" s="29">
        <v>25</v>
      </c>
      <c r="F247" s="38">
        <v>37500</v>
      </c>
      <c r="G247" s="38">
        <f>E247*500</f>
        <v>12500</v>
      </c>
      <c r="H247" s="38">
        <v>25000</v>
      </c>
    </row>
    <row r="248" spans="1:8" x14ac:dyDescent="0.25">
      <c r="A248" s="29"/>
      <c r="B248" s="29"/>
      <c r="C248" s="29" t="s">
        <v>16</v>
      </c>
      <c r="D248" s="29" t="s">
        <v>11</v>
      </c>
      <c r="E248" s="29">
        <v>31</v>
      </c>
      <c r="F248" s="38">
        <v>46500</v>
      </c>
      <c r="G248" s="38">
        <f>E248*500</f>
        <v>15500</v>
      </c>
      <c r="H248" s="38">
        <v>31000</v>
      </c>
    </row>
    <row r="249" spans="1:8" x14ac:dyDescent="0.25">
      <c r="A249" s="29"/>
      <c r="B249" s="29"/>
      <c r="C249" s="29"/>
      <c r="D249" s="29" t="s">
        <v>12</v>
      </c>
      <c r="E249" s="29">
        <v>6</v>
      </c>
      <c r="F249" s="38">
        <f>E249*3000</f>
        <v>18000</v>
      </c>
      <c r="G249" s="38">
        <f>E249*2000</f>
        <v>12000</v>
      </c>
      <c r="H249" s="38">
        <v>6000</v>
      </c>
    </row>
    <row r="250" spans="1:8" x14ac:dyDescent="0.25">
      <c r="A250" s="29"/>
      <c r="B250" s="29"/>
      <c r="C250" s="29"/>
      <c r="D250" s="29" t="s">
        <v>13</v>
      </c>
      <c r="E250" s="29">
        <v>1</v>
      </c>
      <c r="F250" s="38">
        <v>6500</v>
      </c>
      <c r="G250" s="38">
        <v>4500</v>
      </c>
      <c r="H250" s="38">
        <v>2000</v>
      </c>
    </row>
    <row r="251" spans="1:8" x14ac:dyDescent="0.25">
      <c r="A251" s="29"/>
      <c r="B251" s="29"/>
      <c r="C251" s="29"/>
      <c r="D251" s="29" t="s">
        <v>14</v>
      </c>
      <c r="E251" s="29">
        <v>1</v>
      </c>
      <c r="F251" s="38">
        <v>10000</v>
      </c>
      <c r="G251" s="38">
        <v>5500</v>
      </c>
      <c r="H251" s="38">
        <v>4500</v>
      </c>
    </row>
    <row r="252" spans="1:8" x14ac:dyDescent="0.25">
      <c r="A252" s="29"/>
      <c r="B252" s="29"/>
      <c r="C252" s="29" t="s">
        <v>10</v>
      </c>
      <c r="D252" s="29" t="s">
        <v>11</v>
      </c>
      <c r="E252" s="29">
        <v>110</v>
      </c>
      <c r="F252" s="38">
        <f>E252*1500</f>
        <v>165000</v>
      </c>
      <c r="G252" s="38">
        <f>E252*500</f>
        <v>55000</v>
      </c>
      <c r="H252" s="38">
        <v>110000</v>
      </c>
    </row>
    <row r="253" spans="1:8" x14ac:dyDescent="0.25">
      <c r="A253" s="29"/>
      <c r="B253" s="29"/>
      <c r="C253" s="29"/>
      <c r="D253" s="29" t="s">
        <v>14</v>
      </c>
      <c r="E253" s="29">
        <v>7</v>
      </c>
      <c r="F253" s="38">
        <v>56000</v>
      </c>
      <c r="G253" s="38">
        <f>E253*5500</f>
        <v>38500</v>
      </c>
      <c r="H253" s="38">
        <f>E253*2500</f>
        <v>17500</v>
      </c>
    </row>
    <row r="254" spans="1:8" x14ac:dyDescent="0.25">
      <c r="A254" s="29"/>
      <c r="B254" s="29"/>
      <c r="C254" s="29" t="s">
        <v>24</v>
      </c>
      <c r="D254" s="29" t="s">
        <v>243</v>
      </c>
      <c r="E254" s="29">
        <v>2</v>
      </c>
      <c r="F254" s="38">
        <v>30000</v>
      </c>
      <c r="G254" s="38">
        <v>20000</v>
      </c>
      <c r="H254" s="38">
        <v>6000</v>
      </c>
    </row>
    <row r="255" spans="1:8" x14ac:dyDescent="0.25">
      <c r="A255" s="125" t="s">
        <v>17</v>
      </c>
      <c r="B255" s="125"/>
      <c r="C255" s="125"/>
      <c r="D255" s="125"/>
      <c r="E255" s="17">
        <f>SUM(E244:E254)</f>
        <v>292</v>
      </c>
      <c r="F255" s="17">
        <f>SUM(F244:F254)</f>
        <v>549800</v>
      </c>
      <c r="G255" s="17">
        <f>SUM(G244:G254)</f>
        <v>218000</v>
      </c>
      <c r="H255" s="17">
        <f>SUM(H244:H254)</f>
        <v>327800</v>
      </c>
    </row>
    <row r="256" spans="1:8" x14ac:dyDescent="0.25">
      <c r="A256" s="29" t="s">
        <v>18</v>
      </c>
      <c r="B256" s="29" t="s">
        <v>392</v>
      </c>
      <c r="C256" s="29" t="s">
        <v>288</v>
      </c>
      <c r="D256" s="29" t="s">
        <v>11</v>
      </c>
      <c r="E256" s="29">
        <f>64-8</f>
        <v>56</v>
      </c>
      <c r="F256" s="38">
        <f>E256*1800</f>
        <v>100800</v>
      </c>
      <c r="G256" s="38">
        <f>E256*500</f>
        <v>28000</v>
      </c>
      <c r="H256" s="38">
        <f>E256*1300</f>
        <v>72800</v>
      </c>
    </row>
    <row r="257" spans="1:8" x14ac:dyDescent="0.25">
      <c r="A257" s="29"/>
      <c r="B257" s="29"/>
      <c r="C257" s="29" t="s">
        <v>106</v>
      </c>
      <c r="D257" s="29" t="s">
        <v>11</v>
      </c>
      <c r="E257" s="29">
        <v>23</v>
      </c>
      <c r="F257" s="38">
        <f>E257*1500</f>
        <v>34500</v>
      </c>
      <c r="G257" s="38">
        <f>E257*500</f>
        <v>11500</v>
      </c>
      <c r="H257" s="38">
        <v>23000</v>
      </c>
    </row>
    <row r="258" spans="1:8" x14ac:dyDescent="0.25">
      <c r="A258" s="29"/>
      <c r="B258" s="29"/>
      <c r="C258" s="29" t="s">
        <v>16</v>
      </c>
      <c r="D258" s="29" t="s">
        <v>11</v>
      </c>
      <c r="E258" s="29">
        <v>33</v>
      </c>
      <c r="F258" s="38">
        <f>E258*1500</f>
        <v>49500</v>
      </c>
      <c r="G258" s="38">
        <f>E258*500</f>
        <v>16500</v>
      </c>
      <c r="H258" s="38">
        <v>33000</v>
      </c>
    </row>
    <row r="259" spans="1:8" x14ac:dyDescent="0.25">
      <c r="A259" s="29"/>
      <c r="B259" s="29"/>
      <c r="C259" s="29"/>
      <c r="D259" s="29" t="s">
        <v>12</v>
      </c>
      <c r="E259" s="29">
        <v>1</v>
      </c>
      <c r="F259" s="38">
        <v>3000</v>
      </c>
      <c r="G259" s="38">
        <v>2000</v>
      </c>
      <c r="H259" s="38">
        <v>1000</v>
      </c>
    </row>
    <row r="260" spans="1:8" x14ac:dyDescent="0.25">
      <c r="A260" s="29"/>
      <c r="B260" s="29"/>
      <c r="C260" s="29"/>
      <c r="D260" s="29" t="s">
        <v>13</v>
      </c>
      <c r="E260" s="29">
        <v>2</v>
      </c>
      <c r="F260" s="38">
        <f>E260*6500</f>
        <v>13000</v>
      </c>
      <c r="G260" s="38">
        <f>E260*4500</f>
        <v>9000</v>
      </c>
      <c r="H260" s="38">
        <f>E260*2000</f>
        <v>4000</v>
      </c>
    </row>
    <row r="261" spans="1:8" x14ac:dyDescent="0.25">
      <c r="A261" s="29"/>
      <c r="B261" s="29"/>
      <c r="C261" s="29"/>
      <c r="D261" s="29" t="s">
        <v>14</v>
      </c>
      <c r="E261" s="29">
        <v>1</v>
      </c>
      <c r="F261" s="38">
        <v>10000</v>
      </c>
      <c r="G261" s="38">
        <v>5500</v>
      </c>
      <c r="H261" s="38">
        <v>4500</v>
      </c>
    </row>
    <row r="262" spans="1:8" x14ac:dyDescent="0.25">
      <c r="A262" s="29"/>
      <c r="B262" s="29"/>
      <c r="C262" s="29"/>
      <c r="D262" s="29" t="s">
        <v>243</v>
      </c>
      <c r="E262" s="29">
        <v>1</v>
      </c>
      <c r="F262" s="38">
        <v>13000</v>
      </c>
      <c r="G262" s="38">
        <v>10000</v>
      </c>
      <c r="H262" s="38">
        <v>3000</v>
      </c>
    </row>
    <row r="263" spans="1:8" x14ac:dyDescent="0.25">
      <c r="A263" s="125" t="s">
        <v>17</v>
      </c>
      <c r="B263" s="125"/>
      <c r="C263" s="125"/>
      <c r="D263" s="125"/>
      <c r="E263" s="17">
        <f>SUM(E256:E262)</f>
        <v>117</v>
      </c>
      <c r="F263" s="17">
        <f>SUM(F256:F262)</f>
        <v>223800</v>
      </c>
      <c r="G263" s="17">
        <f>SUM(G256:G262)</f>
        <v>82500</v>
      </c>
      <c r="H263" s="17">
        <f>SUM(H256:H262)</f>
        <v>141300</v>
      </c>
    </row>
    <row r="264" spans="1:8" x14ac:dyDescent="0.25">
      <c r="A264" s="29" t="s">
        <v>22</v>
      </c>
      <c r="B264" s="29" t="s">
        <v>393</v>
      </c>
      <c r="C264" s="29" t="s">
        <v>288</v>
      </c>
      <c r="D264" s="29" t="s">
        <v>11</v>
      </c>
      <c r="E264" s="29">
        <f>68-20</f>
        <v>48</v>
      </c>
      <c r="F264" s="38">
        <f>E264*1800</f>
        <v>86400</v>
      </c>
      <c r="G264" s="38">
        <f>E264*500</f>
        <v>24000</v>
      </c>
      <c r="H264" s="38">
        <f>E264*1300</f>
        <v>62400</v>
      </c>
    </row>
    <row r="265" spans="1:8" x14ac:dyDescent="0.25">
      <c r="A265" s="29"/>
      <c r="B265" s="29"/>
      <c r="C265" s="29" t="s">
        <v>106</v>
      </c>
      <c r="D265" s="29" t="s">
        <v>11</v>
      </c>
      <c r="E265" s="29">
        <v>15</v>
      </c>
      <c r="F265" s="38">
        <f>E265*1500</f>
        <v>22500</v>
      </c>
      <c r="G265" s="38">
        <f>E265*500</f>
        <v>7500</v>
      </c>
      <c r="H265" s="38">
        <v>15000</v>
      </c>
    </row>
    <row r="266" spans="1:8" x14ac:dyDescent="0.25">
      <c r="A266" s="29"/>
      <c r="B266" s="29"/>
      <c r="C266" s="29" t="s">
        <v>292</v>
      </c>
      <c r="D266" s="29" t="s">
        <v>11</v>
      </c>
      <c r="E266" s="29">
        <v>23</v>
      </c>
      <c r="F266" s="38">
        <f>E266*1500</f>
        <v>34500</v>
      </c>
      <c r="G266" s="38">
        <f>E266*500</f>
        <v>11500</v>
      </c>
      <c r="H266" s="38">
        <v>23000</v>
      </c>
    </row>
    <row r="267" spans="1:8" x14ac:dyDescent="0.25">
      <c r="A267" s="29"/>
      <c r="B267" s="29"/>
      <c r="C267" s="29" t="s">
        <v>16</v>
      </c>
      <c r="D267" s="29" t="s">
        <v>11</v>
      </c>
      <c r="E267" s="29">
        <v>28</v>
      </c>
      <c r="F267" s="38">
        <f>E267*1500</f>
        <v>42000</v>
      </c>
      <c r="G267" s="38">
        <f>E267*500</f>
        <v>14000</v>
      </c>
      <c r="H267" s="38">
        <v>28000</v>
      </c>
    </row>
    <row r="268" spans="1:8" x14ac:dyDescent="0.25">
      <c r="A268" s="29"/>
      <c r="B268" s="29"/>
      <c r="C268" s="29"/>
      <c r="D268" s="29" t="s">
        <v>12</v>
      </c>
      <c r="E268" s="29">
        <v>4</v>
      </c>
      <c r="F268" s="38">
        <f>E268*3000</f>
        <v>12000</v>
      </c>
      <c r="G268" s="38">
        <f>E268*2000</f>
        <v>8000</v>
      </c>
      <c r="H268" s="38">
        <v>4000</v>
      </c>
    </row>
    <row r="269" spans="1:8" x14ac:dyDescent="0.25">
      <c r="A269" s="29"/>
      <c r="B269" s="29"/>
      <c r="C269" s="29"/>
      <c r="D269" s="29" t="s">
        <v>13</v>
      </c>
      <c r="E269" s="29">
        <v>1</v>
      </c>
      <c r="F269" s="38">
        <v>6500</v>
      </c>
      <c r="G269" s="38">
        <v>4500</v>
      </c>
      <c r="H269" s="38">
        <v>2000</v>
      </c>
    </row>
    <row r="270" spans="1:8" x14ac:dyDescent="0.25">
      <c r="A270" s="29"/>
      <c r="B270" s="29"/>
      <c r="C270" s="29"/>
      <c r="D270" s="29" t="s">
        <v>243</v>
      </c>
      <c r="E270" s="29">
        <v>1</v>
      </c>
      <c r="F270" s="38">
        <v>13000</v>
      </c>
      <c r="G270" s="38">
        <v>10000</v>
      </c>
      <c r="H270" s="38">
        <v>3000</v>
      </c>
    </row>
    <row r="271" spans="1:8" x14ac:dyDescent="0.25">
      <c r="A271" s="29"/>
      <c r="B271" s="29"/>
      <c r="C271" s="29" t="s">
        <v>10</v>
      </c>
      <c r="D271" s="29" t="s">
        <v>11</v>
      </c>
      <c r="E271" s="29">
        <v>74</v>
      </c>
      <c r="F271" s="38">
        <f>E271*1500</f>
        <v>111000</v>
      </c>
      <c r="G271" s="38">
        <f>E271*500</f>
        <v>37000</v>
      </c>
      <c r="H271" s="38">
        <v>74000</v>
      </c>
    </row>
    <row r="272" spans="1:8" x14ac:dyDescent="0.25">
      <c r="A272" s="29"/>
      <c r="B272" s="29"/>
      <c r="C272" s="29"/>
      <c r="D272" s="29" t="s">
        <v>13</v>
      </c>
      <c r="E272" s="29">
        <v>9</v>
      </c>
      <c r="F272" s="38">
        <f>E272*6500</f>
        <v>58500</v>
      </c>
      <c r="G272" s="38">
        <f>E272*4500</f>
        <v>40500</v>
      </c>
      <c r="H272" s="38">
        <f>E272*2000</f>
        <v>18000</v>
      </c>
    </row>
    <row r="273" spans="1:8" x14ac:dyDescent="0.25">
      <c r="A273" s="29"/>
      <c r="B273" s="29"/>
      <c r="C273" s="29"/>
      <c r="D273" s="29" t="s">
        <v>14</v>
      </c>
      <c r="E273" s="29">
        <v>12</v>
      </c>
      <c r="F273" s="38">
        <f>E273*8000</f>
        <v>96000</v>
      </c>
      <c r="G273" s="38">
        <f>E273*5500</f>
        <v>66000</v>
      </c>
      <c r="H273" s="38">
        <f>E273*2500</f>
        <v>30000</v>
      </c>
    </row>
    <row r="274" spans="1:8" x14ac:dyDescent="0.25">
      <c r="A274" s="125" t="s">
        <v>17</v>
      </c>
      <c r="B274" s="125"/>
      <c r="C274" s="125"/>
      <c r="D274" s="125"/>
      <c r="E274" s="17">
        <f>SUM(E264:E273)</f>
        <v>215</v>
      </c>
      <c r="F274" s="17">
        <f>SUM(F264:F273)</f>
        <v>482400</v>
      </c>
      <c r="G274" s="17">
        <f>SUM(G264:G273)</f>
        <v>223000</v>
      </c>
      <c r="H274" s="17">
        <f>SUM(H264:H273)</f>
        <v>259400</v>
      </c>
    </row>
    <row r="275" spans="1:8" x14ac:dyDescent="0.25">
      <c r="A275" s="29" t="s">
        <v>26</v>
      </c>
      <c r="B275" s="29" t="s">
        <v>394</v>
      </c>
      <c r="C275" s="29" t="s">
        <v>288</v>
      </c>
      <c r="D275" s="29" t="s">
        <v>11</v>
      </c>
      <c r="E275" s="29">
        <v>49</v>
      </c>
      <c r="F275" s="38">
        <f>E275*1800</f>
        <v>88200</v>
      </c>
      <c r="G275" s="38">
        <f>E275*500</f>
        <v>24500</v>
      </c>
      <c r="H275" s="38">
        <f>E275*1300</f>
        <v>63700</v>
      </c>
    </row>
    <row r="276" spans="1:8" x14ac:dyDescent="0.25">
      <c r="A276" s="29"/>
      <c r="B276" s="29"/>
      <c r="C276" s="29" t="s">
        <v>108</v>
      </c>
      <c r="D276" s="29" t="s">
        <v>11</v>
      </c>
      <c r="E276" s="29">
        <v>17</v>
      </c>
      <c r="F276" s="38">
        <f>E276*1500</f>
        <v>25500</v>
      </c>
      <c r="G276" s="38">
        <f>E276*500</f>
        <v>8500</v>
      </c>
      <c r="H276" s="38">
        <v>17000</v>
      </c>
    </row>
    <row r="277" spans="1:8" x14ac:dyDescent="0.25">
      <c r="A277" s="29"/>
      <c r="B277" s="29"/>
      <c r="C277" s="29" t="s">
        <v>81</v>
      </c>
      <c r="D277" s="29" t="s">
        <v>11</v>
      </c>
      <c r="E277" s="29">
        <v>75</v>
      </c>
      <c r="F277" s="38">
        <f t="shared" ref="F277:F282" si="13">E277*1800</f>
        <v>135000</v>
      </c>
      <c r="G277" s="38">
        <f>E277*500</f>
        <v>37500</v>
      </c>
      <c r="H277" s="38">
        <f t="shared" ref="H277:H282" si="14">E277*1300</f>
        <v>97500</v>
      </c>
    </row>
    <row r="278" spans="1:8" x14ac:dyDescent="0.25">
      <c r="A278" s="29"/>
      <c r="B278" s="29"/>
      <c r="C278" s="29"/>
      <c r="D278" s="29" t="s">
        <v>11</v>
      </c>
      <c r="E278" s="29">
        <v>75</v>
      </c>
      <c r="F278" s="38">
        <f t="shared" si="13"/>
        <v>135000</v>
      </c>
      <c r="G278" s="38">
        <f t="shared" ref="G278:G288" si="15">E278*500</f>
        <v>37500</v>
      </c>
      <c r="H278" s="38">
        <f t="shared" si="14"/>
        <v>97500</v>
      </c>
    </row>
    <row r="279" spans="1:8" x14ac:dyDescent="0.25">
      <c r="A279" s="29"/>
      <c r="B279" s="29"/>
      <c r="C279" s="29"/>
      <c r="D279" s="29" t="s">
        <v>11</v>
      </c>
      <c r="E279" s="29">
        <v>75</v>
      </c>
      <c r="F279" s="38">
        <f t="shared" si="13"/>
        <v>135000</v>
      </c>
      <c r="G279" s="38">
        <f t="shared" si="15"/>
        <v>37500</v>
      </c>
      <c r="H279" s="38">
        <f t="shared" si="14"/>
        <v>97500</v>
      </c>
    </row>
    <row r="280" spans="1:8" x14ac:dyDescent="0.25">
      <c r="A280" s="29"/>
      <c r="B280" s="29"/>
      <c r="C280" s="29"/>
      <c r="D280" s="29" t="s">
        <v>11</v>
      </c>
      <c r="E280" s="29">
        <v>75</v>
      </c>
      <c r="F280" s="38">
        <f t="shared" si="13"/>
        <v>135000</v>
      </c>
      <c r="G280" s="38">
        <f t="shared" si="15"/>
        <v>37500</v>
      </c>
      <c r="H280" s="38">
        <f t="shared" si="14"/>
        <v>97500</v>
      </c>
    </row>
    <row r="281" spans="1:8" x14ac:dyDescent="0.25">
      <c r="A281" s="29"/>
      <c r="B281" s="29"/>
      <c r="C281" s="29"/>
      <c r="D281" s="29" t="s">
        <v>11</v>
      </c>
      <c r="E281" s="29">
        <v>75</v>
      </c>
      <c r="F281" s="38">
        <f t="shared" si="13"/>
        <v>135000</v>
      </c>
      <c r="G281" s="38">
        <f t="shared" si="15"/>
        <v>37500</v>
      </c>
      <c r="H281" s="38">
        <f t="shared" si="14"/>
        <v>97500</v>
      </c>
    </row>
    <row r="282" spans="1:8" x14ac:dyDescent="0.25">
      <c r="A282" s="29"/>
      <c r="B282" s="29"/>
      <c r="C282" s="29"/>
      <c r="D282" s="29" t="s">
        <v>11</v>
      </c>
      <c r="E282" s="29">
        <v>75</v>
      </c>
      <c r="F282" s="38">
        <f t="shared" si="13"/>
        <v>135000</v>
      </c>
      <c r="G282" s="38">
        <f t="shared" si="15"/>
        <v>37500</v>
      </c>
      <c r="H282" s="38">
        <f t="shared" si="14"/>
        <v>97500</v>
      </c>
    </row>
    <row r="283" spans="1:8" x14ac:dyDescent="0.25">
      <c r="A283" s="29"/>
      <c r="B283" s="29"/>
      <c r="C283" s="29" t="s">
        <v>376</v>
      </c>
      <c r="D283" s="29" t="s">
        <v>11</v>
      </c>
      <c r="E283" s="29">
        <v>110</v>
      </c>
      <c r="F283" s="38">
        <f t="shared" ref="F283:F288" si="16">E283*1500</f>
        <v>165000</v>
      </c>
      <c r="G283" s="38">
        <f t="shared" si="15"/>
        <v>55000</v>
      </c>
      <c r="H283" s="38">
        <f t="shared" ref="H283:H288" si="17">E283*1000</f>
        <v>110000</v>
      </c>
    </row>
    <row r="284" spans="1:8" x14ac:dyDescent="0.25">
      <c r="A284" s="29"/>
      <c r="B284" s="29"/>
      <c r="C284" s="29"/>
      <c r="D284" s="29" t="s">
        <v>11</v>
      </c>
      <c r="E284" s="29">
        <v>101</v>
      </c>
      <c r="F284" s="38">
        <f t="shared" si="16"/>
        <v>151500</v>
      </c>
      <c r="G284" s="38">
        <f t="shared" si="15"/>
        <v>50500</v>
      </c>
      <c r="H284" s="38">
        <f t="shared" si="17"/>
        <v>101000</v>
      </c>
    </row>
    <row r="285" spans="1:8" x14ac:dyDescent="0.25">
      <c r="A285" s="29"/>
      <c r="B285" s="29"/>
      <c r="C285" s="29"/>
      <c r="D285" s="29" t="s">
        <v>11</v>
      </c>
      <c r="E285" s="29">
        <v>109</v>
      </c>
      <c r="F285" s="38">
        <f t="shared" si="16"/>
        <v>163500</v>
      </c>
      <c r="G285" s="38">
        <f t="shared" si="15"/>
        <v>54500</v>
      </c>
      <c r="H285" s="38">
        <f t="shared" si="17"/>
        <v>109000</v>
      </c>
    </row>
    <row r="286" spans="1:8" x14ac:dyDescent="0.25">
      <c r="A286" s="29"/>
      <c r="B286" s="29"/>
      <c r="C286" s="29"/>
      <c r="D286" s="29" t="s">
        <v>11</v>
      </c>
      <c r="E286" s="29">
        <v>68</v>
      </c>
      <c r="F286" s="38">
        <f t="shared" si="16"/>
        <v>102000</v>
      </c>
      <c r="G286" s="38">
        <f t="shared" si="15"/>
        <v>34000</v>
      </c>
      <c r="H286" s="38">
        <f t="shared" si="17"/>
        <v>68000</v>
      </c>
    </row>
    <row r="287" spans="1:8" x14ac:dyDescent="0.25">
      <c r="A287" s="29"/>
      <c r="B287" s="29"/>
      <c r="C287" s="29"/>
      <c r="D287" s="29" t="s">
        <v>11</v>
      </c>
      <c r="E287" s="29">
        <v>97</v>
      </c>
      <c r="F287" s="38">
        <f t="shared" si="16"/>
        <v>145500</v>
      </c>
      <c r="G287" s="38">
        <f t="shared" si="15"/>
        <v>48500</v>
      </c>
      <c r="H287" s="38">
        <f t="shared" si="17"/>
        <v>97000</v>
      </c>
    </row>
    <row r="288" spans="1:8" x14ac:dyDescent="0.25">
      <c r="A288" s="29"/>
      <c r="B288" s="29"/>
      <c r="C288" s="29"/>
      <c r="D288" s="29" t="s">
        <v>11</v>
      </c>
      <c r="E288" s="29">
        <v>46</v>
      </c>
      <c r="F288" s="38">
        <f t="shared" si="16"/>
        <v>69000</v>
      </c>
      <c r="G288" s="38">
        <f t="shared" si="15"/>
        <v>23000</v>
      </c>
      <c r="H288" s="38">
        <f t="shared" si="17"/>
        <v>46000</v>
      </c>
    </row>
    <row r="289" spans="1:8" x14ac:dyDescent="0.25">
      <c r="A289" s="29"/>
      <c r="B289" s="29"/>
      <c r="C289" s="29" t="s">
        <v>373</v>
      </c>
      <c r="D289" s="29" t="s">
        <v>243</v>
      </c>
      <c r="E289" s="29">
        <v>3</v>
      </c>
      <c r="F289" s="38">
        <f>E289*13000</f>
        <v>39000</v>
      </c>
      <c r="G289" s="38">
        <f>E289*10000</f>
        <v>30000</v>
      </c>
      <c r="H289" s="38">
        <f>E289*3000</f>
        <v>9000</v>
      </c>
    </row>
    <row r="290" spans="1:8" x14ac:dyDescent="0.25">
      <c r="A290" s="125" t="s">
        <v>17</v>
      </c>
      <c r="B290" s="125"/>
      <c r="C290" s="125"/>
      <c r="D290" s="125"/>
      <c r="E290" s="17">
        <f>SUM(E275:E289)</f>
        <v>1050</v>
      </c>
      <c r="F290" s="17">
        <f>SUM(F275:F289)</f>
        <v>1759200</v>
      </c>
      <c r="G290" s="17">
        <f>SUM(G275:G289)</f>
        <v>553500</v>
      </c>
      <c r="H290" s="17">
        <f>SUM(H275:H289)</f>
        <v>1205700</v>
      </c>
    </row>
    <row r="291" spans="1:8" x14ac:dyDescent="0.25">
      <c r="A291" s="29" t="s">
        <v>28</v>
      </c>
      <c r="B291" s="29" t="s">
        <v>395</v>
      </c>
      <c r="C291" s="29" t="s">
        <v>16</v>
      </c>
      <c r="D291" s="29" t="s">
        <v>11</v>
      </c>
      <c r="E291" s="29">
        <v>46</v>
      </c>
      <c r="F291" s="38">
        <f>E291*1500</f>
        <v>69000</v>
      </c>
      <c r="G291" s="38">
        <f>E291*500</f>
        <v>23000</v>
      </c>
      <c r="H291" s="38">
        <v>46000</v>
      </c>
    </row>
    <row r="292" spans="1:8" x14ac:dyDescent="0.25">
      <c r="A292" s="29"/>
      <c r="B292" s="29"/>
      <c r="C292" s="29"/>
      <c r="D292" s="29" t="s">
        <v>12</v>
      </c>
      <c r="E292" s="29">
        <v>3</v>
      </c>
      <c r="F292" s="38">
        <f>E292*3000</f>
        <v>9000</v>
      </c>
      <c r="G292" s="38">
        <f>E292*2000</f>
        <v>6000</v>
      </c>
      <c r="H292" s="38">
        <v>3000</v>
      </c>
    </row>
    <row r="293" spans="1:8" x14ac:dyDescent="0.25">
      <c r="A293" s="29"/>
      <c r="B293" s="29"/>
      <c r="C293" s="29"/>
      <c r="D293" s="29" t="s">
        <v>13</v>
      </c>
      <c r="E293" s="29">
        <v>3</v>
      </c>
      <c r="F293" s="38">
        <f>E293*6500</f>
        <v>19500</v>
      </c>
      <c r="G293" s="38">
        <f>E293*4500</f>
        <v>13500</v>
      </c>
      <c r="H293" s="38">
        <f>E293*2000</f>
        <v>6000</v>
      </c>
    </row>
    <row r="294" spans="1:8" x14ac:dyDescent="0.25">
      <c r="A294" s="29"/>
      <c r="B294" s="29"/>
      <c r="C294" s="29" t="s">
        <v>10</v>
      </c>
      <c r="D294" s="29" t="s">
        <v>11</v>
      </c>
      <c r="E294" s="29">
        <v>25</v>
      </c>
      <c r="F294" s="38">
        <v>37500</v>
      </c>
      <c r="G294" s="38">
        <f>E294*500</f>
        <v>12500</v>
      </c>
      <c r="H294" s="38">
        <v>25000</v>
      </c>
    </row>
    <row r="295" spans="1:8" x14ac:dyDescent="0.25">
      <c r="A295" s="29"/>
      <c r="B295" s="29"/>
      <c r="C295" s="29"/>
      <c r="D295" s="29" t="s">
        <v>13</v>
      </c>
      <c r="E295" s="29">
        <v>7</v>
      </c>
      <c r="F295" s="38">
        <f>E295*6500</f>
        <v>45500</v>
      </c>
      <c r="G295" s="38">
        <f>E295*4500</f>
        <v>31500</v>
      </c>
      <c r="H295" s="38">
        <f>E295*2000</f>
        <v>14000</v>
      </c>
    </row>
    <row r="296" spans="1:8" x14ac:dyDescent="0.25">
      <c r="A296" s="29"/>
      <c r="B296" s="29"/>
      <c r="C296" s="29"/>
      <c r="D296" s="29" t="s">
        <v>14</v>
      </c>
      <c r="E296" s="29">
        <v>16</v>
      </c>
      <c r="F296" s="38">
        <v>128000</v>
      </c>
      <c r="G296" s="38">
        <f>E296*5500</f>
        <v>88000</v>
      </c>
      <c r="H296" s="38">
        <f>E296*2500</f>
        <v>40000</v>
      </c>
    </row>
    <row r="297" spans="1:8" x14ac:dyDescent="0.25">
      <c r="A297" s="29"/>
      <c r="B297" s="29"/>
      <c r="C297" s="29"/>
      <c r="D297" s="29" t="s">
        <v>11</v>
      </c>
      <c r="E297" s="29">
        <v>5</v>
      </c>
      <c r="F297" s="38">
        <f>E297*1500</f>
        <v>7500</v>
      </c>
      <c r="G297" s="38">
        <f>E297*500</f>
        <v>2500</v>
      </c>
      <c r="H297" s="38">
        <v>5000</v>
      </c>
    </row>
    <row r="298" spans="1:8" x14ac:dyDescent="0.25">
      <c r="A298" s="29"/>
      <c r="B298" s="29"/>
      <c r="C298" s="29"/>
      <c r="D298" s="29" t="s">
        <v>13</v>
      </c>
      <c r="E298" s="29">
        <v>9</v>
      </c>
      <c r="F298" s="38">
        <f>E298*6500</f>
        <v>58500</v>
      </c>
      <c r="G298" s="38">
        <f>E298*4500</f>
        <v>40500</v>
      </c>
      <c r="H298" s="38">
        <f>E298*2000</f>
        <v>18000</v>
      </c>
    </row>
    <row r="299" spans="1:8" x14ac:dyDescent="0.25">
      <c r="A299" s="29"/>
      <c r="B299" s="29"/>
      <c r="C299" s="29"/>
      <c r="D299" s="29" t="s">
        <v>14</v>
      </c>
      <c r="E299" s="29">
        <v>15</v>
      </c>
      <c r="F299" s="38">
        <v>120000</v>
      </c>
      <c r="G299" s="38">
        <f>E299*5500</f>
        <v>82500</v>
      </c>
      <c r="H299" s="38">
        <f>E299*2500</f>
        <v>37500</v>
      </c>
    </row>
    <row r="300" spans="1:8" x14ac:dyDescent="0.25">
      <c r="A300" s="29"/>
      <c r="B300" s="29"/>
      <c r="C300" s="29" t="s">
        <v>217</v>
      </c>
      <c r="D300" s="29" t="s">
        <v>11</v>
      </c>
      <c r="E300" s="29">
        <v>5</v>
      </c>
      <c r="F300" s="38">
        <f>E300*1500</f>
        <v>7500</v>
      </c>
      <c r="G300" s="38">
        <f>E300*500</f>
        <v>2500</v>
      </c>
      <c r="H300" s="38">
        <v>5000</v>
      </c>
    </row>
    <row r="301" spans="1:8" x14ac:dyDescent="0.25">
      <c r="A301" s="29"/>
      <c r="B301" s="29"/>
      <c r="C301" s="29"/>
      <c r="D301" s="29" t="s">
        <v>13</v>
      </c>
      <c r="E301" s="29">
        <v>6</v>
      </c>
      <c r="F301" s="38">
        <f>E301*6500</f>
        <v>39000</v>
      </c>
      <c r="G301" s="38">
        <f>E301*4500</f>
        <v>27000</v>
      </c>
      <c r="H301" s="38">
        <f>E301*2000</f>
        <v>12000</v>
      </c>
    </row>
    <row r="302" spans="1:8" x14ac:dyDescent="0.25">
      <c r="A302" s="29"/>
      <c r="B302" s="29"/>
      <c r="C302" s="29"/>
      <c r="D302" s="29" t="s">
        <v>14</v>
      </c>
      <c r="E302" s="29">
        <v>6</v>
      </c>
      <c r="F302" s="38">
        <f>E302*8000</f>
        <v>48000</v>
      </c>
      <c r="G302" s="38">
        <f>E302*5500</f>
        <v>33000</v>
      </c>
      <c r="H302" s="38">
        <f>E302*2500</f>
        <v>15000</v>
      </c>
    </row>
    <row r="303" spans="1:8" x14ac:dyDescent="0.25">
      <c r="A303" s="29"/>
      <c r="B303" s="29"/>
      <c r="C303" s="29"/>
      <c r="D303" s="29" t="s">
        <v>11</v>
      </c>
      <c r="E303" s="29">
        <v>62</v>
      </c>
      <c r="F303" s="38">
        <f>E303*1500</f>
        <v>93000</v>
      </c>
      <c r="G303" s="38">
        <f>E303*500</f>
        <v>31000</v>
      </c>
      <c r="H303" s="38">
        <v>62000</v>
      </c>
    </row>
    <row r="304" spans="1:8" x14ac:dyDescent="0.25">
      <c r="A304" s="29"/>
      <c r="B304" s="29"/>
      <c r="C304" s="29"/>
      <c r="D304" s="29" t="s">
        <v>11</v>
      </c>
      <c r="E304" s="29">
        <v>29</v>
      </c>
      <c r="F304" s="38">
        <f>E304*1500</f>
        <v>43500</v>
      </c>
      <c r="G304" s="38">
        <f>E304*500</f>
        <v>14500</v>
      </c>
      <c r="H304" s="38">
        <v>29000</v>
      </c>
    </row>
    <row r="305" spans="1:8" x14ac:dyDescent="0.25">
      <c r="A305" s="29"/>
      <c r="B305" s="29"/>
      <c r="C305" s="29"/>
      <c r="D305" s="29" t="s">
        <v>13</v>
      </c>
      <c r="E305" s="29">
        <v>4</v>
      </c>
      <c r="F305" s="38">
        <f>E305*6500</f>
        <v>26000</v>
      </c>
      <c r="G305" s="38">
        <f>E305*4500</f>
        <v>18000</v>
      </c>
      <c r="H305" s="38">
        <f>E305*2000</f>
        <v>8000</v>
      </c>
    </row>
    <row r="306" spans="1:8" x14ac:dyDescent="0.25">
      <c r="A306" s="29"/>
      <c r="B306" s="29"/>
      <c r="C306" s="29"/>
      <c r="D306" s="29" t="s">
        <v>14</v>
      </c>
      <c r="E306" s="29">
        <v>3</v>
      </c>
      <c r="F306" s="38">
        <f>E306*8000</f>
        <v>24000</v>
      </c>
      <c r="G306" s="38">
        <f>E306*5500</f>
        <v>16500</v>
      </c>
      <c r="H306" s="38">
        <f>E306*2500</f>
        <v>7500</v>
      </c>
    </row>
    <row r="307" spans="1:8" x14ac:dyDescent="0.25">
      <c r="A307" s="29"/>
      <c r="B307" s="29"/>
      <c r="C307" s="29" t="s">
        <v>20</v>
      </c>
      <c r="D307" s="29" t="s">
        <v>243</v>
      </c>
      <c r="E307" s="29">
        <v>4</v>
      </c>
      <c r="F307" s="38">
        <f>E307*15000</f>
        <v>60000</v>
      </c>
      <c r="G307" s="38">
        <f>E307*10000</f>
        <v>40000</v>
      </c>
      <c r="H307" s="38">
        <f>E307*5000</f>
        <v>20000</v>
      </c>
    </row>
    <row r="308" spans="1:8" x14ac:dyDescent="0.25">
      <c r="A308" s="29"/>
      <c r="B308" s="29"/>
      <c r="C308" s="29"/>
      <c r="D308" s="29" t="s">
        <v>13</v>
      </c>
      <c r="E308" s="29">
        <v>16</v>
      </c>
      <c r="F308" s="38">
        <f>E308*6500</f>
        <v>104000</v>
      </c>
      <c r="G308" s="38">
        <f>E308*4500</f>
        <v>72000</v>
      </c>
      <c r="H308" s="38">
        <f>E308*2000</f>
        <v>32000</v>
      </c>
    </row>
    <row r="309" spans="1:8" x14ac:dyDescent="0.25">
      <c r="A309" s="29"/>
      <c r="B309" s="29"/>
      <c r="C309" s="29"/>
      <c r="D309" s="29" t="s">
        <v>14</v>
      </c>
      <c r="E309" s="29">
        <v>26</v>
      </c>
      <c r="F309" s="38">
        <f>E309*10000</f>
        <v>260000</v>
      </c>
      <c r="G309" s="38">
        <f>E309*5500</f>
        <v>143000</v>
      </c>
      <c r="H309" s="38">
        <f>E309*4500</f>
        <v>117000</v>
      </c>
    </row>
    <row r="310" spans="1:8" x14ac:dyDescent="0.25">
      <c r="A310" s="29"/>
      <c r="B310" s="125" t="s">
        <v>17</v>
      </c>
      <c r="C310" s="125"/>
      <c r="D310" s="125"/>
      <c r="E310" s="45">
        <f>SUM(E291:E309)</f>
        <v>290</v>
      </c>
      <c r="F310" s="45">
        <f>SUM(F291:F309)</f>
        <v>1199500</v>
      </c>
      <c r="G310" s="45">
        <f>SUM(G291:G309)</f>
        <v>697500</v>
      </c>
      <c r="H310" s="45">
        <f>SUM(H291:H309)</f>
        <v>502000</v>
      </c>
    </row>
    <row r="311" spans="1:8" x14ac:dyDescent="0.25">
      <c r="A311" s="29"/>
      <c r="B311" s="29"/>
      <c r="C311" s="29" t="s">
        <v>16</v>
      </c>
      <c r="D311" s="29" t="s">
        <v>11</v>
      </c>
      <c r="E311" s="29">
        <v>80</v>
      </c>
      <c r="F311" s="38">
        <f>E311*1500</f>
        <v>120000</v>
      </c>
      <c r="G311" s="38">
        <f>E311*500</f>
        <v>40000</v>
      </c>
      <c r="H311" s="38">
        <v>80000</v>
      </c>
    </row>
    <row r="312" spans="1:8" x14ac:dyDescent="0.25">
      <c r="A312" s="29"/>
      <c r="B312" s="29"/>
      <c r="C312" s="29"/>
      <c r="D312" s="29" t="s">
        <v>12</v>
      </c>
      <c r="E312" s="29">
        <v>10</v>
      </c>
      <c r="F312" s="38">
        <f>E312*3000</f>
        <v>30000</v>
      </c>
      <c r="G312" s="38">
        <f>E312*2000</f>
        <v>20000</v>
      </c>
      <c r="H312" s="38">
        <v>10000</v>
      </c>
    </row>
    <row r="313" spans="1:8" x14ac:dyDescent="0.25">
      <c r="A313" s="29"/>
      <c r="B313" s="29"/>
      <c r="C313" s="29"/>
      <c r="D313" s="29" t="s">
        <v>13</v>
      </c>
      <c r="E313" s="29">
        <v>2</v>
      </c>
      <c r="F313" s="38">
        <f>E313*6500</f>
        <v>13000</v>
      </c>
      <c r="G313" s="38">
        <f>E313*4500</f>
        <v>9000</v>
      </c>
      <c r="H313" s="38">
        <f>E313*2000</f>
        <v>4000</v>
      </c>
    </row>
    <row r="314" spans="1:8" x14ac:dyDescent="0.25">
      <c r="A314" s="29"/>
      <c r="B314" s="29"/>
      <c r="C314" s="29"/>
      <c r="D314" s="29" t="s">
        <v>14</v>
      </c>
      <c r="E314" s="29">
        <v>2</v>
      </c>
      <c r="F314" s="38">
        <v>20000</v>
      </c>
      <c r="G314" s="38">
        <f>E314*5500</f>
        <v>11000</v>
      </c>
      <c r="H314" s="38">
        <f>E314*4500</f>
        <v>9000</v>
      </c>
    </row>
    <row r="315" spans="1:8" x14ac:dyDescent="0.25">
      <c r="A315" s="29"/>
      <c r="B315" s="29"/>
      <c r="C315" s="29" t="s">
        <v>373</v>
      </c>
      <c r="D315" s="29" t="s">
        <v>243</v>
      </c>
      <c r="E315" s="29">
        <v>2</v>
      </c>
      <c r="F315" s="38">
        <f>E315*13000</f>
        <v>26000</v>
      </c>
      <c r="G315" s="38">
        <v>20000</v>
      </c>
      <c r="H315" s="38">
        <v>6000</v>
      </c>
    </row>
    <row r="316" spans="1:8" x14ac:dyDescent="0.25">
      <c r="A316" s="29"/>
      <c r="B316" s="29"/>
      <c r="C316" s="29" t="s">
        <v>396</v>
      </c>
      <c r="D316" s="29" t="s">
        <v>21</v>
      </c>
      <c r="E316" s="29">
        <v>4</v>
      </c>
      <c r="F316" s="38">
        <f>E316*15000</f>
        <v>60000</v>
      </c>
      <c r="G316" s="38">
        <f>E316*11000</f>
        <v>44000</v>
      </c>
      <c r="H316" s="38">
        <f>E316*4000</f>
        <v>16000</v>
      </c>
    </row>
    <row r="317" spans="1:8" x14ac:dyDescent="0.25">
      <c r="A317" s="29"/>
      <c r="B317" s="125" t="s">
        <v>17</v>
      </c>
      <c r="C317" s="125"/>
      <c r="D317" s="125"/>
      <c r="E317" s="17">
        <f>SUM(E311:E316)</f>
        <v>100</v>
      </c>
      <c r="F317" s="17">
        <f>SUM(F311:F316)</f>
        <v>269000</v>
      </c>
      <c r="G317" s="17">
        <f>SUM(G311:G316)</f>
        <v>144000</v>
      </c>
      <c r="H317" s="17">
        <f>SUM(H311:H316)</f>
        <v>125000</v>
      </c>
    </row>
    <row r="318" spans="1:8" x14ac:dyDescent="0.25">
      <c r="A318" s="29" t="s">
        <v>30</v>
      </c>
      <c r="B318" s="29" t="s">
        <v>397</v>
      </c>
      <c r="C318" s="29" t="s">
        <v>288</v>
      </c>
      <c r="D318" s="29" t="s">
        <v>11</v>
      </c>
      <c r="E318" s="29">
        <v>18</v>
      </c>
      <c r="F318" s="38">
        <f>E318*1800</f>
        <v>32400</v>
      </c>
      <c r="G318" s="38">
        <f>E318*500</f>
        <v>9000</v>
      </c>
      <c r="H318" s="38">
        <f>E318*1300</f>
        <v>23400</v>
      </c>
    </row>
    <row r="319" spans="1:8" x14ac:dyDescent="0.25">
      <c r="A319" s="29"/>
      <c r="B319" s="29"/>
      <c r="C319" s="29" t="s">
        <v>16</v>
      </c>
      <c r="D319" s="29" t="s">
        <v>11</v>
      </c>
      <c r="E319" s="29">
        <v>32</v>
      </c>
      <c r="F319" s="38">
        <f>E319*1500</f>
        <v>48000</v>
      </c>
      <c r="G319" s="38">
        <f>E319*500</f>
        <v>16000</v>
      </c>
      <c r="H319" s="38">
        <v>32000</v>
      </c>
    </row>
    <row r="320" spans="1:8" x14ac:dyDescent="0.25">
      <c r="A320" s="29"/>
      <c r="B320" s="29"/>
      <c r="C320" s="29"/>
      <c r="D320" s="29" t="s">
        <v>12</v>
      </c>
      <c r="E320" s="29">
        <v>8</v>
      </c>
      <c r="F320" s="38">
        <f>E320*3000</f>
        <v>24000</v>
      </c>
      <c r="G320" s="38">
        <f>E320*500</f>
        <v>4000</v>
      </c>
      <c r="H320" s="38">
        <v>8000</v>
      </c>
    </row>
    <row r="321" spans="1:8" x14ac:dyDescent="0.25">
      <c r="A321" s="29"/>
      <c r="B321" s="29"/>
      <c r="C321" s="29" t="s">
        <v>24</v>
      </c>
      <c r="D321" s="29" t="s">
        <v>243</v>
      </c>
      <c r="E321" s="29">
        <v>2</v>
      </c>
      <c r="F321" s="38">
        <f>E321*15000</f>
        <v>30000</v>
      </c>
      <c r="G321" s="38">
        <f>E321*10000</f>
        <v>20000</v>
      </c>
      <c r="H321" s="38">
        <f>E321*5000</f>
        <v>10000</v>
      </c>
    </row>
    <row r="322" spans="1:8" x14ac:dyDescent="0.25">
      <c r="A322" s="125" t="s">
        <v>17</v>
      </c>
      <c r="B322" s="125"/>
      <c r="C322" s="125"/>
      <c r="D322" s="125"/>
      <c r="E322" s="17">
        <f>SUM(E318:E321)</f>
        <v>60</v>
      </c>
      <c r="F322" s="17">
        <f>SUM(F318:F321)</f>
        <v>134400</v>
      </c>
      <c r="G322" s="17">
        <f>SUM(G318:G321)</f>
        <v>49000</v>
      </c>
      <c r="H322" s="17">
        <f>SUM(H318:H321)</f>
        <v>73400</v>
      </c>
    </row>
    <row r="323" spans="1:8" x14ac:dyDescent="0.25">
      <c r="A323" s="29" t="s">
        <v>32</v>
      </c>
      <c r="B323" s="29" t="s">
        <v>398</v>
      </c>
      <c r="C323" s="29" t="s">
        <v>288</v>
      </c>
      <c r="D323" s="29" t="s">
        <v>11</v>
      </c>
      <c r="E323" s="29">
        <v>50</v>
      </c>
      <c r="F323" s="38">
        <f>E323*1800</f>
        <v>90000</v>
      </c>
      <c r="G323" s="38">
        <f>E323*500</f>
        <v>25000</v>
      </c>
      <c r="H323" s="38">
        <f>E323*1300</f>
        <v>65000</v>
      </c>
    </row>
    <row r="324" spans="1:8" x14ac:dyDescent="0.25">
      <c r="A324" s="29"/>
      <c r="B324" s="29"/>
      <c r="C324" s="29" t="s">
        <v>106</v>
      </c>
      <c r="D324" s="29" t="s">
        <v>11</v>
      </c>
      <c r="E324" s="29">
        <v>25</v>
      </c>
      <c r="F324" s="38">
        <v>37500</v>
      </c>
      <c r="G324" s="38">
        <f>E324*500</f>
        <v>12500</v>
      </c>
      <c r="H324" s="38">
        <v>25000</v>
      </c>
    </row>
    <row r="325" spans="1:8" x14ac:dyDescent="0.25">
      <c r="A325" s="29"/>
      <c r="B325" s="29"/>
      <c r="C325" s="29" t="s">
        <v>10</v>
      </c>
      <c r="D325" s="29" t="s">
        <v>11</v>
      </c>
      <c r="E325" s="29">
        <f>80+50</f>
        <v>130</v>
      </c>
      <c r="F325" s="38">
        <f>E325*1500</f>
        <v>195000</v>
      </c>
      <c r="G325" s="38">
        <f>E325*500</f>
        <v>65000</v>
      </c>
      <c r="H325" s="38">
        <f>E325*1000</f>
        <v>130000</v>
      </c>
    </row>
    <row r="326" spans="1:8" x14ac:dyDescent="0.25">
      <c r="A326" s="29"/>
      <c r="B326" s="29"/>
      <c r="C326" s="29"/>
      <c r="D326" s="29" t="s">
        <v>13</v>
      </c>
      <c r="E326" s="29">
        <v>5</v>
      </c>
      <c r="F326" s="38">
        <f>E326*6500</f>
        <v>32500</v>
      </c>
      <c r="G326" s="38">
        <f>E326*4500</f>
        <v>22500</v>
      </c>
      <c r="H326" s="38">
        <f>E326*2000</f>
        <v>10000</v>
      </c>
    </row>
    <row r="327" spans="1:8" x14ac:dyDescent="0.25">
      <c r="A327" s="29"/>
      <c r="B327" s="29"/>
      <c r="C327" s="29"/>
      <c r="D327" s="29" t="s">
        <v>14</v>
      </c>
      <c r="E327" s="29">
        <v>8</v>
      </c>
      <c r="F327" s="38">
        <f>E327*8000</f>
        <v>64000</v>
      </c>
      <c r="G327" s="38">
        <f>E327*5500</f>
        <v>44000</v>
      </c>
      <c r="H327" s="38">
        <f>E327*2500</f>
        <v>20000</v>
      </c>
    </row>
    <row r="328" spans="1:8" x14ac:dyDescent="0.25">
      <c r="A328" s="29"/>
      <c r="B328" s="29"/>
      <c r="C328" s="29" t="s">
        <v>16</v>
      </c>
      <c r="D328" s="29" t="s">
        <v>11</v>
      </c>
      <c r="E328" s="29">
        <v>31</v>
      </c>
      <c r="F328" s="38">
        <f>E328*1500</f>
        <v>46500</v>
      </c>
      <c r="G328" s="38">
        <f>E328*500</f>
        <v>15500</v>
      </c>
      <c r="H328" s="38">
        <v>31000</v>
      </c>
    </row>
    <row r="329" spans="1:8" x14ac:dyDescent="0.25">
      <c r="A329" s="29"/>
      <c r="B329" s="29"/>
      <c r="C329" s="29"/>
      <c r="D329" s="29" t="s">
        <v>12</v>
      </c>
      <c r="E329" s="29">
        <v>6</v>
      </c>
      <c r="F329" s="38">
        <f>E329*3000</f>
        <v>18000</v>
      </c>
      <c r="G329" s="38">
        <f>E329*2000</f>
        <v>12000</v>
      </c>
      <c r="H329" s="38">
        <v>6000</v>
      </c>
    </row>
    <row r="330" spans="1:8" x14ac:dyDescent="0.25">
      <c r="A330" s="29"/>
      <c r="B330" s="29"/>
      <c r="C330" s="29" t="s">
        <v>399</v>
      </c>
      <c r="D330" s="29" t="s">
        <v>11</v>
      </c>
      <c r="E330" s="29">
        <v>8</v>
      </c>
      <c r="F330" s="38">
        <f>E330*1500</f>
        <v>12000</v>
      </c>
      <c r="G330" s="38">
        <f>E330*500</f>
        <v>4000</v>
      </c>
      <c r="H330" s="38">
        <f>E330*1000</f>
        <v>8000</v>
      </c>
    </row>
    <row r="331" spans="1:8" x14ac:dyDescent="0.25">
      <c r="A331" s="29"/>
      <c r="B331" s="29"/>
      <c r="C331" s="29"/>
      <c r="D331" s="29" t="s">
        <v>13</v>
      </c>
      <c r="E331" s="29">
        <v>3</v>
      </c>
      <c r="F331" s="38">
        <f>E331*6500</f>
        <v>19500</v>
      </c>
      <c r="G331" s="38">
        <f>E331*4500</f>
        <v>13500</v>
      </c>
      <c r="H331" s="38">
        <f>E331*2000</f>
        <v>6000</v>
      </c>
    </row>
    <row r="332" spans="1:8" x14ac:dyDescent="0.25">
      <c r="A332" s="29"/>
      <c r="B332" s="29"/>
      <c r="C332" s="29"/>
      <c r="D332" s="29" t="s">
        <v>14</v>
      </c>
      <c r="E332" s="29">
        <v>4</v>
      </c>
      <c r="F332" s="38">
        <f>E332*10000</f>
        <v>40000</v>
      </c>
      <c r="G332" s="38">
        <f>E332*5500</f>
        <v>22000</v>
      </c>
      <c r="H332" s="38">
        <f>E332*4500</f>
        <v>18000</v>
      </c>
    </row>
    <row r="333" spans="1:8" x14ac:dyDescent="0.25">
      <c r="A333" s="29"/>
      <c r="B333" s="29"/>
      <c r="C333" s="29" t="s">
        <v>373</v>
      </c>
      <c r="D333" s="29" t="s">
        <v>243</v>
      </c>
      <c r="E333" s="29">
        <v>5</v>
      </c>
      <c r="F333" s="38">
        <f>E333*13000</f>
        <v>65000</v>
      </c>
      <c r="G333" s="38">
        <f>E333*10000</f>
        <v>50000</v>
      </c>
      <c r="H333" s="38">
        <f>E333*3000</f>
        <v>15000</v>
      </c>
    </row>
    <row r="334" spans="1:8" x14ac:dyDescent="0.25">
      <c r="A334" s="125" t="s">
        <v>17</v>
      </c>
      <c r="B334" s="125"/>
      <c r="C334" s="125"/>
      <c r="D334" s="125"/>
      <c r="E334" s="17">
        <f>SUM(E323:E333)</f>
        <v>275</v>
      </c>
      <c r="F334" s="17">
        <f>SUM(F323:F333)</f>
        <v>620000</v>
      </c>
      <c r="G334" s="17">
        <f>SUM(G323:G333)</f>
        <v>286000</v>
      </c>
      <c r="H334" s="17">
        <f>SUM(H323:H333)</f>
        <v>334000</v>
      </c>
    </row>
    <row r="335" spans="1:8" x14ac:dyDescent="0.25">
      <c r="A335" s="29" t="s">
        <v>8</v>
      </c>
      <c r="B335" s="37" t="s">
        <v>400</v>
      </c>
      <c r="C335" s="29" t="s">
        <v>288</v>
      </c>
      <c r="D335" s="29" t="s">
        <v>11</v>
      </c>
      <c r="E335" s="29">
        <f>60-9</f>
        <v>51</v>
      </c>
      <c r="F335" s="38">
        <f>E335*1500</f>
        <v>76500</v>
      </c>
      <c r="G335" s="38">
        <f>E335*500</f>
        <v>25500</v>
      </c>
      <c r="H335" s="38">
        <f>E335*1000</f>
        <v>51000</v>
      </c>
    </row>
    <row r="336" spans="1:8" x14ac:dyDescent="0.25">
      <c r="A336" s="29"/>
      <c r="B336" s="29"/>
      <c r="C336" s="29" t="s">
        <v>106</v>
      </c>
      <c r="D336" s="29" t="s">
        <v>11</v>
      </c>
      <c r="E336" s="29">
        <v>21</v>
      </c>
      <c r="F336" s="38">
        <f>E336*1500</f>
        <v>31500</v>
      </c>
      <c r="G336" s="38">
        <f>E336*500</f>
        <v>10500</v>
      </c>
      <c r="H336" s="38">
        <f>E336*1000</f>
        <v>21000</v>
      </c>
    </row>
    <row r="337" spans="1:8" x14ac:dyDescent="0.25">
      <c r="A337" s="29"/>
      <c r="B337" s="29"/>
      <c r="C337" s="29" t="s">
        <v>108</v>
      </c>
      <c r="D337" s="29" t="s">
        <v>11</v>
      </c>
      <c r="E337" s="29">
        <v>22</v>
      </c>
      <c r="F337" s="38">
        <f>E337*1500</f>
        <v>33000</v>
      </c>
      <c r="G337" s="38">
        <f>E337*500</f>
        <v>11000</v>
      </c>
      <c r="H337" s="38">
        <f>E337*1000</f>
        <v>22000</v>
      </c>
    </row>
    <row r="338" spans="1:8" x14ac:dyDescent="0.25">
      <c r="A338" s="29"/>
      <c r="B338" s="29"/>
      <c r="C338" s="29" t="s">
        <v>217</v>
      </c>
      <c r="D338" s="29" t="s">
        <v>11</v>
      </c>
      <c r="E338" s="29">
        <v>49</v>
      </c>
      <c r="F338" s="38">
        <f>E338*1500</f>
        <v>73500</v>
      </c>
      <c r="G338" s="38">
        <f>E338*500</f>
        <v>24500</v>
      </c>
      <c r="H338" s="38">
        <f>E338*1000</f>
        <v>49000</v>
      </c>
    </row>
    <row r="339" spans="1:8" x14ac:dyDescent="0.25">
      <c r="A339" s="29"/>
      <c r="B339" s="29"/>
      <c r="C339" s="29" t="s">
        <v>16</v>
      </c>
      <c r="D339" s="29" t="s">
        <v>11</v>
      </c>
      <c r="E339" s="29">
        <v>32</v>
      </c>
      <c r="F339" s="29">
        <f>E339*1500</f>
        <v>48000</v>
      </c>
      <c r="G339" s="29">
        <f>E339*500</f>
        <v>16000</v>
      </c>
      <c r="H339" s="29">
        <v>32000</v>
      </c>
    </row>
    <row r="340" spans="1:8" x14ac:dyDescent="0.25">
      <c r="A340" s="29"/>
      <c r="B340" s="29"/>
      <c r="C340" s="29"/>
      <c r="D340" s="29" t="s">
        <v>12</v>
      </c>
      <c r="E340" s="29">
        <v>7</v>
      </c>
      <c r="F340" s="38">
        <f>E340*3000</f>
        <v>21000</v>
      </c>
      <c r="G340" s="38">
        <f>E340*2000</f>
        <v>14000</v>
      </c>
      <c r="H340" s="29">
        <v>7000</v>
      </c>
    </row>
    <row r="341" spans="1:8" x14ac:dyDescent="0.25">
      <c r="A341" s="125" t="s">
        <v>17</v>
      </c>
      <c r="B341" s="125"/>
      <c r="C341" s="125"/>
      <c r="D341" s="125"/>
      <c r="E341" s="17">
        <f>SUM(E335:E340)</f>
        <v>182</v>
      </c>
      <c r="F341" s="17">
        <f>SUM(F335:F340)</f>
        <v>283500</v>
      </c>
      <c r="G341" s="17">
        <f>SUM(G335:G340)</f>
        <v>101500</v>
      </c>
      <c r="H341" s="17">
        <f>SUM(H335:H340)</f>
        <v>182000</v>
      </c>
    </row>
    <row r="342" spans="1:8" x14ac:dyDescent="0.25">
      <c r="A342" s="29"/>
      <c r="B342" s="29"/>
      <c r="C342" s="29"/>
      <c r="D342" s="29"/>
      <c r="E342" s="29"/>
      <c r="F342" s="38"/>
      <c r="G342" s="38"/>
      <c r="H342" s="38"/>
    </row>
    <row r="343" spans="1:8" x14ac:dyDescent="0.25">
      <c r="F343" s="4"/>
      <c r="G343" s="4"/>
      <c r="H343" s="4"/>
    </row>
    <row r="344" spans="1:8" x14ac:dyDescent="0.25">
      <c r="F344" s="4"/>
      <c r="G344" s="4"/>
      <c r="H344" s="4"/>
    </row>
    <row r="345" spans="1:8" x14ac:dyDescent="0.25">
      <c r="F345" s="4"/>
      <c r="G345" s="4"/>
      <c r="H345" s="4"/>
    </row>
    <row r="346" spans="1:8" x14ac:dyDescent="0.25">
      <c r="F346" s="4"/>
      <c r="G346" s="4"/>
      <c r="H346" s="4"/>
    </row>
    <row r="347" spans="1:8" x14ac:dyDescent="0.25">
      <c r="F347" s="4"/>
      <c r="G347" s="4"/>
      <c r="H347" s="4"/>
    </row>
    <row r="348" spans="1:8" x14ac:dyDescent="0.25">
      <c r="F348" s="4"/>
      <c r="G348" s="4"/>
      <c r="H348" s="4"/>
    </row>
    <row r="349" spans="1:8" x14ac:dyDescent="0.25">
      <c r="F349" s="4"/>
      <c r="G349" s="4"/>
      <c r="H349" s="4"/>
    </row>
    <row r="350" spans="1:8" x14ac:dyDescent="0.25">
      <c r="F350" s="4"/>
      <c r="G350" s="4"/>
      <c r="H350" s="4"/>
    </row>
    <row r="351" spans="1:8" x14ac:dyDescent="0.25">
      <c r="F351" s="4"/>
      <c r="G351" s="4"/>
      <c r="H351" s="4"/>
    </row>
    <row r="352" spans="1:8" x14ac:dyDescent="0.25">
      <c r="F352" s="4"/>
      <c r="G352" s="4"/>
      <c r="H352" s="4"/>
    </row>
    <row r="353" spans="6:8" x14ac:dyDescent="0.25">
      <c r="F353" s="4"/>
      <c r="G353" s="4"/>
      <c r="H353" s="4"/>
    </row>
    <row r="354" spans="6:8" x14ac:dyDescent="0.25">
      <c r="F354" s="4"/>
      <c r="G354" s="4"/>
      <c r="H354" s="4"/>
    </row>
    <row r="355" spans="6:8" x14ac:dyDescent="0.25">
      <c r="F355" s="4"/>
      <c r="G355" s="4"/>
      <c r="H355" s="4"/>
    </row>
    <row r="356" spans="6:8" x14ac:dyDescent="0.25">
      <c r="F356" s="4"/>
      <c r="G356" s="4"/>
      <c r="H356" s="4"/>
    </row>
    <row r="357" spans="6:8" x14ac:dyDescent="0.25">
      <c r="F357" s="4"/>
      <c r="G357" s="4"/>
      <c r="H357" s="4"/>
    </row>
    <row r="358" spans="6:8" x14ac:dyDescent="0.25">
      <c r="F358" s="4"/>
      <c r="G358" s="4"/>
      <c r="H358" s="4"/>
    </row>
    <row r="359" spans="6:8" x14ac:dyDescent="0.25">
      <c r="F359" s="4"/>
      <c r="G359" s="4"/>
      <c r="H359" s="4"/>
    </row>
    <row r="360" spans="6:8" x14ac:dyDescent="0.25">
      <c r="F360" s="4"/>
      <c r="G360" s="4"/>
      <c r="H360" s="4"/>
    </row>
    <row r="361" spans="6:8" x14ac:dyDescent="0.25">
      <c r="F361" s="4"/>
      <c r="G361" s="4"/>
      <c r="H361" s="4"/>
    </row>
    <row r="362" spans="6:8" x14ac:dyDescent="0.25">
      <c r="F362" s="4"/>
      <c r="G362" s="4"/>
      <c r="H362" s="4"/>
    </row>
    <row r="363" spans="6:8" x14ac:dyDescent="0.25">
      <c r="F363" s="4"/>
      <c r="G363" s="4"/>
      <c r="H363" s="4"/>
    </row>
    <row r="364" spans="6:8" x14ac:dyDescent="0.25">
      <c r="F364" s="4"/>
      <c r="G364" s="4"/>
      <c r="H364" s="4"/>
    </row>
    <row r="365" spans="6:8" x14ac:dyDescent="0.25">
      <c r="F365" s="4"/>
      <c r="G365" s="4"/>
      <c r="H365" s="4"/>
    </row>
    <row r="366" spans="6:8" x14ac:dyDescent="0.25">
      <c r="F366" s="4"/>
      <c r="G366" s="4"/>
      <c r="H366" s="4"/>
    </row>
    <row r="367" spans="6:8" x14ac:dyDescent="0.25">
      <c r="F367" s="4"/>
      <c r="G367" s="4"/>
      <c r="H367" s="4"/>
    </row>
    <row r="368" spans="6:8" x14ac:dyDescent="0.25">
      <c r="F368" s="4"/>
      <c r="G368" s="4"/>
      <c r="H368" s="4"/>
    </row>
    <row r="369" spans="6:8" x14ac:dyDescent="0.25">
      <c r="F369" s="4"/>
      <c r="G369" s="4"/>
      <c r="H369" s="4"/>
    </row>
    <row r="370" spans="6:8" x14ac:dyDescent="0.25">
      <c r="F370" s="4"/>
      <c r="G370" s="4"/>
      <c r="H370" s="4"/>
    </row>
    <row r="371" spans="6:8" x14ac:dyDescent="0.25">
      <c r="F371" s="4"/>
      <c r="G371" s="4"/>
      <c r="H371" s="4"/>
    </row>
    <row r="372" spans="6:8" x14ac:dyDescent="0.25">
      <c r="F372" s="4"/>
      <c r="G372" s="4"/>
      <c r="H372" s="4"/>
    </row>
    <row r="373" spans="6:8" x14ac:dyDescent="0.25">
      <c r="F373" s="4"/>
      <c r="G373" s="4"/>
      <c r="H373" s="4"/>
    </row>
    <row r="374" spans="6:8" x14ac:dyDescent="0.25">
      <c r="F374" s="4"/>
      <c r="G374" s="4"/>
      <c r="H374" s="4"/>
    </row>
    <row r="375" spans="6:8" x14ac:dyDescent="0.25">
      <c r="F375" s="4"/>
      <c r="G375" s="4"/>
      <c r="H375" s="4"/>
    </row>
    <row r="376" spans="6:8" x14ac:dyDescent="0.25">
      <c r="F376" s="4"/>
      <c r="G376" s="4"/>
      <c r="H376" s="4"/>
    </row>
    <row r="377" spans="6:8" x14ac:dyDescent="0.25">
      <c r="F377" s="4"/>
      <c r="G377" s="4"/>
      <c r="H377" s="4"/>
    </row>
    <row r="378" spans="6:8" x14ac:dyDescent="0.25">
      <c r="F378" s="4"/>
      <c r="G378" s="4"/>
      <c r="H378" s="4"/>
    </row>
    <row r="379" spans="6:8" x14ac:dyDescent="0.25">
      <c r="F379" s="4"/>
      <c r="G379" s="4"/>
      <c r="H379" s="4"/>
    </row>
    <row r="380" spans="6:8" x14ac:dyDescent="0.25">
      <c r="F380" s="4"/>
      <c r="G380" s="4"/>
      <c r="H380" s="4"/>
    </row>
    <row r="381" spans="6:8" x14ac:dyDescent="0.25">
      <c r="F381" s="4"/>
      <c r="G381" s="4"/>
      <c r="H381" s="4"/>
    </row>
    <row r="382" spans="6:8" x14ac:dyDescent="0.25">
      <c r="F382" s="4"/>
      <c r="G382" s="4"/>
      <c r="H382" s="4"/>
    </row>
    <row r="383" spans="6:8" x14ac:dyDescent="0.25">
      <c r="F383" s="4"/>
      <c r="G383" s="4"/>
      <c r="H383" s="4"/>
    </row>
    <row r="384" spans="6:8" x14ac:dyDescent="0.25">
      <c r="F384" s="4"/>
      <c r="G384" s="4"/>
      <c r="H384" s="4"/>
    </row>
    <row r="385" spans="6:8" x14ac:dyDescent="0.25">
      <c r="F385" s="4"/>
      <c r="G385" s="4"/>
      <c r="H385" s="4"/>
    </row>
    <row r="386" spans="6:8" x14ac:dyDescent="0.25">
      <c r="F386" s="4"/>
      <c r="G386" s="4"/>
      <c r="H386" s="4"/>
    </row>
    <row r="387" spans="6:8" x14ac:dyDescent="0.25">
      <c r="F387" s="4"/>
      <c r="G387" s="4"/>
      <c r="H387" s="4"/>
    </row>
    <row r="388" spans="6:8" x14ac:dyDescent="0.25">
      <c r="F388" s="4"/>
      <c r="G388" s="4"/>
      <c r="H388" s="4"/>
    </row>
    <row r="389" spans="6:8" x14ac:dyDescent="0.25">
      <c r="F389" s="4"/>
      <c r="G389" s="4"/>
      <c r="H389" s="4"/>
    </row>
    <row r="390" spans="6:8" x14ac:dyDescent="0.25">
      <c r="F390" s="4"/>
      <c r="G390" s="4"/>
      <c r="H390" s="4"/>
    </row>
    <row r="391" spans="6:8" x14ac:dyDescent="0.25">
      <c r="F391" s="4"/>
      <c r="G391" s="4"/>
      <c r="H391" s="4"/>
    </row>
    <row r="392" spans="6:8" x14ac:dyDescent="0.25">
      <c r="F392" s="4"/>
      <c r="G392" s="4"/>
      <c r="H392" s="4"/>
    </row>
    <row r="393" spans="6:8" x14ac:dyDescent="0.25">
      <c r="F393" s="4"/>
      <c r="G393" s="4"/>
      <c r="H393" s="4"/>
    </row>
    <row r="394" spans="6:8" x14ac:dyDescent="0.25">
      <c r="F394" s="4"/>
      <c r="G394" s="4"/>
      <c r="H394" s="4"/>
    </row>
    <row r="395" spans="6:8" x14ac:dyDescent="0.25">
      <c r="F395" s="4"/>
      <c r="G395" s="4"/>
      <c r="H395" s="4"/>
    </row>
    <row r="396" spans="6:8" x14ac:dyDescent="0.25">
      <c r="F396" s="4"/>
      <c r="G396" s="4"/>
      <c r="H396" s="4"/>
    </row>
    <row r="397" spans="6:8" x14ac:dyDescent="0.25">
      <c r="F397" s="4"/>
      <c r="G397" s="4"/>
      <c r="H397" s="4"/>
    </row>
    <row r="398" spans="6:8" x14ac:dyDescent="0.25">
      <c r="F398" s="4"/>
      <c r="G398" s="4"/>
      <c r="H398" s="4"/>
    </row>
    <row r="399" spans="6:8" x14ac:dyDescent="0.25">
      <c r="F399" s="4"/>
      <c r="G399" s="4"/>
      <c r="H399" s="4"/>
    </row>
    <row r="400" spans="6:8" x14ac:dyDescent="0.25">
      <c r="F400" s="4"/>
      <c r="G400" s="4"/>
      <c r="H400" s="4"/>
    </row>
    <row r="401" spans="6:8" x14ac:dyDescent="0.25">
      <c r="F401" s="4"/>
      <c r="G401" s="4"/>
      <c r="H401" s="4"/>
    </row>
    <row r="402" spans="6:8" x14ac:dyDescent="0.25">
      <c r="F402" s="4"/>
      <c r="G402" s="4"/>
      <c r="H402" s="4"/>
    </row>
    <row r="403" spans="6:8" x14ac:dyDescent="0.25">
      <c r="F403" s="4"/>
      <c r="G403" s="4"/>
      <c r="H403" s="4"/>
    </row>
    <row r="404" spans="6:8" x14ac:dyDescent="0.25">
      <c r="F404" s="4"/>
      <c r="G404" s="4"/>
      <c r="H404" s="4"/>
    </row>
    <row r="405" spans="6:8" x14ac:dyDescent="0.25">
      <c r="F405" s="4"/>
      <c r="G405" s="4"/>
      <c r="H405" s="4"/>
    </row>
    <row r="406" spans="6:8" x14ac:dyDescent="0.25">
      <c r="F406" s="4"/>
      <c r="G406" s="4"/>
      <c r="H406" s="4"/>
    </row>
    <row r="407" spans="6:8" x14ac:dyDescent="0.25">
      <c r="F407" s="4"/>
      <c r="G407" s="4"/>
      <c r="H407" s="4"/>
    </row>
    <row r="408" spans="6:8" x14ac:dyDescent="0.25">
      <c r="F408" s="4"/>
      <c r="G408" s="4"/>
      <c r="H408" s="4"/>
    </row>
    <row r="409" spans="6:8" x14ac:dyDescent="0.25">
      <c r="F409" s="4"/>
      <c r="G409" s="4"/>
      <c r="H409" s="4"/>
    </row>
    <row r="410" spans="6:8" x14ac:dyDescent="0.25">
      <c r="F410" s="4"/>
      <c r="G410" s="4"/>
      <c r="H410" s="4"/>
    </row>
    <row r="411" spans="6:8" x14ac:dyDescent="0.25">
      <c r="F411" s="4"/>
      <c r="G411" s="4"/>
      <c r="H411" s="4"/>
    </row>
    <row r="412" spans="6:8" x14ac:dyDescent="0.25">
      <c r="F412" s="4"/>
      <c r="G412" s="4"/>
      <c r="H412" s="4"/>
    </row>
    <row r="413" spans="6:8" x14ac:dyDescent="0.25">
      <c r="F413" s="4"/>
      <c r="G413" s="4"/>
      <c r="H413" s="4"/>
    </row>
    <row r="414" spans="6:8" x14ac:dyDescent="0.25">
      <c r="F414" s="4"/>
      <c r="G414" s="4"/>
      <c r="H414" s="4"/>
    </row>
    <row r="415" spans="6:8" x14ac:dyDescent="0.25">
      <c r="F415" s="4"/>
      <c r="G415" s="4"/>
      <c r="H415" s="4"/>
    </row>
    <row r="416" spans="6:8" x14ac:dyDescent="0.25">
      <c r="F416" s="4"/>
      <c r="G416" s="4"/>
      <c r="H416" s="4"/>
    </row>
    <row r="417" spans="6:8" x14ac:dyDescent="0.25">
      <c r="F417" s="4"/>
      <c r="G417" s="4"/>
      <c r="H417" s="4"/>
    </row>
    <row r="418" spans="6:8" x14ac:dyDescent="0.25">
      <c r="F418" s="4"/>
      <c r="G418" s="4"/>
      <c r="H418" s="4"/>
    </row>
    <row r="419" spans="6:8" x14ac:dyDescent="0.25">
      <c r="F419" s="4"/>
      <c r="G419" s="4"/>
      <c r="H419" s="4"/>
    </row>
    <row r="420" spans="6:8" x14ac:dyDescent="0.25">
      <c r="F420" s="4"/>
      <c r="G420" s="4"/>
      <c r="H420" s="4"/>
    </row>
    <row r="421" spans="6:8" x14ac:dyDescent="0.25">
      <c r="F421" s="4"/>
      <c r="G421" s="4"/>
      <c r="H421" s="4"/>
    </row>
    <row r="422" spans="6:8" x14ac:dyDescent="0.25">
      <c r="F422" s="4"/>
      <c r="G422" s="4"/>
      <c r="H422" s="4"/>
    </row>
    <row r="423" spans="6:8" x14ac:dyDescent="0.25">
      <c r="F423" s="4"/>
      <c r="G423" s="4"/>
      <c r="H423" s="4"/>
    </row>
    <row r="424" spans="6:8" x14ac:dyDescent="0.25">
      <c r="F424" s="4"/>
      <c r="G424" s="4"/>
      <c r="H424" s="4"/>
    </row>
    <row r="425" spans="6:8" x14ac:dyDescent="0.25">
      <c r="F425" s="4"/>
      <c r="G425" s="4"/>
      <c r="H425" s="4"/>
    </row>
    <row r="426" spans="6:8" x14ac:dyDescent="0.25">
      <c r="F426" s="4"/>
      <c r="G426" s="4"/>
      <c r="H426" s="4"/>
    </row>
    <row r="427" spans="6:8" x14ac:dyDescent="0.25">
      <c r="F427" s="4"/>
      <c r="G427" s="4"/>
      <c r="H427" s="4"/>
    </row>
    <row r="428" spans="6:8" x14ac:dyDescent="0.25">
      <c r="F428" s="4"/>
      <c r="G428" s="4"/>
      <c r="H428" s="4"/>
    </row>
    <row r="429" spans="6:8" x14ac:dyDescent="0.25">
      <c r="F429" s="4"/>
      <c r="G429" s="4"/>
      <c r="H429" s="4"/>
    </row>
    <row r="430" spans="6:8" x14ac:dyDescent="0.25">
      <c r="F430" s="4"/>
      <c r="G430" s="4"/>
      <c r="H430" s="4"/>
    </row>
    <row r="431" spans="6:8" x14ac:dyDescent="0.25">
      <c r="F431" s="4"/>
      <c r="G431" s="4"/>
      <c r="H431" s="4"/>
    </row>
    <row r="432" spans="6:8" x14ac:dyDescent="0.25">
      <c r="F432" s="4"/>
      <c r="G432" s="4"/>
      <c r="H432" s="4"/>
    </row>
    <row r="433" spans="6:8" x14ac:dyDescent="0.25">
      <c r="F433" s="4"/>
      <c r="G433" s="4"/>
      <c r="H433" s="4"/>
    </row>
    <row r="434" spans="6:8" x14ac:dyDescent="0.25">
      <c r="F434" s="4"/>
      <c r="G434" s="4"/>
      <c r="H434" s="4"/>
    </row>
    <row r="435" spans="6:8" x14ac:dyDescent="0.25">
      <c r="F435" s="4"/>
      <c r="G435" s="4"/>
      <c r="H435" s="4"/>
    </row>
    <row r="436" spans="6:8" x14ac:dyDescent="0.25">
      <c r="F436" s="4"/>
      <c r="G436" s="4"/>
      <c r="H436" s="4"/>
    </row>
    <row r="437" spans="6:8" x14ac:dyDescent="0.25">
      <c r="F437" s="4"/>
      <c r="G437" s="4"/>
      <c r="H437" s="4"/>
    </row>
    <row r="438" spans="6:8" x14ac:dyDescent="0.25">
      <c r="F438" s="4"/>
      <c r="G438" s="4"/>
      <c r="H438" s="4"/>
    </row>
    <row r="439" spans="6:8" x14ac:dyDescent="0.25">
      <c r="F439" s="4"/>
      <c r="G439" s="4"/>
      <c r="H439" s="4"/>
    </row>
    <row r="440" spans="6:8" x14ac:dyDescent="0.25">
      <c r="F440" s="4"/>
      <c r="G440" s="4"/>
      <c r="H440" s="4"/>
    </row>
    <row r="441" spans="6:8" x14ac:dyDescent="0.25">
      <c r="F441" s="4"/>
      <c r="G441" s="4"/>
      <c r="H441" s="4"/>
    </row>
    <row r="442" spans="6:8" x14ac:dyDescent="0.25">
      <c r="F442" s="4"/>
      <c r="G442" s="4"/>
      <c r="H442" s="4"/>
    </row>
    <row r="443" spans="6:8" x14ac:dyDescent="0.25">
      <c r="F443" s="4"/>
      <c r="G443" s="4"/>
      <c r="H443" s="4"/>
    </row>
    <row r="444" spans="6:8" x14ac:dyDescent="0.25">
      <c r="F444" s="4"/>
      <c r="G444" s="4"/>
      <c r="H444" s="4"/>
    </row>
    <row r="445" spans="6:8" x14ac:dyDescent="0.25">
      <c r="F445" s="4"/>
      <c r="G445" s="4"/>
      <c r="H445" s="4"/>
    </row>
    <row r="446" spans="6:8" x14ac:dyDescent="0.25">
      <c r="F446" s="4"/>
      <c r="G446" s="4"/>
      <c r="H446" s="4"/>
    </row>
    <row r="447" spans="6:8" x14ac:dyDescent="0.25">
      <c r="F447" s="4"/>
      <c r="G447" s="4"/>
      <c r="H447" s="4"/>
    </row>
    <row r="448" spans="6:8" x14ac:dyDescent="0.25">
      <c r="F448" s="4"/>
      <c r="G448" s="4"/>
      <c r="H448" s="4"/>
    </row>
    <row r="449" spans="6:8" x14ac:dyDescent="0.25">
      <c r="F449" s="4"/>
      <c r="G449" s="4"/>
      <c r="H449" s="4"/>
    </row>
    <row r="450" spans="6:8" x14ac:dyDescent="0.25">
      <c r="F450" s="4"/>
      <c r="G450" s="4"/>
      <c r="H450" s="4"/>
    </row>
    <row r="451" spans="6:8" x14ac:dyDescent="0.25">
      <c r="F451" s="4"/>
      <c r="G451" s="4"/>
      <c r="H451" s="4"/>
    </row>
    <row r="452" spans="6:8" x14ac:dyDescent="0.25">
      <c r="F452" s="4"/>
      <c r="G452" s="4"/>
      <c r="H452" s="4"/>
    </row>
    <row r="453" spans="6:8" x14ac:dyDescent="0.25">
      <c r="F453" s="4"/>
      <c r="G453" s="4"/>
      <c r="H453" s="4"/>
    </row>
    <row r="454" spans="6:8" x14ac:dyDescent="0.25">
      <c r="F454" s="4"/>
      <c r="G454" s="4"/>
      <c r="H454" s="4"/>
    </row>
    <row r="455" spans="6:8" x14ac:dyDescent="0.25">
      <c r="F455" s="4"/>
      <c r="G455" s="4"/>
      <c r="H455" s="4"/>
    </row>
    <row r="456" spans="6:8" x14ac:dyDescent="0.25">
      <c r="F456" s="4"/>
      <c r="G456" s="4"/>
      <c r="H456" s="4"/>
    </row>
    <row r="457" spans="6:8" x14ac:dyDescent="0.25">
      <c r="F457" s="4"/>
      <c r="G457" s="4"/>
      <c r="H457" s="4"/>
    </row>
    <row r="458" spans="6:8" x14ac:dyDescent="0.25">
      <c r="F458" s="4"/>
      <c r="G458" s="4"/>
      <c r="H458" s="4"/>
    </row>
    <row r="459" spans="6:8" x14ac:dyDescent="0.25">
      <c r="F459" s="4"/>
      <c r="G459" s="4"/>
      <c r="H459" s="4"/>
    </row>
    <row r="460" spans="6:8" x14ac:dyDescent="0.25">
      <c r="F460" s="4"/>
      <c r="G460" s="4"/>
      <c r="H460" s="4"/>
    </row>
    <row r="461" spans="6:8" x14ac:dyDescent="0.25">
      <c r="F461" s="4"/>
      <c r="G461" s="4"/>
      <c r="H461" s="4"/>
    </row>
    <row r="462" spans="6:8" x14ac:dyDescent="0.25">
      <c r="F462" s="4"/>
      <c r="G462" s="4"/>
      <c r="H462" s="4"/>
    </row>
    <row r="463" spans="6:8" x14ac:dyDescent="0.25">
      <c r="F463" s="4"/>
      <c r="G463" s="4"/>
      <c r="H463" s="4"/>
    </row>
    <row r="464" spans="6:8" x14ac:dyDescent="0.25">
      <c r="F464" s="4"/>
      <c r="G464" s="4"/>
      <c r="H464" s="4"/>
    </row>
    <row r="465" spans="6:8" x14ac:dyDescent="0.25">
      <c r="F465" s="4"/>
      <c r="G465" s="4"/>
      <c r="H465" s="4"/>
    </row>
    <row r="466" spans="6:8" x14ac:dyDescent="0.25">
      <c r="F466" s="4"/>
      <c r="G466" s="4"/>
      <c r="H466" s="4"/>
    </row>
    <row r="467" spans="6:8" x14ac:dyDescent="0.25">
      <c r="F467" s="4"/>
      <c r="G467" s="4"/>
      <c r="H467" s="4"/>
    </row>
    <row r="468" spans="6:8" x14ac:dyDescent="0.25">
      <c r="F468" s="4"/>
      <c r="G468" s="4"/>
      <c r="H468" s="4"/>
    </row>
    <row r="469" spans="6:8" x14ac:dyDescent="0.25">
      <c r="F469" s="4"/>
      <c r="G469" s="4"/>
      <c r="H469" s="4"/>
    </row>
    <row r="470" spans="6:8" x14ac:dyDescent="0.25">
      <c r="F470" s="4"/>
      <c r="G470" s="4"/>
      <c r="H470" s="4"/>
    </row>
    <row r="471" spans="6:8" x14ac:dyDescent="0.25">
      <c r="F471" s="4"/>
      <c r="G471" s="4"/>
      <c r="H471" s="4"/>
    </row>
    <row r="472" spans="6:8" x14ac:dyDescent="0.25">
      <c r="F472" s="4"/>
      <c r="G472" s="4"/>
      <c r="H472" s="4"/>
    </row>
    <row r="473" spans="6:8" x14ac:dyDescent="0.25">
      <c r="F473" s="4"/>
      <c r="G473" s="4"/>
      <c r="H473" s="4"/>
    </row>
    <row r="474" spans="6:8" x14ac:dyDescent="0.25">
      <c r="F474" s="4"/>
      <c r="G474" s="4"/>
      <c r="H474" s="4"/>
    </row>
    <row r="475" spans="6:8" x14ac:dyDescent="0.25">
      <c r="F475" s="4"/>
      <c r="G475" s="4"/>
      <c r="H475" s="4"/>
    </row>
    <row r="476" spans="6:8" x14ac:dyDescent="0.25">
      <c r="F476" s="4"/>
      <c r="G476" s="4"/>
      <c r="H476" s="4"/>
    </row>
    <row r="477" spans="6:8" x14ac:dyDescent="0.25">
      <c r="F477" s="4"/>
      <c r="G477" s="4"/>
      <c r="H477" s="4"/>
    </row>
    <row r="478" spans="6:8" x14ac:dyDescent="0.25">
      <c r="F478" s="4"/>
      <c r="G478" s="4"/>
      <c r="H478" s="4"/>
    </row>
    <row r="479" spans="6:8" x14ac:dyDescent="0.25">
      <c r="F479" s="4"/>
      <c r="G479" s="4"/>
      <c r="H479" s="4"/>
    </row>
    <row r="480" spans="6:8" x14ac:dyDescent="0.25">
      <c r="F480" s="4"/>
      <c r="G480" s="4"/>
      <c r="H480" s="4"/>
    </row>
    <row r="481" spans="6:8" x14ac:dyDescent="0.25">
      <c r="F481" s="4"/>
      <c r="G481" s="4"/>
      <c r="H481" s="4"/>
    </row>
    <row r="482" spans="6:8" x14ac:dyDescent="0.25">
      <c r="F482" s="4"/>
      <c r="G482" s="4"/>
      <c r="H482" s="4"/>
    </row>
    <row r="483" spans="6:8" x14ac:dyDescent="0.25">
      <c r="F483" s="4"/>
      <c r="G483" s="4"/>
      <c r="H483" s="4"/>
    </row>
    <row r="484" spans="6:8" x14ac:dyDescent="0.25">
      <c r="F484" s="4"/>
      <c r="G484" s="4"/>
      <c r="H484" s="4"/>
    </row>
    <row r="485" spans="6:8" x14ac:dyDescent="0.25">
      <c r="F485" s="4"/>
      <c r="G485" s="4"/>
      <c r="H485" s="4"/>
    </row>
    <row r="486" spans="6:8" x14ac:dyDescent="0.25">
      <c r="F486" s="4"/>
      <c r="G486" s="4"/>
      <c r="H486" s="4"/>
    </row>
    <row r="487" spans="6:8" x14ac:dyDescent="0.25">
      <c r="F487" s="4"/>
      <c r="G487" s="4"/>
      <c r="H487" s="4"/>
    </row>
    <row r="488" spans="6:8" x14ac:dyDescent="0.25">
      <c r="F488" s="4"/>
      <c r="G488" s="4"/>
      <c r="H488" s="4"/>
    </row>
    <row r="489" spans="6:8" x14ac:dyDescent="0.25">
      <c r="F489" s="4"/>
      <c r="G489" s="4"/>
      <c r="H489" s="4"/>
    </row>
    <row r="490" spans="6:8" x14ac:dyDescent="0.25">
      <c r="F490" s="4"/>
      <c r="G490" s="4"/>
      <c r="H490" s="4"/>
    </row>
    <row r="491" spans="6:8" x14ac:dyDescent="0.25">
      <c r="F491" s="4"/>
      <c r="G491" s="4"/>
      <c r="H491" s="4"/>
    </row>
    <row r="492" spans="6:8" x14ac:dyDescent="0.25">
      <c r="F492" s="4"/>
      <c r="G492" s="4"/>
      <c r="H492" s="4"/>
    </row>
    <row r="493" spans="6:8" x14ac:dyDescent="0.25">
      <c r="F493" s="4"/>
      <c r="G493" s="4"/>
      <c r="H493" s="4"/>
    </row>
    <row r="494" spans="6:8" x14ac:dyDescent="0.25">
      <c r="F494" s="4"/>
      <c r="G494" s="4"/>
      <c r="H494" s="4"/>
    </row>
    <row r="495" spans="6:8" x14ac:dyDescent="0.25">
      <c r="F495" s="4"/>
      <c r="G495" s="4"/>
      <c r="H495" s="4"/>
    </row>
    <row r="496" spans="6:8" x14ac:dyDescent="0.25">
      <c r="F496" s="4"/>
      <c r="G496" s="4"/>
      <c r="H496" s="4"/>
    </row>
    <row r="497" spans="6:8" x14ac:dyDescent="0.25">
      <c r="F497" s="4"/>
      <c r="G497" s="4"/>
      <c r="H497" s="4"/>
    </row>
    <row r="498" spans="6:8" x14ac:dyDescent="0.25">
      <c r="F498" s="4"/>
      <c r="G498" s="4"/>
      <c r="H498" s="4"/>
    </row>
    <row r="499" spans="6:8" x14ac:dyDescent="0.25">
      <c r="F499" s="4"/>
      <c r="G499" s="4"/>
      <c r="H499" s="4"/>
    </row>
    <row r="500" spans="6:8" x14ac:dyDescent="0.25">
      <c r="F500" s="4"/>
      <c r="G500" s="4"/>
      <c r="H500" s="4"/>
    </row>
    <row r="501" spans="6:8" x14ac:dyDescent="0.25">
      <c r="F501" s="4"/>
      <c r="G501" s="4"/>
      <c r="H501" s="4"/>
    </row>
    <row r="502" spans="6:8" x14ac:dyDescent="0.25">
      <c r="F502" s="4"/>
      <c r="G502" s="4"/>
      <c r="H502" s="4"/>
    </row>
    <row r="503" spans="6:8" x14ac:dyDescent="0.25">
      <c r="F503" s="4"/>
      <c r="G503" s="4"/>
      <c r="H503" s="4"/>
    </row>
    <row r="504" spans="6:8" x14ac:dyDescent="0.25">
      <c r="F504" s="4"/>
      <c r="G504" s="4"/>
      <c r="H504" s="4"/>
    </row>
    <row r="505" spans="6:8" x14ac:dyDescent="0.25">
      <c r="F505" s="4"/>
      <c r="G505" s="4"/>
      <c r="H505" s="4"/>
    </row>
    <row r="506" spans="6:8" x14ac:dyDescent="0.25">
      <c r="F506" s="4"/>
      <c r="G506" s="4"/>
      <c r="H506" s="4"/>
    </row>
    <row r="507" spans="6:8" x14ac:dyDescent="0.25">
      <c r="F507" s="4"/>
      <c r="G507" s="4"/>
      <c r="H507" s="4"/>
    </row>
    <row r="508" spans="6:8" x14ac:dyDescent="0.25">
      <c r="F508" s="4"/>
      <c r="G508" s="4"/>
      <c r="H508" s="4"/>
    </row>
    <row r="509" spans="6:8" x14ac:dyDescent="0.25">
      <c r="F509" s="4"/>
      <c r="G509" s="4"/>
      <c r="H509" s="4"/>
    </row>
    <row r="510" spans="6:8" x14ac:dyDescent="0.25">
      <c r="F510" s="4"/>
      <c r="G510" s="4"/>
      <c r="H510" s="4"/>
    </row>
    <row r="511" spans="6:8" x14ac:dyDescent="0.25">
      <c r="F511" s="4"/>
      <c r="G511" s="4"/>
      <c r="H511" s="4"/>
    </row>
  </sheetData>
  <mergeCells count="35">
    <mergeCell ref="A165:D165"/>
    <mergeCell ref="A274:D274"/>
    <mergeCell ref="A263:D263"/>
    <mergeCell ref="A202:D202"/>
    <mergeCell ref="B317:D317"/>
    <mergeCell ref="A192:D192"/>
    <mergeCell ref="A230:D230"/>
    <mergeCell ref="A221:D221"/>
    <mergeCell ref="A255:D255"/>
    <mergeCell ref="A243:D243"/>
    <mergeCell ref="A234:D234"/>
    <mergeCell ref="A214:D214"/>
    <mergeCell ref="B310:D310"/>
    <mergeCell ref="A290:D290"/>
    <mergeCell ref="A8:E8"/>
    <mergeCell ref="A18:D18"/>
    <mergeCell ref="A28:D28"/>
    <mergeCell ref="A36:D36"/>
    <mergeCell ref="A43:D43"/>
    <mergeCell ref="A341:D341"/>
    <mergeCell ref="A334:D334"/>
    <mergeCell ref="A54:D54"/>
    <mergeCell ref="A84:D84"/>
    <mergeCell ref="A78:D78"/>
    <mergeCell ref="A74:D74"/>
    <mergeCell ref="A59:D59"/>
    <mergeCell ref="A143:D143"/>
    <mergeCell ref="A134:D134"/>
    <mergeCell ref="A116:D116"/>
    <mergeCell ref="A104:D104"/>
    <mergeCell ref="A322:D322"/>
    <mergeCell ref="A186:D186"/>
    <mergeCell ref="A91:D91"/>
    <mergeCell ref="A179:D179"/>
    <mergeCell ref="A170:D17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28"/>
  <sheetViews>
    <sheetView topLeftCell="I309" workbookViewId="0">
      <selection activeCell="N333" sqref="N333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16.85546875" bestFit="1" customWidth="1"/>
    <col min="4" max="4" width="14.28515625" bestFit="1" customWidth="1"/>
    <col min="5" max="5" width="7" bestFit="1" customWidth="1"/>
    <col min="6" max="6" width="10.5703125" bestFit="1" customWidth="1"/>
    <col min="7" max="7" width="9" bestFit="1" customWidth="1"/>
    <col min="8" max="8" width="10.5703125" bestFit="1" customWidth="1"/>
  </cols>
  <sheetData>
    <row r="1" spans="1: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s="29" t="s">
        <v>18</v>
      </c>
      <c r="B2" s="37">
        <v>44573</v>
      </c>
      <c r="C2" s="29" t="s">
        <v>288</v>
      </c>
      <c r="D2" s="29" t="s">
        <v>11</v>
      </c>
      <c r="E2" s="42">
        <f>50-9</f>
        <v>41</v>
      </c>
      <c r="F2" s="42">
        <f>E2*1800</f>
        <v>73800</v>
      </c>
      <c r="G2" s="42">
        <f>E2*500</f>
        <v>20500</v>
      </c>
      <c r="H2" s="42">
        <f>E2*1300</f>
        <v>53300</v>
      </c>
    </row>
    <row r="3" spans="1:8" x14ac:dyDescent="0.25">
      <c r="A3" s="29"/>
      <c r="B3" s="29"/>
      <c r="C3" s="29" t="s">
        <v>106</v>
      </c>
      <c r="D3" s="29" t="s">
        <v>11</v>
      </c>
      <c r="E3" s="42">
        <v>22</v>
      </c>
      <c r="F3" s="42">
        <f>E3*1500</f>
        <v>33000</v>
      </c>
      <c r="G3" s="42">
        <f>E3*500</f>
        <v>11000</v>
      </c>
      <c r="H3" s="42">
        <f>E3*1000</f>
        <v>22000</v>
      </c>
    </row>
    <row r="4" spans="1:8" x14ac:dyDescent="0.25">
      <c r="A4" s="29"/>
      <c r="B4" s="29"/>
      <c r="C4" s="29" t="s">
        <v>292</v>
      </c>
      <c r="D4" s="29" t="s">
        <v>11</v>
      </c>
      <c r="E4" s="42">
        <v>30</v>
      </c>
      <c r="F4" s="42">
        <f>E4*1500</f>
        <v>45000</v>
      </c>
      <c r="G4" s="42">
        <f>E4*500</f>
        <v>15000</v>
      </c>
      <c r="H4" s="42">
        <f>E4*1000</f>
        <v>30000</v>
      </c>
    </row>
    <row r="5" spans="1:8" x14ac:dyDescent="0.25">
      <c r="A5" s="29"/>
      <c r="B5" s="29"/>
      <c r="C5" s="29" t="s">
        <v>16</v>
      </c>
      <c r="D5" s="29" t="s">
        <v>11</v>
      </c>
      <c r="E5" s="42">
        <v>28</v>
      </c>
      <c r="F5" s="42">
        <f>E5*1500</f>
        <v>42000</v>
      </c>
      <c r="G5" s="42">
        <f>E5*500</f>
        <v>14000</v>
      </c>
      <c r="H5" s="42">
        <v>28000</v>
      </c>
    </row>
    <row r="6" spans="1:8" x14ac:dyDescent="0.25">
      <c r="A6" s="29"/>
      <c r="B6" s="29"/>
      <c r="C6" s="29"/>
      <c r="D6" s="29" t="s">
        <v>14</v>
      </c>
      <c r="E6" s="42">
        <v>1</v>
      </c>
      <c r="F6" s="42">
        <v>10000</v>
      </c>
      <c r="G6" s="42">
        <v>5500</v>
      </c>
      <c r="H6" s="42">
        <v>4500</v>
      </c>
    </row>
    <row r="7" spans="1:8" x14ac:dyDescent="0.25">
      <c r="A7" s="29"/>
      <c r="B7" s="29"/>
      <c r="C7" s="29" t="s">
        <v>10</v>
      </c>
      <c r="D7" s="29" t="s">
        <v>11</v>
      </c>
      <c r="E7" s="42">
        <v>130</v>
      </c>
      <c r="F7" s="42">
        <f>E7*1500</f>
        <v>195000</v>
      </c>
      <c r="G7" s="42">
        <f>E7*500</f>
        <v>65000</v>
      </c>
      <c r="H7" s="42">
        <v>130000</v>
      </c>
    </row>
    <row r="8" spans="1:8" x14ac:dyDescent="0.25">
      <c r="A8" s="29"/>
      <c r="B8" s="29"/>
      <c r="C8" s="29"/>
      <c r="D8" s="29" t="s">
        <v>13</v>
      </c>
      <c r="E8" s="42">
        <v>16</v>
      </c>
      <c r="F8" s="42">
        <f>E8*6500</f>
        <v>104000</v>
      </c>
      <c r="G8" s="42">
        <f>E8*4500</f>
        <v>72000</v>
      </c>
      <c r="H8" s="42">
        <f>E8*2000</f>
        <v>32000</v>
      </c>
    </row>
    <row r="9" spans="1:8" x14ac:dyDescent="0.25">
      <c r="A9" s="29"/>
      <c r="B9" s="29"/>
      <c r="C9" s="29"/>
      <c r="D9" s="29" t="s">
        <v>14</v>
      </c>
      <c r="E9" s="42">
        <v>18</v>
      </c>
      <c r="F9" s="42">
        <f>E9*8000</f>
        <v>144000</v>
      </c>
      <c r="G9" s="42">
        <f>E9*5500</f>
        <v>99000</v>
      </c>
      <c r="H9" s="42">
        <f>E9*2500</f>
        <v>45000</v>
      </c>
    </row>
    <row r="10" spans="1:8" x14ac:dyDescent="0.25">
      <c r="A10" s="126" t="s">
        <v>17</v>
      </c>
      <c r="B10" s="126"/>
      <c r="C10" s="126"/>
      <c r="D10" s="126"/>
      <c r="E10" s="43">
        <f>SUM(E2:E9)</f>
        <v>286</v>
      </c>
      <c r="F10" s="43">
        <f>SUM(F2:F9)</f>
        <v>646800</v>
      </c>
      <c r="G10" s="43">
        <f>SUM(G2:G9)</f>
        <v>302000</v>
      </c>
      <c r="H10" s="43">
        <f>SUM(H2:H9)</f>
        <v>344800</v>
      </c>
    </row>
    <row r="11" spans="1:8" x14ac:dyDescent="0.25">
      <c r="A11" s="29" t="s">
        <v>22</v>
      </c>
      <c r="B11" s="37">
        <v>44604</v>
      </c>
      <c r="C11" s="29" t="s">
        <v>288</v>
      </c>
      <c r="D11" s="29" t="s">
        <v>11</v>
      </c>
      <c r="E11" s="38">
        <f>59-19</f>
        <v>40</v>
      </c>
      <c r="F11" s="38">
        <f>E11*1800</f>
        <v>72000</v>
      </c>
      <c r="G11" s="38">
        <f>E11*500</f>
        <v>20000</v>
      </c>
      <c r="H11" s="38">
        <f>E11*1300</f>
        <v>52000</v>
      </c>
    </row>
    <row r="12" spans="1:8" x14ac:dyDescent="0.25">
      <c r="A12" s="29"/>
      <c r="B12" s="29"/>
      <c r="C12" s="29" t="s">
        <v>106</v>
      </c>
      <c r="D12" s="29" t="s">
        <v>11</v>
      </c>
      <c r="E12" s="42">
        <v>20</v>
      </c>
      <c r="F12" s="38">
        <f>E12*1500</f>
        <v>30000</v>
      </c>
      <c r="G12" s="38">
        <f>E12*500</f>
        <v>10000</v>
      </c>
      <c r="H12" s="38">
        <v>20000</v>
      </c>
    </row>
    <row r="13" spans="1:8" x14ac:dyDescent="0.25">
      <c r="A13" s="29"/>
      <c r="B13" s="29"/>
      <c r="C13" s="29" t="s">
        <v>10</v>
      </c>
      <c r="D13" s="29" t="s">
        <v>11</v>
      </c>
      <c r="E13" s="42">
        <v>75</v>
      </c>
      <c r="F13" s="38">
        <f>E13*1500</f>
        <v>112500</v>
      </c>
      <c r="G13" s="38">
        <f>E13*500</f>
        <v>37500</v>
      </c>
      <c r="H13" s="38">
        <v>75000</v>
      </c>
    </row>
    <row r="14" spans="1:8" x14ac:dyDescent="0.25">
      <c r="A14" s="29"/>
      <c r="B14" s="29"/>
      <c r="C14" s="29"/>
      <c r="D14" s="29" t="s">
        <v>13</v>
      </c>
      <c r="E14" s="42">
        <v>8</v>
      </c>
      <c r="F14" s="38">
        <f>E14*6500</f>
        <v>52000</v>
      </c>
      <c r="G14" s="38">
        <f>E14*4500</f>
        <v>36000</v>
      </c>
      <c r="H14" s="38">
        <f>E14*2000</f>
        <v>16000</v>
      </c>
    </row>
    <row r="15" spans="1:8" x14ac:dyDescent="0.25">
      <c r="A15" s="29"/>
      <c r="B15" s="29"/>
      <c r="C15" s="29"/>
      <c r="D15" s="29" t="s">
        <v>14</v>
      </c>
      <c r="E15" s="42">
        <v>4</v>
      </c>
      <c r="F15" s="38">
        <f>E15*8000</f>
        <v>32000</v>
      </c>
      <c r="G15" s="38">
        <f>E15*5500</f>
        <v>22000</v>
      </c>
      <c r="H15" s="38">
        <f>E15*2500</f>
        <v>10000</v>
      </c>
    </row>
    <row r="16" spans="1:8" x14ac:dyDescent="0.25">
      <c r="A16" s="29"/>
      <c r="B16" s="29"/>
      <c r="C16" s="29" t="s">
        <v>16</v>
      </c>
      <c r="D16" s="29" t="s">
        <v>11</v>
      </c>
      <c r="E16" s="42">
        <v>110</v>
      </c>
      <c r="F16" s="38">
        <f>E16*1500</f>
        <v>165000</v>
      </c>
      <c r="G16" s="38">
        <f>E16*500</f>
        <v>55000</v>
      </c>
      <c r="H16" s="38">
        <f>E16*1000</f>
        <v>110000</v>
      </c>
    </row>
    <row r="17" spans="1:8" x14ac:dyDescent="0.25">
      <c r="A17" s="29"/>
      <c r="B17" s="29"/>
      <c r="C17" s="29"/>
      <c r="D17" s="29" t="s">
        <v>12</v>
      </c>
      <c r="E17" s="42">
        <v>7</v>
      </c>
      <c r="F17" s="38">
        <f>E17*3000</f>
        <v>21000</v>
      </c>
      <c r="G17" s="38">
        <f>E17*2000</f>
        <v>14000</v>
      </c>
      <c r="H17" s="38">
        <v>7000</v>
      </c>
    </row>
    <row r="18" spans="1:8" x14ac:dyDescent="0.25">
      <c r="A18" s="29"/>
      <c r="B18" s="29"/>
      <c r="C18" s="29"/>
      <c r="D18" s="29" t="s">
        <v>13</v>
      </c>
      <c r="E18" s="42">
        <v>2</v>
      </c>
      <c r="F18" s="38">
        <f>E18*6500</f>
        <v>13000</v>
      </c>
      <c r="G18" s="38">
        <f>E18*4500</f>
        <v>9000</v>
      </c>
      <c r="H18" s="38">
        <f>E18*2000</f>
        <v>4000</v>
      </c>
    </row>
    <row r="19" spans="1:8" x14ac:dyDescent="0.25">
      <c r="A19" s="29"/>
      <c r="B19" s="29"/>
      <c r="C19" s="29"/>
      <c r="D19" s="29" t="s">
        <v>14</v>
      </c>
      <c r="E19" s="42">
        <v>2</v>
      </c>
      <c r="F19" s="38">
        <f>E19*10000</f>
        <v>20000</v>
      </c>
      <c r="G19" s="38">
        <f>E19*5500</f>
        <v>11000</v>
      </c>
      <c r="H19" s="38">
        <f>E19*4500</f>
        <v>9000</v>
      </c>
    </row>
    <row r="20" spans="1:8" x14ac:dyDescent="0.25">
      <c r="A20" s="29"/>
      <c r="B20" s="29"/>
      <c r="C20" s="29"/>
      <c r="D20" s="29" t="s">
        <v>243</v>
      </c>
      <c r="E20" s="42">
        <v>1</v>
      </c>
      <c r="F20" s="38">
        <v>13000</v>
      </c>
      <c r="G20" s="38">
        <v>10000</v>
      </c>
      <c r="H20" s="38">
        <v>3000</v>
      </c>
    </row>
    <row r="21" spans="1:8" x14ac:dyDescent="0.25">
      <c r="A21" s="29"/>
      <c r="B21" s="29"/>
      <c r="C21" s="29" t="s">
        <v>373</v>
      </c>
      <c r="D21" s="29" t="s">
        <v>243</v>
      </c>
      <c r="E21" s="38">
        <v>2</v>
      </c>
      <c r="F21" s="38">
        <f>E21*13000</f>
        <v>26000</v>
      </c>
      <c r="G21" s="38">
        <f>E21*10000</f>
        <v>20000</v>
      </c>
      <c r="H21" s="38">
        <f>E21*3000</f>
        <v>6000</v>
      </c>
    </row>
    <row r="22" spans="1:8" x14ac:dyDescent="0.25">
      <c r="A22" s="126" t="s">
        <v>17</v>
      </c>
      <c r="B22" s="126"/>
      <c r="C22" s="126"/>
      <c r="D22" s="126"/>
      <c r="E22" s="17">
        <f>SUM(E11:E21)</f>
        <v>271</v>
      </c>
      <c r="F22" s="17">
        <f>SUM(F11:F21)</f>
        <v>556500</v>
      </c>
      <c r="G22" s="17">
        <f>SUM(G11:G21)</f>
        <v>244500</v>
      </c>
      <c r="H22" s="17">
        <f>SUM(H11:H21)</f>
        <v>312000</v>
      </c>
    </row>
    <row r="23" spans="1:8" x14ac:dyDescent="0.25">
      <c r="A23" s="29" t="s">
        <v>26</v>
      </c>
      <c r="B23" s="37">
        <v>44632</v>
      </c>
      <c r="C23" s="29" t="s">
        <v>288</v>
      </c>
      <c r="D23" s="29" t="s">
        <v>11</v>
      </c>
      <c r="E23" s="38">
        <v>41</v>
      </c>
      <c r="F23" s="38">
        <f>E23*1500</f>
        <v>61500</v>
      </c>
      <c r="G23" s="38">
        <f>E23*500</f>
        <v>20500</v>
      </c>
      <c r="H23" s="38">
        <v>41000</v>
      </c>
    </row>
    <row r="24" spans="1:8" x14ac:dyDescent="0.25">
      <c r="A24" s="29"/>
      <c r="B24" s="29"/>
      <c r="C24" s="29" t="s">
        <v>106</v>
      </c>
      <c r="D24" s="29" t="s">
        <v>11</v>
      </c>
      <c r="E24" s="29">
        <v>20</v>
      </c>
      <c r="F24" s="38">
        <f>E24*1500</f>
        <v>30000</v>
      </c>
      <c r="G24" s="38">
        <f>E24*500</f>
        <v>10000</v>
      </c>
      <c r="H24" s="38">
        <v>20000</v>
      </c>
    </row>
    <row r="25" spans="1:8" x14ac:dyDescent="0.25">
      <c r="A25" s="29"/>
      <c r="B25" s="29"/>
      <c r="C25" s="29" t="s">
        <v>81</v>
      </c>
      <c r="D25" s="29" t="s">
        <v>11</v>
      </c>
      <c r="E25" s="29">
        <v>59</v>
      </c>
      <c r="F25" s="38">
        <f>E25*1800</f>
        <v>106200</v>
      </c>
      <c r="G25" s="38">
        <f>E25*500</f>
        <v>29500</v>
      </c>
      <c r="H25" s="38">
        <f>E25*1300</f>
        <v>76700</v>
      </c>
    </row>
    <row r="26" spans="1:8" x14ac:dyDescent="0.25">
      <c r="A26" s="29"/>
      <c r="B26" s="29"/>
      <c r="C26" s="29"/>
      <c r="D26" s="29"/>
      <c r="E26" s="29">
        <v>75</v>
      </c>
      <c r="F26" s="38">
        <f>E26*1800</f>
        <v>135000</v>
      </c>
      <c r="G26" s="38">
        <f t="shared" ref="G26:G35" si="0">E26*500</f>
        <v>37500</v>
      </c>
      <c r="H26" s="38">
        <f>E26*1300</f>
        <v>97500</v>
      </c>
    </row>
    <row r="27" spans="1:8" x14ac:dyDescent="0.25">
      <c r="A27" s="29"/>
      <c r="B27" s="29"/>
      <c r="C27" s="29"/>
      <c r="D27" s="29"/>
      <c r="E27" s="29">
        <v>75</v>
      </c>
      <c r="F27" s="38">
        <f>E27*1800</f>
        <v>135000</v>
      </c>
      <c r="G27" s="38">
        <f t="shared" si="0"/>
        <v>37500</v>
      </c>
      <c r="H27" s="38">
        <f>E27*1300</f>
        <v>97500</v>
      </c>
    </row>
    <row r="28" spans="1:8" x14ac:dyDescent="0.25">
      <c r="A28" s="29"/>
      <c r="B28" s="29"/>
      <c r="C28" s="29"/>
      <c r="D28" s="29"/>
      <c r="E28" s="29">
        <v>75</v>
      </c>
      <c r="F28" s="38">
        <f>E28*1800</f>
        <v>135000</v>
      </c>
      <c r="G28" s="38">
        <f t="shared" si="0"/>
        <v>37500</v>
      </c>
      <c r="H28" s="38">
        <f>E28*1300</f>
        <v>97500</v>
      </c>
    </row>
    <row r="29" spans="1:8" x14ac:dyDescent="0.25">
      <c r="A29" s="29"/>
      <c r="B29" s="29"/>
      <c r="C29" s="29" t="s">
        <v>376</v>
      </c>
      <c r="D29" s="29" t="s">
        <v>11</v>
      </c>
      <c r="E29" s="29">
        <v>96</v>
      </c>
      <c r="F29" s="38">
        <f t="shared" ref="F29:F35" si="1">E29*1500</f>
        <v>144000</v>
      </c>
      <c r="G29" s="38">
        <f t="shared" si="0"/>
        <v>48000</v>
      </c>
      <c r="H29" s="38">
        <f t="shared" ref="H29:H35" si="2">E29*1000</f>
        <v>96000</v>
      </c>
    </row>
    <row r="30" spans="1:8" x14ac:dyDescent="0.25">
      <c r="A30" s="29"/>
      <c r="B30" s="29"/>
      <c r="C30" s="29"/>
      <c r="D30" s="29"/>
      <c r="E30" s="29">
        <v>100</v>
      </c>
      <c r="F30" s="38">
        <f t="shared" si="1"/>
        <v>150000</v>
      </c>
      <c r="G30" s="38">
        <f t="shared" si="0"/>
        <v>50000</v>
      </c>
      <c r="H30" s="38">
        <f t="shared" si="2"/>
        <v>100000</v>
      </c>
    </row>
    <row r="31" spans="1:8" x14ac:dyDescent="0.25">
      <c r="A31" s="29"/>
      <c r="B31" s="29"/>
      <c r="C31" s="29"/>
      <c r="D31" s="29"/>
      <c r="E31" s="29">
        <v>75</v>
      </c>
      <c r="F31" s="38">
        <f t="shared" si="1"/>
        <v>112500</v>
      </c>
      <c r="G31" s="38">
        <f t="shared" si="0"/>
        <v>37500</v>
      </c>
      <c r="H31" s="38">
        <f t="shared" si="2"/>
        <v>75000</v>
      </c>
    </row>
    <row r="32" spans="1:8" x14ac:dyDescent="0.25">
      <c r="A32" s="29"/>
      <c r="B32" s="29"/>
      <c r="C32" s="29"/>
      <c r="D32" s="29"/>
      <c r="E32" s="29">
        <v>92</v>
      </c>
      <c r="F32" s="38">
        <f t="shared" si="1"/>
        <v>138000</v>
      </c>
      <c r="G32" s="38">
        <f t="shared" si="0"/>
        <v>46000</v>
      </c>
      <c r="H32" s="38">
        <f t="shared" si="2"/>
        <v>92000</v>
      </c>
    </row>
    <row r="33" spans="1:8" x14ac:dyDescent="0.25">
      <c r="A33" s="29"/>
      <c r="B33" s="29"/>
      <c r="C33" s="29"/>
      <c r="D33" s="29"/>
      <c r="E33" s="29">
        <v>100</v>
      </c>
      <c r="F33" s="38">
        <f t="shared" si="1"/>
        <v>150000</v>
      </c>
      <c r="G33" s="38">
        <f t="shared" si="0"/>
        <v>50000</v>
      </c>
      <c r="H33" s="38">
        <f t="shared" si="2"/>
        <v>100000</v>
      </c>
    </row>
    <row r="34" spans="1:8" x14ac:dyDescent="0.25">
      <c r="A34" s="29"/>
      <c r="B34" s="29"/>
      <c r="C34" s="29"/>
      <c r="D34" s="29"/>
      <c r="E34" s="29">
        <v>83</v>
      </c>
      <c r="F34" s="38">
        <f t="shared" si="1"/>
        <v>124500</v>
      </c>
      <c r="G34" s="38">
        <f t="shared" si="0"/>
        <v>41500</v>
      </c>
      <c r="H34" s="38">
        <f t="shared" si="2"/>
        <v>83000</v>
      </c>
    </row>
    <row r="35" spans="1:8" x14ac:dyDescent="0.25">
      <c r="A35" s="29"/>
      <c r="B35" s="29"/>
      <c r="C35" s="29" t="s">
        <v>10</v>
      </c>
      <c r="D35" s="29" t="s">
        <v>11</v>
      </c>
      <c r="E35" s="29">
        <v>50</v>
      </c>
      <c r="F35" s="38">
        <f t="shared" si="1"/>
        <v>75000</v>
      </c>
      <c r="G35" s="38">
        <f t="shared" si="0"/>
        <v>25000</v>
      </c>
      <c r="H35" s="38">
        <f t="shared" si="2"/>
        <v>50000</v>
      </c>
    </row>
    <row r="36" spans="1:8" x14ac:dyDescent="0.25">
      <c r="A36" s="29"/>
      <c r="B36" s="29"/>
      <c r="C36" s="29"/>
      <c r="D36" s="29" t="s">
        <v>13</v>
      </c>
      <c r="E36" s="29">
        <v>19</v>
      </c>
      <c r="F36" s="38">
        <f>E36*6500</f>
        <v>123500</v>
      </c>
      <c r="G36" s="38">
        <f>E36*4500</f>
        <v>85500</v>
      </c>
      <c r="H36" s="38">
        <f>E36*2000</f>
        <v>38000</v>
      </c>
    </row>
    <row r="37" spans="1:8" x14ac:dyDescent="0.25">
      <c r="A37" s="29"/>
      <c r="B37" s="29"/>
      <c r="C37" s="29"/>
      <c r="D37" s="29" t="s">
        <v>14</v>
      </c>
      <c r="E37" s="29">
        <v>19</v>
      </c>
      <c r="F37" s="38">
        <f>E37*8000</f>
        <v>152000</v>
      </c>
      <c r="G37" s="38">
        <f>E37*5500</f>
        <v>104500</v>
      </c>
      <c r="H37" s="38">
        <f>E37*2500</f>
        <v>47500</v>
      </c>
    </row>
    <row r="38" spans="1:8" x14ac:dyDescent="0.25">
      <c r="A38" s="125" t="s">
        <v>17</v>
      </c>
      <c r="B38" s="125"/>
      <c r="C38" s="125"/>
      <c r="D38" s="125"/>
      <c r="E38" s="17">
        <f>SUM(E23:E37)</f>
        <v>979</v>
      </c>
      <c r="F38" s="17">
        <f>SUM(F23:F37)</f>
        <v>1772200</v>
      </c>
      <c r="G38" s="17">
        <f>SUM(G23:G37)</f>
        <v>660500</v>
      </c>
      <c r="H38" s="17">
        <f>SUM(H23:H37)</f>
        <v>1111700</v>
      </c>
    </row>
    <row r="39" spans="1:8" x14ac:dyDescent="0.25">
      <c r="A39" s="29" t="s">
        <v>28</v>
      </c>
      <c r="B39" s="37">
        <v>44663</v>
      </c>
      <c r="C39" s="29" t="s">
        <v>10</v>
      </c>
      <c r="D39" s="29" t="s">
        <v>11</v>
      </c>
      <c r="E39" s="29">
        <v>22</v>
      </c>
      <c r="F39" s="38">
        <f>E39*1500</f>
        <v>33000</v>
      </c>
      <c r="G39" s="38">
        <f>E39*500</f>
        <v>11000</v>
      </c>
      <c r="H39" s="38">
        <v>22000</v>
      </c>
    </row>
    <row r="40" spans="1:8" x14ac:dyDescent="0.25">
      <c r="A40" s="29"/>
      <c r="B40" s="29"/>
      <c r="C40" s="29"/>
      <c r="D40" s="29" t="s">
        <v>13</v>
      </c>
      <c r="E40" s="29">
        <v>23</v>
      </c>
      <c r="F40" s="38">
        <f>E40*6500</f>
        <v>149500</v>
      </c>
      <c r="G40" s="38">
        <f>E40*4500</f>
        <v>103500</v>
      </c>
      <c r="H40" s="38">
        <f>E40*2000</f>
        <v>46000</v>
      </c>
    </row>
    <row r="41" spans="1:8" x14ac:dyDescent="0.25">
      <c r="A41" s="29"/>
      <c r="B41" s="29"/>
      <c r="C41" s="29"/>
      <c r="D41" s="29" t="s">
        <v>14</v>
      </c>
      <c r="E41" s="29">
        <v>25</v>
      </c>
      <c r="F41" s="38">
        <f>E41*8000</f>
        <v>200000</v>
      </c>
      <c r="G41" s="38">
        <f>E41*5500</f>
        <v>137500</v>
      </c>
      <c r="H41" s="38">
        <f>E41*2500</f>
        <v>62500</v>
      </c>
    </row>
    <row r="42" spans="1:8" x14ac:dyDescent="0.25">
      <c r="A42" s="29"/>
      <c r="B42" s="29"/>
      <c r="C42" s="29" t="s">
        <v>217</v>
      </c>
      <c r="D42" s="29" t="s">
        <v>11</v>
      </c>
      <c r="E42" s="29">
        <v>114</v>
      </c>
      <c r="F42" s="38">
        <f>E42*1500</f>
        <v>171000</v>
      </c>
      <c r="G42" s="38">
        <f>E42*500</f>
        <v>57000</v>
      </c>
      <c r="H42" s="38">
        <v>114000</v>
      </c>
    </row>
    <row r="43" spans="1:8" x14ac:dyDescent="0.25">
      <c r="A43" s="29"/>
      <c r="B43" s="29"/>
      <c r="C43" s="29"/>
      <c r="D43" s="29" t="s">
        <v>13</v>
      </c>
      <c r="E43" s="29">
        <v>23</v>
      </c>
      <c r="F43" s="38">
        <f>E43*6500</f>
        <v>149500</v>
      </c>
      <c r="G43" s="38">
        <f>E43*4500</f>
        <v>103500</v>
      </c>
      <c r="H43" s="38">
        <f>E43*2000</f>
        <v>46000</v>
      </c>
    </row>
    <row r="44" spans="1:8" x14ac:dyDescent="0.25">
      <c r="A44" s="29"/>
      <c r="B44" s="29"/>
      <c r="C44" s="29"/>
      <c r="D44" s="29" t="s">
        <v>14</v>
      </c>
      <c r="E44" s="29">
        <v>11</v>
      </c>
      <c r="F44" s="38">
        <f>E44*8000</f>
        <v>88000</v>
      </c>
      <c r="G44" s="38">
        <f>E44*5500</f>
        <v>60500</v>
      </c>
      <c r="H44" s="38">
        <f>E44*2500</f>
        <v>27500</v>
      </c>
    </row>
    <row r="45" spans="1:8" x14ac:dyDescent="0.25">
      <c r="A45" s="29"/>
      <c r="B45" s="29"/>
      <c r="C45" s="29" t="s">
        <v>401</v>
      </c>
      <c r="D45" s="29" t="s">
        <v>243</v>
      </c>
      <c r="E45" s="29">
        <v>3</v>
      </c>
      <c r="F45" s="38">
        <f>E45*13000</f>
        <v>39000</v>
      </c>
      <c r="G45" s="38">
        <f>E45*10000</f>
        <v>30000</v>
      </c>
      <c r="H45" s="38">
        <f>E45*3000</f>
        <v>9000</v>
      </c>
    </row>
    <row r="46" spans="1:8" x14ac:dyDescent="0.25">
      <c r="A46" s="125" t="s">
        <v>17</v>
      </c>
      <c r="B46" s="125"/>
      <c r="C46" s="125"/>
      <c r="D46" s="125"/>
      <c r="E46" s="17">
        <f>SUM(E39:E45)</f>
        <v>221</v>
      </c>
      <c r="F46" s="17">
        <f>SUM(F39:F45)</f>
        <v>830000</v>
      </c>
      <c r="G46" s="17">
        <f>SUM(G39:G45)</f>
        <v>503000</v>
      </c>
      <c r="H46" s="17">
        <f>SUM(H39:H45)</f>
        <v>327000</v>
      </c>
    </row>
    <row r="47" spans="1:8" x14ac:dyDescent="0.25">
      <c r="A47" s="29"/>
      <c r="B47" s="29"/>
      <c r="C47" s="29" t="s">
        <v>16</v>
      </c>
      <c r="D47" s="29" t="s">
        <v>11</v>
      </c>
      <c r="E47" s="29">
        <v>80</v>
      </c>
      <c r="F47" s="38">
        <f>E47*1500</f>
        <v>120000</v>
      </c>
      <c r="G47" s="38">
        <f>E47*500</f>
        <v>40000</v>
      </c>
      <c r="H47" s="38">
        <v>80000</v>
      </c>
    </row>
    <row r="48" spans="1:8" x14ac:dyDescent="0.25">
      <c r="A48" s="29"/>
      <c r="B48" s="29"/>
      <c r="C48" s="29"/>
      <c r="D48" s="29" t="s">
        <v>12</v>
      </c>
      <c r="E48" s="29">
        <v>6</v>
      </c>
      <c r="F48" s="38">
        <f>E48*3000</f>
        <v>18000</v>
      </c>
      <c r="G48" s="38">
        <f>E48*2000</f>
        <v>12000</v>
      </c>
      <c r="H48" s="38">
        <v>6000</v>
      </c>
    </row>
    <row r="49" spans="1:8" x14ac:dyDescent="0.25">
      <c r="A49" s="29"/>
      <c r="B49" s="29"/>
      <c r="C49" s="29" t="s">
        <v>10</v>
      </c>
      <c r="D49" s="29" t="s">
        <v>13</v>
      </c>
      <c r="E49" s="29">
        <v>1</v>
      </c>
      <c r="F49" s="38">
        <v>6500</v>
      </c>
      <c r="G49" s="38">
        <v>4500</v>
      </c>
      <c r="H49" s="38">
        <v>2000</v>
      </c>
    </row>
    <row r="50" spans="1:8" x14ac:dyDescent="0.25">
      <c r="A50" s="29"/>
      <c r="B50" s="29"/>
      <c r="C50" s="29"/>
      <c r="D50" s="29" t="s">
        <v>14</v>
      </c>
      <c r="E50" s="29">
        <v>2</v>
      </c>
      <c r="F50" s="38">
        <f>E50*8000</f>
        <v>16000</v>
      </c>
      <c r="G50" s="38">
        <f>E50*5500</f>
        <v>11000</v>
      </c>
      <c r="H50" s="38">
        <f>E50*2500</f>
        <v>5000</v>
      </c>
    </row>
    <row r="51" spans="1:8" x14ac:dyDescent="0.25">
      <c r="A51" s="29"/>
      <c r="B51" s="29"/>
      <c r="C51" s="29"/>
      <c r="D51" s="29" t="s">
        <v>243</v>
      </c>
      <c r="E51" s="29">
        <v>1</v>
      </c>
      <c r="F51" s="38">
        <v>13000</v>
      </c>
      <c r="G51" s="38">
        <v>10000</v>
      </c>
      <c r="H51" s="38">
        <v>3000</v>
      </c>
    </row>
    <row r="52" spans="1:8" x14ac:dyDescent="0.25">
      <c r="A52" s="126" t="s">
        <v>17</v>
      </c>
      <c r="B52" s="126"/>
      <c r="C52" s="126"/>
      <c r="D52" s="126"/>
      <c r="E52" s="16">
        <f>SUM(E47:E51)</f>
        <v>90</v>
      </c>
      <c r="F52" s="17">
        <f>SUM(F47:F51)</f>
        <v>173500</v>
      </c>
      <c r="G52" s="17">
        <f>SUM(G47:G51)</f>
        <v>77500</v>
      </c>
      <c r="H52" s="17">
        <f>SUM(H47:H51)</f>
        <v>96000</v>
      </c>
    </row>
    <row r="53" spans="1:8" x14ac:dyDescent="0.25">
      <c r="A53" s="29" t="s">
        <v>30</v>
      </c>
      <c r="B53" s="37">
        <v>44693</v>
      </c>
      <c r="C53" s="29" t="s">
        <v>288</v>
      </c>
      <c r="D53" s="29" t="s">
        <v>11</v>
      </c>
      <c r="E53" s="29">
        <f>50-9</f>
        <v>41</v>
      </c>
      <c r="F53" s="38">
        <f>E53*1800</f>
        <v>73800</v>
      </c>
      <c r="G53" s="38">
        <f>E53*500</f>
        <v>20500</v>
      </c>
      <c r="H53" s="38">
        <f>E53*1300</f>
        <v>53300</v>
      </c>
    </row>
    <row r="54" spans="1:8" x14ac:dyDescent="0.25">
      <c r="A54" s="29"/>
      <c r="B54" s="29"/>
      <c r="C54" s="29" t="s">
        <v>106</v>
      </c>
      <c r="D54" s="29" t="s">
        <v>11</v>
      </c>
      <c r="E54" s="29">
        <v>20</v>
      </c>
      <c r="F54" s="38">
        <f>E54*1500</f>
        <v>30000</v>
      </c>
      <c r="G54" s="38">
        <f>E54*500</f>
        <v>10000</v>
      </c>
      <c r="H54" s="38">
        <v>20000</v>
      </c>
    </row>
    <row r="55" spans="1:8" x14ac:dyDescent="0.25">
      <c r="A55" s="29"/>
      <c r="B55" s="29"/>
      <c r="C55" s="29" t="s">
        <v>292</v>
      </c>
      <c r="D55" s="29" t="s">
        <v>11</v>
      </c>
      <c r="E55" s="29">
        <v>30</v>
      </c>
      <c r="F55" s="38">
        <f>E55*1500</f>
        <v>45000</v>
      </c>
      <c r="G55" s="38">
        <f>E55*500</f>
        <v>15000</v>
      </c>
      <c r="H55" s="38">
        <v>30000</v>
      </c>
    </row>
    <row r="56" spans="1:8" x14ac:dyDescent="0.25">
      <c r="A56" s="29"/>
      <c r="B56" s="29"/>
      <c r="C56" s="29" t="s">
        <v>108</v>
      </c>
      <c r="D56" s="29" t="s">
        <v>11</v>
      </c>
      <c r="E56" s="29">
        <f>25-8</f>
        <v>17</v>
      </c>
      <c r="F56" s="38">
        <f>E56*1500</f>
        <v>25500</v>
      </c>
      <c r="G56" s="38">
        <f>E56*500</f>
        <v>8500</v>
      </c>
      <c r="H56" s="38">
        <f>E56*1000</f>
        <v>17000</v>
      </c>
    </row>
    <row r="57" spans="1:8" x14ac:dyDescent="0.25">
      <c r="A57" s="29"/>
      <c r="B57" s="29"/>
      <c r="C57" s="29" t="s">
        <v>16</v>
      </c>
      <c r="D57" s="29" t="s">
        <v>11</v>
      </c>
      <c r="E57" s="29">
        <v>30</v>
      </c>
      <c r="F57" s="38">
        <f>E57*1500</f>
        <v>45000</v>
      </c>
      <c r="G57" s="38">
        <f>E57*500</f>
        <v>15000</v>
      </c>
      <c r="H57" s="38">
        <v>30000</v>
      </c>
    </row>
    <row r="58" spans="1:8" x14ac:dyDescent="0.25">
      <c r="A58" s="29"/>
      <c r="B58" s="29"/>
      <c r="C58" s="29"/>
      <c r="D58" s="29" t="s">
        <v>12</v>
      </c>
      <c r="E58" s="29">
        <v>4</v>
      </c>
      <c r="F58" s="38">
        <f>E58*3000</f>
        <v>12000</v>
      </c>
      <c r="G58" s="38">
        <f>E58*2000</f>
        <v>8000</v>
      </c>
      <c r="H58" s="38">
        <v>4000</v>
      </c>
    </row>
    <row r="59" spans="1:8" x14ac:dyDescent="0.25">
      <c r="A59" s="29"/>
      <c r="B59" s="29"/>
      <c r="C59" s="29"/>
      <c r="D59" s="29" t="s">
        <v>13</v>
      </c>
      <c r="E59" s="29">
        <v>2</v>
      </c>
      <c r="F59" s="38">
        <f>E59*6500</f>
        <v>13000</v>
      </c>
      <c r="G59" s="38">
        <f>E59*4500</f>
        <v>9000</v>
      </c>
      <c r="H59" s="38">
        <f>E59*2000</f>
        <v>4000</v>
      </c>
    </row>
    <row r="60" spans="1:8" x14ac:dyDescent="0.25">
      <c r="A60" s="126" t="s">
        <v>17</v>
      </c>
      <c r="B60" s="126"/>
      <c r="C60" s="126"/>
      <c r="D60" s="126"/>
      <c r="E60" s="16">
        <f>SUM(E53:E59)</f>
        <v>144</v>
      </c>
      <c r="F60" s="17">
        <f>SUM(F53:F59)</f>
        <v>244300</v>
      </c>
      <c r="G60" s="17">
        <f>SUM(G53:G59)</f>
        <v>86000</v>
      </c>
      <c r="H60" s="17">
        <f>SUM(H53:H59)</f>
        <v>158300</v>
      </c>
    </row>
    <row r="61" spans="1:8" x14ac:dyDescent="0.25">
      <c r="A61" s="29" t="s">
        <v>32</v>
      </c>
      <c r="B61" s="37">
        <v>44724</v>
      </c>
      <c r="C61" s="29" t="s">
        <v>288</v>
      </c>
      <c r="D61" s="29" t="s">
        <v>11</v>
      </c>
      <c r="E61" s="29">
        <v>40</v>
      </c>
      <c r="F61" s="38">
        <f>E61*1800</f>
        <v>72000</v>
      </c>
      <c r="G61" s="38">
        <f>E61*500</f>
        <v>20000</v>
      </c>
      <c r="H61" s="38">
        <f>E61*1300</f>
        <v>52000</v>
      </c>
    </row>
    <row r="62" spans="1:8" x14ac:dyDescent="0.25">
      <c r="A62" s="29"/>
      <c r="B62" s="29"/>
      <c r="C62" s="29" t="s">
        <v>106</v>
      </c>
      <c r="D62" s="29" t="s">
        <v>11</v>
      </c>
      <c r="E62" s="29">
        <v>25</v>
      </c>
      <c r="F62" s="38">
        <f>E62*1500</f>
        <v>37500</v>
      </c>
      <c r="G62" s="38">
        <f>E62*500</f>
        <v>12500</v>
      </c>
      <c r="H62" s="38">
        <v>25000</v>
      </c>
    </row>
    <row r="63" spans="1:8" x14ac:dyDescent="0.25">
      <c r="A63" s="29"/>
      <c r="B63" s="29"/>
      <c r="C63" s="29" t="s">
        <v>10</v>
      </c>
      <c r="D63" s="29" t="s">
        <v>11</v>
      </c>
      <c r="E63" s="29">
        <v>60</v>
      </c>
      <c r="F63" s="38">
        <f>E63*1500</f>
        <v>90000</v>
      </c>
      <c r="G63" s="38">
        <f>E63*500</f>
        <v>30000</v>
      </c>
      <c r="H63" s="38">
        <f>E63*1000</f>
        <v>60000</v>
      </c>
    </row>
    <row r="64" spans="1:8" x14ac:dyDescent="0.25">
      <c r="A64" s="29"/>
      <c r="B64" s="29"/>
      <c r="C64" s="29"/>
      <c r="D64" s="29" t="s">
        <v>14</v>
      </c>
      <c r="E64" s="29">
        <v>1</v>
      </c>
      <c r="F64" s="38">
        <v>8000</v>
      </c>
      <c r="G64" s="38">
        <v>5500</v>
      </c>
      <c r="H64" s="38">
        <v>2500</v>
      </c>
    </row>
    <row r="65" spans="1:8" x14ac:dyDescent="0.25">
      <c r="A65" s="29"/>
      <c r="B65" s="29"/>
      <c r="C65" s="29"/>
      <c r="D65" s="29" t="s">
        <v>11</v>
      </c>
      <c r="E65" s="29">
        <v>65</v>
      </c>
      <c r="F65" s="38">
        <f>E65*1500</f>
        <v>97500</v>
      </c>
      <c r="G65" s="38">
        <f>E65*500</f>
        <v>32500</v>
      </c>
      <c r="H65" s="38">
        <v>65000</v>
      </c>
    </row>
    <row r="66" spans="1:8" x14ac:dyDescent="0.25">
      <c r="A66" s="29"/>
      <c r="B66" s="29"/>
      <c r="C66" s="29"/>
      <c r="D66" s="29" t="s">
        <v>13</v>
      </c>
      <c r="E66" s="29">
        <v>5</v>
      </c>
      <c r="F66" s="38">
        <f>E66*6500</f>
        <v>32500</v>
      </c>
      <c r="G66" s="38">
        <f>E66*4500</f>
        <v>22500</v>
      </c>
      <c r="H66" s="38">
        <f>E66*2000</f>
        <v>10000</v>
      </c>
    </row>
    <row r="67" spans="1:8" x14ac:dyDescent="0.25">
      <c r="A67" s="29"/>
      <c r="B67" s="29"/>
      <c r="C67" s="29"/>
      <c r="D67" s="29" t="s">
        <v>14</v>
      </c>
      <c r="E67" s="29">
        <v>3</v>
      </c>
      <c r="F67" s="38">
        <f>E67*8000</f>
        <v>24000</v>
      </c>
      <c r="G67" s="38">
        <f>E67*5500</f>
        <v>16500</v>
      </c>
      <c r="H67" s="38">
        <f>E67*2500</f>
        <v>7500</v>
      </c>
    </row>
    <row r="68" spans="1:8" x14ac:dyDescent="0.25">
      <c r="A68" s="29"/>
      <c r="B68" s="29"/>
      <c r="C68" s="29" t="s">
        <v>16</v>
      </c>
      <c r="D68" s="29" t="s">
        <v>11</v>
      </c>
      <c r="E68" s="29">
        <v>24</v>
      </c>
      <c r="F68" s="38">
        <f>E68*1500</f>
        <v>36000</v>
      </c>
      <c r="G68" s="38">
        <f>E68*500</f>
        <v>12000</v>
      </c>
      <c r="H68" s="38">
        <v>24000</v>
      </c>
    </row>
    <row r="69" spans="1:8" x14ac:dyDescent="0.25">
      <c r="A69" s="29"/>
      <c r="B69" s="29"/>
      <c r="C69" s="29"/>
      <c r="D69" s="29" t="s">
        <v>12</v>
      </c>
      <c r="E69" s="29">
        <v>1</v>
      </c>
      <c r="F69" s="38">
        <v>3000</v>
      </c>
      <c r="G69" s="38">
        <v>2000</v>
      </c>
      <c r="H69" s="38">
        <v>1000</v>
      </c>
    </row>
    <row r="70" spans="1:8" x14ac:dyDescent="0.25">
      <c r="A70" s="125" t="s">
        <v>17</v>
      </c>
      <c r="B70" s="125"/>
      <c r="C70" s="125"/>
      <c r="D70" s="125"/>
      <c r="E70" s="17">
        <f>SUM(E61:E69)</f>
        <v>224</v>
      </c>
      <c r="F70" s="17">
        <f>SUM(F61:F69)</f>
        <v>400500</v>
      </c>
      <c r="G70" s="17">
        <f>SUM(G61:G69)</f>
        <v>153500</v>
      </c>
      <c r="H70" s="17">
        <f>SUM(H61:H69)</f>
        <v>247000</v>
      </c>
    </row>
    <row r="71" spans="1:8" x14ac:dyDescent="0.25">
      <c r="A71" s="29" t="s">
        <v>8</v>
      </c>
      <c r="B71" s="37">
        <v>44754</v>
      </c>
      <c r="C71" s="29" t="s">
        <v>288</v>
      </c>
      <c r="D71" s="29" t="s">
        <v>11</v>
      </c>
      <c r="E71" s="29">
        <v>37</v>
      </c>
      <c r="F71" s="38">
        <f>E71*1800</f>
        <v>66600</v>
      </c>
      <c r="G71" s="38">
        <f t="shared" ref="G71:G76" si="3">E71*500</f>
        <v>18500</v>
      </c>
      <c r="H71" s="38">
        <f>E71*1300</f>
        <v>48100</v>
      </c>
    </row>
    <row r="72" spans="1:8" x14ac:dyDescent="0.25">
      <c r="A72" s="29"/>
      <c r="B72" s="29"/>
      <c r="C72" s="29" t="s">
        <v>106</v>
      </c>
      <c r="D72" s="29" t="s">
        <v>11</v>
      </c>
      <c r="E72" s="29">
        <v>21</v>
      </c>
      <c r="F72" s="38">
        <f>E72*1500</f>
        <v>31500</v>
      </c>
      <c r="G72" s="38">
        <f t="shared" si="3"/>
        <v>10500</v>
      </c>
      <c r="H72" s="38">
        <v>21000</v>
      </c>
    </row>
    <row r="73" spans="1:8" x14ac:dyDescent="0.25">
      <c r="A73" s="29"/>
      <c r="B73" s="29"/>
      <c r="C73" s="29" t="s">
        <v>292</v>
      </c>
      <c r="D73" s="29" t="s">
        <v>11</v>
      </c>
      <c r="E73" s="29">
        <v>30</v>
      </c>
      <c r="F73" s="38">
        <f>E73*1500</f>
        <v>45000</v>
      </c>
      <c r="G73" s="38">
        <f t="shared" si="3"/>
        <v>15000</v>
      </c>
      <c r="H73" s="38">
        <f>E73*1000</f>
        <v>30000</v>
      </c>
    </row>
    <row r="74" spans="1:8" x14ac:dyDescent="0.25">
      <c r="A74" s="29"/>
      <c r="B74" s="29"/>
      <c r="C74" s="29" t="s">
        <v>108</v>
      </c>
      <c r="D74" s="29" t="s">
        <v>11</v>
      </c>
      <c r="E74" s="29">
        <f>25-9</f>
        <v>16</v>
      </c>
      <c r="F74" s="38">
        <f>E74*1500</f>
        <v>24000</v>
      </c>
      <c r="G74" s="38">
        <f t="shared" si="3"/>
        <v>8000</v>
      </c>
      <c r="H74" s="38">
        <v>16000</v>
      </c>
    </row>
    <row r="75" spans="1:8" x14ac:dyDescent="0.25">
      <c r="A75" s="29"/>
      <c r="B75" s="29"/>
      <c r="C75" s="29" t="s">
        <v>217</v>
      </c>
      <c r="D75" s="29" t="s">
        <v>11</v>
      </c>
      <c r="E75" s="29">
        <f>34+21</f>
        <v>55</v>
      </c>
      <c r="F75" s="38">
        <f>E75*1500</f>
        <v>82500</v>
      </c>
      <c r="G75" s="38">
        <f t="shared" si="3"/>
        <v>27500</v>
      </c>
      <c r="H75" s="38">
        <v>55000</v>
      </c>
    </row>
    <row r="76" spans="1:8" x14ac:dyDescent="0.25">
      <c r="A76" s="29"/>
      <c r="B76" s="29"/>
      <c r="C76" s="29" t="s">
        <v>16</v>
      </c>
      <c r="D76" s="29" t="s">
        <v>11</v>
      </c>
      <c r="E76" s="29">
        <v>71</v>
      </c>
      <c r="F76" s="38">
        <f>E76*1500</f>
        <v>106500</v>
      </c>
      <c r="G76" s="38">
        <f t="shared" si="3"/>
        <v>35500</v>
      </c>
      <c r="H76" s="38">
        <v>71000</v>
      </c>
    </row>
    <row r="77" spans="1:8" x14ac:dyDescent="0.25">
      <c r="A77" s="29"/>
      <c r="B77" s="29"/>
      <c r="C77" s="29"/>
      <c r="D77" s="29" t="s">
        <v>12</v>
      </c>
      <c r="E77" s="29">
        <v>3</v>
      </c>
      <c r="F77" s="38">
        <f>E77*3000</f>
        <v>9000</v>
      </c>
      <c r="G77" s="38">
        <f>E77*2000</f>
        <v>6000</v>
      </c>
      <c r="H77" s="38">
        <v>3000</v>
      </c>
    </row>
    <row r="78" spans="1:8" x14ac:dyDescent="0.25">
      <c r="A78" s="29"/>
      <c r="B78" s="29"/>
      <c r="C78" s="29"/>
      <c r="D78" s="29" t="s">
        <v>13</v>
      </c>
      <c r="E78" s="29">
        <v>2</v>
      </c>
      <c r="F78" s="38">
        <f>E78*6500</f>
        <v>13000</v>
      </c>
      <c r="G78" s="38">
        <f>E78*4500</f>
        <v>9000</v>
      </c>
      <c r="H78" s="38">
        <f>E78*2000</f>
        <v>4000</v>
      </c>
    </row>
    <row r="79" spans="1:8" x14ac:dyDescent="0.25">
      <c r="A79" s="29"/>
      <c r="B79" s="29"/>
      <c r="C79" s="29"/>
      <c r="D79" s="29" t="s">
        <v>14</v>
      </c>
      <c r="E79" s="29">
        <v>1</v>
      </c>
      <c r="F79" s="38">
        <f>E79*8000</f>
        <v>8000</v>
      </c>
      <c r="G79" s="38">
        <f>E79*5500</f>
        <v>5500</v>
      </c>
      <c r="H79" s="38">
        <v>2500</v>
      </c>
    </row>
    <row r="80" spans="1:8" x14ac:dyDescent="0.25">
      <c r="A80" s="29"/>
      <c r="B80" s="29"/>
      <c r="C80" s="29" t="s">
        <v>373</v>
      </c>
      <c r="D80" s="29" t="s">
        <v>243</v>
      </c>
      <c r="E80" s="29">
        <v>3</v>
      </c>
      <c r="F80" s="38">
        <f>E80*13000</f>
        <v>39000</v>
      </c>
      <c r="G80" s="38">
        <f>E80*10000</f>
        <v>30000</v>
      </c>
      <c r="H80" s="38">
        <f>E80*3000</f>
        <v>9000</v>
      </c>
    </row>
    <row r="81" spans="1:8" x14ac:dyDescent="0.25">
      <c r="A81" s="126" t="s">
        <v>17</v>
      </c>
      <c r="B81" s="126"/>
      <c r="C81" s="126"/>
      <c r="D81" s="126"/>
      <c r="E81" s="16">
        <f>SUM(E71:E80)</f>
        <v>239</v>
      </c>
      <c r="F81" s="17">
        <f>SUM(F71:F80)</f>
        <v>425100</v>
      </c>
      <c r="G81" s="17">
        <f>SUM(G71:G80)</f>
        <v>165500</v>
      </c>
      <c r="H81" s="17">
        <f>SUM(H71:H80)</f>
        <v>259600</v>
      </c>
    </row>
    <row r="82" spans="1:8" x14ac:dyDescent="0.25">
      <c r="A82" s="29" t="s">
        <v>18</v>
      </c>
      <c r="B82" s="37">
        <v>44785</v>
      </c>
      <c r="C82" s="29" t="s">
        <v>288</v>
      </c>
      <c r="D82" s="29" t="s">
        <v>11</v>
      </c>
      <c r="E82" s="29">
        <f>48-18</f>
        <v>30</v>
      </c>
      <c r="F82" s="38">
        <f>E82*1800</f>
        <v>54000</v>
      </c>
      <c r="G82" s="38">
        <f>E82*500</f>
        <v>15000</v>
      </c>
      <c r="H82" s="38">
        <f>E82*1300</f>
        <v>39000</v>
      </c>
    </row>
    <row r="83" spans="1:8" x14ac:dyDescent="0.25">
      <c r="A83" s="29"/>
      <c r="B83" s="29"/>
      <c r="C83" s="29" t="s">
        <v>106</v>
      </c>
      <c r="D83" s="29" t="s">
        <v>11</v>
      </c>
      <c r="E83" s="29">
        <v>24</v>
      </c>
      <c r="F83" s="38">
        <f>E83*1500</f>
        <v>36000</v>
      </c>
      <c r="G83" s="38">
        <f>E83*500</f>
        <v>12000</v>
      </c>
      <c r="H83" s="38">
        <v>24000</v>
      </c>
    </row>
    <row r="84" spans="1:8" x14ac:dyDescent="0.25">
      <c r="A84" s="29"/>
      <c r="B84" s="29"/>
      <c r="C84" s="29" t="s">
        <v>16</v>
      </c>
      <c r="D84" s="29" t="s">
        <v>11</v>
      </c>
      <c r="E84" s="29">
        <v>34</v>
      </c>
      <c r="F84" s="38">
        <f>E84*1500</f>
        <v>51000</v>
      </c>
      <c r="G84" s="38">
        <f>E84*500</f>
        <v>17000</v>
      </c>
      <c r="H84" s="38">
        <v>34000</v>
      </c>
    </row>
    <row r="85" spans="1:8" x14ac:dyDescent="0.25">
      <c r="A85" s="29"/>
      <c r="B85" s="29"/>
      <c r="C85" s="29"/>
      <c r="D85" s="29" t="s">
        <v>12</v>
      </c>
      <c r="E85" s="29">
        <v>4</v>
      </c>
      <c r="F85" s="38">
        <f>E85*3000</f>
        <v>12000</v>
      </c>
      <c r="G85" s="38">
        <f>E85*2000</f>
        <v>8000</v>
      </c>
      <c r="H85" s="38">
        <v>4000</v>
      </c>
    </row>
    <row r="86" spans="1:8" x14ac:dyDescent="0.25">
      <c r="A86" s="29"/>
      <c r="B86" s="29"/>
      <c r="C86" s="29" t="s">
        <v>217</v>
      </c>
      <c r="D86" s="29" t="s">
        <v>11</v>
      </c>
      <c r="E86" s="29">
        <v>48</v>
      </c>
      <c r="F86" s="29">
        <f>E86*1500</f>
        <v>72000</v>
      </c>
      <c r="G86" s="29">
        <f>E86*500</f>
        <v>24000</v>
      </c>
      <c r="H86" s="38">
        <v>48000</v>
      </c>
    </row>
    <row r="87" spans="1:8" x14ac:dyDescent="0.25">
      <c r="A87" s="29"/>
      <c r="B87" s="29"/>
      <c r="C87" s="29" t="s">
        <v>10</v>
      </c>
      <c r="D87" s="29" t="s">
        <v>11</v>
      </c>
      <c r="E87" s="29">
        <v>136</v>
      </c>
      <c r="F87" s="38">
        <f>E87*1500</f>
        <v>204000</v>
      </c>
      <c r="G87" s="38">
        <f>E87*500</f>
        <v>68000</v>
      </c>
      <c r="H87" s="38">
        <v>136000</v>
      </c>
    </row>
    <row r="88" spans="1:8" x14ac:dyDescent="0.25">
      <c r="A88" s="29"/>
      <c r="B88" s="29"/>
      <c r="C88" s="29"/>
      <c r="D88" s="29" t="s">
        <v>13</v>
      </c>
      <c r="E88" s="29">
        <v>1</v>
      </c>
      <c r="F88" s="38">
        <v>6500</v>
      </c>
      <c r="G88" s="38">
        <v>4500</v>
      </c>
      <c r="H88" s="38">
        <v>2000</v>
      </c>
    </row>
    <row r="89" spans="1:8" x14ac:dyDescent="0.25">
      <c r="A89" s="29"/>
      <c r="B89" s="29"/>
      <c r="C89" s="29"/>
      <c r="D89" s="29" t="s">
        <v>14</v>
      </c>
      <c r="E89" s="29">
        <v>6</v>
      </c>
      <c r="F89" s="38">
        <f>E89*8000</f>
        <v>48000</v>
      </c>
      <c r="G89" s="38">
        <f>E89*5500</f>
        <v>33000</v>
      </c>
      <c r="H89" s="38">
        <f>E89*2500</f>
        <v>15000</v>
      </c>
    </row>
    <row r="90" spans="1:8" x14ac:dyDescent="0.25">
      <c r="A90" s="125" t="s">
        <v>17</v>
      </c>
      <c r="B90" s="125"/>
      <c r="C90" s="125"/>
      <c r="D90" s="125"/>
      <c r="E90" s="17">
        <f>SUM(E82:E89)</f>
        <v>283</v>
      </c>
      <c r="F90" s="17">
        <f>SUM(F82:F89)</f>
        <v>483500</v>
      </c>
      <c r="G90" s="17">
        <f>SUM(G82:G89)</f>
        <v>181500</v>
      </c>
      <c r="H90" s="17">
        <f>SUM(H82:H89)</f>
        <v>302000</v>
      </c>
    </row>
    <row r="91" spans="1:8" x14ac:dyDescent="0.25">
      <c r="A91" s="29" t="s">
        <v>22</v>
      </c>
      <c r="B91" s="37">
        <v>44816</v>
      </c>
      <c r="C91" s="29" t="s">
        <v>288</v>
      </c>
      <c r="D91" s="29" t="s">
        <v>11</v>
      </c>
      <c r="E91" s="29">
        <f>48-31</f>
        <v>17</v>
      </c>
      <c r="F91" s="38">
        <f>E91*1800</f>
        <v>30600</v>
      </c>
      <c r="G91" s="38">
        <f>E91*500</f>
        <v>8500</v>
      </c>
      <c r="H91" s="38">
        <f>E91*1300</f>
        <v>22100</v>
      </c>
    </row>
    <row r="92" spans="1:8" x14ac:dyDescent="0.25">
      <c r="A92" s="29"/>
      <c r="B92" s="29"/>
      <c r="C92" s="29" t="s">
        <v>106</v>
      </c>
      <c r="D92" s="29" t="s">
        <v>11</v>
      </c>
      <c r="E92" s="29">
        <v>25</v>
      </c>
      <c r="F92" s="38">
        <f>E92*1500</f>
        <v>37500</v>
      </c>
      <c r="G92" s="38">
        <f>E92*500</f>
        <v>12500</v>
      </c>
      <c r="H92" s="38">
        <v>25000</v>
      </c>
    </row>
    <row r="93" spans="1:8" x14ac:dyDescent="0.25">
      <c r="A93" s="29"/>
      <c r="B93" s="29"/>
      <c r="C93" s="29" t="s">
        <v>292</v>
      </c>
      <c r="D93" s="29" t="s">
        <v>11</v>
      </c>
      <c r="E93" s="29">
        <v>30</v>
      </c>
      <c r="F93" s="38">
        <f>E93*1500</f>
        <v>45000</v>
      </c>
      <c r="G93" s="38">
        <f>E93*500</f>
        <v>15000</v>
      </c>
      <c r="H93" s="38">
        <v>30000</v>
      </c>
    </row>
    <row r="94" spans="1:8" x14ac:dyDescent="0.25">
      <c r="A94" s="29"/>
      <c r="B94" s="29"/>
      <c r="C94" s="29" t="s">
        <v>108</v>
      </c>
      <c r="D94" s="29" t="s">
        <v>11</v>
      </c>
      <c r="E94" s="29">
        <f>25-9</f>
        <v>16</v>
      </c>
      <c r="F94" s="38">
        <f>E94*1500</f>
        <v>24000</v>
      </c>
      <c r="G94" s="38">
        <f>E94*500</f>
        <v>8000</v>
      </c>
      <c r="H94" s="38">
        <v>16000</v>
      </c>
    </row>
    <row r="95" spans="1:8" x14ac:dyDescent="0.25">
      <c r="A95" s="29"/>
      <c r="B95" s="29"/>
      <c r="C95" s="29" t="s">
        <v>16</v>
      </c>
      <c r="D95" s="29" t="s">
        <v>11</v>
      </c>
      <c r="E95" s="29">
        <v>63</v>
      </c>
      <c r="F95" s="38">
        <f>E95*1500</f>
        <v>94500</v>
      </c>
      <c r="G95" s="38">
        <f>E95*500</f>
        <v>31500</v>
      </c>
      <c r="H95" s="38">
        <v>63000</v>
      </c>
    </row>
    <row r="96" spans="1:8" x14ac:dyDescent="0.25">
      <c r="A96" s="29"/>
      <c r="B96" s="29"/>
      <c r="C96" s="29"/>
      <c r="D96" s="29" t="s">
        <v>12</v>
      </c>
      <c r="E96" s="29">
        <v>2</v>
      </c>
      <c r="F96" s="38">
        <f>E96*3000</f>
        <v>6000</v>
      </c>
      <c r="G96" s="38">
        <f>E96*2000</f>
        <v>4000</v>
      </c>
      <c r="H96" s="38">
        <v>2000</v>
      </c>
    </row>
    <row r="97" spans="1:8" x14ac:dyDescent="0.25">
      <c r="A97" s="29"/>
      <c r="B97" s="29"/>
      <c r="C97" s="29"/>
      <c r="D97" s="29" t="s">
        <v>13</v>
      </c>
      <c r="E97" s="29">
        <v>2</v>
      </c>
      <c r="F97" s="38">
        <f>E97*6500</f>
        <v>13000</v>
      </c>
      <c r="G97" s="38">
        <f>E97*4500</f>
        <v>9000</v>
      </c>
      <c r="H97" s="38">
        <f>E97*2000</f>
        <v>4000</v>
      </c>
    </row>
    <row r="98" spans="1:8" x14ac:dyDescent="0.25">
      <c r="A98" s="29"/>
      <c r="B98" s="29"/>
      <c r="C98" s="29" t="s">
        <v>10</v>
      </c>
      <c r="D98" s="29" t="s">
        <v>11</v>
      </c>
      <c r="E98" s="29">
        <v>50</v>
      </c>
      <c r="F98" s="38">
        <f>E98*1500</f>
        <v>75000</v>
      </c>
      <c r="G98" s="38">
        <f>E98*500</f>
        <v>25000</v>
      </c>
      <c r="H98" s="38">
        <v>50000</v>
      </c>
    </row>
    <row r="99" spans="1:8" x14ac:dyDescent="0.25">
      <c r="A99" s="29"/>
      <c r="B99" s="29"/>
      <c r="C99" s="29"/>
      <c r="D99" s="29" t="s">
        <v>13</v>
      </c>
      <c r="E99" s="29">
        <v>10</v>
      </c>
      <c r="F99" s="38">
        <f>E99*6500</f>
        <v>65000</v>
      </c>
      <c r="G99" s="38">
        <f>E99*4500</f>
        <v>45000</v>
      </c>
      <c r="H99" s="38">
        <f>E99*2000</f>
        <v>20000</v>
      </c>
    </row>
    <row r="100" spans="1:8" x14ac:dyDescent="0.25">
      <c r="A100" s="29"/>
      <c r="B100" s="29"/>
      <c r="C100" s="29"/>
      <c r="D100" s="29" t="s">
        <v>14</v>
      </c>
      <c r="E100" s="29">
        <v>11</v>
      </c>
      <c r="F100" s="38">
        <f>E100*8000</f>
        <v>88000</v>
      </c>
      <c r="G100" s="38">
        <f>E100*5500</f>
        <v>60500</v>
      </c>
      <c r="H100" s="38">
        <f>E100*2500</f>
        <v>27500</v>
      </c>
    </row>
    <row r="101" spans="1:8" x14ac:dyDescent="0.25">
      <c r="A101" s="29"/>
      <c r="B101" s="29"/>
      <c r="C101" s="29" t="s">
        <v>373</v>
      </c>
      <c r="D101" s="29" t="s">
        <v>243</v>
      </c>
      <c r="E101" s="29">
        <v>3</v>
      </c>
      <c r="F101" s="38">
        <f>E101*13000</f>
        <v>39000</v>
      </c>
      <c r="G101" s="38">
        <f>E101*10000</f>
        <v>30000</v>
      </c>
      <c r="H101" s="38">
        <f>E101*3000</f>
        <v>9000</v>
      </c>
    </row>
    <row r="102" spans="1:8" x14ac:dyDescent="0.25">
      <c r="A102" s="29"/>
      <c r="B102" s="29"/>
      <c r="C102" s="29" t="s">
        <v>217</v>
      </c>
      <c r="D102" s="29" t="s">
        <v>11</v>
      </c>
      <c r="E102" s="29">
        <v>42</v>
      </c>
      <c r="F102" s="38">
        <f>E102*1500</f>
        <v>63000</v>
      </c>
      <c r="G102" s="38">
        <f>E102*500</f>
        <v>21000</v>
      </c>
      <c r="H102" s="38">
        <v>42000</v>
      </c>
    </row>
    <row r="103" spans="1:8" x14ac:dyDescent="0.25">
      <c r="A103" s="125" t="s">
        <v>17</v>
      </c>
      <c r="B103" s="125"/>
      <c r="C103" s="125"/>
      <c r="D103" s="125"/>
      <c r="E103" s="17">
        <f>SUM(E91:E102)</f>
        <v>271</v>
      </c>
      <c r="F103" s="17">
        <f>SUM(F91:F102)</f>
        <v>580600</v>
      </c>
      <c r="G103" s="17">
        <f>SUM(G91:G102)</f>
        <v>270000</v>
      </c>
      <c r="H103" s="17">
        <f>SUM(H91:H102)</f>
        <v>310600</v>
      </c>
    </row>
    <row r="104" spans="1:8" x14ac:dyDescent="0.25">
      <c r="A104" s="29" t="s">
        <v>26</v>
      </c>
      <c r="B104" s="37">
        <v>44846</v>
      </c>
      <c r="C104" s="29" t="s">
        <v>81</v>
      </c>
      <c r="D104" s="29" t="s">
        <v>11</v>
      </c>
      <c r="E104" s="29">
        <v>75</v>
      </c>
      <c r="F104" s="38">
        <f>E104*1800</f>
        <v>135000</v>
      </c>
      <c r="G104" s="38">
        <f>E104*500</f>
        <v>37500</v>
      </c>
      <c r="H104" s="38">
        <f>E104*1300</f>
        <v>97500</v>
      </c>
    </row>
    <row r="105" spans="1:8" x14ac:dyDescent="0.25">
      <c r="A105" s="29"/>
      <c r="B105" s="29"/>
      <c r="C105" s="29"/>
      <c r="D105" s="29" t="s">
        <v>11</v>
      </c>
      <c r="E105" s="29">
        <v>75</v>
      </c>
      <c r="F105" s="38">
        <f t="shared" ref="F105:F111" si="4">E105*1800</f>
        <v>135000</v>
      </c>
      <c r="G105" s="38">
        <f t="shared" ref="G105:G118" si="5">E105*500</f>
        <v>37500</v>
      </c>
      <c r="H105" s="38">
        <f t="shared" ref="H105:H111" si="6">E105*1300</f>
        <v>97500</v>
      </c>
    </row>
    <row r="106" spans="1:8" x14ac:dyDescent="0.25">
      <c r="A106" s="29"/>
      <c r="B106" s="29"/>
      <c r="C106" s="29"/>
      <c r="D106" s="29" t="s">
        <v>11</v>
      </c>
      <c r="E106" s="29">
        <v>75</v>
      </c>
      <c r="F106" s="38">
        <f t="shared" si="4"/>
        <v>135000</v>
      </c>
      <c r="G106" s="38">
        <f t="shared" si="5"/>
        <v>37500</v>
      </c>
      <c r="H106" s="38">
        <f t="shared" si="6"/>
        <v>97500</v>
      </c>
    </row>
    <row r="107" spans="1:8" x14ac:dyDescent="0.25">
      <c r="A107" s="29"/>
      <c r="B107" s="29"/>
      <c r="C107" s="29"/>
      <c r="D107" s="29" t="s">
        <v>11</v>
      </c>
      <c r="E107" s="29">
        <v>75</v>
      </c>
      <c r="F107" s="38">
        <f t="shared" si="4"/>
        <v>135000</v>
      </c>
      <c r="G107" s="38">
        <f t="shared" si="5"/>
        <v>37500</v>
      </c>
      <c r="H107" s="38">
        <f t="shared" si="6"/>
        <v>97500</v>
      </c>
    </row>
    <row r="108" spans="1:8" x14ac:dyDescent="0.25">
      <c r="A108" s="29"/>
      <c r="B108" s="29"/>
      <c r="C108" s="29"/>
      <c r="D108" s="29" t="s">
        <v>11</v>
      </c>
      <c r="E108" s="29">
        <v>75</v>
      </c>
      <c r="F108" s="38">
        <f t="shared" si="4"/>
        <v>135000</v>
      </c>
      <c r="G108" s="38">
        <f t="shared" si="5"/>
        <v>37500</v>
      </c>
      <c r="H108" s="38">
        <f t="shared" si="6"/>
        <v>97500</v>
      </c>
    </row>
    <row r="109" spans="1:8" x14ac:dyDescent="0.25">
      <c r="A109" s="29"/>
      <c r="B109" s="29"/>
      <c r="C109" s="29"/>
      <c r="D109" s="29" t="s">
        <v>11</v>
      </c>
      <c r="E109" s="29">
        <v>75</v>
      </c>
      <c r="F109" s="38">
        <f t="shared" si="4"/>
        <v>135000</v>
      </c>
      <c r="G109" s="38">
        <f t="shared" si="5"/>
        <v>37500</v>
      </c>
      <c r="H109" s="38">
        <f t="shared" si="6"/>
        <v>97500</v>
      </c>
    </row>
    <row r="110" spans="1:8" x14ac:dyDescent="0.25">
      <c r="A110" s="29"/>
      <c r="B110" s="29"/>
      <c r="C110" s="29"/>
      <c r="D110" s="29" t="s">
        <v>11</v>
      </c>
      <c r="E110" s="29">
        <v>75</v>
      </c>
      <c r="F110" s="38">
        <f t="shared" si="4"/>
        <v>135000</v>
      </c>
      <c r="G110" s="38">
        <f t="shared" si="5"/>
        <v>37500</v>
      </c>
      <c r="H110" s="38">
        <f t="shared" si="6"/>
        <v>97500</v>
      </c>
    </row>
    <row r="111" spans="1:8" x14ac:dyDescent="0.25">
      <c r="A111" s="29"/>
      <c r="B111" s="29"/>
      <c r="C111" s="29"/>
      <c r="D111" s="29" t="s">
        <v>11</v>
      </c>
      <c r="E111" s="29">
        <v>75</v>
      </c>
      <c r="F111" s="38">
        <f t="shared" si="4"/>
        <v>135000</v>
      </c>
      <c r="G111" s="38">
        <f t="shared" si="5"/>
        <v>37500</v>
      </c>
      <c r="H111" s="38">
        <f t="shared" si="6"/>
        <v>97500</v>
      </c>
    </row>
    <row r="112" spans="1:8" x14ac:dyDescent="0.25">
      <c r="A112" s="29"/>
      <c r="B112" s="29"/>
      <c r="C112" s="29" t="s">
        <v>376</v>
      </c>
      <c r="D112" s="29" t="s">
        <v>11</v>
      </c>
      <c r="E112" s="29">
        <v>100</v>
      </c>
      <c r="F112" s="38">
        <f t="shared" ref="F112:F118" si="7">E112*1500</f>
        <v>150000</v>
      </c>
      <c r="G112" s="38">
        <f t="shared" si="5"/>
        <v>50000</v>
      </c>
      <c r="H112" s="38">
        <f t="shared" ref="H112:H118" si="8">E112*1000</f>
        <v>100000</v>
      </c>
    </row>
    <row r="113" spans="1:8" x14ac:dyDescent="0.25">
      <c r="A113" s="29"/>
      <c r="B113" s="29"/>
      <c r="C113" s="29"/>
      <c r="D113" s="29"/>
      <c r="E113" s="29">
        <v>100</v>
      </c>
      <c r="F113" s="38">
        <f t="shared" si="7"/>
        <v>150000</v>
      </c>
      <c r="G113" s="38">
        <f t="shared" si="5"/>
        <v>50000</v>
      </c>
      <c r="H113" s="38">
        <f t="shared" si="8"/>
        <v>100000</v>
      </c>
    </row>
    <row r="114" spans="1:8" x14ac:dyDescent="0.25">
      <c r="A114" s="29"/>
      <c r="B114" s="29"/>
      <c r="C114" s="29"/>
      <c r="D114" s="29"/>
      <c r="E114" s="29">
        <v>100</v>
      </c>
      <c r="F114" s="38">
        <f t="shared" si="7"/>
        <v>150000</v>
      </c>
      <c r="G114" s="38">
        <f t="shared" si="5"/>
        <v>50000</v>
      </c>
      <c r="H114" s="38">
        <f t="shared" si="8"/>
        <v>100000</v>
      </c>
    </row>
    <row r="115" spans="1:8" x14ac:dyDescent="0.25">
      <c r="A115" s="29"/>
      <c r="B115" s="29"/>
      <c r="C115" s="29"/>
      <c r="D115" s="29"/>
      <c r="E115" s="29">
        <v>108</v>
      </c>
      <c r="F115" s="38">
        <f t="shared" si="7"/>
        <v>162000</v>
      </c>
      <c r="G115" s="38">
        <f t="shared" si="5"/>
        <v>54000</v>
      </c>
      <c r="H115" s="38">
        <f t="shared" si="8"/>
        <v>108000</v>
      </c>
    </row>
    <row r="116" spans="1:8" x14ac:dyDescent="0.25">
      <c r="A116" s="29"/>
      <c r="B116" s="29"/>
      <c r="C116" s="29"/>
      <c r="D116" s="29"/>
      <c r="E116" s="29">
        <v>75</v>
      </c>
      <c r="F116" s="38">
        <f t="shared" si="7"/>
        <v>112500</v>
      </c>
      <c r="G116" s="38">
        <f t="shared" si="5"/>
        <v>37500</v>
      </c>
      <c r="H116" s="38">
        <f t="shared" si="8"/>
        <v>75000</v>
      </c>
    </row>
    <row r="117" spans="1:8" x14ac:dyDescent="0.25">
      <c r="A117" s="29"/>
      <c r="B117" s="29"/>
      <c r="C117" s="29"/>
      <c r="D117" s="29"/>
      <c r="E117" s="29">
        <v>80</v>
      </c>
      <c r="F117" s="38">
        <f t="shared" si="7"/>
        <v>120000</v>
      </c>
      <c r="G117" s="38">
        <f t="shared" si="5"/>
        <v>40000</v>
      </c>
      <c r="H117" s="38">
        <f t="shared" si="8"/>
        <v>80000</v>
      </c>
    </row>
    <row r="118" spans="1:8" x14ac:dyDescent="0.25">
      <c r="A118" s="29"/>
      <c r="B118" s="29"/>
      <c r="C118" s="29" t="s">
        <v>10</v>
      </c>
      <c r="D118" s="29" t="s">
        <v>11</v>
      </c>
      <c r="E118" s="29">
        <v>5</v>
      </c>
      <c r="F118" s="38">
        <f t="shared" si="7"/>
        <v>7500</v>
      </c>
      <c r="G118" s="38">
        <f t="shared" si="5"/>
        <v>2500</v>
      </c>
      <c r="H118" s="38">
        <f t="shared" si="8"/>
        <v>5000</v>
      </c>
    </row>
    <row r="119" spans="1:8" x14ac:dyDescent="0.25">
      <c r="A119" s="29"/>
      <c r="B119" s="29"/>
      <c r="C119" s="29"/>
      <c r="D119" s="29" t="s">
        <v>13</v>
      </c>
      <c r="E119" s="29">
        <v>7</v>
      </c>
      <c r="F119" s="38">
        <f>E119*6500</f>
        <v>45500</v>
      </c>
      <c r="G119" s="38">
        <f>E119*4500</f>
        <v>31500</v>
      </c>
      <c r="H119" s="38">
        <f>E119*2000</f>
        <v>14000</v>
      </c>
    </row>
    <row r="120" spans="1:8" x14ac:dyDescent="0.25">
      <c r="A120" s="29"/>
      <c r="B120" s="29"/>
      <c r="C120" s="29"/>
      <c r="D120" s="29" t="s">
        <v>14</v>
      </c>
      <c r="E120" s="29">
        <v>34</v>
      </c>
      <c r="F120" s="38">
        <f>E120*10000</f>
        <v>340000</v>
      </c>
      <c r="G120" s="38">
        <f>E120*5500</f>
        <v>187000</v>
      </c>
      <c r="H120" s="38">
        <f>E120*4500</f>
        <v>153000</v>
      </c>
    </row>
    <row r="121" spans="1:8" x14ac:dyDescent="0.25">
      <c r="A121" s="29"/>
      <c r="B121" s="29"/>
      <c r="C121" s="29" t="s">
        <v>16</v>
      </c>
      <c r="D121" s="29" t="s">
        <v>11</v>
      </c>
      <c r="E121" s="29">
        <v>45</v>
      </c>
      <c r="F121" s="38">
        <f>E121*1500</f>
        <v>67500</v>
      </c>
      <c r="G121" s="38">
        <f>E121*500</f>
        <v>22500</v>
      </c>
      <c r="H121" s="38">
        <v>45000</v>
      </c>
    </row>
    <row r="122" spans="1:8" x14ac:dyDescent="0.25">
      <c r="A122" s="29"/>
      <c r="B122" s="29"/>
      <c r="C122" s="29"/>
      <c r="D122" s="29" t="s">
        <v>12</v>
      </c>
      <c r="E122" s="29">
        <v>1</v>
      </c>
      <c r="F122" s="38">
        <v>3000</v>
      </c>
      <c r="G122" s="38">
        <v>2000</v>
      </c>
      <c r="H122" s="38">
        <v>1000</v>
      </c>
    </row>
    <row r="123" spans="1:8" x14ac:dyDescent="0.25">
      <c r="A123" s="29"/>
      <c r="B123" s="29"/>
      <c r="C123" s="29"/>
      <c r="D123" s="29" t="s">
        <v>13</v>
      </c>
      <c r="E123" s="29">
        <v>1</v>
      </c>
      <c r="F123" s="38">
        <v>6500</v>
      </c>
      <c r="G123" s="38">
        <v>4500</v>
      </c>
      <c r="H123" s="38">
        <v>2000</v>
      </c>
    </row>
    <row r="124" spans="1:8" x14ac:dyDescent="0.25">
      <c r="A124" s="125" t="s">
        <v>17</v>
      </c>
      <c r="B124" s="125"/>
      <c r="C124" s="125"/>
      <c r="D124" s="125"/>
      <c r="E124" s="17">
        <f>SUM(E104:E123)</f>
        <v>1256</v>
      </c>
      <c r="F124" s="17">
        <f>SUM(F104:F123)</f>
        <v>2394500</v>
      </c>
      <c r="G124" s="17">
        <f>SUM(G104:G123)</f>
        <v>831500</v>
      </c>
      <c r="H124" s="17">
        <f>SUM(H104:H123)</f>
        <v>1563000</v>
      </c>
    </row>
    <row r="125" spans="1:8" x14ac:dyDescent="0.25">
      <c r="A125" s="29" t="s">
        <v>28</v>
      </c>
      <c r="B125" s="37">
        <v>44877</v>
      </c>
      <c r="C125" s="29" t="s">
        <v>402</v>
      </c>
      <c r="D125" s="29" t="s">
        <v>11</v>
      </c>
      <c r="E125" s="29">
        <v>12</v>
      </c>
      <c r="F125" s="38">
        <f>E125*1500</f>
        <v>18000</v>
      </c>
      <c r="G125" s="38">
        <f>E125*500</f>
        <v>6000</v>
      </c>
      <c r="H125" s="38">
        <v>12000</v>
      </c>
    </row>
    <row r="126" spans="1:8" x14ac:dyDescent="0.25">
      <c r="A126" s="29"/>
      <c r="B126" s="29"/>
      <c r="C126" s="29"/>
      <c r="D126" s="29" t="s">
        <v>13</v>
      </c>
      <c r="E126" s="29">
        <v>36</v>
      </c>
      <c r="F126" s="38">
        <f>E126*6500</f>
        <v>234000</v>
      </c>
      <c r="G126" s="38">
        <f>E126*4500</f>
        <v>162000</v>
      </c>
      <c r="H126" s="38">
        <f>E126*2000</f>
        <v>72000</v>
      </c>
    </row>
    <row r="127" spans="1:8" x14ac:dyDescent="0.25">
      <c r="A127" s="29"/>
      <c r="B127" s="29"/>
      <c r="C127" s="29"/>
      <c r="D127" s="29" t="s">
        <v>14</v>
      </c>
      <c r="E127" s="29">
        <v>19</v>
      </c>
      <c r="F127" s="38">
        <f>E127*10000</f>
        <v>190000</v>
      </c>
      <c r="G127" s="38">
        <f>E127*5500</f>
        <v>104500</v>
      </c>
      <c r="H127" s="38">
        <f>E127*4500</f>
        <v>85500</v>
      </c>
    </row>
    <row r="128" spans="1:8" x14ac:dyDescent="0.25">
      <c r="A128" s="125" t="s">
        <v>17</v>
      </c>
      <c r="B128" s="125"/>
      <c r="C128" s="125"/>
      <c r="D128" s="125"/>
      <c r="E128" s="17">
        <f>SUM(E125:E127)</f>
        <v>67</v>
      </c>
      <c r="F128" s="17">
        <f>SUM(F125:F127)</f>
        <v>442000</v>
      </c>
      <c r="G128" s="17">
        <f>SUM(G125:G127)</f>
        <v>272500</v>
      </c>
      <c r="H128" s="17">
        <f>SUM(H125:H127)</f>
        <v>169500</v>
      </c>
    </row>
    <row r="129" spans="1:8" x14ac:dyDescent="0.25">
      <c r="A129" s="29"/>
      <c r="B129" s="29"/>
      <c r="C129" s="29" t="s">
        <v>16</v>
      </c>
      <c r="D129" s="29" t="s">
        <v>11</v>
      </c>
      <c r="E129" s="29">
        <v>69</v>
      </c>
      <c r="F129" s="38">
        <f>E129*1500</f>
        <v>103500</v>
      </c>
      <c r="G129" s="38">
        <f>E129*500</f>
        <v>34500</v>
      </c>
      <c r="H129" s="38">
        <v>69000</v>
      </c>
    </row>
    <row r="130" spans="1:8" x14ac:dyDescent="0.25">
      <c r="A130" s="29"/>
      <c r="B130" s="29"/>
      <c r="C130" s="29"/>
      <c r="D130" s="29" t="s">
        <v>12</v>
      </c>
      <c r="E130" s="29">
        <v>2</v>
      </c>
      <c r="F130" s="38">
        <f>E130*3000</f>
        <v>6000</v>
      </c>
      <c r="G130" s="38">
        <f>E130*2000</f>
        <v>4000</v>
      </c>
      <c r="H130" s="38">
        <v>2000</v>
      </c>
    </row>
    <row r="131" spans="1:8" x14ac:dyDescent="0.25">
      <c r="A131" s="29"/>
      <c r="B131" s="29"/>
      <c r="C131" s="29"/>
      <c r="D131" s="29" t="s">
        <v>13</v>
      </c>
      <c r="E131" s="29">
        <v>2</v>
      </c>
      <c r="F131" s="38">
        <f>E131*6500</f>
        <v>13000</v>
      </c>
      <c r="G131" s="38">
        <f>E131*4500</f>
        <v>9000</v>
      </c>
      <c r="H131" s="38">
        <f>E131*2000</f>
        <v>4000</v>
      </c>
    </row>
    <row r="132" spans="1:8" x14ac:dyDescent="0.25">
      <c r="A132" s="126" t="s">
        <v>17</v>
      </c>
      <c r="B132" s="126"/>
      <c r="C132" s="126"/>
      <c r="D132" s="126"/>
      <c r="E132" s="16">
        <f>SUM(E129:E131)</f>
        <v>73</v>
      </c>
      <c r="F132" s="17">
        <f>SUM(F129:F131)</f>
        <v>122500</v>
      </c>
      <c r="G132" s="17">
        <f>SUM(G129:G131)</f>
        <v>47500</v>
      </c>
      <c r="H132" s="17">
        <f>SUM(H129:H131)</f>
        <v>75000</v>
      </c>
    </row>
    <row r="133" spans="1:8" x14ac:dyDescent="0.25">
      <c r="A133" s="29" t="s">
        <v>30</v>
      </c>
      <c r="B133" s="37">
        <v>44907</v>
      </c>
      <c r="C133" s="29" t="s">
        <v>288</v>
      </c>
      <c r="D133" s="29" t="s">
        <v>11</v>
      </c>
      <c r="E133" s="29">
        <f>45-29</f>
        <v>16</v>
      </c>
      <c r="F133" s="38">
        <f>E133*1800</f>
        <v>28800</v>
      </c>
      <c r="G133" s="38">
        <f>E133*500</f>
        <v>8000</v>
      </c>
      <c r="H133" s="38">
        <f>E133*1300</f>
        <v>20800</v>
      </c>
    </row>
    <row r="134" spans="1:8" x14ac:dyDescent="0.25">
      <c r="A134" s="29"/>
      <c r="B134" s="29"/>
      <c r="C134" s="29" t="s">
        <v>106</v>
      </c>
      <c r="D134" s="29" t="s">
        <v>11</v>
      </c>
      <c r="E134" s="29">
        <f>25-13</f>
        <v>12</v>
      </c>
      <c r="F134" s="38">
        <f>E134*1500</f>
        <v>18000</v>
      </c>
      <c r="G134" s="38">
        <f>E134*500</f>
        <v>6000</v>
      </c>
      <c r="H134" s="38">
        <v>12000</v>
      </c>
    </row>
    <row r="135" spans="1:8" x14ac:dyDescent="0.25">
      <c r="A135" s="29"/>
      <c r="B135" s="29"/>
      <c r="C135" s="29" t="s">
        <v>16</v>
      </c>
      <c r="D135" s="29" t="s">
        <v>11</v>
      </c>
      <c r="E135" s="29">
        <v>27</v>
      </c>
      <c r="F135" s="38">
        <f>E135*1500</f>
        <v>40500</v>
      </c>
      <c r="G135" s="38">
        <f>E135*500</f>
        <v>13500</v>
      </c>
      <c r="H135" s="38">
        <v>27000</v>
      </c>
    </row>
    <row r="136" spans="1:8" x14ac:dyDescent="0.25">
      <c r="A136" s="29"/>
      <c r="B136" s="29"/>
      <c r="C136" s="29"/>
      <c r="D136" s="29" t="s">
        <v>12</v>
      </c>
      <c r="E136" s="29">
        <v>3</v>
      </c>
      <c r="F136" s="38">
        <f>E136*3000</f>
        <v>9000</v>
      </c>
      <c r="G136" s="38">
        <f>E136*2000</f>
        <v>6000</v>
      </c>
      <c r="H136" s="38">
        <v>3000</v>
      </c>
    </row>
    <row r="137" spans="1:8" x14ac:dyDescent="0.25">
      <c r="A137" s="29"/>
      <c r="B137" s="29"/>
      <c r="C137" s="29"/>
      <c r="D137" s="29" t="s">
        <v>13</v>
      </c>
      <c r="E137" s="29">
        <v>2</v>
      </c>
      <c r="F137" s="38">
        <f>E137*6500</f>
        <v>13000</v>
      </c>
      <c r="G137" s="38">
        <f>E137*4500</f>
        <v>9000</v>
      </c>
      <c r="H137" s="38">
        <f>E137*2000</f>
        <v>4000</v>
      </c>
    </row>
    <row r="138" spans="1:8" x14ac:dyDescent="0.25">
      <c r="A138" s="29"/>
      <c r="B138" s="29"/>
      <c r="C138" s="29"/>
      <c r="D138" s="29" t="s">
        <v>14</v>
      </c>
      <c r="E138" s="29">
        <v>2</v>
      </c>
      <c r="F138" s="38">
        <f>E138*10000</f>
        <v>20000</v>
      </c>
      <c r="G138" s="38">
        <f>E138*5500</f>
        <v>11000</v>
      </c>
      <c r="H138" s="38">
        <f>E138*4500</f>
        <v>9000</v>
      </c>
    </row>
    <row r="139" spans="1:8" x14ac:dyDescent="0.25">
      <c r="A139" s="126" t="s">
        <v>17</v>
      </c>
      <c r="B139" s="126"/>
      <c r="C139" s="126"/>
      <c r="D139" s="126"/>
      <c r="E139" s="16">
        <f>SUM(E133:E138)</f>
        <v>62</v>
      </c>
      <c r="F139" s="17">
        <f>SUM(F133:F138)</f>
        <v>129300</v>
      </c>
      <c r="G139" s="17">
        <f>SUM(G133:G138)</f>
        <v>53500</v>
      </c>
      <c r="H139" s="17">
        <f>SUM(H133:H138)</f>
        <v>75800</v>
      </c>
    </row>
    <row r="140" spans="1:8" x14ac:dyDescent="0.25">
      <c r="A140" s="29" t="s">
        <v>32</v>
      </c>
      <c r="B140" s="29" t="s">
        <v>403</v>
      </c>
      <c r="C140" s="29" t="s">
        <v>288</v>
      </c>
      <c r="D140" s="29" t="s">
        <v>11</v>
      </c>
      <c r="E140" s="29">
        <v>40</v>
      </c>
      <c r="F140" s="38">
        <f>E140*1800</f>
        <v>72000</v>
      </c>
      <c r="G140" s="38">
        <f>E140*500</f>
        <v>20000</v>
      </c>
      <c r="H140" s="38">
        <f>E140*1300</f>
        <v>52000</v>
      </c>
    </row>
    <row r="141" spans="1:8" x14ac:dyDescent="0.25">
      <c r="A141" s="29"/>
      <c r="B141" s="29"/>
      <c r="C141" s="29" t="s">
        <v>106</v>
      </c>
      <c r="D141" s="29" t="s">
        <v>11</v>
      </c>
      <c r="E141" s="29">
        <v>21</v>
      </c>
      <c r="F141" s="38">
        <f>E141*1500</f>
        <v>31500</v>
      </c>
      <c r="G141" s="38">
        <f>E141*500</f>
        <v>10500</v>
      </c>
      <c r="H141" s="38">
        <v>21000</v>
      </c>
    </row>
    <row r="142" spans="1:8" x14ac:dyDescent="0.25">
      <c r="A142" s="29"/>
      <c r="B142" s="29"/>
      <c r="C142" s="29" t="s">
        <v>10</v>
      </c>
      <c r="D142" s="29" t="s">
        <v>11</v>
      </c>
      <c r="E142" s="29">
        <v>25</v>
      </c>
      <c r="F142" s="38">
        <f>E142*1500</f>
        <v>37500</v>
      </c>
      <c r="G142" s="38">
        <f>E142*500</f>
        <v>12500</v>
      </c>
      <c r="H142" s="38">
        <v>25000</v>
      </c>
    </row>
    <row r="143" spans="1:8" x14ac:dyDescent="0.25">
      <c r="A143" s="29"/>
      <c r="B143" s="29"/>
      <c r="C143" s="29"/>
      <c r="D143" s="29" t="s">
        <v>13</v>
      </c>
      <c r="E143" s="29">
        <v>17</v>
      </c>
      <c r="F143" s="38">
        <f>E143*6500</f>
        <v>110500</v>
      </c>
      <c r="G143" s="38">
        <f>E143*4500</f>
        <v>76500</v>
      </c>
      <c r="H143" s="38">
        <f>E143*2000</f>
        <v>34000</v>
      </c>
    </row>
    <row r="144" spans="1:8" x14ac:dyDescent="0.25">
      <c r="A144" s="29"/>
      <c r="B144" s="29"/>
      <c r="C144" s="29"/>
      <c r="D144" s="29" t="s">
        <v>14</v>
      </c>
      <c r="E144" s="29">
        <v>4</v>
      </c>
      <c r="F144" s="38">
        <f>E144*8000</f>
        <v>32000</v>
      </c>
      <c r="G144" s="38">
        <f>E144*5500</f>
        <v>22000</v>
      </c>
      <c r="H144" s="38">
        <f>E144*2500</f>
        <v>10000</v>
      </c>
    </row>
    <row r="145" spans="1:8" x14ac:dyDescent="0.25">
      <c r="A145" s="29"/>
      <c r="B145" s="29"/>
      <c r="C145" s="29"/>
      <c r="D145" s="29"/>
      <c r="E145" s="29">
        <v>8</v>
      </c>
      <c r="F145" s="38">
        <f>E145*10000</f>
        <v>80000</v>
      </c>
      <c r="G145" s="38">
        <f>E145*5500</f>
        <v>44000</v>
      </c>
      <c r="H145" s="38">
        <f>E145*4500</f>
        <v>36000</v>
      </c>
    </row>
    <row r="146" spans="1:8" x14ac:dyDescent="0.25">
      <c r="A146" s="29"/>
      <c r="B146" s="29"/>
      <c r="C146" s="29"/>
      <c r="D146" s="29" t="s">
        <v>11</v>
      </c>
      <c r="E146" s="29">
        <v>60</v>
      </c>
      <c r="F146" s="38">
        <f>E146*1500</f>
        <v>90000</v>
      </c>
      <c r="G146" s="38">
        <f>E146*500</f>
        <v>30000</v>
      </c>
      <c r="H146" s="38">
        <f>E146*1000</f>
        <v>60000</v>
      </c>
    </row>
    <row r="147" spans="1:8" x14ac:dyDescent="0.25">
      <c r="A147" s="29"/>
      <c r="B147" s="29"/>
      <c r="C147" s="29"/>
      <c r="D147" s="29" t="s">
        <v>13</v>
      </c>
      <c r="E147" s="29">
        <v>6</v>
      </c>
      <c r="F147" s="38">
        <f>E147*6500</f>
        <v>39000</v>
      </c>
      <c r="G147" s="38">
        <f>E147*4500</f>
        <v>27000</v>
      </c>
      <c r="H147" s="38">
        <f>E147*2000</f>
        <v>12000</v>
      </c>
    </row>
    <row r="148" spans="1:8" x14ac:dyDescent="0.25">
      <c r="A148" s="29"/>
      <c r="B148" s="29"/>
      <c r="C148" s="29"/>
      <c r="D148" s="29" t="s">
        <v>14</v>
      </c>
      <c r="E148" s="29">
        <v>2</v>
      </c>
      <c r="F148" s="38">
        <f>E148*8000</f>
        <v>16000</v>
      </c>
      <c r="G148" s="38">
        <f>E148*5500</f>
        <v>11000</v>
      </c>
      <c r="H148" s="38">
        <f>E148*2500</f>
        <v>5000</v>
      </c>
    </row>
    <row r="149" spans="1:8" x14ac:dyDescent="0.25">
      <c r="A149" s="29"/>
      <c r="B149" s="29"/>
      <c r="C149" s="29"/>
      <c r="D149" s="29" t="s">
        <v>404</v>
      </c>
      <c r="E149" s="29">
        <v>30</v>
      </c>
      <c r="F149" s="38">
        <f>E149*3500</f>
        <v>105000</v>
      </c>
      <c r="G149" s="38">
        <f>E149*1500</f>
        <v>45000</v>
      </c>
      <c r="H149" s="38">
        <f>E149*2000</f>
        <v>60000</v>
      </c>
    </row>
    <row r="150" spans="1:8" x14ac:dyDescent="0.25">
      <c r="A150" s="29"/>
      <c r="B150" s="29"/>
      <c r="C150" s="29" t="s">
        <v>217</v>
      </c>
      <c r="D150" s="29" t="s">
        <v>11</v>
      </c>
      <c r="E150" s="29">
        <v>65</v>
      </c>
      <c r="F150" s="38">
        <f>E150*1500</f>
        <v>97500</v>
      </c>
      <c r="G150" s="38">
        <f>E150*500</f>
        <v>32500</v>
      </c>
      <c r="H150" s="38">
        <f>E150*1000</f>
        <v>65000</v>
      </c>
    </row>
    <row r="151" spans="1:8" x14ac:dyDescent="0.25">
      <c r="A151" s="29"/>
      <c r="B151" s="29"/>
      <c r="C151" s="29"/>
      <c r="D151" s="29" t="s">
        <v>13</v>
      </c>
      <c r="E151" s="29">
        <v>2</v>
      </c>
      <c r="F151" s="38">
        <f>E151*6500</f>
        <v>13000</v>
      </c>
      <c r="G151" s="38">
        <f>E151*4500</f>
        <v>9000</v>
      </c>
      <c r="H151" s="38">
        <v>4000</v>
      </c>
    </row>
    <row r="152" spans="1:8" x14ac:dyDescent="0.25">
      <c r="A152" s="29"/>
      <c r="B152" s="29"/>
      <c r="C152" s="29"/>
      <c r="D152" s="29" t="s">
        <v>14</v>
      </c>
      <c r="E152" s="29">
        <v>4</v>
      </c>
      <c r="F152" s="38">
        <f>E152*8000</f>
        <v>32000</v>
      </c>
      <c r="G152" s="38">
        <f>E152*5500</f>
        <v>22000</v>
      </c>
      <c r="H152" s="38">
        <f>E152*2500</f>
        <v>10000</v>
      </c>
    </row>
    <row r="153" spans="1:8" x14ac:dyDescent="0.25">
      <c r="A153" s="29"/>
      <c r="B153" s="29"/>
      <c r="C153" s="29" t="s">
        <v>16</v>
      </c>
      <c r="D153" s="29" t="s">
        <v>11</v>
      </c>
      <c r="E153" s="29">
        <v>69</v>
      </c>
      <c r="F153" s="38">
        <f>E153*1500</f>
        <v>103500</v>
      </c>
      <c r="G153" s="38">
        <f>E153*500</f>
        <v>34500</v>
      </c>
      <c r="H153" s="38">
        <v>69000</v>
      </c>
    </row>
    <row r="154" spans="1:8" x14ac:dyDescent="0.25">
      <c r="A154" s="29"/>
      <c r="B154" s="29"/>
      <c r="C154" s="29"/>
      <c r="D154" s="29" t="s">
        <v>12</v>
      </c>
      <c r="E154" s="29">
        <v>8</v>
      </c>
      <c r="F154" s="38">
        <f>E154*3000</f>
        <v>24000</v>
      </c>
      <c r="G154" s="38">
        <f>E154*2000</f>
        <v>16000</v>
      </c>
      <c r="H154" s="38">
        <v>8000</v>
      </c>
    </row>
    <row r="155" spans="1:8" x14ac:dyDescent="0.25">
      <c r="A155" s="29"/>
      <c r="B155" s="29"/>
      <c r="C155" s="29"/>
      <c r="D155" s="29" t="s">
        <v>13</v>
      </c>
      <c r="E155" s="29">
        <v>2</v>
      </c>
      <c r="F155" s="38">
        <f>E155*6500</f>
        <v>13000</v>
      </c>
      <c r="G155" s="38">
        <f>E155*4500</f>
        <v>9000</v>
      </c>
      <c r="H155" s="38">
        <f>E155*2000</f>
        <v>4000</v>
      </c>
    </row>
    <row r="156" spans="1:8" x14ac:dyDescent="0.25">
      <c r="A156" s="29"/>
      <c r="B156" s="29"/>
      <c r="C156" s="29"/>
      <c r="D156" s="29" t="s">
        <v>14</v>
      </c>
      <c r="E156" s="29">
        <v>1</v>
      </c>
      <c r="F156" s="38">
        <v>10000</v>
      </c>
      <c r="G156" s="38">
        <v>5500</v>
      </c>
      <c r="H156" s="38">
        <v>4500</v>
      </c>
    </row>
    <row r="157" spans="1:8" x14ac:dyDescent="0.25">
      <c r="A157" s="29"/>
      <c r="B157" s="29"/>
      <c r="C157" s="29"/>
      <c r="D157" s="29" t="s">
        <v>243</v>
      </c>
      <c r="E157" s="29">
        <v>1</v>
      </c>
      <c r="F157" s="38">
        <v>13000</v>
      </c>
      <c r="G157" s="38">
        <v>10000</v>
      </c>
      <c r="H157" s="38">
        <v>3000</v>
      </c>
    </row>
    <row r="158" spans="1:8" x14ac:dyDescent="0.25">
      <c r="A158" s="125" t="s">
        <v>17</v>
      </c>
      <c r="B158" s="125"/>
      <c r="C158" s="125"/>
      <c r="D158" s="125"/>
      <c r="E158" s="17">
        <f>SUM(E140:E157)</f>
        <v>365</v>
      </c>
      <c r="F158" s="17">
        <f>SUM(F140:F157)</f>
        <v>919500</v>
      </c>
      <c r="G158" s="17">
        <f>SUM(G140:G157)</f>
        <v>437000</v>
      </c>
      <c r="H158" s="17">
        <f>SUM(H140:H157)</f>
        <v>482500</v>
      </c>
    </row>
    <row r="159" spans="1:8" x14ac:dyDescent="0.25">
      <c r="A159" s="29" t="s">
        <v>8</v>
      </c>
      <c r="B159" s="29" t="s">
        <v>405</v>
      </c>
      <c r="C159" s="29" t="s">
        <v>288</v>
      </c>
      <c r="D159" s="29" t="s">
        <v>11</v>
      </c>
      <c r="E159" s="29">
        <v>40</v>
      </c>
      <c r="F159" s="29">
        <f>E159*1800</f>
        <v>72000</v>
      </c>
      <c r="G159" s="29">
        <f>E159*500</f>
        <v>20000</v>
      </c>
      <c r="H159" s="29">
        <f>E159*1000</f>
        <v>40000</v>
      </c>
    </row>
    <row r="160" spans="1:8" x14ac:dyDescent="0.25">
      <c r="A160" s="29"/>
      <c r="B160" s="29"/>
      <c r="C160" s="29" t="s">
        <v>108</v>
      </c>
      <c r="D160" s="29" t="s">
        <v>11</v>
      </c>
      <c r="E160" s="29">
        <v>25</v>
      </c>
      <c r="F160" s="29">
        <v>37500</v>
      </c>
      <c r="G160" s="29">
        <f>E160*500</f>
        <v>12500</v>
      </c>
      <c r="H160" s="29">
        <v>25000</v>
      </c>
    </row>
    <row r="161" spans="1:8" x14ac:dyDescent="0.25">
      <c r="A161" s="29"/>
      <c r="B161" s="29"/>
      <c r="C161" s="29" t="s">
        <v>16</v>
      </c>
      <c r="D161" s="29" t="s">
        <v>11</v>
      </c>
      <c r="E161" s="29">
        <v>44</v>
      </c>
      <c r="F161" s="29">
        <f>E161*1500</f>
        <v>66000</v>
      </c>
      <c r="G161" s="29">
        <f>E161*500</f>
        <v>22000</v>
      </c>
      <c r="H161" s="29">
        <v>44000</v>
      </c>
    </row>
    <row r="162" spans="1:8" x14ac:dyDescent="0.25">
      <c r="A162" s="29"/>
      <c r="B162" s="29"/>
      <c r="C162" s="29"/>
      <c r="D162" s="29" t="s">
        <v>12</v>
      </c>
      <c r="E162" s="29">
        <v>7</v>
      </c>
      <c r="F162" s="29">
        <f>E162*3000</f>
        <v>21000</v>
      </c>
      <c r="G162" s="29">
        <f>E162*2000</f>
        <v>14000</v>
      </c>
      <c r="H162" s="29">
        <v>7000</v>
      </c>
    </row>
    <row r="163" spans="1:8" x14ac:dyDescent="0.25">
      <c r="A163" s="29"/>
      <c r="B163" s="29"/>
      <c r="C163" s="29"/>
      <c r="D163" s="29" t="s">
        <v>14</v>
      </c>
      <c r="E163" s="29">
        <v>1</v>
      </c>
      <c r="F163" s="29">
        <v>10000</v>
      </c>
      <c r="G163" s="29">
        <v>5500</v>
      </c>
      <c r="H163" s="29">
        <v>4500</v>
      </c>
    </row>
    <row r="164" spans="1:8" x14ac:dyDescent="0.25">
      <c r="A164" s="29"/>
      <c r="B164" s="29"/>
      <c r="C164" s="29" t="s">
        <v>373</v>
      </c>
      <c r="D164" s="29" t="s">
        <v>243</v>
      </c>
      <c r="E164" s="29">
        <v>4</v>
      </c>
      <c r="F164" s="29">
        <f>E164*13000</f>
        <v>52000</v>
      </c>
      <c r="G164" s="29">
        <f>E164*10000</f>
        <v>40000</v>
      </c>
      <c r="H164" s="29">
        <v>12000</v>
      </c>
    </row>
    <row r="165" spans="1:8" x14ac:dyDescent="0.25">
      <c r="A165" s="126" t="s">
        <v>17</v>
      </c>
      <c r="B165" s="126"/>
      <c r="C165" s="126"/>
      <c r="D165" s="126"/>
      <c r="E165" s="16">
        <f>SUM(E159:E164)</f>
        <v>121</v>
      </c>
      <c r="F165" s="17">
        <f>SUM(F159:F164)</f>
        <v>258500</v>
      </c>
      <c r="G165" s="17">
        <f>SUM(G159:G164)</f>
        <v>114000</v>
      </c>
      <c r="H165" s="17">
        <f>SUM(H159:H164)</f>
        <v>132500</v>
      </c>
    </row>
    <row r="166" spans="1:8" x14ac:dyDescent="0.25">
      <c r="A166" s="29" t="s">
        <v>18</v>
      </c>
      <c r="B166" s="29" t="s">
        <v>406</v>
      </c>
      <c r="C166" s="29" t="s">
        <v>288</v>
      </c>
      <c r="D166" s="29" t="s">
        <v>11</v>
      </c>
      <c r="E166" s="29">
        <v>45</v>
      </c>
      <c r="F166" s="38">
        <f>E166*1800</f>
        <v>81000</v>
      </c>
      <c r="G166" s="38">
        <f>E166*500</f>
        <v>22500</v>
      </c>
      <c r="H166" s="38">
        <f>E166*1300</f>
        <v>58500</v>
      </c>
    </row>
    <row r="167" spans="1:8" x14ac:dyDescent="0.25">
      <c r="A167" s="29"/>
      <c r="B167" s="29"/>
      <c r="C167" s="29" t="s">
        <v>106</v>
      </c>
      <c r="D167" s="29" t="s">
        <v>11</v>
      </c>
      <c r="E167" s="29">
        <v>12</v>
      </c>
      <c r="F167" s="38">
        <f>E167*1500</f>
        <v>18000</v>
      </c>
      <c r="G167" s="38">
        <f>E167*500</f>
        <v>6000</v>
      </c>
      <c r="H167" s="38">
        <v>12000</v>
      </c>
    </row>
    <row r="168" spans="1:8" x14ac:dyDescent="0.25">
      <c r="A168" s="29"/>
      <c r="B168" s="29"/>
      <c r="C168" s="29" t="s">
        <v>292</v>
      </c>
      <c r="D168" s="29" t="s">
        <v>11</v>
      </c>
      <c r="E168" s="29">
        <v>22</v>
      </c>
      <c r="F168" s="38">
        <f>E168*1500</f>
        <v>33000</v>
      </c>
      <c r="G168" s="38">
        <f>E168*500</f>
        <v>11000</v>
      </c>
      <c r="H168" s="38">
        <v>22000</v>
      </c>
    </row>
    <row r="169" spans="1:8" x14ac:dyDescent="0.25">
      <c r="A169" s="29"/>
      <c r="B169" s="29"/>
      <c r="C169" s="29" t="s">
        <v>16</v>
      </c>
      <c r="D169" s="29" t="s">
        <v>11</v>
      </c>
      <c r="E169" s="29">
        <v>52</v>
      </c>
      <c r="F169" s="38">
        <f>E169*1500</f>
        <v>78000</v>
      </c>
      <c r="G169" s="38">
        <f>E169*500</f>
        <v>26000</v>
      </c>
      <c r="H169" s="38">
        <v>52000</v>
      </c>
    </row>
    <row r="170" spans="1:8" x14ac:dyDescent="0.25">
      <c r="A170" s="29"/>
      <c r="B170" s="29"/>
      <c r="C170" s="29"/>
      <c r="D170" s="29" t="s">
        <v>12</v>
      </c>
      <c r="E170" s="29">
        <v>7</v>
      </c>
      <c r="F170" s="38">
        <f>E170*3000</f>
        <v>21000</v>
      </c>
      <c r="G170" s="38">
        <f>E170*2000</f>
        <v>14000</v>
      </c>
      <c r="H170" s="38">
        <v>7000</v>
      </c>
    </row>
    <row r="171" spans="1:8" x14ac:dyDescent="0.25">
      <c r="A171" s="29"/>
      <c r="B171" s="29"/>
      <c r="C171" s="29"/>
      <c r="D171" s="29" t="s">
        <v>13</v>
      </c>
      <c r="E171" s="29">
        <v>1</v>
      </c>
      <c r="F171" s="38">
        <v>6500</v>
      </c>
      <c r="G171" s="38">
        <v>4500</v>
      </c>
      <c r="H171" s="38">
        <v>2000</v>
      </c>
    </row>
    <row r="172" spans="1:8" x14ac:dyDescent="0.25">
      <c r="A172" s="29"/>
      <c r="B172" s="29"/>
      <c r="C172" s="29" t="s">
        <v>10</v>
      </c>
      <c r="D172" s="29" t="s">
        <v>11</v>
      </c>
      <c r="E172" s="29">
        <v>30</v>
      </c>
      <c r="F172" s="38">
        <f>E172*1500</f>
        <v>45000</v>
      </c>
      <c r="G172" s="38">
        <f>E172*500</f>
        <v>15000</v>
      </c>
      <c r="H172" s="38">
        <v>30000</v>
      </c>
    </row>
    <row r="173" spans="1:8" x14ac:dyDescent="0.25">
      <c r="A173" s="29"/>
      <c r="B173" s="29"/>
      <c r="C173" s="29"/>
      <c r="D173" s="29" t="s">
        <v>13</v>
      </c>
      <c r="E173" s="29">
        <v>2</v>
      </c>
      <c r="F173" s="38">
        <f>E173*6500</f>
        <v>13000</v>
      </c>
      <c r="G173" s="38">
        <f>E173*4500</f>
        <v>9000</v>
      </c>
      <c r="H173" s="38">
        <f>E173*2000</f>
        <v>4000</v>
      </c>
    </row>
    <row r="174" spans="1:8" x14ac:dyDescent="0.25">
      <c r="A174" s="29"/>
      <c r="B174" s="29"/>
      <c r="C174" s="29"/>
      <c r="D174" s="29" t="s">
        <v>14</v>
      </c>
      <c r="E174" s="29">
        <v>4</v>
      </c>
      <c r="F174" s="38">
        <f>E174*8000</f>
        <v>32000</v>
      </c>
      <c r="G174" s="38">
        <f>E174*5500</f>
        <v>22000</v>
      </c>
      <c r="H174" s="38">
        <f>E174*2500</f>
        <v>10000</v>
      </c>
    </row>
    <row r="175" spans="1:8" x14ac:dyDescent="0.25">
      <c r="A175" s="29"/>
      <c r="B175" s="29"/>
      <c r="C175" s="29" t="s">
        <v>373</v>
      </c>
      <c r="D175" s="29" t="s">
        <v>243</v>
      </c>
      <c r="E175" s="29">
        <v>4</v>
      </c>
      <c r="F175" s="38">
        <f>E175*13000</f>
        <v>52000</v>
      </c>
      <c r="G175" s="38">
        <f>E175*10000</f>
        <v>40000</v>
      </c>
      <c r="H175" s="38">
        <f>E175*3000</f>
        <v>12000</v>
      </c>
    </row>
    <row r="176" spans="1:8" x14ac:dyDescent="0.25">
      <c r="A176" s="125" t="s">
        <v>17</v>
      </c>
      <c r="B176" s="125"/>
      <c r="C176" s="125"/>
      <c r="D176" s="125"/>
      <c r="E176" s="17">
        <f>SUM(E166:E175)</f>
        <v>179</v>
      </c>
      <c r="F176" s="17">
        <f>SUM(F166:F175)</f>
        <v>379500</v>
      </c>
      <c r="G176" s="17">
        <f>SUM(G166:G175)</f>
        <v>170000</v>
      </c>
      <c r="H176" s="17">
        <f>SUM(H166:H175)</f>
        <v>209500</v>
      </c>
    </row>
    <row r="177" spans="1:8" x14ac:dyDescent="0.25">
      <c r="A177" s="29" t="s">
        <v>22</v>
      </c>
      <c r="B177" s="29" t="s">
        <v>407</v>
      </c>
      <c r="C177" s="29" t="s">
        <v>288</v>
      </c>
      <c r="D177" s="29" t="s">
        <v>11</v>
      </c>
      <c r="E177" s="29">
        <f>50-19</f>
        <v>31</v>
      </c>
      <c r="F177" s="38">
        <f>E177*1800</f>
        <v>55800</v>
      </c>
      <c r="G177" s="38">
        <f>E177*500</f>
        <v>15500</v>
      </c>
      <c r="H177" s="38">
        <f>E177*1300</f>
        <v>40300</v>
      </c>
    </row>
    <row r="178" spans="1:8" x14ac:dyDescent="0.25">
      <c r="A178" s="29"/>
      <c r="B178" s="29"/>
      <c r="C178" s="29" t="s">
        <v>106</v>
      </c>
      <c r="D178" s="29" t="s">
        <v>11</v>
      </c>
      <c r="E178" s="29">
        <v>20</v>
      </c>
      <c r="F178" s="38">
        <f>E178*1500</f>
        <v>30000</v>
      </c>
      <c r="G178" s="38">
        <f>E178*500</f>
        <v>10000</v>
      </c>
      <c r="H178" s="38">
        <v>20000</v>
      </c>
    </row>
    <row r="179" spans="1:8" x14ac:dyDescent="0.25">
      <c r="A179" s="29"/>
      <c r="B179" s="29"/>
      <c r="C179" s="29" t="s">
        <v>108</v>
      </c>
      <c r="D179" s="29" t="s">
        <v>11</v>
      </c>
      <c r="E179" s="29">
        <v>35</v>
      </c>
      <c r="F179" s="38">
        <f>E179*1500</f>
        <v>52500</v>
      </c>
      <c r="G179" s="38">
        <f>E179*500</f>
        <v>17500</v>
      </c>
      <c r="H179" s="38">
        <v>35000</v>
      </c>
    </row>
    <row r="180" spans="1:8" x14ac:dyDescent="0.25">
      <c r="A180" s="29"/>
      <c r="B180" s="29"/>
      <c r="C180" s="29" t="s">
        <v>24</v>
      </c>
      <c r="D180" s="29" t="s">
        <v>243</v>
      </c>
      <c r="E180" s="29">
        <v>3</v>
      </c>
      <c r="F180" s="38">
        <f>E180*13000</f>
        <v>39000</v>
      </c>
      <c r="G180" s="38">
        <f>E180*10000</f>
        <v>30000</v>
      </c>
      <c r="H180" s="38">
        <v>9000</v>
      </c>
    </row>
    <row r="181" spans="1:8" x14ac:dyDescent="0.25">
      <c r="A181" s="126" t="s">
        <v>17</v>
      </c>
      <c r="B181" s="126"/>
      <c r="C181" s="126"/>
      <c r="D181" s="126"/>
      <c r="E181" s="16">
        <f>SUM(E177:E180)</f>
        <v>89</v>
      </c>
      <c r="F181" s="17">
        <f>SUM(F177:F180)</f>
        <v>177300</v>
      </c>
      <c r="G181" s="17">
        <f>SUM(G177:G180)</f>
        <v>73000</v>
      </c>
      <c r="H181" s="17">
        <f>SUM(H177:H180)</f>
        <v>104300</v>
      </c>
    </row>
    <row r="182" spans="1:8" x14ac:dyDescent="0.25">
      <c r="A182" s="29" t="s">
        <v>26</v>
      </c>
      <c r="B182" s="29" t="s">
        <v>408</v>
      </c>
      <c r="C182" s="29" t="s">
        <v>288</v>
      </c>
      <c r="D182" s="29" t="s">
        <v>11</v>
      </c>
      <c r="E182" s="29">
        <f>40-25</f>
        <v>15</v>
      </c>
      <c r="F182" s="38">
        <f>E182*1800</f>
        <v>27000</v>
      </c>
      <c r="G182" s="38">
        <f t="shared" ref="G182:G187" si="9">E182*500</f>
        <v>7500</v>
      </c>
      <c r="H182" s="38">
        <f>E182*1300</f>
        <v>19500</v>
      </c>
    </row>
    <row r="183" spans="1:8" x14ac:dyDescent="0.25">
      <c r="A183" s="29"/>
      <c r="B183" s="29"/>
      <c r="C183" s="29" t="s">
        <v>106</v>
      </c>
      <c r="D183" s="29" t="s">
        <v>11</v>
      </c>
      <c r="E183" s="29">
        <v>20</v>
      </c>
      <c r="F183" s="38">
        <f>E183*1500</f>
        <v>30000</v>
      </c>
      <c r="G183" s="38">
        <f t="shared" si="9"/>
        <v>10000</v>
      </c>
      <c r="H183" s="38">
        <v>20000</v>
      </c>
    </row>
    <row r="184" spans="1:8" x14ac:dyDescent="0.25">
      <c r="A184" s="29"/>
      <c r="B184" s="29"/>
      <c r="C184" s="29" t="s">
        <v>81</v>
      </c>
      <c r="D184" s="29" t="s">
        <v>11</v>
      </c>
      <c r="E184" s="29">
        <v>75</v>
      </c>
      <c r="F184" s="38">
        <f>E184*1800</f>
        <v>135000</v>
      </c>
      <c r="G184" s="38">
        <f t="shared" si="9"/>
        <v>37500</v>
      </c>
      <c r="H184" s="38">
        <f>E184*1300</f>
        <v>97500</v>
      </c>
    </row>
    <row r="185" spans="1:8" x14ac:dyDescent="0.25">
      <c r="A185" s="29"/>
      <c r="B185" s="29"/>
      <c r="C185" s="29"/>
      <c r="D185" s="29"/>
      <c r="E185" s="29">
        <v>75</v>
      </c>
      <c r="F185" s="38">
        <f>E185*1800</f>
        <v>135000</v>
      </c>
      <c r="G185" s="38">
        <f t="shared" si="9"/>
        <v>37500</v>
      </c>
      <c r="H185" s="38">
        <f>E185*1300</f>
        <v>97500</v>
      </c>
    </row>
    <row r="186" spans="1:8" x14ac:dyDescent="0.25">
      <c r="A186" s="29"/>
      <c r="B186" s="29"/>
      <c r="C186" s="29"/>
      <c r="D186" s="29"/>
      <c r="E186" s="29">
        <v>75</v>
      </c>
      <c r="F186" s="38">
        <f>E186*1800</f>
        <v>135000</v>
      </c>
      <c r="G186" s="38">
        <f t="shared" si="9"/>
        <v>37500</v>
      </c>
      <c r="H186" s="38">
        <f>E186*1300</f>
        <v>97500</v>
      </c>
    </row>
    <row r="187" spans="1:8" x14ac:dyDescent="0.25">
      <c r="A187" s="29"/>
      <c r="B187" s="29"/>
      <c r="C187" s="29"/>
      <c r="D187" s="29"/>
      <c r="E187" s="29">
        <v>75</v>
      </c>
      <c r="F187" s="38">
        <f>E187*1800</f>
        <v>135000</v>
      </c>
      <c r="G187" s="38">
        <f t="shared" si="9"/>
        <v>37500</v>
      </c>
      <c r="H187" s="38">
        <f>E187*1300</f>
        <v>97500</v>
      </c>
    </row>
    <row r="188" spans="1:8" x14ac:dyDescent="0.25">
      <c r="A188" s="29"/>
      <c r="B188" s="29"/>
      <c r="C188" s="29" t="s">
        <v>373</v>
      </c>
      <c r="D188" s="29" t="s">
        <v>243</v>
      </c>
      <c r="E188" s="29">
        <v>3</v>
      </c>
      <c r="F188" s="38">
        <f>E188*13000</f>
        <v>39000</v>
      </c>
      <c r="G188" s="38">
        <f>E188*10000</f>
        <v>30000</v>
      </c>
      <c r="H188" s="38">
        <v>9000</v>
      </c>
    </row>
    <row r="189" spans="1:8" x14ac:dyDescent="0.25">
      <c r="A189" s="29"/>
      <c r="B189" s="29"/>
      <c r="C189" s="29" t="s">
        <v>16</v>
      </c>
      <c r="D189" s="29" t="s">
        <v>11</v>
      </c>
      <c r="E189" s="29">
        <v>105</v>
      </c>
      <c r="F189" s="38">
        <f>E189*1500</f>
        <v>157500</v>
      </c>
      <c r="G189" s="38">
        <f>E189*500</f>
        <v>52500</v>
      </c>
      <c r="H189" s="38">
        <v>105000</v>
      </c>
    </row>
    <row r="190" spans="1:8" x14ac:dyDescent="0.25">
      <c r="A190" s="29"/>
      <c r="B190" s="29"/>
      <c r="C190" s="29"/>
      <c r="D190" s="29" t="s">
        <v>12</v>
      </c>
      <c r="E190" s="29">
        <v>7</v>
      </c>
      <c r="F190" s="38">
        <f>E190*3000</f>
        <v>21000</v>
      </c>
      <c r="G190" s="38">
        <f>E190*2000</f>
        <v>14000</v>
      </c>
      <c r="H190" s="38">
        <v>7000</v>
      </c>
    </row>
    <row r="191" spans="1:8" x14ac:dyDescent="0.25">
      <c r="A191" s="29"/>
      <c r="B191" s="29"/>
      <c r="C191" s="29" t="s">
        <v>10</v>
      </c>
      <c r="D191" s="29" t="s">
        <v>11</v>
      </c>
      <c r="E191" s="29">
        <v>10</v>
      </c>
      <c r="F191" s="38">
        <f>E191*1500</f>
        <v>15000</v>
      </c>
      <c r="G191" s="38">
        <f>E191*500</f>
        <v>5000</v>
      </c>
      <c r="H191" s="38">
        <v>10000</v>
      </c>
    </row>
    <row r="192" spans="1:8" x14ac:dyDescent="0.25">
      <c r="A192" s="29"/>
      <c r="B192" s="29"/>
      <c r="C192" s="29"/>
      <c r="D192" s="29" t="s">
        <v>13</v>
      </c>
      <c r="E192" s="29">
        <v>11</v>
      </c>
      <c r="F192" s="38">
        <f>E192*6500</f>
        <v>71500</v>
      </c>
      <c r="G192" s="38">
        <f>E192*4500</f>
        <v>49500</v>
      </c>
      <c r="H192" s="38">
        <f>E192*2000</f>
        <v>22000</v>
      </c>
    </row>
    <row r="193" spans="1:8" x14ac:dyDescent="0.25">
      <c r="A193" s="29"/>
      <c r="B193" s="29"/>
      <c r="C193" s="29"/>
      <c r="D193" s="29" t="s">
        <v>14</v>
      </c>
      <c r="E193" s="29">
        <v>1</v>
      </c>
      <c r="F193" s="38">
        <v>10000</v>
      </c>
      <c r="G193" s="38">
        <v>5500</v>
      </c>
      <c r="H193" s="38">
        <v>4500</v>
      </c>
    </row>
    <row r="194" spans="1:8" x14ac:dyDescent="0.25">
      <c r="A194" s="125" t="s">
        <v>17</v>
      </c>
      <c r="B194" s="125"/>
      <c r="C194" s="125"/>
      <c r="D194" s="125"/>
      <c r="E194" s="17">
        <f>SUM(E182:E193)</f>
        <v>472</v>
      </c>
      <c r="F194" s="17">
        <f>SUM(F182:F193)</f>
        <v>911000</v>
      </c>
      <c r="G194" s="17">
        <f>SUM(G182:G193)</f>
        <v>324000</v>
      </c>
      <c r="H194" s="17">
        <f>SUM(H182:H193)</f>
        <v>587000</v>
      </c>
    </row>
    <row r="195" spans="1:8" x14ac:dyDescent="0.25">
      <c r="A195" s="29" t="s">
        <v>28</v>
      </c>
      <c r="B195" s="29" t="s">
        <v>409</v>
      </c>
      <c r="C195" s="29" t="s">
        <v>10</v>
      </c>
      <c r="D195" s="29" t="s">
        <v>11</v>
      </c>
      <c r="E195" s="29">
        <v>10</v>
      </c>
      <c r="F195" s="38">
        <f>E195*1500</f>
        <v>15000</v>
      </c>
      <c r="G195" s="38">
        <f>E195*500</f>
        <v>5000</v>
      </c>
      <c r="H195" s="38">
        <v>10000</v>
      </c>
    </row>
    <row r="196" spans="1:8" x14ac:dyDescent="0.25">
      <c r="A196" s="29"/>
      <c r="B196" s="29"/>
      <c r="C196" s="29"/>
      <c r="D196" s="29" t="s">
        <v>13</v>
      </c>
      <c r="E196" s="29">
        <v>14</v>
      </c>
      <c r="F196" s="38">
        <f>E196*6500</f>
        <v>91000</v>
      </c>
      <c r="G196" s="38">
        <f>E196*4500</f>
        <v>63000</v>
      </c>
      <c r="H196" s="38">
        <f>E196*2000</f>
        <v>28000</v>
      </c>
    </row>
    <row r="197" spans="1:8" x14ac:dyDescent="0.25">
      <c r="A197" s="29"/>
      <c r="B197" s="29"/>
      <c r="C197" s="29"/>
      <c r="D197" s="29" t="s">
        <v>14</v>
      </c>
      <c r="E197" s="29">
        <v>3</v>
      </c>
      <c r="F197" s="38">
        <f>E197*8000</f>
        <v>24000</v>
      </c>
      <c r="G197" s="38">
        <f>E197*5500</f>
        <v>16500</v>
      </c>
      <c r="H197" s="38">
        <f>E197*2500</f>
        <v>7500</v>
      </c>
    </row>
    <row r="198" spans="1:8" x14ac:dyDescent="0.25">
      <c r="A198" s="29"/>
      <c r="B198" s="29"/>
      <c r="C198" s="29"/>
      <c r="D198" s="29" t="s">
        <v>13</v>
      </c>
      <c r="E198" s="29">
        <v>9</v>
      </c>
      <c r="F198" s="38">
        <f>E198*6500</f>
        <v>58500</v>
      </c>
      <c r="G198" s="38">
        <f>E198*4500</f>
        <v>40500</v>
      </c>
      <c r="H198" s="38">
        <f>E198*2000</f>
        <v>18000</v>
      </c>
    </row>
    <row r="199" spans="1:8" x14ac:dyDescent="0.25">
      <c r="A199" s="29"/>
      <c r="B199" s="29"/>
      <c r="C199" s="29"/>
      <c r="D199" s="29" t="s">
        <v>14</v>
      </c>
      <c r="E199" s="29">
        <v>10</v>
      </c>
      <c r="F199" s="38">
        <f>E199*10000</f>
        <v>100000</v>
      </c>
      <c r="G199" s="38">
        <f>E199*5500</f>
        <v>55000</v>
      </c>
      <c r="H199" s="38">
        <f>E199*4500</f>
        <v>45000</v>
      </c>
    </row>
    <row r="200" spans="1:8" x14ac:dyDescent="0.25">
      <c r="A200" s="29"/>
      <c r="B200" s="29"/>
      <c r="C200" s="29"/>
      <c r="D200" s="29"/>
      <c r="E200" s="29">
        <v>6</v>
      </c>
      <c r="F200" s="38">
        <f>E200*8000</f>
        <v>48000</v>
      </c>
      <c r="G200" s="38">
        <f>E200*5500</f>
        <v>33000</v>
      </c>
      <c r="H200" s="38">
        <f>E200*2500</f>
        <v>15000</v>
      </c>
    </row>
    <row r="201" spans="1:8" x14ac:dyDescent="0.25">
      <c r="A201" s="29"/>
      <c r="B201" s="29"/>
      <c r="C201" s="29" t="s">
        <v>217</v>
      </c>
      <c r="D201" s="29" t="s">
        <v>11</v>
      </c>
      <c r="E201" s="29">
        <v>37</v>
      </c>
      <c r="F201" s="38">
        <f>E201*1500</f>
        <v>55500</v>
      </c>
      <c r="G201" s="38">
        <f>E201*500</f>
        <v>18500</v>
      </c>
      <c r="H201" s="38">
        <v>37000</v>
      </c>
    </row>
    <row r="202" spans="1:8" x14ac:dyDescent="0.25">
      <c r="A202" s="29"/>
      <c r="B202" s="29"/>
      <c r="C202" s="29"/>
      <c r="D202" s="29" t="s">
        <v>13</v>
      </c>
      <c r="E202" s="29">
        <v>3</v>
      </c>
      <c r="F202" s="38">
        <f>E202*6500</f>
        <v>19500</v>
      </c>
      <c r="G202" s="38">
        <f>E202*4500</f>
        <v>13500</v>
      </c>
      <c r="H202" s="38">
        <f>E202*2000</f>
        <v>6000</v>
      </c>
    </row>
    <row r="203" spans="1:8" x14ac:dyDescent="0.25">
      <c r="A203" s="29"/>
      <c r="B203" s="29"/>
      <c r="C203" s="29"/>
      <c r="D203" s="29" t="s">
        <v>14</v>
      </c>
      <c r="E203" s="29">
        <v>5</v>
      </c>
      <c r="F203" s="38">
        <f>E203*10000</f>
        <v>50000</v>
      </c>
      <c r="G203" s="38">
        <f>E203*5500</f>
        <v>27500</v>
      </c>
      <c r="H203" s="38">
        <f>E203*4500</f>
        <v>22500</v>
      </c>
    </row>
    <row r="204" spans="1:8" x14ac:dyDescent="0.25">
      <c r="A204" s="29"/>
      <c r="B204" s="29"/>
      <c r="C204" s="29" t="s">
        <v>410</v>
      </c>
      <c r="D204" s="29" t="s">
        <v>11</v>
      </c>
      <c r="E204" s="29">
        <v>5</v>
      </c>
      <c r="F204" s="38">
        <f>E204*1500</f>
        <v>7500</v>
      </c>
      <c r="G204" s="38">
        <f>E204*500</f>
        <v>2500</v>
      </c>
      <c r="H204" s="38">
        <v>5000</v>
      </c>
    </row>
    <row r="205" spans="1:8" x14ac:dyDescent="0.25">
      <c r="A205" s="29"/>
      <c r="B205" s="29"/>
      <c r="C205" s="29"/>
      <c r="D205" s="29" t="s">
        <v>13</v>
      </c>
      <c r="E205" s="29">
        <v>12</v>
      </c>
      <c r="F205" s="38">
        <f>E205*6500</f>
        <v>78000</v>
      </c>
      <c r="G205" s="38">
        <f>E205*4500</f>
        <v>54000</v>
      </c>
      <c r="H205" s="38">
        <f>E205*2000</f>
        <v>24000</v>
      </c>
    </row>
    <row r="206" spans="1:8" x14ac:dyDescent="0.25">
      <c r="A206" s="29"/>
      <c r="B206" s="29"/>
      <c r="C206" s="29"/>
      <c r="D206" s="29" t="s">
        <v>14</v>
      </c>
      <c r="E206" s="29">
        <v>14</v>
      </c>
      <c r="F206" s="38">
        <f>E206*10000</f>
        <v>140000</v>
      </c>
      <c r="G206" s="38">
        <f>E206*5500</f>
        <v>77000</v>
      </c>
      <c r="H206" s="38">
        <f>E206*4500</f>
        <v>63000</v>
      </c>
    </row>
    <row r="207" spans="1:8" x14ac:dyDescent="0.25">
      <c r="A207" s="29"/>
      <c r="B207" s="29"/>
      <c r="C207" s="29" t="s">
        <v>16</v>
      </c>
      <c r="D207" s="29" t="s">
        <v>11</v>
      </c>
      <c r="E207" s="29">
        <v>45</v>
      </c>
      <c r="F207" s="38">
        <f>E207*1500</f>
        <v>67500</v>
      </c>
      <c r="G207" s="38">
        <f>E207*500</f>
        <v>22500</v>
      </c>
      <c r="H207" s="38">
        <v>45000</v>
      </c>
    </row>
    <row r="208" spans="1:8" x14ac:dyDescent="0.25">
      <c r="A208" s="29"/>
      <c r="B208" s="29"/>
      <c r="C208" s="29"/>
      <c r="D208" s="29" t="s">
        <v>12</v>
      </c>
      <c r="E208" s="29">
        <v>1</v>
      </c>
      <c r="F208" s="38">
        <v>3000</v>
      </c>
      <c r="G208" s="38">
        <v>2000</v>
      </c>
      <c r="H208" s="38">
        <v>1000</v>
      </c>
    </row>
    <row r="209" spans="1:8" x14ac:dyDescent="0.25">
      <c r="A209" s="29"/>
      <c r="B209" s="29"/>
      <c r="C209" s="29" t="s">
        <v>411</v>
      </c>
      <c r="D209" s="29" t="s">
        <v>243</v>
      </c>
      <c r="E209" s="29">
        <v>4</v>
      </c>
      <c r="F209" s="38">
        <v>50000</v>
      </c>
      <c r="G209" s="38">
        <f>E209*10000</f>
        <v>40000</v>
      </c>
      <c r="H209" s="38">
        <v>10000</v>
      </c>
    </row>
    <row r="210" spans="1:8" x14ac:dyDescent="0.25">
      <c r="A210" s="29"/>
      <c r="B210" s="29"/>
      <c r="C210" s="29" t="s">
        <v>373</v>
      </c>
      <c r="D210" s="29" t="s">
        <v>243</v>
      </c>
      <c r="E210" s="29">
        <v>4</v>
      </c>
      <c r="F210" s="38">
        <f>E210*13000</f>
        <v>52000</v>
      </c>
      <c r="G210" s="38">
        <f>E210*10000</f>
        <v>40000</v>
      </c>
      <c r="H210" s="38">
        <v>12000</v>
      </c>
    </row>
    <row r="211" spans="1:8" x14ac:dyDescent="0.25">
      <c r="A211" s="126" t="s">
        <v>17</v>
      </c>
      <c r="B211" s="126"/>
      <c r="C211" s="126"/>
      <c r="D211" s="126"/>
      <c r="E211" s="16">
        <f>SUM(E195:E210)</f>
        <v>182</v>
      </c>
      <c r="F211" s="17">
        <f>SUM(F195:F210)</f>
        <v>859500</v>
      </c>
      <c r="G211" s="17">
        <f>SUM(G195:G210)</f>
        <v>510500</v>
      </c>
      <c r="H211" s="17">
        <f>SUM(H195:H210)</f>
        <v>349000</v>
      </c>
    </row>
    <row r="212" spans="1:8" x14ac:dyDescent="0.25">
      <c r="A212" s="29" t="s">
        <v>30</v>
      </c>
      <c r="B212" s="29" t="s">
        <v>412</v>
      </c>
      <c r="C212" s="29" t="s">
        <v>106</v>
      </c>
      <c r="D212" s="29" t="s">
        <v>11</v>
      </c>
      <c r="E212" s="29">
        <v>16</v>
      </c>
      <c r="F212" s="38">
        <f t="shared" ref="F212:F221" si="10">E212*1500</f>
        <v>24000</v>
      </c>
      <c r="G212" s="38">
        <f t="shared" ref="G212:G221" si="11">E212*500</f>
        <v>8000</v>
      </c>
      <c r="H212" s="38">
        <v>16000</v>
      </c>
    </row>
    <row r="213" spans="1:8" x14ac:dyDescent="0.25">
      <c r="A213" s="29"/>
      <c r="B213" s="29"/>
      <c r="C213" s="29" t="s">
        <v>292</v>
      </c>
      <c r="D213" s="29" t="s">
        <v>11</v>
      </c>
      <c r="E213" s="29">
        <v>23</v>
      </c>
      <c r="F213" s="38">
        <f t="shared" si="10"/>
        <v>34500</v>
      </c>
      <c r="G213" s="38">
        <f t="shared" si="11"/>
        <v>11500</v>
      </c>
      <c r="H213" s="38">
        <v>23000</v>
      </c>
    </row>
    <row r="214" spans="1:8" x14ac:dyDescent="0.25">
      <c r="A214" s="29"/>
      <c r="B214" s="29"/>
      <c r="C214" s="29" t="s">
        <v>108</v>
      </c>
      <c r="D214" s="29" t="s">
        <v>11</v>
      </c>
      <c r="E214" s="29">
        <f>35-16</f>
        <v>19</v>
      </c>
      <c r="F214" s="38">
        <f t="shared" si="10"/>
        <v>28500</v>
      </c>
      <c r="G214" s="38">
        <f t="shared" si="11"/>
        <v>9500</v>
      </c>
      <c r="H214" s="38">
        <v>19000</v>
      </c>
    </row>
    <row r="215" spans="1:8" x14ac:dyDescent="0.25">
      <c r="A215" s="29"/>
      <c r="B215" s="29"/>
      <c r="C215" s="29" t="s">
        <v>376</v>
      </c>
      <c r="D215" s="29" t="s">
        <v>11</v>
      </c>
      <c r="E215" s="29">
        <v>88</v>
      </c>
      <c r="F215" s="38">
        <f t="shared" si="10"/>
        <v>132000</v>
      </c>
      <c r="G215" s="38">
        <f t="shared" si="11"/>
        <v>44000</v>
      </c>
      <c r="H215" s="38">
        <f t="shared" ref="H215:H220" si="12">E215*1000</f>
        <v>88000</v>
      </c>
    </row>
    <row r="216" spans="1:8" x14ac:dyDescent="0.25">
      <c r="A216" s="29"/>
      <c r="B216" s="29"/>
      <c r="C216" s="29"/>
      <c r="D216" s="29"/>
      <c r="E216" s="29">
        <v>71</v>
      </c>
      <c r="F216" s="38">
        <f t="shared" si="10"/>
        <v>106500</v>
      </c>
      <c r="G216" s="38">
        <f t="shared" si="11"/>
        <v>35500</v>
      </c>
      <c r="H216" s="38">
        <f t="shared" si="12"/>
        <v>71000</v>
      </c>
    </row>
    <row r="217" spans="1:8" x14ac:dyDescent="0.25">
      <c r="A217" s="29"/>
      <c r="B217" s="29"/>
      <c r="C217" s="29"/>
      <c r="D217" s="29"/>
      <c r="E217" s="29">
        <v>100</v>
      </c>
      <c r="F217" s="38">
        <f t="shared" si="10"/>
        <v>150000</v>
      </c>
      <c r="G217" s="38">
        <f t="shared" si="11"/>
        <v>50000</v>
      </c>
      <c r="H217" s="38">
        <f t="shared" si="12"/>
        <v>100000</v>
      </c>
    </row>
    <row r="218" spans="1:8" x14ac:dyDescent="0.25">
      <c r="A218" s="29"/>
      <c r="B218" s="29"/>
      <c r="C218" s="29"/>
      <c r="D218" s="29"/>
      <c r="E218" s="29">
        <v>98</v>
      </c>
      <c r="F218" s="38">
        <f t="shared" si="10"/>
        <v>147000</v>
      </c>
      <c r="G218" s="38">
        <f t="shared" si="11"/>
        <v>49000</v>
      </c>
      <c r="H218" s="38">
        <f t="shared" si="12"/>
        <v>98000</v>
      </c>
    </row>
    <row r="219" spans="1:8" x14ac:dyDescent="0.25">
      <c r="A219" s="29"/>
      <c r="B219" s="29"/>
      <c r="C219" s="29"/>
      <c r="D219" s="29"/>
      <c r="E219" s="29">
        <v>75</v>
      </c>
      <c r="F219" s="38">
        <f t="shared" si="10"/>
        <v>112500</v>
      </c>
      <c r="G219" s="38">
        <f t="shared" si="11"/>
        <v>37500</v>
      </c>
      <c r="H219" s="38">
        <f t="shared" si="12"/>
        <v>75000</v>
      </c>
    </row>
    <row r="220" spans="1:8" x14ac:dyDescent="0.25">
      <c r="A220" s="29"/>
      <c r="B220" s="29"/>
      <c r="C220" s="29"/>
      <c r="D220" s="29"/>
      <c r="E220" s="29">
        <v>57</v>
      </c>
      <c r="F220" s="38">
        <f t="shared" si="10"/>
        <v>85500</v>
      </c>
      <c r="G220" s="38">
        <f t="shared" si="11"/>
        <v>28500</v>
      </c>
      <c r="H220" s="38">
        <f t="shared" si="12"/>
        <v>57000</v>
      </c>
    </row>
    <row r="221" spans="1:8" x14ac:dyDescent="0.25">
      <c r="A221" s="29"/>
      <c r="B221" s="29"/>
      <c r="C221" s="29" t="s">
        <v>16</v>
      </c>
      <c r="D221" s="29" t="s">
        <v>11</v>
      </c>
      <c r="E221" s="29">
        <v>40</v>
      </c>
      <c r="F221" s="38">
        <f t="shared" si="10"/>
        <v>60000</v>
      </c>
      <c r="G221" s="38">
        <f t="shared" si="11"/>
        <v>20000</v>
      </c>
      <c r="H221" s="38">
        <v>40000</v>
      </c>
    </row>
    <row r="222" spans="1:8" x14ac:dyDescent="0.25">
      <c r="A222" s="29"/>
      <c r="B222" s="29"/>
      <c r="C222" s="29"/>
      <c r="D222" s="29" t="s">
        <v>12</v>
      </c>
      <c r="E222" s="29">
        <v>4</v>
      </c>
      <c r="F222" s="38">
        <f>E222*3000</f>
        <v>12000</v>
      </c>
      <c r="G222" s="38">
        <f>E222*2000</f>
        <v>8000</v>
      </c>
      <c r="H222" s="38">
        <v>4000</v>
      </c>
    </row>
    <row r="223" spans="1:8" x14ac:dyDescent="0.25">
      <c r="A223" s="29"/>
      <c r="B223" s="29"/>
      <c r="C223" s="29"/>
      <c r="D223" s="29" t="s">
        <v>13</v>
      </c>
      <c r="E223" s="29">
        <v>1</v>
      </c>
      <c r="F223" s="38">
        <v>6500</v>
      </c>
      <c r="G223" s="38">
        <v>4500</v>
      </c>
      <c r="H223" s="38">
        <v>2000</v>
      </c>
    </row>
    <row r="224" spans="1:8" x14ac:dyDescent="0.25">
      <c r="A224" s="29"/>
      <c r="B224" s="29"/>
      <c r="C224" s="29"/>
      <c r="D224" s="29" t="s">
        <v>14</v>
      </c>
      <c r="E224" s="29">
        <v>1</v>
      </c>
      <c r="F224" s="38">
        <v>10000</v>
      </c>
      <c r="G224" s="38">
        <v>5500</v>
      </c>
      <c r="H224" s="38">
        <v>4500</v>
      </c>
    </row>
    <row r="225" spans="1:8" x14ac:dyDescent="0.25">
      <c r="A225" s="29"/>
      <c r="B225" s="29"/>
      <c r="C225" s="29"/>
      <c r="D225" s="29" t="s">
        <v>243</v>
      </c>
      <c r="E225" s="29">
        <v>1</v>
      </c>
      <c r="F225" s="38">
        <v>13000</v>
      </c>
      <c r="G225" s="38">
        <v>10000</v>
      </c>
      <c r="H225" s="38">
        <v>3000</v>
      </c>
    </row>
    <row r="226" spans="1:8" x14ac:dyDescent="0.25">
      <c r="A226" s="29"/>
      <c r="B226" s="29"/>
      <c r="C226" s="29" t="s">
        <v>217</v>
      </c>
      <c r="D226" s="29" t="s">
        <v>13</v>
      </c>
      <c r="E226" s="29">
        <v>13</v>
      </c>
      <c r="F226" s="38">
        <f>E226*6500</f>
        <v>84500</v>
      </c>
      <c r="G226" s="38">
        <f>E226*4500</f>
        <v>58500</v>
      </c>
      <c r="H226" s="38">
        <f>E226*2000</f>
        <v>26000</v>
      </c>
    </row>
    <row r="227" spans="1:8" x14ac:dyDescent="0.25">
      <c r="A227" s="29"/>
      <c r="B227" s="29"/>
      <c r="C227" s="29"/>
      <c r="D227" s="29" t="s">
        <v>14</v>
      </c>
      <c r="E227" s="29">
        <v>1</v>
      </c>
      <c r="F227" s="38">
        <v>8000</v>
      </c>
      <c r="G227" s="38">
        <v>5500</v>
      </c>
      <c r="H227" s="38">
        <v>2500</v>
      </c>
    </row>
    <row r="228" spans="1:8" x14ac:dyDescent="0.25">
      <c r="A228" s="29"/>
      <c r="B228" s="29"/>
      <c r="C228" s="29"/>
      <c r="D228" s="29"/>
      <c r="E228" s="29">
        <v>7</v>
      </c>
      <c r="F228" s="38">
        <f>E228*10000</f>
        <v>70000</v>
      </c>
      <c r="G228" s="38">
        <f>E228*5500</f>
        <v>38500</v>
      </c>
      <c r="H228" s="38">
        <f>E228*4500</f>
        <v>31500</v>
      </c>
    </row>
    <row r="229" spans="1:8" x14ac:dyDescent="0.25">
      <c r="A229" s="29"/>
      <c r="B229" s="29"/>
      <c r="C229" s="29" t="s">
        <v>10</v>
      </c>
      <c r="D229" s="29" t="s">
        <v>11</v>
      </c>
      <c r="E229" s="29">
        <v>48</v>
      </c>
      <c r="F229" s="38">
        <f>E229*1500</f>
        <v>72000</v>
      </c>
      <c r="G229" s="38">
        <f>E229*500</f>
        <v>24000</v>
      </c>
      <c r="H229" s="38">
        <f>E229*1000</f>
        <v>48000</v>
      </c>
    </row>
    <row r="230" spans="1:8" x14ac:dyDescent="0.25">
      <c r="A230" s="29"/>
      <c r="B230" s="29"/>
      <c r="C230" s="29"/>
      <c r="D230" s="29" t="s">
        <v>13</v>
      </c>
      <c r="E230" s="29">
        <v>2</v>
      </c>
      <c r="F230" s="38">
        <f>E230*6500</f>
        <v>13000</v>
      </c>
      <c r="G230" s="38">
        <f>E230*4500</f>
        <v>9000</v>
      </c>
      <c r="H230" s="38">
        <f>E230*2000</f>
        <v>4000</v>
      </c>
    </row>
    <row r="231" spans="1:8" x14ac:dyDescent="0.25">
      <c r="A231" s="29"/>
      <c r="B231" s="29"/>
      <c r="C231" s="29"/>
      <c r="D231" s="29" t="s">
        <v>14</v>
      </c>
      <c r="E231" s="29">
        <v>2</v>
      </c>
      <c r="F231" s="38">
        <f>E231*8000</f>
        <v>16000</v>
      </c>
      <c r="G231" s="38">
        <f>E231*5500</f>
        <v>11000</v>
      </c>
      <c r="H231" s="38">
        <f>E231*2500</f>
        <v>5000</v>
      </c>
    </row>
    <row r="232" spans="1:8" x14ac:dyDescent="0.25">
      <c r="A232" s="125" t="s">
        <v>17</v>
      </c>
      <c r="B232" s="125"/>
      <c r="C232" s="125"/>
      <c r="D232" s="125"/>
      <c r="E232" s="17">
        <f>SUM(E212:E231)</f>
        <v>667</v>
      </c>
      <c r="F232" s="17">
        <f>SUM(F212:F231)</f>
        <v>1185500</v>
      </c>
      <c r="G232" s="17">
        <f>SUM(G212:G231)</f>
        <v>468000</v>
      </c>
      <c r="H232" s="17">
        <f>SUM(H212:H231)</f>
        <v>717500</v>
      </c>
    </row>
    <row r="233" spans="1:8" x14ac:dyDescent="0.25">
      <c r="A233" s="29" t="s">
        <v>32</v>
      </c>
      <c r="B233" s="29" t="s">
        <v>413</v>
      </c>
      <c r="C233" s="29" t="s">
        <v>288</v>
      </c>
      <c r="D233" s="29" t="s">
        <v>11</v>
      </c>
      <c r="E233" s="29">
        <f>30-17</f>
        <v>13</v>
      </c>
      <c r="F233" s="38">
        <f>E233*1800</f>
        <v>23400</v>
      </c>
      <c r="G233" s="38">
        <f>E233*500</f>
        <v>6500</v>
      </c>
      <c r="H233" s="38">
        <f>E233*1300</f>
        <v>16900</v>
      </c>
    </row>
    <row r="234" spans="1:8" x14ac:dyDescent="0.25">
      <c r="A234" s="29"/>
      <c r="B234" s="29"/>
      <c r="C234" s="29" t="s">
        <v>10</v>
      </c>
      <c r="D234" s="29" t="s">
        <v>11</v>
      </c>
      <c r="E234" s="29">
        <v>25</v>
      </c>
      <c r="F234" s="38">
        <f>E234*1500</f>
        <v>37500</v>
      </c>
      <c r="G234" s="38">
        <f>E234*500</f>
        <v>12500</v>
      </c>
      <c r="H234" s="38">
        <v>25000</v>
      </c>
    </row>
    <row r="235" spans="1:8" x14ac:dyDescent="0.25">
      <c r="A235" s="29"/>
      <c r="B235" s="29"/>
      <c r="C235" s="29" t="s">
        <v>16</v>
      </c>
      <c r="D235" s="29" t="s">
        <v>11</v>
      </c>
      <c r="E235" s="29">
        <v>35</v>
      </c>
      <c r="F235" s="38">
        <f>E235*1500</f>
        <v>52500</v>
      </c>
      <c r="G235" s="38">
        <f>E235*500</f>
        <v>17500</v>
      </c>
      <c r="H235" s="38">
        <v>35000</v>
      </c>
    </row>
    <row r="236" spans="1:8" x14ac:dyDescent="0.25">
      <c r="A236" s="29"/>
      <c r="B236" s="29"/>
      <c r="C236" s="29"/>
      <c r="D236" s="29" t="s">
        <v>12</v>
      </c>
      <c r="E236" s="29">
        <v>2</v>
      </c>
      <c r="F236" s="38">
        <f>E236*3000</f>
        <v>6000</v>
      </c>
      <c r="G236" s="38">
        <f>E236*2000</f>
        <v>4000</v>
      </c>
      <c r="H236" s="38">
        <v>2000</v>
      </c>
    </row>
    <row r="237" spans="1:8" x14ac:dyDescent="0.25">
      <c r="A237" s="29"/>
      <c r="B237" s="29"/>
      <c r="C237" s="29"/>
      <c r="D237" s="29" t="s">
        <v>13</v>
      </c>
      <c r="E237" s="29">
        <v>2</v>
      </c>
      <c r="F237" s="38">
        <f>E237*6500</f>
        <v>13000</v>
      </c>
      <c r="G237" s="38">
        <f>E237*4500</f>
        <v>9000</v>
      </c>
      <c r="H237" s="38">
        <v>4000</v>
      </c>
    </row>
    <row r="238" spans="1:8" x14ac:dyDescent="0.25">
      <c r="A238" s="29"/>
      <c r="B238" s="29"/>
      <c r="C238" s="29"/>
      <c r="D238" s="29" t="s">
        <v>14</v>
      </c>
      <c r="E238" s="29">
        <v>1</v>
      </c>
      <c r="F238" s="38">
        <v>10000</v>
      </c>
      <c r="G238" s="38">
        <v>5500</v>
      </c>
      <c r="H238" s="38">
        <v>4500</v>
      </c>
    </row>
    <row r="239" spans="1:8" x14ac:dyDescent="0.25">
      <c r="A239" s="29"/>
      <c r="B239" s="29"/>
      <c r="C239" s="29"/>
      <c r="D239" s="29" t="s">
        <v>243</v>
      </c>
      <c r="E239" s="29">
        <v>1</v>
      </c>
      <c r="F239" s="38">
        <v>13000</v>
      </c>
      <c r="G239" s="38">
        <v>10000</v>
      </c>
      <c r="H239" s="38">
        <v>3000</v>
      </c>
    </row>
    <row r="240" spans="1:8" x14ac:dyDescent="0.25">
      <c r="A240" s="126" t="s">
        <v>17</v>
      </c>
      <c r="B240" s="126"/>
      <c r="C240" s="126"/>
      <c r="D240" s="126"/>
      <c r="E240" s="16">
        <f>SUM(E233:E239)</f>
        <v>79</v>
      </c>
      <c r="F240" s="17">
        <f>SUM(F233:F239)</f>
        <v>155400</v>
      </c>
      <c r="G240" s="17">
        <f>SUM(G233:G239)</f>
        <v>65000</v>
      </c>
      <c r="H240" s="17">
        <f>SUM(H233:H239)</f>
        <v>90400</v>
      </c>
    </row>
    <row r="241" spans="1:8" x14ac:dyDescent="0.25">
      <c r="A241" s="29" t="s">
        <v>8</v>
      </c>
      <c r="B241" s="29" t="s">
        <v>414</v>
      </c>
      <c r="C241" s="29" t="s">
        <v>288</v>
      </c>
      <c r="D241" s="29" t="s">
        <v>11</v>
      </c>
      <c r="E241" s="29">
        <v>27</v>
      </c>
      <c r="F241" s="38">
        <f>E241*1800</f>
        <v>48600</v>
      </c>
      <c r="G241" s="38">
        <f>E241*500</f>
        <v>13500</v>
      </c>
      <c r="H241" s="38">
        <f>E241*1300</f>
        <v>35100</v>
      </c>
    </row>
    <row r="242" spans="1:8" x14ac:dyDescent="0.25">
      <c r="A242" s="29"/>
      <c r="B242" s="29"/>
      <c r="C242" s="29" t="s">
        <v>106</v>
      </c>
      <c r="D242" s="29" t="s">
        <v>11</v>
      </c>
      <c r="E242" s="29">
        <v>11</v>
      </c>
      <c r="F242" s="38">
        <f>E242*1500</f>
        <v>16500</v>
      </c>
      <c r="G242" s="38">
        <f>E242*500</f>
        <v>5500</v>
      </c>
      <c r="H242" s="38">
        <v>11000</v>
      </c>
    </row>
    <row r="243" spans="1:8" x14ac:dyDescent="0.25">
      <c r="A243" s="29"/>
      <c r="B243" s="29"/>
      <c r="C243" s="29" t="s">
        <v>16</v>
      </c>
      <c r="D243" s="29" t="s">
        <v>11</v>
      </c>
      <c r="E243" s="29">
        <v>62</v>
      </c>
      <c r="F243" s="38">
        <f>E243*1500</f>
        <v>93000</v>
      </c>
      <c r="G243" s="38">
        <f>E243*500</f>
        <v>31000</v>
      </c>
      <c r="H243" s="38">
        <v>62000</v>
      </c>
    </row>
    <row r="244" spans="1:8" x14ac:dyDescent="0.25">
      <c r="A244" s="29"/>
      <c r="B244" s="29"/>
      <c r="C244" s="29"/>
      <c r="D244" s="29" t="s">
        <v>12</v>
      </c>
      <c r="E244" s="29">
        <v>4</v>
      </c>
      <c r="F244" s="38">
        <f>E244*3000</f>
        <v>12000</v>
      </c>
      <c r="G244" s="38">
        <f>E244*2000</f>
        <v>8000</v>
      </c>
      <c r="H244" s="38">
        <v>4000</v>
      </c>
    </row>
    <row r="245" spans="1:8" x14ac:dyDescent="0.25">
      <c r="A245" s="29"/>
      <c r="B245" s="29"/>
      <c r="C245" s="29"/>
      <c r="D245" s="29" t="s">
        <v>13</v>
      </c>
      <c r="E245" s="29">
        <v>2</v>
      </c>
      <c r="F245" s="38">
        <f>E245*6500</f>
        <v>13000</v>
      </c>
      <c r="G245" s="38">
        <f>E245*4500</f>
        <v>9000</v>
      </c>
      <c r="H245" s="38">
        <v>4000</v>
      </c>
    </row>
    <row r="246" spans="1:8" x14ac:dyDescent="0.25">
      <c r="A246" s="29"/>
      <c r="B246" s="29"/>
      <c r="C246" s="29" t="s">
        <v>217</v>
      </c>
      <c r="D246" s="29" t="s">
        <v>13</v>
      </c>
      <c r="E246" s="29">
        <v>3</v>
      </c>
      <c r="F246" s="38">
        <f>E246*6500</f>
        <v>19500</v>
      </c>
      <c r="G246" s="38">
        <f>E246*4500</f>
        <v>13500</v>
      </c>
      <c r="H246" s="38">
        <v>6000</v>
      </c>
    </row>
    <row r="247" spans="1:8" x14ac:dyDescent="0.25">
      <c r="A247" s="29"/>
      <c r="B247" s="29"/>
      <c r="C247" s="29"/>
      <c r="D247" s="29" t="s">
        <v>14</v>
      </c>
      <c r="E247" s="29">
        <v>2</v>
      </c>
      <c r="F247" s="38">
        <f>E247*8000</f>
        <v>16000</v>
      </c>
      <c r="G247" s="38">
        <f>E247*5500</f>
        <v>11000</v>
      </c>
      <c r="H247" s="38">
        <f>E247*2500</f>
        <v>5000</v>
      </c>
    </row>
    <row r="248" spans="1:8" x14ac:dyDescent="0.25">
      <c r="A248" s="29"/>
      <c r="B248" s="29"/>
      <c r="C248" s="29"/>
      <c r="D248" s="29"/>
      <c r="E248" s="29">
        <v>2</v>
      </c>
      <c r="F248" s="38">
        <f>E248*10000</f>
        <v>20000</v>
      </c>
      <c r="G248" s="38">
        <f>E248*5500</f>
        <v>11000</v>
      </c>
      <c r="H248" s="38">
        <f>E248*4500</f>
        <v>9000</v>
      </c>
    </row>
    <row r="249" spans="1:8" x14ac:dyDescent="0.25">
      <c r="A249" s="29"/>
      <c r="B249" s="29"/>
      <c r="C249" s="29"/>
      <c r="D249" s="29" t="s">
        <v>415</v>
      </c>
      <c r="E249" s="29">
        <v>5</v>
      </c>
      <c r="F249" s="38">
        <f>E249*3000</f>
        <v>15000</v>
      </c>
      <c r="G249" s="38">
        <f>E249*2000</f>
        <v>10000</v>
      </c>
      <c r="H249" s="38">
        <v>5000</v>
      </c>
    </row>
    <row r="250" spans="1:8" x14ac:dyDescent="0.25">
      <c r="A250" s="126" t="s">
        <v>17</v>
      </c>
      <c r="B250" s="126"/>
      <c r="C250" s="126"/>
      <c r="D250" s="126"/>
      <c r="E250" s="16">
        <f>SUM(E241:E249)</f>
        <v>118</v>
      </c>
      <c r="F250" s="17">
        <f>SUM(F241:F249)</f>
        <v>253600</v>
      </c>
      <c r="G250" s="17">
        <f>SUM(G241:G249)</f>
        <v>112500</v>
      </c>
      <c r="H250" s="17">
        <f>SUM(H241:H249)</f>
        <v>141100</v>
      </c>
    </row>
    <row r="251" spans="1:8" x14ac:dyDescent="0.25">
      <c r="A251" s="29" t="s">
        <v>18</v>
      </c>
      <c r="B251" s="29" t="s">
        <v>416</v>
      </c>
      <c r="C251" s="29" t="s">
        <v>288</v>
      </c>
      <c r="D251" s="29" t="s">
        <v>11</v>
      </c>
      <c r="E251" s="29">
        <f>28-3</f>
        <v>25</v>
      </c>
      <c r="F251" s="38">
        <f>E251*1800</f>
        <v>45000</v>
      </c>
      <c r="G251" s="38">
        <f t="shared" ref="G251:G258" si="13">E251*500</f>
        <v>12500</v>
      </c>
      <c r="H251" s="38">
        <f>E251*1300</f>
        <v>32500</v>
      </c>
    </row>
    <row r="252" spans="1:8" x14ac:dyDescent="0.25">
      <c r="A252" s="29"/>
      <c r="B252" s="29"/>
      <c r="C252" s="29" t="s">
        <v>292</v>
      </c>
      <c r="D252" s="29" t="s">
        <v>11</v>
      </c>
      <c r="E252" s="29">
        <v>5</v>
      </c>
      <c r="F252" s="38">
        <f t="shared" ref="F252:F258" si="14">E252*1500</f>
        <v>7500</v>
      </c>
      <c r="G252" s="38">
        <f t="shared" si="13"/>
        <v>2500</v>
      </c>
      <c r="H252" s="38">
        <v>5000</v>
      </c>
    </row>
    <row r="253" spans="1:8" x14ac:dyDescent="0.25">
      <c r="A253" s="29"/>
      <c r="B253" s="29"/>
      <c r="C253" s="29" t="s">
        <v>108</v>
      </c>
      <c r="D253" s="29" t="s">
        <v>11</v>
      </c>
      <c r="E253" s="29">
        <v>30</v>
      </c>
      <c r="F253" s="38">
        <f t="shared" si="14"/>
        <v>45000</v>
      </c>
      <c r="G253" s="38">
        <f t="shared" si="13"/>
        <v>15000</v>
      </c>
      <c r="H253" s="38">
        <f t="shared" ref="H253:H258" si="15">E253*1000</f>
        <v>30000</v>
      </c>
    </row>
    <row r="254" spans="1:8" x14ac:dyDescent="0.25">
      <c r="A254" s="29"/>
      <c r="B254" s="29"/>
      <c r="C254" s="29" t="s">
        <v>376</v>
      </c>
      <c r="D254" s="29" t="s">
        <v>11</v>
      </c>
      <c r="E254" s="29">
        <v>19</v>
      </c>
      <c r="F254" s="38">
        <f t="shared" si="14"/>
        <v>28500</v>
      </c>
      <c r="G254" s="38">
        <f t="shared" si="13"/>
        <v>9500</v>
      </c>
      <c r="H254" s="38">
        <f t="shared" si="15"/>
        <v>19000</v>
      </c>
    </row>
    <row r="255" spans="1:8" x14ac:dyDescent="0.25">
      <c r="A255" s="29"/>
      <c r="B255" s="29"/>
      <c r="C255" s="29"/>
      <c r="D255" s="29"/>
      <c r="E255" s="29">
        <v>78</v>
      </c>
      <c r="F255" s="38">
        <f t="shared" si="14"/>
        <v>117000</v>
      </c>
      <c r="G255" s="38">
        <f t="shared" si="13"/>
        <v>39000</v>
      </c>
      <c r="H255" s="38">
        <f t="shared" si="15"/>
        <v>78000</v>
      </c>
    </row>
    <row r="256" spans="1:8" x14ac:dyDescent="0.25">
      <c r="A256" s="29"/>
      <c r="B256" s="29"/>
      <c r="C256" s="29"/>
      <c r="D256" s="29"/>
      <c r="E256" s="29">
        <v>66</v>
      </c>
      <c r="F256" s="38">
        <f t="shared" si="14"/>
        <v>99000</v>
      </c>
      <c r="G256" s="38">
        <f t="shared" si="13"/>
        <v>33000</v>
      </c>
      <c r="H256" s="38">
        <f t="shared" si="15"/>
        <v>66000</v>
      </c>
    </row>
    <row r="257" spans="1:8" x14ac:dyDescent="0.25">
      <c r="A257" s="29"/>
      <c r="B257" s="29"/>
      <c r="C257" s="29"/>
      <c r="D257" s="29"/>
      <c r="E257" s="29">
        <v>24</v>
      </c>
      <c r="F257" s="38">
        <f t="shared" si="14"/>
        <v>36000</v>
      </c>
      <c r="G257" s="38">
        <f t="shared" si="13"/>
        <v>12000</v>
      </c>
      <c r="H257" s="38">
        <f t="shared" si="15"/>
        <v>24000</v>
      </c>
    </row>
    <row r="258" spans="1:8" x14ac:dyDescent="0.25">
      <c r="A258" s="29"/>
      <c r="B258" s="29"/>
      <c r="C258" s="29" t="s">
        <v>16</v>
      </c>
      <c r="D258" s="29" t="s">
        <v>11</v>
      </c>
      <c r="E258" s="29">
        <v>22</v>
      </c>
      <c r="F258" s="38">
        <f t="shared" si="14"/>
        <v>33000</v>
      </c>
      <c r="G258" s="38">
        <f t="shared" si="13"/>
        <v>11000</v>
      </c>
      <c r="H258" s="38">
        <f t="shared" si="15"/>
        <v>22000</v>
      </c>
    </row>
    <row r="259" spans="1:8" x14ac:dyDescent="0.25">
      <c r="A259" s="29"/>
      <c r="B259" s="29"/>
      <c r="C259" s="29" t="s">
        <v>20</v>
      </c>
      <c r="D259" s="29" t="s">
        <v>13</v>
      </c>
      <c r="E259" s="29">
        <v>3</v>
      </c>
      <c r="F259" s="38">
        <f>E259*6500</f>
        <v>19500</v>
      </c>
      <c r="G259" s="38">
        <f>E259*4500</f>
        <v>13500</v>
      </c>
      <c r="H259" s="38">
        <f>E259*2000</f>
        <v>6000</v>
      </c>
    </row>
    <row r="260" spans="1:8" x14ac:dyDescent="0.25">
      <c r="A260" s="29"/>
      <c r="B260" s="29"/>
      <c r="C260" s="29"/>
      <c r="D260" s="29" t="s">
        <v>14</v>
      </c>
      <c r="E260" s="29">
        <v>2</v>
      </c>
      <c r="F260" s="38">
        <f>E260*8000</f>
        <v>16000</v>
      </c>
      <c r="G260" s="38">
        <f>E260*5500</f>
        <v>11000</v>
      </c>
      <c r="H260" s="38">
        <f>E260*2500</f>
        <v>5000</v>
      </c>
    </row>
    <row r="261" spans="1:8" x14ac:dyDescent="0.25">
      <c r="A261" s="29"/>
      <c r="B261" s="29"/>
      <c r="C261" s="29"/>
      <c r="D261" s="29" t="s">
        <v>415</v>
      </c>
      <c r="E261" s="29">
        <v>3</v>
      </c>
      <c r="F261" s="38">
        <f>E261*3000</f>
        <v>9000</v>
      </c>
      <c r="G261" s="38">
        <f>E261*2000</f>
        <v>6000</v>
      </c>
      <c r="H261" s="38">
        <f>E261*1000</f>
        <v>3000</v>
      </c>
    </row>
    <row r="262" spans="1:8" x14ac:dyDescent="0.25">
      <c r="A262" s="126" t="s">
        <v>17</v>
      </c>
      <c r="B262" s="126"/>
      <c r="C262" s="126"/>
      <c r="D262" s="126"/>
      <c r="E262" s="16">
        <f>SUM(E251:E261)</f>
        <v>277</v>
      </c>
      <c r="F262" s="17">
        <f>SUM(F251:F261)</f>
        <v>455500</v>
      </c>
      <c r="G262" s="17">
        <f>SUM(G251:G261)</f>
        <v>165000</v>
      </c>
      <c r="H262" s="17">
        <f>SUM(H251:H261)</f>
        <v>290500</v>
      </c>
    </row>
    <row r="263" spans="1:8" x14ac:dyDescent="0.25">
      <c r="A263" s="29" t="s">
        <v>22</v>
      </c>
      <c r="B263" s="29" t="s">
        <v>417</v>
      </c>
      <c r="C263" s="29" t="s">
        <v>288</v>
      </c>
      <c r="D263" s="29" t="s">
        <v>11</v>
      </c>
      <c r="E263" s="29">
        <f>32-18</f>
        <v>14</v>
      </c>
      <c r="F263" s="38">
        <f>E263*1800</f>
        <v>25200</v>
      </c>
      <c r="G263" s="38">
        <f>E263*500</f>
        <v>7000</v>
      </c>
      <c r="H263" s="38">
        <f>E263*1300</f>
        <v>18200</v>
      </c>
    </row>
    <row r="264" spans="1:8" x14ac:dyDescent="0.25">
      <c r="A264" s="29"/>
      <c r="B264" s="29"/>
      <c r="C264" s="29" t="s">
        <v>81</v>
      </c>
      <c r="D264" s="29" t="s">
        <v>11</v>
      </c>
      <c r="E264" s="29">
        <v>75</v>
      </c>
      <c r="F264" s="38">
        <f>E264*1800</f>
        <v>135000</v>
      </c>
      <c r="G264" s="38">
        <f>E264*500</f>
        <v>37500</v>
      </c>
      <c r="H264" s="38">
        <f>E264*1300</f>
        <v>97500</v>
      </c>
    </row>
    <row r="265" spans="1:8" x14ac:dyDescent="0.25">
      <c r="A265" s="29"/>
      <c r="B265" s="29"/>
      <c r="C265" s="29"/>
      <c r="D265" s="29"/>
      <c r="E265" s="29">
        <v>75</v>
      </c>
      <c r="F265" s="38">
        <f t="shared" ref="F265:F270" si="16">E265*1800</f>
        <v>135000</v>
      </c>
      <c r="G265" s="38">
        <f t="shared" ref="G265:G271" si="17">E265*500</f>
        <v>37500</v>
      </c>
      <c r="H265" s="38">
        <f t="shared" ref="H265:H270" si="18">E265*1300</f>
        <v>97500</v>
      </c>
    </row>
    <row r="266" spans="1:8" x14ac:dyDescent="0.25">
      <c r="A266" s="29"/>
      <c r="B266" s="29"/>
      <c r="C266" s="29"/>
      <c r="D266" s="29"/>
      <c r="E266" s="29">
        <v>75</v>
      </c>
      <c r="F266" s="38">
        <f t="shared" si="16"/>
        <v>135000</v>
      </c>
      <c r="G266" s="38">
        <f t="shared" si="17"/>
        <v>37500</v>
      </c>
      <c r="H266" s="38">
        <f t="shared" si="18"/>
        <v>97500</v>
      </c>
    </row>
    <row r="267" spans="1:8" x14ac:dyDescent="0.25">
      <c r="A267" s="29"/>
      <c r="B267" s="29"/>
      <c r="C267" s="29"/>
      <c r="D267" s="29"/>
      <c r="E267" s="29">
        <v>75</v>
      </c>
      <c r="F267" s="38">
        <f t="shared" si="16"/>
        <v>135000</v>
      </c>
      <c r="G267" s="38">
        <f t="shared" si="17"/>
        <v>37500</v>
      </c>
      <c r="H267" s="38">
        <f t="shared" si="18"/>
        <v>97500</v>
      </c>
    </row>
    <row r="268" spans="1:8" x14ac:dyDescent="0.25">
      <c r="A268" s="29"/>
      <c r="B268" s="29"/>
      <c r="C268" s="29"/>
      <c r="D268" s="29"/>
      <c r="E268" s="29">
        <v>75</v>
      </c>
      <c r="F268" s="38">
        <f t="shared" si="16"/>
        <v>135000</v>
      </c>
      <c r="G268" s="38">
        <f t="shared" si="17"/>
        <v>37500</v>
      </c>
      <c r="H268" s="38">
        <f t="shared" si="18"/>
        <v>97500</v>
      </c>
    </row>
    <row r="269" spans="1:8" x14ac:dyDescent="0.25">
      <c r="A269" s="29"/>
      <c r="B269" s="29"/>
      <c r="C269" s="29"/>
      <c r="D269" s="29"/>
      <c r="E269" s="29">
        <v>75</v>
      </c>
      <c r="F269" s="38">
        <f t="shared" si="16"/>
        <v>135000</v>
      </c>
      <c r="G269" s="38">
        <f t="shared" si="17"/>
        <v>37500</v>
      </c>
      <c r="H269" s="38">
        <f t="shared" si="18"/>
        <v>97500</v>
      </c>
    </row>
    <row r="270" spans="1:8" x14ac:dyDescent="0.25">
      <c r="A270" s="29"/>
      <c r="B270" s="29"/>
      <c r="C270" s="29"/>
      <c r="D270" s="29"/>
      <c r="E270" s="29">
        <v>70</v>
      </c>
      <c r="F270" s="38">
        <f t="shared" si="16"/>
        <v>126000</v>
      </c>
      <c r="G270" s="38">
        <f t="shared" si="17"/>
        <v>35000</v>
      </c>
      <c r="H270" s="38">
        <f t="shared" si="18"/>
        <v>91000</v>
      </c>
    </row>
    <row r="271" spans="1:8" x14ac:dyDescent="0.25">
      <c r="A271" s="29"/>
      <c r="B271" s="29"/>
      <c r="C271" s="29" t="s">
        <v>16</v>
      </c>
      <c r="D271" s="29" t="s">
        <v>11</v>
      </c>
      <c r="E271" s="29">
        <v>76</v>
      </c>
      <c r="F271" s="38">
        <f>E271*1500</f>
        <v>114000</v>
      </c>
      <c r="G271" s="38">
        <f t="shared" si="17"/>
        <v>38000</v>
      </c>
      <c r="H271" s="38">
        <f>E271*1000</f>
        <v>76000</v>
      </c>
    </row>
    <row r="272" spans="1:8" x14ac:dyDescent="0.25">
      <c r="A272" s="29"/>
      <c r="B272" s="29"/>
      <c r="C272" s="29"/>
      <c r="D272" s="29" t="s">
        <v>12</v>
      </c>
      <c r="E272" s="29">
        <v>4</v>
      </c>
      <c r="F272" s="38">
        <f>E272*3000</f>
        <v>12000</v>
      </c>
      <c r="G272" s="38">
        <f>E272*2000</f>
        <v>8000</v>
      </c>
      <c r="H272" s="38">
        <f>E272*1000</f>
        <v>4000</v>
      </c>
    </row>
    <row r="273" spans="1:8" x14ac:dyDescent="0.25">
      <c r="A273" s="29"/>
      <c r="B273" s="29"/>
      <c r="C273" s="29"/>
      <c r="D273" s="29" t="s">
        <v>13</v>
      </c>
      <c r="E273" s="29">
        <v>1</v>
      </c>
      <c r="F273" s="38">
        <v>6500</v>
      </c>
      <c r="G273" s="38">
        <v>4500</v>
      </c>
      <c r="H273" s="38">
        <v>2000</v>
      </c>
    </row>
    <row r="274" spans="1:8" x14ac:dyDescent="0.25">
      <c r="A274" s="29"/>
      <c r="B274" s="29"/>
      <c r="C274" s="29"/>
      <c r="D274" s="29" t="s">
        <v>14</v>
      </c>
      <c r="E274" s="29">
        <v>1</v>
      </c>
      <c r="F274" s="38">
        <v>10000</v>
      </c>
      <c r="G274" s="38">
        <v>5500</v>
      </c>
      <c r="H274" s="38">
        <v>4500</v>
      </c>
    </row>
    <row r="275" spans="1:8" x14ac:dyDescent="0.25">
      <c r="A275" s="29"/>
      <c r="B275" s="29"/>
      <c r="C275" s="29" t="s">
        <v>20</v>
      </c>
      <c r="D275" s="29" t="s">
        <v>14</v>
      </c>
      <c r="E275" s="29">
        <v>1</v>
      </c>
      <c r="F275" s="38">
        <v>10000</v>
      </c>
      <c r="G275" s="38">
        <v>5500</v>
      </c>
      <c r="H275" s="38">
        <v>4500</v>
      </c>
    </row>
    <row r="276" spans="1:8" x14ac:dyDescent="0.25">
      <c r="A276" s="29"/>
      <c r="B276" s="29"/>
      <c r="C276" s="29"/>
      <c r="D276" s="29" t="s">
        <v>243</v>
      </c>
      <c r="E276" s="29">
        <v>2</v>
      </c>
      <c r="F276" s="38">
        <f>E276*13000</f>
        <v>26000</v>
      </c>
      <c r="G276" s="38">
        <f>E276*10000</f>
        <v>20000</v>
      </c>
      <c r="H276" s="38">
        <f>E276*3000</f>
        <v>6000</v>
      </c>
    </row>
    <row r="277" spans="1:8" x14ac:dyDescent="0.25">
      <c r="A277" s="125" t="s">
        <v>17</v>
      </c>
      <c r="B277" s="125"/>
      <c r="C277" s="125"/>
      <c r="D277" s="125"/>
      <c r="E277" s="17">
        <f>SUM(E263:E276)</f>
        <v>619</v>
      </c>
      <c r="F277" s="17">
        <f>SUM(F263:F276)</f>
        <v>1139700</v>
      </c>
      <c r="G277" s="17">
        <f>SUM(G263:G276)</f>
        <v>348500</v>
      </c>
      <c r="H277" s="17">
        <f>SUM(H263:H276)</f>
        <v>791200</v>
      </c>
    </row>
    <row r="278" spans="1:8" x14ac:dyDescent="0.25">
      <c r="A278" s="29" t="s">
        <v>26</v>
      </c>
      <c r="B278" s="29" t="s">
        <v>418</v>
      </c>
      <c r="C278" s="29" t="s">
        <v>16</v>
      </c>
      <c r="D278" s="29" t="s">
        <v>11</v>
      </c>
      <c r="E278" s="29">
        <v>18</v>
      </c>
      <c r="F278" s="38">
        <f>E278*1500</f>
        <v>27000</v>
      </c>
      <c r="G278" s="38">
        <f>E278*500</f>
        <v>9000</v>
      </c>
      <c r="H278" s="38">
        <v>18000</v>
      </c>
    </row>
    <row r="279" spans="1:8" x14ac:dyDescent="0.25">
      <c r="A279" s="29"/>
      <c r="B279" s="29"/>
      <c r="C279" s="29"/>
      <c r="D279" s="29" t="s">
        <v>12</v>
      </c>
      <c r="E279" s="29">
        <v>4</v>
      </c>
      <c r="F279" s="38">
        <f>E279*3000</f>
        <v>12000</v>
      </c>
      <c r="G279" s="38">
        <f>E279*2000</f>
        <v>8000</v>
      </c>
      <c r="H279" s="38">
        <v>4000</v>
      </c>
    </row>
    <row r="280" spans="1:8" x14ac:dyDescent="0.25">
      <c r="A280" s="29"/>
      <c r="B280" s="29"/>
      <c r="C280" s="29" t="s">
        <v>217</v>
      </c>
      <c r="D280" s="29" t="s">
        <v>13</v>
      </c>
      <c r="E280" s="29">
        <v>9</v>
      </c>
      <c r="F280" s="38">
        <f>E280*6500</f>
        <v>58500</v>
      </c>
      <c r="G280" s="38">
        <f>E280*4500</f>
        <v>40500</v>
      </c>
      <c r="H280" s="38">
        <f>E280*2000</f>
        <v>18000</v>
      </c>
    </row>
    <row r="281" spans="1:8" x14ac:dyDescent="0.25">
      <c r="A281" s="29"/>
      <c r="B281" s="29"/>
      <c r="C281" s="29"/>
      <c r="D281" s="29" t="s">
        <v>14</v>
      </c>
      <c r="E281" s="29">
        <v>3</v>
      </c>
      <c r="F281" s="38">
        <f>E281*8000</f>
        <v>24000</v>
      </c>
      <c r="G281" s="38">
        <f>E281*5500</f>
        <v>16500</v>
      </c>
      <c r="H281" s="38">
        <f>E281*2500</f>
        <v>7500</v>
      </c>
    </row>
    <row r="282" spans="1:8" x14ac:dyDescent="0.25">
      <c r="A282" s="29"/>
      <c r="B282" s="29"/>
      <c r="C282" s="29"/>
      <c r="D282" s="29"/>
      <c r="E282" s="29">
        <v>2</v>
      </c>
      <c r="F282" s="38">
        <f>E282*10000</f>
        <v>20000</v>
      </c>
      <c r="G282" s="38">
        <f>E282*5500</f>
        <v>11000</v>
      </c>
      <c r="H282" s="38">
        <f>E282*4500</f>
        <v>9000</v>
      </c>
    </row>
    <row r="283" spans="1:8" x14ac:dyDescent="0.25">
      <c r="A283" s="29"/>
      <c r="B283" s="29"/>
      <c r="C283" s="29" t="s">
        <v>20</v>
      </c>
      <c r="D283" s="29" t="s">
        <v>13</v>
      </c>
      <c r="E283" s="29">
        <v>3</v>
      </c>
      <c r="F283" s="38">
        <f>E283*6500</f>
        <v>19500</v>
      </c>
      <c r="G283" s="38">
        <f>E283*4500</f>
        <v>13500</v>
      </c>
      <c r="H283" s="38">
        <f>E283*2000</f>
        <v>6000</v>
      </c>
    </row>
    <row r="284" spans="1:8" x14ac:dyDescent="0.25">
      <c r="A284" s="29"/>
      <c r="B284" s="29"/>
      <c r="C284" s="29"/>
      <c r="D284" s="29" t="s">
        <v>14</v>
      </c>
      <c r="E284" s="29">
        <v>2</v>
      </c>
      <c r="F284" s="38">
        <f>E284*10000</f>
        <v>20000</v>
      </c>
      <c r="G284" s="38">
        <f>E284*5500</f>
        <v>11000</v>
      </c>
      <c r="H284" s="38">
        <f>E284*4500</f>
        <v>9000</v>
      </c>
    </row>
    <row r="285" spans="1:8" x14ac:dyDescent="0.25">
      <c r="A285" s="29"/>
      <c r="B285" s="29"/>
      <c r="C285" s="29"/>
      <c r="D285" s="29" t="s">
        <v>404</v>
      </c>
      <c r="E285" s="29">
        <v>8</v>
      </c>
      <c r="F285" s="38">
        <f>E285*3000</f>
        <v>24000</v>
      </c>
      <c r="G285" s="38">
        <f>E285*2000</f>
        <v>16000</v>
      </c>
      <c r="H285" s="38">
        <v>8000</v>
      </c>
    </row>
    <row r="286" spans="1:8" x14ac:dyDescent="0.25">
      <c r="A286" s="125" t="s">
        <v>17</v>
      </c>
      <c r="B286" s="125"/>
      <c r="C286" s="125"/>
      <c r="D286" s="125"/>
      <c r="E286" s="17">
        <f>SUM(E278:E285)</f>
        <v>49</v>
      </c>
      <c r="F286" s="17">
        <f>SUM(F278:F285)</f>
        <v>205000</v>
      </c>
      <c r="G286" s="17">
        <f>SUM(G278:G285)</f>
        <v>125500</v>
      </c>
      <c r="H286" s="17">
        <f>SUM(H278:H285)</f>
        <v>79500</v>
      </c>
    </row>
    <row r="287" spans="1:8" x14ac:dyDescent="0.25">
      <c r="A287" s="29" t="s">
        <v>28</v>
      </c>
      <c r="B287" s="29" t="s">
        <v>419</v>
      </c>
      <c r="C287" s="29" t="s">
        <v>217</v>
      </c>
      <c r="D287" s="29" t="s">
        <v>11</v>
      </c>
      <c r="E287" s="29">
        <v>59</v>
      </c>
      <c r="F287" s="38">
        <f>E287*1500</f>
        <v>88500</v>
      </c>
      <c r="G287" s="38">
        <f>E287*500</f>
        <v>29500</v>
      </c>
      <c r="H287" s="38">
        <v>59000</v>
      </c>
    </row>
    <row r="288" spans="1:8" x14ac:dyDescent="0.25">
      <c r="A288" s="29"/>
      <c r="B288" s="29"/>
      <c r="C288" s="29"/>
      <c r="D288" s="29" t="s">
        <v>13</v>
      </c>
      <c r="E288" s="29">
        <v>14</v>
      </c>
      <c r="F288" s="38">
        <f>E288*6500</f>
        <v>91000</v>
      </c>
      <c r="G288" s="38">
        <f>E288*4500</f>
        <v>63000</v>
      </c>
      <c r="H288" s="38">
        <f>E288*2000</f>
        <v>28000</v>
      </c>
    </row>
    <row r="289" spans="1:8" x14ac:dyDescent="0.25">
      <c r="A289" s="29"/>
      <c r="B289" s="29"/>
      <c r="C289" s="29"/>
      <c r="D289" s="29" t="s">
        <v>14</v>
      </c>
      <c r="E289" s="29">
        <v>2</v>
      </c>
      <c r="F289" s="38">
        <f>E289*8000</f>
        <v>16000</v>
      </c>
      <c r="G289" s="38">
        <f>E289*5500</f>
        <v>11000</v>
      </c>
      <c r="H289" s="38">
        <f>E289*2500</f>
        <v>5000</v>
      </c>
    </row>
    <row r="290" spans="1:8" x14ac:dyDescent="0.25">
      <c r="A290" s="29"/>
      <c r="B290" s="29"/>
      <c r="C290" s="29"/>
      <c r="D290" s="29"/>
      <c r="E290" s="29">
        <v>8</v>
      </c>
      <c r="F290" s="38">
        <f>E290*10000</f>
        <v>80000</v>
      </c>
      <c r="G290" s="38">
        <f>E290*5500</f>
        <v>44000</v>
      </c>
      <c r="H290" s="38">
        <f>E290*4500</f>
        <v>36000</v>
      </c>
    </row>
    <row r="291" spans="1:8" x14ac:dyDescent="0.25">
      <c r="A291" s="29"/>
      <c r="B291" s="29"/>
      <c r="C291" s="29" t="s">
        <v>20</v>
      </c>
      <c r="D291" s="29" t="s">
        <v>11</v>
      </c>
      <c r="E291" s="29">
        <v>8</v>
      </c>
      <c r="F291" s="38">
        <f>E291*1500</f>
        <v>12000</v>
      </c>
      <c r="G291" s="38">
        <f>E291*500</f>
        <v>4000</v>
      </c>
      <c r="H291" s="38">
        <v>5000</v>
      </c>
    </row>
    <row r="292" spans="1:8" x14ac:dyDescent="0.25">
      <c r="A292" s="29"/>
      <c r="B292" s="29"/>
      <c r="C292" s="29"/>
      <c r="D292" s="29" t="s">
        <v>13</v>
      </c>
      <c r="E292" s="29">
        <v>16</v>
      </c>
      <c r="F292" s="38">
        <f>E292*6500</f>
        <v>104000</v>
      </c>
      <c r="G292" s="38">
        <f>E292*4500</f>
        <v>72000</v>
      </c>
      <c r="H292" s="38">
        <f>E292*2000</f>
        <v>32000</v>
      </c>
    </row>
    <row r="293" spans="1:8" x14ac:dyDescent="0.25">
      <c r="A293" s="29"/>
      <c r="B293" s="29"/>
      <c r="C293" s="29"/>
      <c r="D293" s="29" t="s">
        <v>14</v>
      </c>
      <c r="E293" s="29">
        <v>22</v>
      </c>
      <c r="F293" s="38">
        <f>E293*10000</f>
        <v>220000</v>
      </c>
      <c r="G293" s="38">
        <f>E293*5500</f>
        <v>121000</v>
      </c>
      <c r="H293" s="38">
        <f>E293*4500</f>
        <v>99000</v>
      </c>
    </row>
    <row r="294" spans="1:8" x14ac:dyDescent="0.25">
      <c r="A294" s="29"/>
      <c r="B294" s="29"/>
      <c r="C294" s="29"/>
      <c r="D294" s="29" t="s">
        <v>420</v>
      </c>
      <c r="E294" s="29">
        <v>28</v>
      </c>
      <c r="F294" s="38">
        <f>E294*5000</f>
        <v>140000</v>
      </c>
      <c r="G294" s="38">
        <f>E294*3000</f>
        <v>84000</v>
      </c>
      <c r="H294" s="38">
        <f>E294*2000</f>
        <v>56000</v>
      </c>
    </row>
    <row r="295" spans="1:8" x14ac:dyDescent="0.25">
      <c r="A295" s="125" t="s">
        <v>17</v>
      </c>
      <c r="B295" s="125"/>
      <c r="C295" s="125"/>
      <c r="D295" s="125"/>
      <c r="E295" s="17">
        <f>SUM(E287:E294)</f>
        <v>157</v>
      </c>
      <c r="F295" s="17">
        <f>SUM(F287:F294)</f>
        <v>751500</v>
      </c>
      <c r="G295" s="17">
        <f>SUM(G287:G294)</f>
        <v>428500</v>
      </c>
      <c r="H295" s="17">
        <f>SUM(H287:H294)</f>
        <v>320000</v>
      </c>
    </row>
    <row r="296" spans="1:8" x14ac:dyDescent="0.25">
      <c r="A296" s="29" t="s">
        <v>30</v>
      </c>
      <c r="B296" s="29" t="s">
        <v>421</v>
      </c>
      <c r="C296" s="29" t="s">
        <v>16</v>
      </c>
      <c r="D296" s="29" t="s">
        <v>11</v>
      </c>
      <c r="E296" s="29">
        <v>43</v>
      </c>
      <c r="F296" s="38">
        <f>E296*1500</f>
        <v>64500</v>
      </c>
      <c r="G296" s="38">
        <f>E296*500</f>
        <v>21500</v>
      </c>
      <c r="H296" s="38">
        <v>43000</v>
      </c>
    </row>
    <row r="297" spans="1:8" x14ac:dyDescent="0.25">
      <c r="A297" s="29"/>
      <c r="B297" s="29"/>
      <c r="C297" s="29"/>
      <c r="D297" s="29" t="s">
        <v>12</v>
      </c>
      <c r="E297" s="29">
        <v>4</v>
      </c>
      <c r="F297" s="38">
        <f>E297*3000</f>
        <v>12000</v>
      </c>
      <c r="G297" s="38">
        <f>E297*2000</f>
        <v>8000</v>
      </c>
      <c r="H297" s="38">
        <v>4000</v>
      </c>
    </row>
    <row r="298" spans="1:8" x14ac:dyDescent="0.25">
      <c r="A298" s="29"/>
      <c r="B298" s="29"/>
      <c r="C298" s="29"/>
      <c r="D298" s="29" t="s">
        <v>13</v>
      </c>
      <c r="E298" s="29">
        <v>1</v>
      </c>
      <c r="F298" s="38">
        <v>6500</v>
      </c>
      <c r="G298" s="38">
        <v>4500</v>
      </c>
      <c r="H298" s="38">
        <v>2000</v>
      </c>
    </row>
    <row r="299" spans="1:8" x14ac:dyDescent="0.25">
      <c r="A299" s="29"/>
      <c r="B299" s="29"/>
      <c r="C299" s="29" t="s">
        <v>217</v>
      </c>
      <c r="D299" s="29" t="s">
        <v>420</v>
      </c>
      <c r="E299" s="29">
        <v>5</v>
      </c>
      <c r="F299" s="38">
        <f>E299*3000</f>
        <v>15000</v>
      </c>
      <c r="G299" s="38">
        <f>E299*2000</f>
        <v>10000</v>
      </c>
      <c r="H299" s="38">
        <f>E299*1000</f>
        <v>5000</v>
      </c>
    </row>
    <row r="300" spans="1:8" x14ac:dyDescent="0.25">
      <c r="A300" s="126" t="s">
        <v>17</v>
      </c>
      <c r="B300" s="126"/>
      <c r="C300" s="126"/>
      <c r="D300" s="126"/>
      <c r="E300" s="16">
        <f>SUM(E296:E299)</f>
        <v>53</v>
      </c>
      <c r="F300" s="17">
        <f>SUM(F296:F299)</f>
        <v>98000</v>
      </c>
      <c r="G300" s="17">
        <f>SUM(G296:G299)</f>
        <v>44000</v>
      </c>
      <c r="H300" s="17">
        <f>SUM(H296:H299)</f>
        <v>54000</v>
      </c>
    </row>
    <row r="301" spans="1:8" x14ac:dyDescent="0.25">
      <c r="A301" s="29" t="s">
        <v>32</v>
      </c>
      <c r="B301" s="29" t="s">
        <v>422</v>
      </c>
      <c r="C301" s="29" t="s">
        <v>16</v>
      </c>
      <c r="D301" s="29" t="s">
        <v>11</v>
      </c>
      <c r="E301" s="29">
        <v>21</v>
      </c>
      <c r="F301" s="38">
        <f>E301*1500</f>
        <v>31500</v>
      </c>
      <c r="G301" s="38">
        <f>E301*500</f>
        <v>10500</v>
      </c>
      <c r="H301" s="38">
        <v>21000</v>
      </c>
    </row>
    <row r="302" spans="1:8" x14ac:dyDescent="0.25">
      <c r="A302" s="29"/>
      <c r="B302" s="29"/>
      <c r="C302" s="29"/>
      <c r="D302" s="29" t="s">
        <v>12</v>
      </c>
      <c r="E302" s="29">
        <v>4</v>
      </c>
      <c r="F302" s="38">
        <f>E302*3000</f>
        <v>12000</v>
      </c>
      <c r="G302" s="38">
        <f>E302*2000</f>
        <v>8000</v>
      </c>
      <c r="H302" s="38">
        <f>E302*1000</f>
        <v>4000</v>
      </c>
    </row>
    <row r="303" spans="1:8" x14ac:dyDescent="0.25">
      <c r="A303" s="126" t="s">
        <v>17</v>
      </c>
      <c r="B303" s="126"/>
      <c r="C303" s="126"/>
      <c r="D303" s="126"/>
      <c r="E303" s="16">
        <f>SUM(E301:E302)</f>
        <v>25</v>
      </c>
      <c r="F303" s="17">
        <f>SUM(F301:F302)</f>
        <v>43500</v>
      </c>
      <c r="G303" s="17">
        <f>SUM(G301:G302)</f>
        <v>18500</v>
      </c>
      <c r="H303" s="17">
        <f>SUM(H301:H302)</f>
        <v>25000</v>
      </c>
    </row>
    <row r="304" spans="1:8" x14ac:dyDescent="0.25">
      <c r="A304" s="29" t="s">
        <v>8</v>
      </c>
      <c r="B304" s="29" t="s">
        <v>423</v>
      </c>
      <c r="C304" s="29" t="s">
        <v>16</v>
      </c>
      <c r="D304" s="29" t="s">
        <v>11</v>
      </c>
      <c r="E304" s="29">
        <v>14</v>
      </c>
      <c r="F304" s="38">
        <f>E304*1500</f>
        <v>21000</v>
      </c>
      <c r="G304" s="38">
        <f>E304*500</f>
        <v>7000</v>
      </c>
      <c r="H304" s="38">
        <v>14000</v>
      </c>
    </row>
    <row r="305" spans="1:8" x14ac:dyDescent="0.25">
      <c r="A305" s="29"/>
      <c r="B305" s="29"/>
      <c r="C305" s="29"/>
      <c r="D305" s="29" t="s">
        <v>12</v>
      </c>
      <c r="E305" s="29">
        <v>1</v>
      </c>
      <c r="F305" s="38">
        <v>3000</v>
      </c>
      <c r="G305" s="38">
        <v>2000</v>
      </c>
      <c r="H305" s="38">
        <v>1000</v>
      </c>
    </row>
    <row r="306" spans="1:8" x14ac:dyDescent="0.25">
      <c r="A306" s="29"/>
      <c r="B306" s="29"/>
      <c r="C306" s="29"/>
      <c r="D306" s="29" t="s">
        <v>13</v>
      </c>
      <c r="E306" s="29">
        <v>1</v>
      </c>
      <c r="F306" s="38">
        <v>6500</v>
      </c>
      <c r="G306" s="38">
        <v>4500</v>
      </c>
      <c r="H306" s="38">
        <v>2000</v>
      </c>
    </row>
    <row r="307" spans="1:8" x14ac:dyDescent="0.25">
      <c r="A307" s="29"/>
      <c r="B307" s="29"/>
      <c r="C307" s="29" t="s">
        <v>217</v>
      </c>
      <c r="D307" s="29" t="s">
        <v>13</v>
      </c>
      <c r="E307" s="29">
        <v>4</v>
      </c>
      <c r="F307" s="29">
        <f>E307*6500</f>
        <v>26000</v>
      </c>
      <c r="G307" s="29">
        <f>E307*4500</f>
        <v>18000</v>
      </c>
      <c r="H307" s="29">
        <f>E307*2000</f>
        <v>8000</v>
      </c>
    </row>
    <row r="308" spans="1:8" x14ac:dyDescent="0.25">
      <c r="A308" s="29"/>
      <c r="B308" s="29"/>
      <c r="C308" s="29"/>
      <c r="D308" s="29" t="s">
        <v>424</v>
      </c>
      <c r="E308" s="29">
        <v>4</v>
      </c>
      <c r="F308" s="29">
        <f>E308*5000</f>
        <v>20000</v>
      </c>
      <c r="G308" s="29">
        <f>E308*2500</f>
        <v>10000</v>
      </c>
      <c r="H308" s="38">
        <v>10000</v>
      </c>
    </row>
    <row r="309" spans="1:8" x14ac:dyDescent="0.25">
      <c r="A309" s="29"/>
      <c r="B309" s="29"/>
      <c r="C309" s="29"/>
      <c r="D309" s="29" t="s">
        <v>425</v>
      </c>
      <c r="E309" s="29">
        <v>4</v>
      </c>
      <c r="F309" s="29">
        <f>E309*2000</f>
        <v>8000</v>
      </c>
      <c r="G309" s="29">
        <f>E309*500</f>
        <v>2000</v>
      </c>
      <c r="H309" s="29">
        <f>E309*1500</f>
        <v>6000</v>
      </c>
    </row>
    <row r="310" spans="1:8" x14ac:dyDescent="0.25">
      <c r="A310" s="125" t="s">
        <v>17</v>
      </c>
      <c r="B310" s="125"/>
      <c r="C310" s="125"/>
      <c r="D310" s="125"/>
      <c r="E310" s="17">
        <f>SUM(E304:E309)</f>
        <v>28</v>
      </c>
      <c r="F310" s="17">
        <f>SUM(F304:F309)</f>
        <v>84500</v>
      </c>
      <c r="G310" s="17">
        <f>SUM(G304:G309)</f>
        <v>43500</v>
      </c>
      <c r="H310" s="17">
        <f>SUM(H304:H309)</f>
        <v>41000</v>
      </c>
    </row>
    <row r="311" spans="1:8" x14ac:dyDescent="0.25">
      <c r="A311" s="29" t="s">
        <v>18</v>
      </c>
      <c r="B311" s="29" t="s">
        <v>426</v>
      </c>
      <c r="C311" s="29" t="s">
        <v>16</v>
      </c>
      <c r="D311" s="29" t="s">
        <v>11</v>
      </c>
      <c r="E311" s="29">
        <v>47</v>
      </c>
      <c r="F311" s="38">
        <f>E311*1500</f>
        <v>70500</v>
      </c>
      <c r="G311" s="38">
        <f>E311*500</f>
        <v>23500</v>
      </c>
      <c r="H311" s="38">
        <v>47000</v>
      </c>
    </row>
    <row r="312" spans="1:8" x14ac:dyDescent="0.25">
      <c r="A312" s="29"/>
      <c r="B312" s="29"/>
      <c r="C312" s="29"/>
      <c r="D312" s="29" t="s">
        <v>13</v>
      </c>
      <c r="E312" s="29">
        <v>1</v>
      </c>
      <c r="F312" s="38">
        <v>6500</v>
      </c>
      <c r="G312" s="38">
        <v>4500</v>
      </c>
      <c r="H312" s="38">
        <v>2000</v>
      </c>
    </row>
    <row r="313" spans="1:8" x14ac:dyDescent="0.25">
      <c r="A313" s="29"/>
      <c r="B313" s="29"/>
      <c r="C313" s="29"/>
      <c r="D313" s="29" t="s">
        <v>14</v>
      </c>
      <c r="E313" s="29">
        <v>1</v>
      </c>
      <c r="F313" s="38">
        <v>10000</v>
      </c>
      <c r="G313" s="38">
        <v>5500</v>
      </c>
      <c r="H313" s="38">
        <v>4500</v>
      </c>
    </row>
    <row r="314" spans="1:8" x14ac:dyDescent="0.25">
      <c r="A314" s="125" t="s">
        <v>17</v>
      </c>
      <c r="B314" s="125"/>
      <c r="C314" s="125"/>
      <c r="D314" s="125"/>
      <c r="E314" s="17">
        <f>SUM(E311:E313)</f>
        <v>49</v>
      </c>
      <c r="F314" s="17">
        <f>SUM(F311:F313)</f>
        <v>87000</v>
      </c>
      <c r="G314" s="17">
        <f>SUM(G311:G313)</f>
        <v>33500</v>
      </c>
      <c r="H314" s="17">
        <f>SUM(H311:H313)</f>
        <v>53500</v>
      </c>
    </row>
    <row r="315" spans="1:8" x14ac:dyDescent="0.25">
      <c r="A315" s="29" t="s">
        <v>22</v>
      </c>
      <c r="B315" s="29" t="s">
        <v>427</v>
      </c>
      <c r="C315" s="29" t="s">
        <v>217</v>
      </c>
      <c r="D315" s="29" t="s">
        <v>415</v>
      </c>
      <c r="E315" s="29">
        <v>2</v>
      </c>
      <c r="F315" s="38">
        <f>E315*3500</f>
        <v>7000</v>
      </c>
      <c r="G315" s="38">
        <f>E315*1500</f>
        <v>3000</v>
      </c>
      <c r="H315" s="38">
        <f>E315*2000</f>
        <v>4000</v>
      </c>
    </row>
    <row r="316" spans="1:8" x14ac:dyDescent="0.25">
      <c r="A316" s="29"/>
      <c r="B316" s="29"/>
      <c r="C316" s="29"/>
      <c r="D316" s="29" t="s">
        <v>428</v>
      </c>
      <c r="E316" s="29">
        <v>1</v>
      </c>
      <c r="F316" s="38">
        <v>2000</v>
      </c>
      <c r="G316" s="38">
        <v>500</v>
      </c>
      <c r="H316" s="38">
        <v>1500</v>
      </c>
    </row>
    <row r="317" spans="1:8" x14ac:dyDescent="0.25">
      <c r="A317" s="29"/>
      <c r="B317" s="29"/>
      <c r="C317" s="29"/>
      <c r="D317" s="29" t="s">
        <v>420</v>
      </c>
      <c r="E317" s="29">
        <v>1</v>
      </c>
      <c r="F317" s="38">
        <v>2000</v>
      </c>
      <c r="G317" s="38">
        <v>500</v>
      </c>
      <c r="H317" s="38">
        <v>1500</v>
      </c>
    </row>
    <row r="318" spans="1:8" x14ac:dyDescent="0.25">
      <c r="A318" s="125" t="s">
        <v>17</v>
      </c>
      <c r="B318" s="125"/>
      <c r="C318" s="125"/>
      <c r="D318" s="125"/>
      <c r="E318" s="17">
        <f>SUM(E315:E317)</f>
        <v>4</v>
      </c>
      <c r="F318" s="17">
        <f>SUM(F315:F317)</f>
        <v>11000</v>
      </c>
      <c r="G318" s="17">
        <f>SUM(G315:G317)</f>
        <v>4000</v>
      </c>
      <c r="H318" s="17">
        <f>SUM(H315:H317)</f>
        <v>7000</v>
      </c>
    </row>
    <row r="319" spans="1:8" x14ac:dyDescent="0.25">
      <c r="A319" s="29" t="s">
        <v>26</v>
      </c>
      <c r="B319" s="29" t="s">
        <v>429</v>
      </c>
      <c r="C319" s="29" t="s">
        <v>217</v>
      </c>
      <c r="D319" s="29" t="s">
        <v>13</v>
      </c>
      <c r="E319" s="29">
        <v>18</v>
      </c>
      <c r="F319" s="38">
        <f>E319*6500</f>
        <v>117000</v>
      </c>
      <c r="G319" s="38">
        <f>E319*4500</f>
        <v>81000</v>
      </c>
      <c r="H319" s="38">
        <f>E319*2000</f>
        <v>36000</v>
      </c>
    </row>
    <row r="320" spans="1:8" x14ac:dyDescent="0.25">
      <c r="A320" s="29"/>
      <c r="B320" s="29"/>
      <c r="C320" s="29"/>
      <c r="D320" s="29" t="s">
        <v>14</v>
      </c>
      <c r="E320" s="29">
        <v>5</v>
      </c>
      <c r="F320" s="38">
        <f>E320*10000</f>
        <v>50000</v>
      </c>
      <c r="G320" s="38">
        <f>E320*5500</f>
        <v>27500</v>
      </c>
      <c r="H320" s="38">
        <f>E320*4500</f>
        <v>22500</v>
      </c>
    </row>
    <row r="321" spans="1:8" x14ac:dyDescent="0.25">
      <c r="A321" s="29"/>
      <c r="B321" s="29"/>
      <c r="C321" s="29"/>
      <c r="D321" s="29"/>
      <c r="E321" s="29">
        <v>1</v>
      </c>
      <c r="F321" s="38">
        <v>8000</v>
      </c>
      <c r="G321" s="38">
        <v>5500</v>
      </c>
      <c r="H321" s="38">
        <v>2500</v>
      </c>
    </row>
    <row r="322" spans="1:8" x14ac:dyDescent="0.25">
      <c r="A322" s="29"/>
      <c r="B322" s="29"/>
      <c r="C322" s="29" t="s">
        <v>16</v>
      </c>
      <c r="D322" s="29" t="s">
        <v>11</v>
      </c>
      <c r="E322" s="29">
        <v>19</v>
      </c>
      <c r="F322" s="38">
        <f>E322*1500</f>
        <v>28500</v>
      </c>
      <c r="G322" s="38">
        <f>E322*500</f>
        <v>9500</v>
      </c>
      <c r="H322" s="38">
        <v>19000</v>
      </c>
    </row>
    <row r="323" spans="1:8" x14ac:dyDescent="0.25">
      <c r="A323" s="29"/>
      <c r="B323" s="29"/>
      <c r="C323" s="29" t="s">
        <v>20</v>
      </c>
      <c r="D323" s="29" t="s">
        <v>415</v>
      </c>
      <c r="E323" s="29">
        <v>8</v>
      </c>
      <c r="F323" s="38">
        <f>E323*3500</f>
        <v>28000</v>
      </c>
      <c r="G323" s="38">
        <f>E323*1500</f>
        <v>12000</v>
      </c>
      <c r="H323" s="38">
        <f>E323*2000</f>
        <v>16000</v>
      </c>
    </row>
    <row r="324" spans="1:8" x14ac:dyDescent="0.25">
      <c r="A324" s="29"/>
      <c r="B324" s="29"/>
      <c r="C324" s="29"/>
      <c r="D324" s="29" t="s">
        <v>424</v>
      </c>
      <c r="E324" s="29">
        <v>2</v>
      </c>
      <c r="F324" s="38">
        <f>E324*5000</f>
        <v>10000</v>
      </c>
      <c r="G324" s="38">
        <f>E324*2500</f>
        <v>5000</v>
      </c>
      <c r="H324" s="38">
        <f>E324*2500</f>
        <v>5000</v>
      </c>
    </row>
    <row r="325" spans="1:8" x14ac:dyDescent="0.25">
      <c r="A325" s="29"/>
      <c r="B325" s="29"/>
      <c r="C325" s="29"/>
      <c r="D325" s="29" t="s">
        <v>430</v>
      </c>
      <c r="E325" s="29">
        <v>1</v>
      </c>
      <c r="F325" s="38">
        <v>5000</v>
      </c>
      <c r="G325" s="38">
        <v>2500</v>
      </c>
      <c r="H325" s="38">
        <v>2500</v>
      </c>
    </row>
    <row r="326" spans="1:8" x14ac:dyDescent="0.25">
      <c r="A326" s="29"/>
      <c r="B326" s="29"/>
      <c r="C326" s="29"/>
      <c r="D326" s="29" t="s">
        <v>404</v>
      </c>
      <c r="E326" s="29">
        <v>3</v>
      </c>
      <c r="F326" s="38">
        <f>E326*3000</f>
        <v>9000</v>
      </c>
      <c r="G326" s="38">
        <f>E326*1000</f>
        <v>3000</v>
      </c>
      <c r="H326" s="38">
        <f>E326*2000</f>
        <v>6000</v>
      </c>
    </row>
    <row r="327" spans="1:8" x14ac:dyDescent="0.25">
      <c r="A327" s="125" t="s">
        <v>17</v>
      </c>
      <c r="B327" s="125"/>
      <c r="C327" s="125"/>
      <c r="D327" s="125"/>
      <c r="E327" s="17">
        <f>SUM(E319:E326)</f>
        <v>57</v>
      </c>
      <c r="F327" s="17">
        <f>SUM(F319:F326)</f>
        <v>255500</v>
      </c>
      <c r="G327" s="17">
        <f>SUM(G319:G326)</f>
        <v>146000</v>
      </c>
      <c r="H327" s="17">
        <f>SUM(H319:H326)</f>
        <v>109500</v>
      </c>
    </row>
    <row r="328" spans="1:8" x14ac:dyDescent="0.25">
      <c r="A328" s="29"/>
      <c r="B328" s="29"/>
      <c r="C328" s="29"/>
      <c r="D328" s="29"/>
      <c r="E328" s="29"/>
      <c r="F328" s="29"/>
      <c r="G328" s="29"/>
      <c r="H328" s="29"/>
    </row>
  </sheetData>
  <mergeCells count="33">
    <mergeCell ref="A300:D300"/>
    <mergeCell ref="A10:D10"/>
    <mergeCell ref="A22:D22"/>
    <mergeCell ref="A38:D38"/>
    <mergeCell ref="A46:D46"/>
    <mergeCell ref="A52:D52"/>
    <mergeCell ref="A70:D70"/>
    <mergeCell ref="A158:D158"/>
    <mergeCell ref="A139:D139"/>
    <mergeCell ref="A132:D132"/>
    <mergeCell ref="A60:D60"/>
    <mergeCell ref="A128:D128"/>
    <mergeCell ref="A124:D124"/>
    <mergeCell ref="A286:D286"/>
    <mergeCell ref="A295:D295"/>
    <mergeCell ref="A103:D103"/>
    <mergeCell ref="A90:D90"/>
    <mergeCell ref="A81:D81"/>
    <mergeCell ref="A277:D277"/>
    <mergeCell ref="A240:D240"/>
    <mergeCell ref="A194:D194"/>
    <mergeCell ref="A181:D181"/>
    <mergeCell ref="A176:D176"/>
    <mergeCell ref="A165:D165"/>
    <mergeCell ref="A232:D232"/>
    <mergeCell ref="A211:D211"/>
    <mergeCell ref="A262:D262"/>
    <mergeCell ref="A250:D250"/>
    <mergeCell ref="A303:D303"/>
    <mergeCell ref="A310:D310"/>
    <mergeCell ref="A314:D314"/>
    <mergeCell ref="A318:D318"/>
    <mergeCell ref="A327:D32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90"/>
  <sheetViews>
    <sheetView workbookViewId="0">
      <selection activeCell="J16" sqref="J16"/>
    </sheetView>
  </sheetViews>
  <sheetFormatPr defaultRowHeight="15" x14ac:dyDescent="0.25"/>
  <cols>
    <col min="1" max="1" width="9.85546875" bestFit="1" customWidth="1"/>
    <col min="2" max="2" width="14.28515625" bestFit="1" customWidth="1"/>
    <col min="3" max="3" width="16.85546875" bestFit="1" customWidth="1"/>
    <col min="4" max="4" width="20.42578125" customWidth="1"/>
    <col min="5" max="5" width="9.140625" bestFit="1" customWidth="1"/>
    <col min="6" max="6" width="11.140625" bestFit="1" customWidth="1"/>
    <col min="7" max="7" width="12.28515625" bestFit="1" customWidth="1"/>
    <col min="8" max="8" width="10.140625" bestFit="1" customWidth="1"/>
    <col min="9" max="9" width="9.5703125" bestFit="1" customWidth="1"/>
  </cols>
  <sheetData>
    <row r="1" spans="1: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s="29" t="s">
        <v>28</v>
      </c>
      <c r="B2" s="37">
        <v>44927</v>
      </c>
      <c r="C2" s="29" t="s">
        <v>431</v>
      </c>
      <c r="D2" s="29" t="s">
        <v>11</v>
      </c>
      <c r="E2" s="42">
        <v>10</v>
      </c>
      <c r="F2" s="42">
        <f>E2*1500</f>
        <v>15000</v>
      </c>
      <c r="G2" s="42">
        <f>E2*500</f>
        <v>5000</v>
      </c>
      <c r="H2" s="42">
        <f>E2*1000</f>
        <v>10000</v>
      </c>
    </row>
    <row r="3" spans="1:8" x14ac:dyDescent="0.25">
      <c r="A3" s="29"/>
      <c r="B3" s="29"/>
      <c r="C3" s="29" t="s">
        <v>24</v>
      </c>
      <c r="D3" s="29" t="s">
        <v>13</v>
      </c>
      <c r="E3" s="42">
        <v>2</v>
      </c>
      <c r="F3" s="42">
        <f>E3*6500</f>
        <v>13000</v>
      </c>
      <c r="G3" s="42">
        <f>E3*4500</f>
        <v>9000</v>
      </c>
      <c r="H3" s="42">
        <f>E3*2000</f>
        <v>4000</v>
      </c>
    </row>
    <row r="4" spans="1:8" x14ac:dyDescent="0.25">
      <c r="A4" s="29"/>
      <c r="B4" s="29"/>
      <c r="C4" s="29"/>
      <c r="D4" s="29" t="s">
        <v>243</v>
      </c>
      <c r="E4" s="29">
        <v>1</v>
      </c>
      <c r="F4" s="38">
        <v>13000</v>
      </c>
      <c r="G4" s="38">
        <v>10000</v>
      </c>
      <c r="H4" s="38">
        <v>3000</v>
      </c>
    </row>
    <row r="5" spans="1:8" x14ac:dyDescent="0.25">
      <c r="A5" s="29"/>
      <c r="B5" s="29"/>
      <c r="C5" s="29" t="s">
        <v>217</v>
      </c>
      <c r="D5" s="29" t="s">
        <v>13</v>
      </c>
      <c r="E5" s="29">
        <v>11</v>
      </c>
      <c r="F5" s="38">
        <f>E5*6500</f>
        <v>71500</v>
      </c>
      <c r="G5" s="38">
        <f>E5*4500</f>
        <v>49500</v>
      </c>
      <c r="H5" s="38">
        <f>E5*2000</f>
        <v>22000</v>
      </c>
    </row>
    <row r="6" spans="1:8" x14ac:dyDescent="0.25">
      <c r="A6" s="29"/>
      <c r="B6" s="29"/>
      <c r="C6" s="29"/>
      <c r="D6" s="29" t="s">
        <v>14</v>
      </c>
      <c r="E6" s="29">
        <v>13</v>
      </c>
      <c r="F6" s="38">
        <f>E6*10000</f>
        <v>130000</v>
      </c>
      <c r="G6" s="38">
        <f>E6*5500</f>
        <v>71500</v>
      </c>
      <c r="H6" s="38">
        <f>E6*4500</f>
        <v>58500</v>
      </c>
    </row>
    <row r="7" spans="1:8" x14ac:dyDescent="0.25">
      <c r="A7" s="29"/>
      <c r="B7" s="29"/>
      <c r="C7" s="29"/>
      <c r="D7" s="29" t="s">
        <v>13</v>
      </c>
      <c r="E7" s="29">
        <v>2</v>
      </c>
      <c r="F7" s="38">
        <f>E7*8000</f>
        <v>16000</v>
      </c>
      <c r="G7" s="38">
        <f>E7*5500</f>
        <v>11000</v>
      </c>
      <c r="H7" s="38">
        <f>E7*2500</f>
        <v>5000</v>
      </c>
    </row>
    <row r="8" spans="1:8" x14ac:dyDescent="0.25">
      <c r="A8" s="29"/>
      <c r="B8" s="29"/>
      <c r="C8" s="29" t="s">
        <v>20</v>
      </c>
      <c r="D8" s="29" t="s">
        <v>13</v>
      </c>
      <c r="E8" s="29">
        <v>11</v>
      </c>
      <c r="F8" s="38">
        <f>E8*6500</f>
        <v>71500</v>
      </c>
      <c r="G8" s="38">
        <f>E8*4500</f>
        <v>49500</v>
      </c>
      <c r="H8" s="38">
        <f>E8*2000</f>
        <v>22000</v>
      </c>
    </row>
    <row r="9" spans="1:8" x14ac:dyDescent="0.25">
      <c r="A9" s="29"/>
      <c r="B9" s="29"/>
      <c r="C9" s="29"/>
      <c r="D9" s="29" t="s">
        <v>14</v>
      </c>
      <c r="E9" s="29">
        <v>13</v>
      </c>
      <c r="F9" s="38">
        <f>E9*10000</f>
        <v>130000</v>
      </c>
      <c r="G9" s="38">
        <f>E9*5500</f>
        <v>71500</v>
      </c>
      <c r="H9" s="38">
        <f>E9*4500</f>
        <v>58500</v>
      </c>
    </row>
    <row r="10" spans="1:8" x14ac:dyDescent="0.25">
      <c r="A10" s="29"/>
      <c r="B10" s="29"/>
      <c r="C10" s="29"/>
      <c r="D10" s="29" t="s">
        <v>415</v>
      </c>
      <c r="E10" s="29">
        <v>7</v>
      </c>
      <c r="F10" s="38">
        <f>E10*3500</f>
        <v>24500</v>
      </c>
      <c r="G10" s="38">
        <f>E10*1500</f>
        <v>10500</v>
      </c>
      <c r="H10" s="38">
        <f>E10*2000</f>
        <v>14000</v>
      </c>
    </row>
    <row r="11" spans="1:8" x14ac:dyDescent="0.25">
      <c r="A11" s="29"/>
      <c r="B11" s="29"/>
      <c r="C11" s="29"/>
      <c r="D11" s="29" t="s">
        <v>404</v>
      </c>
      <c r="E11" s="29">
        <v>2</v>
      </c>
      <c r="F11" s="38">
        <f>E11*3000</f>
        <v>6000</v>
      </c>
      <c r="G11" s="38">
        <f>E11*1500</f>
        <v>3000</v>
      </c>
      <c r="H11" s="38">
        <f>E11*1500</f>
        <v>3000</v>
      </c>
    </row>
    <row r="12" spans="1:8" x14ac:dyDescent="0.25">
      <c r="A12" s="29"/>
      <c r="B12" s="29"/>
      <c r="C12" s="29"/>
      <c r="D12" s="29" t="s">
        <v>432</v>
      </c>
      <c r="E12" s="29">
        <v>3</v>
      </c>
      <c r="F12" s="38">
        <f>E12*5000</f>
        <v>15000</v>
      </c>
      <c r="G12" s="38">
        <f>E12*2500</f>
        <v>7500</v>
      </c>
      <c r="H12" s="38">
        <f>E12*2500</f>
        <v>7500</v>
      </c>
    </row>
    <row r="13" spans="1:8" x14ac:dyDescent="0.25">
      <c r="A13" s="29"/>
      <c r="B13" s="29"/>
      <c r="C13" s="29"/>
      <c r="D13" s="29" t="s">
        <v>433</v>
      </c>
      <c r="E13" s="29">
        <v>2</v>
      </c>
      <c r="F13" s="38">
        <f>E13*5000</f>
        <v>10000</v>
      </c>
      <c r="G13" s="38">
        <f>E13*2500</f>
        <v>5000</v>
      </c>
      <c r="H13" s="38">
        <f>E13*2500</f>
        <v>5000</v>
      </c>
    </row>
    <row r="14" spans="1:8" x14ac:dyDescent="0.25">
      <c r="A14" s="29"/>
      <c r="B14" s="29"/>
      <c r="C14" s="29"/>
      <c r="D14" s="29" t="s">
        <v>434</v>
      </c>
      <c r="E14" s="29">
        <v>2</v>
      </c>
      <c r="F14" s="38">
        <f>E14*5000</f>
        <v>10000</v>
      </c>
      <c r="G14" s="38">
        <f>E14*2500</f>
        <v>5000</v>
      </c>
      <c r="H14" s="38">
        <f>E14*2500</f>
        <v>5000</v>
      </c>
    </row>
    <row r="15" spans="1:8" x14ac:dyDescent="0.25">
      <c r="A15" s="126" t="s">
        <v>17</v>
      </c>
      <c r="B15" s="126"/>
      <c r="C15" s="126"/>
      <c r="D15" s="126"/>
      <c r="E15" s="41">
        <f>SUM(E2:E14)</f>
        <v>79</v>
      </c>
      <c r="F15" s="41">
        <f>SUM(F2:F14)</f>
        <v>525500</v>
      </c>
      <c r="G15" s="41">
        <f>SUM(G2:G14)</f>
        <v>308000</v>
      </c>
      <c r="H15" s="41">
        <f>SUM(H2:H14)</f>
        <v>217500</v>
      </c>
    </row>
    <row r="16" spans="1:8" x14ac:dyDescent="0.25">
      <c r="A16" s="29"/>
      <c r="B16" s="29"/>
      <c r="C16" s="29" t="s">
        <v>16</v>
      </c>
      <c r="D16" s="29" t="s">
        <v>11</v>
      </c>
      <c r="E16" s="29">
        <v>45</v>
      </c>
      <c r="F16" s="38">
        <f>E16*1500</f>
        <v>67500</v>
      </c>
      <c r="G16" s="38">
        <f>E16*500</f>
        <v>22500</v>
      </c>
      <c r="H16" s="38">
        <v>45000</v>
      </c>
    </row>
    <row r="17" spans="1:8" x14ac:dyDescent="0.25">
      <c r="A17" s="29"/>
      <c r="B17" s="29"/>
      <c r="C17" s="29"/>
      <c r="D17" s="29" t="s">
        <v>12</v>
      </c>
      <c r="E17" s="29">
        <v>10</v>
      </c>
      <c r="F17" s="38">
        <f>E17*3000</f>
        <v>30000</v>
      </c>
      <c r="G17" s="38">
        <f>E17*2000</f>
        <v>20000</v>
      </c>
      <c r="H17" s="38">
        <v>10000</v>
      </c>
    </row>
    <row r="18" spans="1:8" x14ac:dyDescent="0.25">
      <c r="A18" s="29"/>
      <c r="B18" s="29"/>
      <c r="C18" s="29"/>
      <c r="D18" s="29" t="s">
        <v>13</v>
      </c>
      <c r="E18" s="29">
        <v>1</v>
      </c>
      <c r="F18" s="38">
        <v>6500</v>
      </c>
      <c r="G18" s="38">
        <v>4500</v>
      </c>
      <c r="H18" s="38">
        <v>2000</v>
      </c>
    </row>
    <row r="19" spans="1:8" x14ac:dyDescent="0.25">
      <c r="A19" s="29"/>
      <c r="B19" s="29"/>
      <c r="C19" s="29"/>
      <c r="D19" s="29" t="s">
        <v>14</v>
      </c>
      <c r="E19" s="29">
        <v>1</v>
      </c>
      <c r="F19" s="38">
        <v>10000</v>
      </c>
      <c r="G19" s="38">
        <v>5500</v>
      </c>
      <c r="H19" s="38">
        <v>4500</v>
      </c>
    </row>
    <row r="20" spans="1:8" x14ac:dyDescent="0.25">
      <c r="A20" s="29"/>
      <c r="B20" s="29"/>
      <c r="C20" s="29"/>
      <c r="D20" s="29" t="s">
        <v>243</v>
      </c>
      <c r="E20" s="29">
        <v>1</v>
      </c>
      <c r="F20" s="38">
        <v>13000</v>
      </c>
      <c r="G20" s="38">
        <v>10000</v>
      </c>
      <c r="H20" s="38">
        <v>3000</v>
      </c>
    </row>
    <row r="21" spans="1:8" x14ac:dyDescent="0.25">
      <c r="A21" s="125" t="s">
        <v>17</v>
      </c>
      <c r="B21" s="125"/>
      <c r="C21" s="125"/>
      <c r="D21" s="125"/>
      <c r="E21" s="17">
        <f>SUM(E16:E20)</f>
        <v>58</v>
      </c>
      <c r="F21" s="17">
        <f>SUM(F16:F20)</f>
        <v>127000</v>
      </c>
      <c r="G21" s="17">
        <f>SUM(G16:G20)</f>
        <v>62500</v>
      </c>
      <c r="H21" s="17">
        <f>SUM(H16:H20)</f>
        <v>64500</v>
      </c>
    </row>
    <row r="22" spans="1:8" x14ac:dyDescent="0.25">
      <c r="A22" s="29" t="s">
        <v>30</v>
      </c>
      <c r="B22" s="37">
        <v>44958</v>
      </c>
      <c r="C22" s="29" t="s">
        <v>16</v>
      </c>
      <c r="D22" s="29" t="s">
        <v>11</v>
      </c>
      <c r="E22" s="29">
        <v>36</v>
      </c>
      <c r="F22" s="38">
        <f>E22*1500</f>
        <v>54000</v>
      </c>
      <c r="G22" s="38">
        <f>E22*500</f>
        <v>18000</v>
      </c>
      <c r="H22" s="38">
        <f>E22*1000</f>
        <v>36000</v>
      </c>
    </row>
    <row r="23" spans="1:8" x14ac:dyDescent="0.25">
      <c r="A23" s="29"/>
      <c r="B23" s="29"/>
      <c r="C23" s="29"/>
      <c r="D23" s="29" t="s">
        <v>12</v>
      </c>
      <c r="E23" s="29">
        <v>2</v>
      </c>
      <c r="F23" s="38">
        <f>E23*3000</f>
        <v>6000</v>
      </c>
      <c r="G23" s="38">
        <f>E23*2000</f>
        <v>4000</v>
      </c>
      <c r="H23" s="38">
        <v>2000</v>
      </c>
    </row>
    <row r="24" spans="1:8" x14ac:dyDescent="0.25">
      <c r="A24" s="29"/>
      <c r="B24" s="29"/>
      <c r="C24" s="29"/>
      <c r="D24" s="29" t="s">
        <v>243</v>
      </c>
      <c r="E24" s="29">
        <v>1</v>
      </c>
      <c r="F24" s="38">
        <v>13000</v>
      </c>
      <c r="G24" s="38">
        <v>10000</v>
      </c>
      <c r="H24" s="38">
        <v>3000</v>
      </c>
    </row>
    <row r="25" spans="1:8" x14ac:dyDescent="0.25">
      <c r="A25" s="29"/>
      <c r="B25" s="29"/>
      <c r="C25" s="29" t="s">
        <v>435</v>
      </c>
      <c r="D25" s="29" t="s">
        <v>243</v>
      </c>
      <c r="E25" s="29">
        <v>3</v>
      </c>
      <c r="F25" s="38">
        <f>E25*13000</f>
        <v>39000</v>
      </c>
      <c r="G25" s="38">
        <f>E25*10000</f>
        <v>30000</v>
      </c>
      <c r="H25" s="38">
        <f>E25*3000</f>
        <v>9000</v>
      </c>
    </row>
    <row r="26" spans="1:8" x14ac:dyDescent="0.25">
      <c r="A26" s="29"/>
      <c r="B26" s="29"/>
      <c r="C26" s="29" t="s">
        <v>235</v>
      </c>
      <c r="D26" s="29" t="s">
        <v>243</v>
      </c>
      <c r="E26" s="29">
        <v>4</v>
      </c>
      <c r="F26" s="38">
        <f>E26*13000</f>
        <v>52000</v>
      </c>
      <c r="G26" s="38">
        <f>E26*10000</f>
        <v>40000</v>
      </c>
      <c r="H26" s="38">
        <f>E26*3000</f>
        <v>12000</v>
      </c>
    </row>
    <row r="27" spans="1:8" x14ac:dyDescent="0.25">
      <c r="A27" s="125" t="s">
        <v>17</v>
      </c>
      <c r="B27" s="125"/>
      <c r="C27" s="125"/>
      <c r="D27" s="125"/>
      <c r="E27" s="17">
        <f>SUM(E22:E26)</f>
        <v>46</v>
      </c>
      <c r="F27" s="17">
        <f>SUM(F22:F26)</f>
        <v>164000</v>
      </c>
      <c r="G27" s="17">
        <f>SUM(G22:G26)</f>
        <v>102000</v>
      </c>
      <c r="H27" s="17">
        <f>SUM(H22:H26)</f>
        <v>62000</v>
      </c>
    </row>
    <row r="28" spans="1:8" x14ac:dyDescent="0.25">
      <c r="A28" s="29" t="s">
        <v>32</v>
      </c>
      <c r="B28" s="37">
        <v>44986</v>
      </c>
      <c r="C28" s="29" t="s">
        <v>288</v>
      </c>
      <c r="D28" s="29" t="s">
        <v>11</v>
      </c>
      <c r="E28" s="29">
        <v>25</v>
      </c>
      <c r="F28" s="38">
        <f>E28*1800</f>
        <v>45000</v>
      </c>
      <c r="G28" s="38">
        <f>E28*500</f>
        <v>12500</v>
      </c>
      <c r="H28" s="38">
        <f>E28*1300</f>
        <v>32500</v>
      </c>
    </row>
    <row r="29" spans="1:8" x14ac:dyDescent="0.25">
      <c r="A29" s="29"/>
      <c r="B29" s="29"/>
      <c r="C29" s="29" t="s">
        <v>106</v>
      </c>
      <c r="D29" s="29" t="s">
        <v>11</v>
      </c>
      <c r="E29" s="29">
        <v>11</v>
      </c>
      <c r="F29" s="38">
        <f>E29*1500</f>
        <v>16500</v>
      </c>
      <c r="G29" s="38">
        <f>E29*500</f>
        <v>5500</v>
      </c>
      <c r="H29" s="38">
        <v>11000</v>
      </c>
    </row>
    <row r="30" spans="1:8" x14ac:dyDescent="0.25">
      <c r="A30" s="29"/>
      <c r="B30" s="29"/>
      <c r="C30" s="29" t="s">
        <v>16</v>
      </c>
      <c r="D30" s="29" t="s">
        <v>11</v>
      </c>
      <c r="E30" s="29">
        <v>51</v>
      </c>
      <c r="F30" s="38">
        <f>E30*1500</f>
        <v>76500</v>
      </c>
      <c r="G30" s="38">
        <f>E30*500</f>
        <v>25500</v>
      </c>
      <c r="H30" s="38">
        <v>51000</v>
      </c>
    </row>
    <row r="31" spans="1:8" x14ac:dyDescent="0.25">
      <c r="A31" s="29"/>
      <c r="B31" s="29"/>
      <c r="C31" s="29"/>
      <c r="D31" s="29" t="s">
        <v>12</v>
      </c>
      <c r="E31" s="29">
        <v>5</v>
      </c>
      <c r="F31" s="38">
        <f>E31*3000</f>
        <v>15000</v>
      </c>
      <c r="G31" s="38">
        <f>E31*2000</f>
        <v>10000</v>
      </c>
      <c r="H31" s="38">
        <v>5000</v>
      </c>
    </row>
    <row r="32" spans="1:8" x14ac:dyDescent="0.25">
      <c r="A32" s="29"/>
      <c r="B32" s="29"/>
      <c r="C32" s="29"/>
      <c r="D32" s="29" t="s">
        <v>13</v>
      </c>
      <c r="E32" s="29">
        <v>1</v>
      </c>
      <c r="F32" s="38">
        <v>6500</v>
      </c>
      <c r="G32" s="38">
        <v>4500</v>
      </c>
      <c r="H32" s="38">
        <v>2000</v>
      </c>
    </row>
    <row r="33" spans="1:8" x14ac:dyDescent="0.25">
      <c r="A33" s="29"/>
      <c r="B33" s="29"/>
      <c r="C33" s="29" t="s">
        <v>217</v>
      </c>
      <c r="D33" s="29" t="s">
        <v>13</v>
      </c>
      <c r="E33" s="29">
        <v>2</v>
      </c>
      <c r="F33" s="38">
        <f>E33*6500</f>
        <v>13000</v>
      </c>
      <c r="G33" s="38">
        <f>E33*4500</f>
        <v>9000</v>
      </c>
      <c r="H33" s="38">
        <f>E33*2000</f>
        <v>4000</v>
      </c>
    </row>
    <row r="34" spans="1:8" x14ac:dyDescent="0.25">
      <c r="A34" s="29"/>
      <c r="B34" s="29"/>
      <c r="C34" s="29"/>
      <c r="D34" s="29" t="s">
        <v>14</v>
      </c>
      <c r="E34" s="29">
        <v>1</v>
      </c>
      <c r="F34" s="38">
        <v>10000</v>
      </c>
      <c r="G34" s="38">
        <v>5500</v>
      </c>
      <c r="H34" s="38">
        <v>4500</v>
      </c>
    </row>
    <row r="35" spans="1:8" x14ac:dyDescent="0.25">
      <c r="A35" s="29"/>
      <c r="B35" s="29"/>
      <c r="C35" s="29"/>
      <c r="D35" s="29" t="s">
        <v>432</v>
      </c>
      <c r="E35" s="29">
        <v>4</v>
      </c>
      <c r="F35" s="38">
        <f>E35*5000</f>
        <v>20000</v>
      </c>
      <c r="G35" s="38">
        <f>E35*2500</f>
        <v>10000</v>
      </c>
      <c r="H35" s="38">
        <v>10000</v>
      </c>
    </row>
    <row r="36" spans="1:8" x14ac:dyDescent="0.25">
      <c r="A36" s="29"/>
      <c r="B36" s="29"/>
      <c r="C36" s="29"/>
      <c r="D36" s="29" t="s">
        <v>436</v>
      </c>
      <c r="E36" s="29">
        <v>1</v>
      </c>
      <c r="F36" s="38">
        <v>3000</v>
      </c>
      <c r="G36" s="38">
        <v>2000</v>
      </c>
      <c r="H36" s="38">
        <v>1000</v>
      </c>
    </row>
    <row r="37" spans="1:8" x14ac:dyDescent="0.25">
      <c r="A37" s="29"/>
      <c r="B37" s="29"/>
      <c r="C37" s="29"/>
      <c r="D37" s="29" t="s">
        <v>437</v>
      </c>
      <c r="E37" s="29">
        <v>2</v>
      </c>
      <c r="F37" s="38">
        <f>E37*5000</f>
        <v>10000</v>
      </c>
      <c r="G37" s="38">
        <v>5000</v>
      </c>
      <c r="H37" s="38">
        <v>5000</v>
      </c>
    </row>
    <row r="38" spans="1:8" x14ac:dyDescent="0.25">
      <c r="A38" s="126" t="s">
        <v>17</v>
      </c>
      <c r="B38" s="126"/>
      <c r="C38" s="126"/>
      <c r="D38" s="126"/>
      <c r="E38" s="16">
        <f>SUM(E28:E37)</f>
        <v>103</v>
      </c>
      <c r="F38" s="17">
        <f>SUM(F28:F37)</f>
        <v>215500</v>
      </c>
      <c r="G38" s="17">
        <f>SUM(G28:G37)</f>
        <v>89500</v>
      </c>
      <c r="H38" s="17">
        <f>SUM(H28:H37)</f>
        <v>126000</v>
      </c>
    </row>
    <row r="39" spans="1:8" x14ac:dyDescent="0.25">
      <c r="A39" s="29" t="s">
        <v>8</v>
      </c>
      <c r="B39" s="37">
        <v>45017</v>
      </c>
      <c r="C39" s="29" t="s">
        <v>288</v>
      </c>
      <c r="D39" s="29" t="s">
        <v>11</v>
      </c>
      <c r="E39" s="29">
        <v>50</v>
      </c>
      <c r="F39" s="38">
        <f>E39*1800</f>
        <v>90000</v>
      </c>
      <c r="G39" s="38">
        <f>E39*500</f>
        <v>25000</v>
      </c>
      <c r="H39" s="38">
        <f>E39*1300</f>
        <v>65000</v>
      </c>
    </row>
    <row r="40" spans="1:8" x14ac:dyDescent="0.25">
      <c r="A40" s="29"/>
      <c r="B40" s="29"/>
      <c r="C40" s="29" t="s">
        <v>106</v>
      </c>
      <c r="D40" s="29" t="s">
        <v>11</v>
      </c>
      <c r="E40" s="29">
        <v>20</v>
      </c>
      <c r="F40" s="38">
        <f>E40*1500</f>
        <v>30000</v>
      </c>
      <c r="G40" s="38">
        <f>E40*500</f>
        <v>10000</v>
      </c>
      <c r="H40" s="38">
        <f>E40*1000</f>
        <v>20000</v>
      </c>
    </row>
    <row r="41" spans="1:8" x14ac:dyDescent="0.25">
      <c r="A41" s="29"/>
      <c r="B41" s="29"/>
      <c r="C41" s="29" t="s">
        <v>16</v>
      </c>
      <c r="D41" s="29" t="s">
        <v>11</v>
      </c>
      <c r="E41" s="29">
        <v>63</v>
      </c>
      <c r="F41" s="38">
        <f>E41*1500</f>
        <v>94500</v>
      </c>
      <c r="G41" s="38">
        <f>E41*500</f>
        <v>31500</v>
      </c>
      <c r="H41" s="38">
        <f>E41*1000</f>
        <v>63000</v>
      </c>
    </row>
    <row r="42" spans="1:8" x14ac:dyDescent="0.25">
      <c r="A42" s="29"/>
      <c r="B42" s="29"/>
      <c r="C42" s="29"/>
      <c r="D42" s="29" t="s">
        <v>12</v>
      </c>
      <c r="E42" s="29">
        <v>5</v>
      </c>
      <c r="F42" s="38">
        <f>E42*3000</f>
        <v>15000</v>
      </c>
      <c r="G42" s="38">
        <f>E42*2000</f>
        <v>10000</v>
      </c>
      <c r="H42" s="38">
        <v>5000</v>
      </c>
    </row>
    <row r="43" spans="1:8" x14ac:dyDescent="0.25">
      <c r="A43" s="29"/>
      <c r="B43" s="29"/>
      <c r="C43" s="29"/>
      <c r="D43" s="29" t="s">
        <v>13</v>
      </c>
      <c r="E43" s="29">
        <v>1</v>
      </c>
      <c r="F43" s="38">
        <v>6500</v>
      </c>
      <c r="G43" s="38">
        <v>4500</v>
      </c>
      <c r="H43" s="38">
        <v>2000</v>
      </c>
    </row>
    <row r="44" spans="1:8" x14ac:dyDescent="0.25">
      <c r="A44" s="29"/>
      <c r="B44" s="29"/>
      <c r="C44" s="29" t="s">
        <v>217</v>
      </c>
      <c r="D44" s="29" t="s">
        <v>13</v>
      </c>
      <c r="E44" s="29">
        <v>4</v>
      </c>
      <c r="F44" s="38">
        <f>E44*6500</f>
        <v>26000</v>
      </c>
      <c r="G44" s="38">
        <f>E44*4500</f>
        <v>18000</v>
      </c>
      <c r="H44" s="38">
        <f>E44*2000</f>
        <v>8000</v>
      </c>
    </row>
    <row r="45" spans="1:8" x14ac:dyDescent="0.25">
      <c r="A45" s="29"/>
      <c r="B45" s="29"/>
      <c r="C45" s="29"/>
      <c r="D45" s="29" t="s">
        <v>14</v>
      </c>
      <c r="E45" s="29">
        <v>2</v>
      </c>
      <c r="F45" s="38">
        <f>E45*10000</f>
        <v>20000</v>
      </c>
      <c r="G45" s="38">
        <f>E45*5500</f>
        <v>11000</v>
      </c>
      <c r="H45" s="38">
        <f>E45*4500</f>
        <v>9000</v>
      </c>
    </row>
    <row r="46" spans="1:8" x14ac:dyDescent="0.25">
      <c r="A46" s="29"/>
      <c r="B46" s="29"/>
      <c r="C46" s="29"/>
      <c r="D46" s="29" t="s">
        <v>404</v>
      </c>
      <c r="E46" s="29">
        <v>7</v>
      </c>
      <c r="F46" s="38">
        <f>E46*2000</f>
        <v>14000</v>
      </c>
      <c r="G46" s="38">
        <f>E46*500</f>
        <v>3500</v>
      </c>
      <c r="H46" s="38">
        <f>E46*1500</f>
        <v>10500</v>
      </c>
    </row>
    <row r="47" spans="1:8" x14ac:dyDescent="0.25">
      <c r="A47" s="29"/>
      <c r="B47" s="29"/>
      <c r="C47" s="29"/>
      <c r="D47" s="29" t="s">
        <v>436</v>
      </c>
      <c r="E47" s="29">
        <v>2</v>
      </c>
      <c r="F47" s="38">
        <f>E47*2500</f>
        <v>5000</v>
      </c>
      <c r="G47" s="38">
        <v>2000</v>
      </c>
      <c r="H47" s="38">
        <v>3000</v>
      </c>
    </row>
    <row r="48" spans="1:8" x14ac:dyDescent="0.25">
      <c r="A48" s="29"/>
      <c r="B48" s="29"/>
      <c r="C48" s="29"/>
      <c r="D48" s="29" t="s">
        <v>438</v>
      </c>
      <c r="E48" s="29">
        <v>2</v>
      </c>
      <c r="F48" s="38">
        <f>E48*5000</f>
        <v>10000</v>
      </c>
      <c r="G48" s="38">
        <f>E48*3000</f>
        <v>6000</v>
      </c>
      <c r="H48" s="38">
        <f>E48*2000</f>
        <v>4000</v>
      </c>
    </row>
    <row r="49" spans="1:8" x14ac:dyDescent="0.25">
      <c r="A49" s="29"/>
      <c r="B49" s="29"/>
      <c r="C49" s="29"/>
      <c r="D49" s="29" t="s">
        <v>415</v>
      </c>
      <c r="E49" s="29">
        <v>1</v>
      </c>
      <c r="F49" s="38">
        <v>3500</v>
      </c>
      <c r="G49" s="38">
        <v>1500</v>
      </c>
      <c r="H49" s="38">
        <v>2000</v>
      </c>
    </row>
    <row r="50" spans="1:8" x14ac:dyDescent="0.25">
      <c r="A50" s="29"/>
      <c r="B50" s="29"/>
      <c r="C50" s="29"/>
      <c r="D50" s="29" t="s">
        <v>433</v>
      </c>
      <c r="E50" s="29">
        <v>1</v>
      </c>
      <c r="F50" s="38">
        <v>5000</v>
      </c>
      <c r="G50" s="38">
        <v>2500</v>
      </c>
      <c r="H50" s="38">
        <v>2500</v>
      </c>
    </row>
    <row r="51" spans="1:8" x14ac:dyDescent="0.25">
      <c r="A51" s="29"/>
      <c r="B51" s="29"/>
      <c r="C51" s="29" t="s">
        <v>373</v>
      </c>
      <c r="D51" s="29" t="s">
        <v>243</v>
      </c>
      <c r="E51" s="29">
        <v>2</v>
      </c>
      <c r="F51" s="38">
        <f>E51*13000</f>
        <v>26000</v>
      </c>
      <c r="G51" s="38">
        <f>E51*10000</f>
        <v>20000</v>
      </c>
      <c r="H51" s="38">
        <f>E51*3000</f>
        <v>6000</v>
      </c>
    </row>
    <row r="52" spans="1:8" x14ac:dyDescent="0.25">
      <c r="A52" s="125" t="s">
        <v>17</v>
      </c>
      <c r="B52" s="125"/>
      <c r="C52" s="125"/>
      <c r="D52" s="125"/>
      <c r="E52" s="17">
        <f>SUM(E39:E51)</f>
        <v>160</v>
      </c>
      <c r="F52" s="17">
        <f>SUM(F39:F51)</f>
        <v>345500</v>
      </c>
      <c r="G52" s="17">
        <f>SUM(G39:G51)</f>
        <v>145500</v>
      </c>
      <c r="H52" s="17">
        <f>SUM(H39:H51)</f>
        <v>200000</v>
      </c>
    </row>
    <row r="53" spans="1:8" x14ac:dyDescent="0.25">
      <c r="A53" s="29" t="s">
        <v>18</v>
      </c>
      <c r="B53" s="37">
        <v>45047</v>
      </c>
      <c r="C53" s="29" t="s">
        <v>288</v>
      </c>
      <c r="D53" s="29" t="s">
        <v>11</v>
      </c>
      <c r="E53" s="29">
        <v>50</v>
      </c>
      <c r="F53" s="38">
        <f>E53*1800</f>
        <v>90000</v>
      </c>
      <c r="G53" s="38">
        <f>E53*500</f>
        <v>25000</v>
      </c>
      <c r="H53" s="38">
        <f>E53*1300</f>
        <v>65000</v>
      </c>
    </row>
    <row r="54" spans="1:8" x14ac:dyDescent="0.25">
      <c r="A54" s="29"/>
      <c r="B54" s="29"/>
      <c r="C54" s="29" t="s">
        <v>106</v>
      </c>
      <c r="D54" s="29" t="s">
        <v>11</v>
      </c>
      <c r="E54" s="29">
        <v>11</v>
      </c>
      <c r="F54" s="38">
        <f>E54*1500</f>
        <v>16500</v>
      </c>
      <c r="G54" s="38">
        <f>E54*500</f>
        <v>5500</v>
      </c>
      <c r="H54" s="38">
        <v>11000</v>
      </c>
    </row>
    <row r="55" spans="1:8" x14ac:dyDescent="0.25">
      <c r="A55" s="29"/>
      <c r="B55" s="29"/>
      <c r="C55" s="29" t="s">
        <v>108</v>
      </c>
      <c r="D55" s="29" t="s">
        <v>11</v>
      </c>
      <c r="E55" s="29">
        <v>21</v>
      </c>
      <c r="F55" s="38">
        <f>E55*1500</f>
        <v>31500</v>
      </c>
      <c r="G55" s="38">
        <f>E55*500</f>
        <v>10500</v>
      </c>
      <c r="H55" s="38">
        <v>21000</v>
      </c>
    </row>
    <row r="56" spans="1:8" x14ac:dyDescent="0.25">
      <c r="A56" s="29"/>
      <c r="B56" s="29"/>
      <c r="C56" s="29" t="s">
        <v>292</v>
      </c>
      <c r="D56" s="29" t="s">
        <v>11</v>
      </c>
      <c r="E56" s="29">
        <v>19</v>
      </c>
      <c r="F56" s="38">
        <f>E56*1500</f>
        <v>28500</v>
      </c>
      <c r="G56" s="38">
        <f>E56*500</f>
        <v>9500</v>
      </c>
      <c r="H56" s="38">
        <v>19000</v>
      </c>
    </row>
    <row r="57" spans="1:8" x14ac:dyDescent="0.25">
      <c r="A57" s="29"/>
      <c r="B57" s="29"/>
      <c r="C57" s="29" t="s">
        <v>16</v>
      </c>
      <c r="D57" s="29" t="s">
        <v>11</v>
      </c>
      <c r="E57" s="29">
        <v>66</v>
      </c>
      <c r="F57" s="38">
        <f>E57*1500</f>
        <v>99000</v>
      </c>
      <c r="G57" s="38">
        <f>E57*500</f>
        <v>33000</v>
      </c>
      <c r="H57" s="38">
        <v>66000</v>
      </c>
    </row>
    <row r="58" spans="1:8" x14ac:dyDescent="0.25">
      <c r="A58" s="29"/>
      <c r="B58" s="29"/>
      <c r="C58" s="29"/>
      <c r="D58" s="29" t="s">
        <v>12</v>
      </c>
      <c r="E58" s="29">
        <v>2</v>
      </c>
      <c r="F58" s="38">
        <f>E58*3000</f>
        <v>6000</v>
      </c>
      <c r="G58" s="38">
        <f>E58*2000</f>
        <v>4000</v>
      </c>
      <c r="H58" s="38">
        <v>2000</v>
      </c>
    </row>
    <row r="59" spans="1:8" x14ac:dyDescent="0.25">
      <c r="A59" s="29"/>
      <c r="B59" s="29"/>
      <c r="C59" s="29" t="s">
        <v>20</v>
      </c>
      <c r="D59" s="29" t="s">
        <v>415</v>
      </c>
      <c r="E59" s="29">
        <v>2</v>
      </c>
      <c r="F59" s="38">
        <f>E59*3500</f>
        <v>7000</v>
      </c>
      <c r="G59" s="38">
        <f>E59*1500</f>
        <v>3000</v>
      </c>
      <c r="H59" s="38">
        <v>6000</v>
      </c>
    </row>
    <row r="60" spans="1:8" x14ac:dyDescent="0.25">
      <c r="A60" s="29"/>
      <c r="B60" s="29"/>
      <c r="C60" s="29"/>
      <c r="D60" s="29" t="s">
        <v>424</v>
      </c>
      <c r="E60" s="29">
        <v>1</v>
      </c>
      <c r="F60" s="38">
        <v>5000</v>
      </c>
      <c r="G60" s="38">
        <v>2500</v>
      </c>
      <c r="H60" s="38">
        <v>2500</v>
      </c>
    </row>
    <row r="61" spans="1:8" x14ac:dyDescent="0.25">
      <c r="A61" s="29"/>
      <c r="B61" s="29"/>
      <c r="C61" s="29"/>
      <c r="D61" s="29" t="s">
        <v>439</v>
      </c>
      <c r="E61" s="29">
        <v>1</v>
      </c>
      <c r="F61" s="38">
        <v>5000</v>
      </c>
      <c r="G61" s="38">
        <v>2500</v>
      </c>
      <c r="H61" s="38">
        <v>2500</v>
      </c>
    </row>
    <row r="62" spans="1:8" x14ac:dyDescent="0.25">
      <c r="A62" s="125" t="s">
        <v>17</v>
      </c>
      <c r="B62" s="125"/>
      <c r="C62" s="125"/>
      <c r="D62" s="125"/>
      <c r="E62" s="17">
        <f>SUM(E53:E61)</f>
        <v>173</v>
      </c>
      <c r="F62" s="17">
        <f>SUM(F53:F61)</f>
        <v>288500</v>
      </c>
      <c r="G62" s="17">
        <f>SUM(G53:G61)</f>
        <v>95500</v>
      </c>
      <c r="H62" s="17">
        <f>SUM(H53:H61)</f>
        <v>195000</v>
      </c>
    </row>
    <row r="63" spans="1:8" x14ac:dyDescent="0.25">
      <c r="A63" s="29" t="s">
        <v>22</v>
      </c>
      <c r="B63" s="37">
        <v>45078</v>
      </c>
      <c r="C63" s="29" t="s">
        <v>288</v>
      </c>
      <c r="D63" s="29" t="s">
        <v>11</v>
      </c>
      <c r="E63" s="29">
        <v>60</v>
      </c>
      <c r="F63" s="38">
        <f>E63*1800</f>
        <v>108000</v>
      </c>
      <c r="G63" s="38">
        <f>E63*500</f>
        <v>30000</v>
      </c>
      <c r="H63" s="38">
        <f>E63*1300</f>
        <v>78000</v>
      </c>
    </row>
    <row r="64" spans="1:8" x14ac:dyDescent="0.25">
      <c r="A64" s="29"/>
      <c r="B64" s="29"/>
      <c r="C64" s="29" t="s">
        <v>106</v>
      </c>
      <c r="D64" s="29" t="s">
        <v>11</v>
      </c>
      <c r="E64" s="29">
        <v>21</v>
      </c>
      <c r="F64" s="38">
        <f>E64*1500</f>
        <v>31500</v>
      </c>
      <c r="G64" s="38">
        <f>E64*500</f>
        <v>10500</v>
      </c>
      <c r="H64" s="38">
        <f>E64*1000</f>
        <v>21000</v>
      </c>
    </row>
    <row r="65" spans="1:8" x14ac:dyDescent="0.25">
      <c r="A65" s="29"/>
      <c r="B65" s="29"/>
      <c r="C65" s="29" t="s">
        <v>16</v>
      </c>
      <c r="D65" s="29" t="s">
        <v>11</v>
      </c>
      <c r="E65" s="29">
        <v>48</v>
      </c>
      <c r="F65" s="38">
        <f>E65*1500</f>
        <v>72000</v>
      </c>
      <c r="G65" s="38">
        <f>E65*500</f>
        <v>24000</v>
      </c>
      <c r="H65" s="38">
        <v>48000</v>
      </c>
    </row>
    <row r="66" spans="1:8" x14ac:dyDescent="0.25">
      <c r="A66" s="29"/>
      <c r="B66" s="29"/>
      <c r="C66" s="29"/>
      <c r="D66" s="29" t="s">
        <v>12</v>
      </c>
      <c r="E66" s="29">
        <v>3</v>
      </c>
      <c r="F66" s="38">
        <f>E66*3000</f>
        <v>9000</v>
      </c>
      <c r="G66" s="38">
        <f>E66*2000</f>
        <v>6000</v>
      </c>
      <c r="H66" s="38">
        <v>3000</v>
      </c>
    </row>
    <row r="67" spans="1:8" x14ac:dyDescent="0.25">
      <c r="A67" s="29"/>
      <c r="B67" s="29"/>
      <c r="C67" s="29" t="s">
        <v>217</v>
      </c>
      <c r="D67" s="29" t="s">
        <v>11</v>
      </c>
      <c r="E67" s="29">
        <v>51</v>
      </c>
      <c r="F67" s="38">
        <f>E67*1500</f>
        <v>76500</v>
      </c>
      <c r="G67" s="38">
        <f>E67*500</f>
        <v>25500</v>
      </c>
      <c r="H67" s="38">
        <v>51000</v>
      </c>
    </row>
    <row r="68" spans="1:8" x14ac:dyDescent="0.25">
      <c r="A68" s="29"/>
      <c r="B68" s="29"/>
      <c r="C68" s="29"/>
      <c r="D68" s="29" t="s">
        <v>425</v>
      </c>
      <c r="E68" s="29">
        <v>4</v>
      </c>
      <c r="F68" s="38">
        <f>E68*2000</f>
        <v>8000</v>
      </c>
      <c r="G68" s="38">
        <f>E68*500</f>
        <v>2000</v>
      </c>
      <c r="H68" s="38">
        <f>E68*1500</f>
        <v>6000</v>
      </c>
    </row>
    <row r="69" spans="1:8" x14ac:dyDescent="0.25">
      <c r="A69" s="29"/>
      <c r="B69" s="29"/>
      <c r="C69" s="29"/>
      <c r="D69" s="29" t="s">
        <v>432</v>
      </c>
      <c r="E69" s="29">
        <v>1</v>
      </c>
      <c r="F69" s="38">
        <v>5000</v>
      </c>
      <c r="G69" s="38">
        <v>2500</v>
      </c>
      <c r="H69" s="38">
        <v>2500</v>
      </c>
    </row>
    <row r="70" spans="1:8" x14ac:dyDescent="0.25">
      <c r="A70" s="29"/>
      <c r="B70" s="29"/>
      <c r="C70" s="29"/>
      <c r="D70" s="29" t="s">
        <v>433</v>
      </c>
      <c r="E70" s="29">
        <v>1</v>
      </c>
      <c r="F70" s="38">
        <v>5000</v>
      </c>
      <c r="G70" s="38">
        <v>2500</v>
      </c>
      <c r="H70" s="38">
        <v>2500</v>
      </c>
    </row>
    <row r="71" spans="1:8" x14ac:dyDescent="0.25">
      <c r="A71" s="29"/>
      <c r="B71" s="29"/>
      <c r="C71" s="29"/>
      <c r="D71" s="29" t="s">
        <v>21</v>
      </c>
      <c r="E71" s="29">
        <v>1</v>
      </c>
      <c r="F71" s="38">
        <v>15000</v>
      </c>
      <c r="G71" s="38">
        <v>10000</v>
      </c>
      <c r="H71" s="38">
        <v>5000</v>
      </c>
    </row>
    <row r="72" spans="1:8" x14ac:dyDescent="0.25">
      <c r="A72" s="126" t="s">
        <v>17</v>
      </c>
      <c r="B72" s="126"/>
      <c r="C72" s="126"/>
      <c r="D72" s="126"/>
      <c r="E72" s="16">
        <f>SUM(E63:E71)</f>
        <v>190</v>
      </c>
      <c r="F72" s="17">
        <f>SUM(F63:F71)</f>
        <v>330000</v>
      </c>
      <c r="G72" s="17">
        <f>SUM(G63:G71)</f>
        <v>113000</v>
      </c>
      <c r="H72" s="17">
        <f>SUM(H63:H71)</f>
        <v>217000</v>
      </c>
    </row>
    <row r="73" spans="1:8" x14ac:dyDescent="0.25">
      <c r="A73" s="29" t="s">
        <v>26</v>
      </c>
      <c r="B73" s="37">
        <v>45108</v>
      </c>
      <c r="C73" s="29" t="s">
        <v>288</v>
      </c>
      <c r="D73" s="29" t="s">
        <v>11</v>
      </c>
      <c r="E73" s="29">
        <v>50</v>
      </c>
      <c r="F73" s="38">
        <f>E73*1800</f>
        <v>90000</v>
      </c>
      <c r="G73" s="38">
        <f t="shared" ref="G73:G83" si="0">E73*500</f>
        <v>25000</v>
      </c>
      <c r="H73" s="38">
        <f>E73*1300</f>
        <v>65000</v>
      </c>
    </row>
    <row r="74" spans="1:8" x14ac:dyDescent="0.25">
      <c r="A74" s="29"/>
      <c r="B74" s="29"/>
      <c r="C74" s="29" t="s">
        <v>106</v>
      </c>
      <c r="D74" s="29" t="s">
        <v>11</v>
      </c>
      <c r="E74" s="29">
        <v>20</v>
      </c>
      <c r="F74" s="38">
        <f>E74*1500</f>
        <v>30000</v>
      </c>
      <c r="G74" s="38">
        <f t="shared" si="0"/>
        <v>10000</v>
      </c>
      <c r="H74" s="38">
        <v>20000</v>
      </c>
    </row>
    <row r="75" spans="1:8" x14ac:dyDescent="0.25">
      <c r="A75" s="29"/>
      <c r="B75" s="29"/>
      <c r="C75" s="29" t="s">
        <v>292</v>
      </c>
      <c r="D75" s="29" t="s">
        <v>11</v>
      </c>
      <c r="E75" s="29">
        <f>30-9</f>
        <v>21</v>
      </c>
      <c r="F75" s="38">
        <f>E75*1500</f>
        <v>31500</v>
      </c>
      <c r="G75" s="38">
        <f t="shared" si="0"/>
        <v>10500</v>
      </c>
      <c r="H75" s="38">
        <v>21000</v>
      </c>
    </row>
    <row r="76" spans="1:8" x14ac:dyDescent="0.25">
      <c r="A76" s="29"/>
      <c r="B76" s="29"/>
      <c r="C76" s="29" t="s">
        <v>108</v>
      </c>
      <c r="D76" s="29" t="s">
        <v>11</v>
      </c>
      <c r="E76" s="29">
        <f>29-9</f>
        <v>20</v>
      </c>
      <c r="F76" s="38">
        <f>E76*1500</f>
        <v>30000</v>
      </c>
      <c r="G76" s="38">
        <f t="shared" si="0"/>
        <v>10000</v>
      </c>
      <c r="H76" s="38">
        <v>20000</v>
      </c>
    </row>
    <row r="77" spans="1:8" x14ac:dyDescent="0.25">
      <c r="A77" s="29"/>
      <c r="B77" s="29"/>
      <c r="C77" s="29" t="s">
        <v>81</v>
      </c>
      <c r="D77" s="29" t="s">
        <v>11</v>
      </c>
      <c r="E77" s="29">
        <v>70</v>
      </c>
      <c r="F77" s="38">
        <f t="shared" ref="F77:F82" si="1">E77*1800</f>
        <v>126000</v>
      </c>
      <c r="G77" s="38">
        <f t="shared" si="0"/>
        <v>35000</v>
      </c>
      <c r="H77" s="38">
        <f t="shared" ref="H77:H82" si="2">E77*1300</f>
        <v>91000</v>
      </c>
    </row>
    <row r="78" spans="1:8" x14ac:dyDescent="0.25">
      <c r="A78" s="29"/>
      <c r="B78" s="29"/>
      <c r="C78" s="29"/>
      <c r="D78" s="29"/>
      <c r="E78" s="29">
        <v>75</v>
      </c>
      <c r="F78" s="38">
        <f t="shared" si="1"/>
        <v>135000</v>
      </c>
      <c r="G78" s="38">
        <f t="shared" si="0"/>
        <v>37500</v>
      </c>
      <c r="H78" s="38">
        <f t="shared" si="2"/>
        <v>97500</v>
      </c>
    </row>
    <row r="79" spans="1:8" x14ac:dyDescent="0.25">
      <c r="A79" s="29"/>
      <c r="B79" s="29"/>
      <c r="C79" s="29"/>
      <c r="D79" s="29"/>
      <c r="E79" s="29">
        <v>75</v>
      </c>
      <c r="F79" s="38">
        <f t="shared" si="1"/>
        <v>135000</v>
      </c>
      <c r="G79" s="38">
        <f t="shared" si="0"/>
        <v>37500</v>
      </c>
      <c r="H79" s="38">
        <f t="shared" si="2"/>
        <v>97500</v>
      </c>
    </row>
    <row r="80" spans="1:8" x14ac:dyDescent="0.25">
      <c r="A80" s="29"/>
      <c r="B80" s="29"/>
      <c r="C80" s="29"/>
      <c r="D80" s="29"/>
      <c r="E80" s="29">
        <v>75</v>
      </c>
      <c r="F80" s="38">
        <f t="shared" si="1"/>
        <v>135000</v>
      </c>
      <c r="G80" s="38">
        <f t="shared" si="0"/>
        <v>37500</v>
      </c>
      <c r="H80" s="38">
        <f t="shared" si="2"/>
        <v>97500</v>
      </c>
    </row>
    <row r="81" spans="1:8" x14ac:dyDescent="0.25">
      <c r="A81" s="29"/>
      <c r="B81" s="29"/>
      <c r="C81" s="29"/>
      <c r="D81" s="29"/>
      <c r="E81" s="29">
        <v>75</v>
      </c>
      <c r="F81" s="38">
        <f t="shared" si="1"/>
        <v>135000</v>
      </c>
      <c r="G81" s="38">
        <f t="shared" si="0"/>
        <v>37500</v>
      </c>
      <c r="H81" s="38">
        <f t="shared" si="2"/>
        <v>97500</v>
      </c>
    </row>
    <row r="82" spans="1:8" x14ac:dyDescent="0.25">
      <c r="A82" s="29"/>
      <c r="B82" s="29"/>
      <c r="C82" s="29"/>
      <c r="D82" s="29"/>
      <c r="E82" s="29">
        <v>75</v>
      </c>
      <c r="F82" s="38">
        <f t="shared" si="1"/>
        <v>135000</v>
      </c>
      <c r="G82" s="38">
        <f t="shared" si="0"/>
        <v>37500</v>
      </c>
      <c r="H82" s="38">
        <f t="shared" si="2"/>
        <v>97500</v>
      </c>
    </row>
    <row r="83" spans="1:8" x14ac:dyDescent="0.25">
      <c r="A83" s="29"/>
      <c r="B83" s="29"/>
      <c r="C83" s="29" t="s">
        <v>217</v>
      </c>
      <c r="D83" s="29" t="s">
        <v>13</v>
      </c>
      <c r="E83" s="29">
        <v>8</v>
      </c>
      <c r="F83" s="38">
        <f>E83*6500</f>
        <v>52000</v>
      </c>
      <c r="G83" s="38">
        <f t="shared" si="0"/>
        <v>4000</v>
      </c>
      <c r="H83" s="38">
        <v>8000</v>
      </c>
    </row>
    <row r="84" spans="1:8" x14ac:dyDescent="0.25">
      <c r="A84" s="29"/>
      <c r="B84" s="29"/>
      <c r="C84" s="29"/>
      <c r="D84" s="29" t="s">
        <v>14</v>
      </c>
      <c r="E84" s="29">
        <v>1</v>
      </c>
      <c r="F84" s="38">
        <v>8000</v>
      </c>
      <c r="G84" s="38">
        <v>5500</v>
      </c>
      <c r="H84" s="38">
        <v>2500</v>
      </c>
    </row>
    <row r="85" spans="1:8" x14ac:dyDescent="0.25">
      <c r="A85" s="29"/>
      <c r="B85" s="29"/>
      <c r="C85" s="29"/>
      <c r="D85" s="29"/>
      <c r="E85" s="29">
        <v>6</v>
      </c>
      <c r="F85" s="38">
        <f>E85*10000</f>
        <v>60000</v>
      </c>
      <c r="G85" s="38">
        <f>E85*5500</f>
        <v>33000</v>
      </c>
      <c r="H85" s="38">
        <f>E85*4500</f>
        <v>27000</v>
      </c>
    </row>
    <row r="86" spans="1:8" x14ac:dyDescent="0.25">
      <c r="A86" s="29"/>
      <c r="B86" s="29"/>
      <c r="C86" s="29" t="s">
        <v>20</v>
      </c>
      <c r="D86" s="29" t="s">
        <v>420</v>
      </c>
      <c r="E86" s="29">
        <v>2</v>
      </c>
      <c r="F86" s="38">
        <f>E86*5000</f>
        <v>10000</v>
      </c>
      <c r="G86" s="38">
        <f>E86*2500</f>
        <v>5000</v>
      </c>
      <c r="H86" s="38">
        <v>5000</v>
      </c>
    </row>
    <row r="87" spans="1:8" x14ac:dyDescent="0.25">
      <c r="A87" s="29"/>
      <c r="B87" s="29"/>
      <c r="C87" s="29"/>
      <c r="D87" s="29" t="s">
        <v>415</v>
      </c>
      <c r="E87" s="29">
        <v>3</v>
      </c>
      <c r="F87" s="38">
        <f>E87*3500</f>
        <v>10500</v>
      </c>
      <c r="G87" s="38">
        <f>E87*1500</f>
        <v>4500</v>
      </c>
      <c r="H87" s="38">
        <v>6000</v>
      </c>
    </row>
    <row r="88" spans="1:8" x14ac:dyDescent="0.25">
      <c r="A88" s="29"/>
      <c r="B88" s="29"/>
      <c r="C88" s="29"/>
      <c r="D88" s="29" t="s">
        <v>440</v>
      </c>
      <c r="E88" s="29">
        <v>2</v>
      </c>
      <c r="F88" s="38">
        <f>E88*2000</f>
        <v>4000</v>
      </c>
      <c r="G88" s="38">
        <v>2000</v>
      </c>
      <c r="H88" s="38">
        <v>2000</v>
      </c>
    </row>
    <row r="89" spans="1:8" x14ac:dyDescent="0.25">
      <c r="A89" s="29"/>
      <c r="B89" s="29"/>
      <c r="C89" s="29" t="s">
        <v>16</v>
      </c>
      <c r="D89" s="29" t="s">
        <v>11</v>
      </c>
      <c r="E89" s="29">
        <v>60</v>
      </c>
      <c r="F89" s="38">
        <f>E89*1500</f>
        <v>90000</v>
      </c>
      <c r="G89" s="38">
        <f>E89*500</f>
        <v>30000</v>
      </c>
      <c r="H89" s="38">
        <v>60000</v>
      </c>
    </row>
    <row r="90" spans="1:8" x14ac:dyDescent="0.25">
      <c r="A90" s="29"/>
      <c r="B90" s="29"/>
      <c r="C90" s="29"/>
      <c r="D90" s="29" t="s">
        <v>12</v>
      </c>
      <c r="E90" s="29">
        <v>8</v>
      </c>
      <c r="F90" s="38">
        <f>E90*3000</f>
        <v>24000</v>
      </c>
      <c r="G90" s="38">
        <f>E90*2000</f>
        <v>16000</v>
      </c>
      <c r="H90" s="38">
        <v>8000</v>
      </c>
    </row>
    <row r="91" spans="1:8" x14ac:dyDescent="0.25">
      <c r="A91" s="29"/>
      <c r="B91" s="29"/>
      <c r="C91" s="29"/>
      <c r="D91" s="29" t="s">
        <v>13</v>
      </c>
      <c r="E91" s="29">
        <v>2</v>
      </c>
      <c r="F91" s="38">
        <f>E91*6500</f>
        <v>13000</v>
      </c>
      <c r="G91" s="38">
        <f>E91*4500</f>
        <v>9000</v>
      </c>
      <c r="H91" s="38">
        <f>E91*2000</f>
        <v>4000</v>
      </c>
    </row>
    <row r="92" spans="1:8" x14ac:dyDescent="0.25">
      <c r="A92" s="29"/>
      <c r="B92" s="29"/>
      <c r="C92" s="29"/>
      <c r="D92" s="29" t="s">
        <v>14</v>
      </c>
      <c r="E92" s="29">
        <v>1</v>
      </c>
      <c r="F92" s="38">
        <v>10000</v>
      </c>
      <c r="G92" s="38">
        <v>5500</v>
      </c>
      <c r="H92" s="38">
        <v>4500</v>
      </c>
    </row>
    <row r="93" spans="1:8" x14ac:dyDescent="0.25">
      <c r="A93" s="125" t="s">
        <v>17</v>
      </c>
      <c r="B93" s="125"/>
      <c r="C93" s="125"/>
      <c r="D93" s="125"/>
      <c r="E93" s="17">
        <f>SUM(E73:E92)</f>
        <v>649</v>
      </c>
      <c r="F93" s="17">
        <f>SUM(F73:F92)</f>
        <v>1264000</v>
      </c>
      <c r="G93" s="17">
        <f>SUM(G73:G92)</f>
        <v>392500</v>
      </c>
      <c r="H93" s="17">
        <f>SUM(H73:H92)</f>
        <v>831500</v>
      </c>
    </row>
    <row r="94" spans="1:8" x14ac:dyDescent="0.25">
      <c r="A94" s="29" t="s">
        <v>28</v>
      </c>
      <c r="B94" s="37">
        <v>45139</v>
      </c>
      <c r="C94" s="29" t="s">
        <v>217</v>
      </c>
      <c r="D94" s="29" t="s">
        <v>11</v>
      </c>
      <c r="E94" s="29">
        <v>61</v>
      </c>
      <c r="F94" s="38">
        <f>E94*1500</f>
        <v>91500</v>
      </c>
      <c r="G94" s="38">
        <f>E94*500</f>
        <v>30500</v>
      </c>
      <c r="H94" s="38">
        <v>61000</v>
      </c>
    </row>
    <row r="95" spans="1:8" x14ac:dyDescent="0.25">
      <c r="A95" s="29"/>
      <c r="B95" s="29"/>
      <c r="C95" s="29"/>
      <c r="D95" s="29" t="s">
        <v>13</v>
      </c>
      <c r="E95" s="29">
        <v>13</v>
      </c>
      <c r="F95" s="38">
        <f>E95*6500</f>
        <v>84500</v>
      </c>
      <c r="G95" s="38">
        <f>E95*4500</f>
        <v>58500</v>
      </c>
      <c r="H95" s="38">
        <f>E95*2000</f>
        <v>26000</v>
      </c>
    </row>
    <row r="96" spans="1:8" x14ac:dyDescent="0.25">
      <c r="A96" s="29"/>
      <c r="B96" s="29"/>
      <c r="C96" s="29"/>
      <c r="D96" s="29" t="s">
        <v>14</v>
      </c>
      <c r="E96" s="29">
        <v>20</v>
      </c>
      <c r="F96" s="38">
        <f>E96*10000</f>
        <v>200000</v>
      </c>
      <c r="G96" s="38">
        <f>E96*5500</f>
        <v>110000</v>
      </c>
      <c r="H96" s="38">
        <f>E96*4500</f>
        <v>90000</v>
      </c>
    </row>
    <row r="97" spans="1:8" x14ac:dyDescent="0.25">
      <c r="A97" s="29"/>
      <c r="B97" s="29"/>
      <c r="C97" s="29"/>
      <c r="D97" s="29" t="s">
        <v>425</v>
      </c>
      <c r="E97" s="29">
        <v>11</v>
      </c>
      <c r="F97" s="38">
        <f>E97*2000</f>
        <v>22000</v>
      </c>
      <c r="G97" s="38">
        <f>E97*500</f>
        <v>5500</v>
      </c>
      <c r="H97" s="38">
        <f>E97*1500</f>
        <v>16500</v>
      </c>
    </row>
    <row r="98" spans="1:8" x14ac:dyDescent="0.25">
      <c r="A98" s="29"/>
      <c r="B98" s="29"/>
      <c r="C98" s="29"/>
      <c r="D98" s="29" t="s">
        <v>433</v>
      </c>
      <c r="E98" s="29">
        <v>2</v>
      </c>
      <c r="F98" s="38">
        <f>E98*5000</f>
        <v>10000</v>
      </c>
      <c r="G98" s="38">
        <f>E98*2500</f>
        <v>5000</v>
      </c>
      <c r="H98" s="38">
        <v>5000</v>
      </c>
    </row>
    <row r="99" spans="1:8" x14ac:dyDescent="0.25">
      <c r="A99" s="29"/>
      <c r="B99" s="29"/>
      <c r="C99" s="29"/>
      <c r="D99" s="29" t="s">
        <v>432</v>
      </c>
      <c r="E99" s="29">
        <v>3</v>
      </c>
      <c r="F99" s="38">
        <f>E99*5000</f>
        <v>15000</v>
      </c>
      <c r="G99" s="38">
        <f>E99*2500</f>
        <v>7500</v>
      </c>
      <c r="H99" s="38">
        <v>7500</v>
      </c>
    </row>
    <row r="100" spans="1:8" x14ac:dyDescent="0.25">
      <c r="A100" s="29"/>
      <c r="B100" s="29"/>
      <c r="C100" s="29"/>
      <c r="D100" s="29" t="s">
        <v>441</v>
      </c>
      <c r="E100" s="29">
        <v>2</v>
      </c>
      <c r="F100" s="38">
        <f>E100*3000</f>
        <v>6000</v>
      </c>
      <c r="G100" s="38">
        <f>E100*1500</f>
        <v>3000</v>
      </c>
      <c r="H100" s="38">
        <v>3000</v>
      </c>
    </row>
    <row r="101" spans="1:8" x14ac:dyDescent="0.25">
      <c r="A101" s="29"/>
      <c r="B101" s="29"/>
      <c r="C101" s="29"/>
      <c r="D101" s="29" t="s">
        <v>415</v>
      </c>
      <c r="E101" s="29">
        <v>2</v>
      </c>
      <c r="F101" s="38">
        <f>E101*3500</f>
        <v>7000</v>
      </c>
      <c r="G101" s="38">
        <f>E101*1500</f>
        <v>3000</v>
      </c>
      <c r="H101" s="38">
        <v>4000</v>
      </c>
    </row>
    <row r="102" spans="1:8" x14ac:dyDescent="0.25">
      <c r="A102" s="29"/>
      <c r="B102" s="29"/>
      <c r="C102" s="29" t="s">
        <v>442</v>
      </c>
      <c r="D102" s="29" t="s">
        <v>11</v>
      </c>
      <c r="E102" s="29">
        <v>9</v>
      </c>
      <c r="F102" s="38">
        <f>E102*1500</f>
        <v>13500</v>
      </c>
      <c r="G102" s="38">
        <f>E102*500</f>
        <v>4500</v>
      </c>
      <c r="H102" s="38">
        <v>9000</v>
      </c>
    </row>
    <row r="103" spans="1:8" x14ac:dyDescent="0.25">
      <c r="A103" s="29"/>
      <c r="B103" s="29"/>
      <c r="C103" s="29"/>
      <c r="D103" s="29" t="s">
        <v>13</v>
      </c>
      <c r="E103" s="29">
        <v>14</v>
      </c>
      <c r="F103" s="38">
        <f>E103*6500</f>
        <v>91000</v>
      </c>
      <c r="G103" s="38">
        <f>E103*4500</f>
        <v>63000</v>
      </c>
      <c r="H103" s="38">
        <f>E103*2000</f>
        <v>28000</v>
      </c>
    </row>
    <row r="104" spans="1:8" x14ac:dyDescent="0.25">
      <c r="A104" s="29"/>
      <c r="B104" s="29"/>
      <c r="C104" s="29"/>
      <c r="D104" s="29" t="s">
        <v>14</v>
      </c>
      <c r="E104" s="29">
        <v>7</v>
      </c>
      <c r="F104" s="38">
        <f>E104*10000</f>
        <v>70000</v>
      </c>
      <c r="G104" s="38">
        <f>E104*5500</f>
        <v>38500</v>
      </c>
      <c r="H104" s="38">
        <f>E104*4500</f>
        <v>31500</v>
      </c>
    </row>
    <row r="105" spans="1:8" x14ac:dyDescent="0.25">
      <c r="A105" s="125" t="s">
        <v>17</v>
      </c>
      <c r="B105" s="125"/>
      <c r="C105" s="125"/>
      <c r="D105" s="125"/>
      <c r="E105" s="17">
        <f>SUM(E94:E104)</f>
        <v>144</v>
      </c>
      <c r="F105" s="17">
        <f>SUM(F94:F104)</f>
        <v>610500</v>
      </c>
      <c r="G105" s="17">
        <f>SUM(G94:G104)</f>
        <v>329000</v>
      </c>
      <c r="H105" s="17">
        <f>SUM(H94:H104)</f>
        <v>281500</v>
      </c>
    </row>
    <row r="106" spans="1:8" x14ac:dyDescent="0.25">
      <c r="A106" s="29"/>
      <c r="B106" s="29"/>
      <c r="C106" s="29" t="s">
        <v>16</v>
      </c>
      <c r="D106" s="29" t="s">
        <v>11</v>
      </c>
      <c r="E106" s="29">
        <v>51</v>
      </c>
      <c r="F106" s="38">
        <f>E106*1500</f>
        <v>76500</v>
      </c>
      <c r="G106" s="38">
        <f>E106*500</f>
        <v>25500</v>
      </c>
      <c r="H106" s="38">
        <v>51000</v>
      </c>
    </row>
    <row r="107" spans="1:8" x14ac:dyDescent="0.25">
      <c r="A107" s="29"/>
      <c r="B107" s="29"/>
      <c r="C107" s="29"/>
      <c r="D107" s="29" t="s">
        <v>12</v>
      </c>
      <c r="E107" s="29">
        <v>5</v>
      </c>
      <c r="F107" s="38">
        <f>E107*3000</f>
        <v>15000</v>
      </c>
      <c r="G107" s="38">
        <f>E107*2000</f>
        <v>10000</v>
      </c>
      <c r="H107" s="38">
        <v>5000</v>
      </c>
    </row>
    <row r="108" spans="1:8" x14ac:dyDescent="0.25">
      <c r="A108" s="29"/>
      <c r="B108" s="29"/>
      <c r="C108" s="29"/>
      <c r="D108" s="29" t="s">
        <v>14</v>
      </c>
      <c r="E108" s="29">
        <v>2</v>
      </c>
      <c r="F108" s="38">
        <f>E108*10000</f>
        <v>20000</v>
      </c>
      <c r="G108" s="38">
        <f>E108*5500</f>
        <v>11000</v>
      </c>
      <c r="H108" s="38">
        <f>E108*4500</f>
        <v>9000</v>
      </c>
    </row>
    <row r="109" spans="1:8" x14ac:dyDescent="0.25">
      <c r="A109" s="125" t="s">
        <v>17</v>
      </c>
      <c r="B109" s="125"/>
      <c r="C109" s="125"/>
      <c r="D109" s="125"/>
      <c r="E109" s="17">
        <f>SUM(E106:E108)</f>
        <v>58</v>
      </c>
      <c r="F109" s="17">
        <f>SUM(F106:F108)</f>
        <v>111500</v>
      </c>
      <c r="G109" s="17">
        <f>SUM(G106:G108)</f>
        <v>46500</v>
      </c>
      <c r="H109" s="17">
        <f>SUM(H106:H108)</f>
        <v>65000</v>
      </c>
    </row>
    <row r="110" spans="1:8" x14ac:dyDescent="0.25">
      <c r="A110" s="29" t="s">
        <v>30</v>
      </c>
      <c r="B110" s="37">
        <v>45170</v>
      </c>
      <c r="C110" s="29" t="s">
        <v>288</v>
      </c>
      <c r="D110" s="29" t="s">
        <v>11</v>
      </c>
      <c r="E110" s="29">
        <v>7</v>
      </c>
      <c r="F110" s="38">
        <f>E110*1800</f>
        <v>12600</v>
      </c>
      <c r="G110" s="38">
        <f t="shared" ref="G110:G116" si="3">E110*500</f>
        <v>3500</v>
      </c>
      <c r="H110" s="38">
        <f>E110*1300</f>
        <v>9100</v>
      </c>
    </row>
    <row r="111" spans="1:8" x14ac:dyDescent="0.25">
      <c r="A111" s="29"/>
      <c r="B111" s="29"/>
      <c r="C111" s="29" t="s">
        <v>376</v>
      </c>
      <c r="D111" s="29" t="s">
        <v>11</v>
      </c>
      <c r="E111" s="29">
        <v>80</v>
      </c>
      <c r="F111" s="38">
        <f t="shared" ref="F111:F116" si="4">E111*1500</f>
        <v>120000</v>
      </c>
      <c r="G111" s="38">
        <f t="shared" si="3"/>
        <v>40000</v>
      </c>
      <c r="H111" s="38">
        <f t="shared" ref="H111:H116" si="5">E111*1000</f>
        <v>80000</v>
      </c>
    </row>
    <row r="112" spans="1:8" x14ac:dyDescent="0.25">
      <c r="A112" s="29"/>
      <c r="B112" s="29"/>
      <c r="C112" s="29"/>
      <c r="D112" s="29"/>
      <c r="E112" s="29">
        <v>94</v>
      </c>
      <c r="F112" s="38">
        <f t="shared" si="4"/>
        <v>141000</v>
      </c>
      <c r="G112" s="38">
        <f t="shared" si="3"/>
        <v>47000</v>
      </c>
      <c r="H112" s="38">
        <f t="shared" si="5"/>
        <v>94000</v>
      </c>
    </row>
    <row r="113" spans="1:8" x14ac:dyDescent="0.25">
      <c r="A113" s="29"/>
      <c r="B113" s="29"/>
      <c r="C113" s="29"/>
      <c r="D113" s="29"/>
      <c r="E113" s="29">
        <v>105</v>
      </c>
      <c r="F113" s="38">
        <f t="shared" si="4"/>
        <v>157500</v>
      </c>
      <c r="G113" s="38">
        <f t="shared" si="3"/>
        <v>52500</v>
      </c>
      <c r="H113" s="38">
        <f t="shared" si="5"/>
        <v>105000</v>
      </c>
    </row>
    <row r="114" spans="1:8" x14ac:dyDescent="0.25">
      <c r="A114" s="29"/>
      <c r="B114" s="29"/>
      <c r="C114" s="29"/>
      <c r="D114" s="29"/>
      <c r="E114" s="29">
        <v>105</v>
      </c>
      <c r="F114" s="38">
        <f t="shared" si="4"/>
        <v>157500</v>
      </c>
      <c r="G114" s="38">
        <f t="shared" si="3"/>
        <v>52500</v>
      </c>
      <c r="H114" s="38">
        <f t="shared" si="5"/>
        <v>105000</v>
      </c>
    </row>
    <row r="115" spans="1:8" x14ac:dyDescent="0.25">
      <c r="A115" s="29"/>
      <c r="B115" s="29"/>
      <c r="C115" s="29"/>
      <c r="D115" s="29"/>
      <c r="E115" s="29">
        <v>93</v>
      </c>
      <c r="F115" s="38">
        <f t="shared" si="4"/>
        <v>139500</v>
      </c>
      <c r="G115" s="38">
        <f t="shared" si="3"/>
        <v>46500</v>
      </c>
      <c r="H115" s="38">
        <f t="shared" si="5"/>
        <v>93000</v>
      </c>
    </row>
    <row r="116" spans="1:8" x14ac:dyDescent="0.25">
      <c r="A116" s="29"/>
      <c r="B116" s="29"/>
      <c r="C116" s="29"/>
      <c r="D116" s="29"/>
      <c r="E116" s="29">
        <v>91</v>
      </c>
      <c r="F116" s="38">
        <f t="shared" si="4"/>
        <v>136500</v>
      </c>
      <c r="G116" s="38">
        <f t="shared" si="3"/>
        <v>45500</v>
      </c>
      <c r="H116" s="38">
        <f t="shared" si="5"/>
        <v>91000</v>
      </c>
    </row>
    <row r="117" spans="1:8" x14ac:dyDescent="0.25">
      <c r="A117" s="125" t="s">
        <v>17</v>
      </c>
      <c r="B117" s="125"/>
      <c r="C117" s="125"/>
      <c r="D117" s="125"/>
      <c r="E117" s="17">
        <f>SUM(E110:E116)</f>
        <v>575</v>
      </c>
      <c r="F117" s="17">
        <f>SUM(F110:F116)</f>
        <v>864600</v>
      </c>
      <c r="G117" s="17">
        <f>SUM(G110:G116)</f>
        <v>287500</v>
      </c>
      <c r="H117" s="17">
        <f>SUM(H110:H116)</f>
        <v>577100</v>
      </c>
    </row>
    <row r="118" spans="1:8" x14ac:dyDescent="0.25">
      <c r="A118" s="29"/>
      <c r="B118" s="29"/>
      <c r="C118" s="29" t="s">
        <v>217</v>
      </c>
      <c r="D118" s="29" t="s">
        <v>13</v>
      </c>
      <c r="E118" s="29">
        <v>5</v>
      </c>
      <c r="F118" s="38">
        <f>E118*6500</f>
        <v>32500</v>
      </c>
      <c r="G118" s="38">
        <f>E118*4500</f>
        <v>22500</v>
      </c>
      <c r="H118" s="38">
        <f>E118*2000</f>
        <v>10000</v>
      </c>
    </row>
    <row r="119" spans="1:8" x14ac:dyDescent="0.25">
      <c r="A119" s="29"/>
      <c r="B119" s="29"/>
      <c r="C119" s="29"/>
      <c r="D119" s="29" t="s">
        <v>14</v>
      </c>
      <c r="E119" s="29">
        <v>2</v>
      </c>
      <c r="F119" s="38">
        <f>E119*8000</f>
        <v>16000</v>
      </c>
      <c r="G119" s="38">
        <f>E119*5500</f>
        <v>11000</v>
      </c>
      <c r="H119" s="38">
        <f>E119*2500</f>
        <v>5000</v>
      </c>
    </row>
    <row r="120" spans="1:8" x14ac:dyDescent="0.25">
      <c r="A120" s="29"/>
      <c r="B120" s="29"/>
      <c r="C120" s="29"/>
      <c r="D120" s="29"/>
      <c r="E120" s="29">
        <v>2</v>
      </c>
      <c r="F120" s="38">
        <f>E120*10000</f>
        <v>20000</v>
      </c>
      <c r="G120" s="38">
        <f>E120*5500</f>
        <v>11000</v>
      </c>
      <c r="H120" s="38">
        <f>E120*4500</f>
        <v>9000</v>
      </c>
    </row>
    <row r="121" spans="1:8" x14ac:dyDescent="0.25">
      <c r="A121" s="29"/>
      <c r="B121" s="29"/>
      <c r="C121" s="29"/>
      <c r="D121" s="29" t="s">
        <v>425</v>
      </c>
      <c r="E121" s="29">
        <v>2</v>
      </c>
      <c r="F121" s="38">
        <v>4000</v>
      </c>
      <c r="G121" s="38">
        <f>E121*500</f>
        <v>1000</v>
      </c>
      <c r="H121" s="38">
        <f>E121*1500</f>
        <v>3000</v>
      </c>
    </row>
    <row r="122" spans="1:8" x14ac:dyDescent="0.25">
      <c r="A122" s="29"/>
      <c r="B122" s="29"/>
      <c r="C122" s="29"/>
      <c r="D122" s="29" t="s">
        <v>415</v>
      </c>
      <c r="E122" s="29">
        <v>2</v>
      </c>
      <c r="F122" s="38">
        <f>E122*3500</f>
        <v>7000</v>
      </c>
      <c r="G122" s="38">
        <f>E122*1500</f>
        <v>3000</v>
      </c>
      <c r="H122" s="38">
        <v>4000</v>
      </c>
    </row>
    <row r="123" spans="1:8" x14ac:dyDescent="0.25">
      <c r="A123" s="29"/>
      <c r="B123" s="29"/>
      <c r="C123" s="29"/>
      <c r="D123" s="29" t="s">
        <v>441</v>
      </c>
      <c r="E123" s="29">
        <v>1</v>
      </c>
      <c r="F123" s="38">
        <v>3000</v>
      </c>
      <c r="G123" s="38">
        <v>1000</v>
      </c>
      <c r="H123" s="38">
        <v>2000</v>
      </c>
    </row>
    <row r="124" spans="1:8" x14ac:dyDescent="0.25">
      <c r="A124" s="29"/>
      <c r="B124" s="29"/>
      <c r="C124" s="29" t="s">
        <v>16</v>
      </c>
      <c r="D124" s="29" t="s">
        <v>11</v>
      </c>
      <c r="E124" s="29">
        <v>33</v>
      </c>
      <c r="F124" s="38">
        <f>E124*1500</f>
        <v>49500</v>
      </c>
      <c r="G124" s="38">
        <f>E124*500</f>
        <v>16500</v>
      </c>
      <c r="H124" s="38">
        <v>33000</v>
      </c>
    </row>
    <row r="125" spans="1:8" x14ac:dyDescent="0.25">
      <c r="A125" s="29"/>
      <c r="B125" s="29"/>
      <c r="C125" s="29"/>
      <c r="D125" s="29" t="s">
        <v>12</v>
      </c>
      <c r="E125" s="29">
        <v>2</v>
      </c>
      <c r="F125" s="38">
        <f>E125*3000</f>
        <v>6000</v>
      </c>
      <c r="G125" s="38">
        <f>E125*2000</f>
        <v>4000</v>
      </c>
      <c r="H125" s="38">
        <f>E125*1000</f>
        <v>2000</v>
      </c>
    </row>
    <row r="126" spans="1:8" x14ac:dyDescent="0.25">
      <c r="A126" s="29"/>
      <c r="B126" s="29"/>
      <c r="C126" s="29"/>
      <c r="D126" s="29" t="s">
        <v>13</v>
      </c>
      <c r="E126" s="29">
        <v>1</v>
      </c>
      <c r="F126" s="38">
        <v>6500</v>
      </c>
      <c r="G126" s="38">
        <v>4500</v>
      </c>
      <c r="H126" s="38">
        <v>2000</v>
      </c>
    </row>
    <row r="127" spans="1:8" x14ac:dyDescent="0.25">
      <c r="A127" s="29"/>
      <c r="B127" s="29"/>
      <c r="C127" s="29"/>
      <c r="D127" s="29" t="s">
        <v>14</v>
      </c>
      <c r="E127" s="29">
        <v>1</v>
      </c>
      <c r="F127" s="38">
        <v>10000</v>
      </c>
      <c r="G127" s="38">
        <v>5500</v>
      </c>
      <c r="H127" s="38">
        <v>4500</v>
      </c>
    </row>
    <row r="128" spans="1:8" x14ac:dyDescent="0.25">
      <c r="A128" s="29"/>
      <c r="B128" s="29"/>
      <c r="C128" s="29" t="s">
        <v>373</v>
      </c>
      <c r="D128" s="29" t="s">
        <v>243</v>
      </c>
      <c r="E128" s="29">
        <v>3</v>
      </c>
      <c r="F128" s="38">
        <f>E128*13000</f>
        <v>39000</v>
      </c>
      <c r="G128" s="38">
        <f>E128*10000</f>
        <v>30000</v>
      </c>
      <c r="H128" s="38">
        <f>E128*3000</f>
        <v>9000</v>
      </c>
    </row>
    <row r="129" spans="1:8" x14ac:dyDescent="0.25">
      <c r="A129" s="29"/>
      <c r="B129" s="29"/>
      <c r="C129" s="29" t="s">
        <v>20</v>
      </c>
      <c r="D129" s="29" t="s">
        <v>415</v>
      </c>
      <c r="E129" s="29">
        <v>2</v>
      </c>
      <c r="F129" s="38">
        <f>E129*3500</f>
        <v>7000</v>
      </c>
      <c r="G129" s="38">
        <f>E129*1500</f>
        <v>3000</v>
      </c>
      <c r="H129" s="38">
        <f>E129*2000</f>
        <v>4000</v>
      </c>
    </row>
    <row r="130" spans="1:8" x14ac:dyDescent="0.25">
      <c r="A130" s="29"/>
      <c r="B130" s="29"/>
      <c r="C130" s="29"/>
      <c r="D130" s="29" t="s">
        <v>437</v>
      </c>
      <c r="E130" s="29">
        <v>2</v>
      </c>
      <c r="F130" s="38">
        <f>E130*5000</f>
        <v>10000</v>
      </c>
      <c r="G130" s="38">
        <f>E130*2500</f>
        <v>5000</v>
      </c>
      <c r="H130" s="38">
        <v>5000</v>
      </c>
    </row>
    <row r="131" spans="1:8" x14ac:dyDescent="0.25">
      <c r="A131" s="29"/>
      <c r="B131" s="29"/>
      <c r="C131" s="29"/>
      <c r="D131" s="29" t="s">
        <v>439</v>
      </c>
      <c r="E131" s="29">
        <v>4</v>
      </c>
      <c r="F131" s="38">
        <f>E131*3000</f>
        <v>12000</v>
      </c>
      <c r="G131" s="38">
        <f>E131*2000</f>
        <v>8000</v>
      </c>
      <c r="H131" s="38">
        <v>4000</v>
      </c>
    </row>
    <row r="132" spans="1:8" x14ac:dyDescent="0.25">
      <c r="A132" s="125" t="s">
        <v>17</v>
      </c>
      <c r="B132" s="125"/>
      <c r="C132" s="125"/>
      <c r="D132" s="125"/>
      <c r="E132" s="17">
        <f>SUM(E118:E131)</f>
        <v>62</v>
      </c>
      <c r="F132" s="17">
        <f>SUM(F118:F131)</f>
        <v>222500</v>
      </c>
      <c r="G132" s="17">
        <f>SUM(G118:G131)</f>
        <v>126000</v>
      </c>
      <c r="H132" s="17">
        <f>SUM(H118:H131)</f>
        <v>96500</v>
      </c>
    </row>
    <row r="133" spans="1:8" x14ac:dyDescent="0.25">
      <c r="A133" s="29" t="s">
        <v>32</v>
      </c>
      <c r="B133" s="37">
        <v>45200</v>
      </c>
      <c r="C133" s="29" t="s">
        <v>288</v>
      </c>
      <c r="D133" s="29" t="s">
        <v>11</v>
      </c>
      <c r="E133" s="29">
        <v>30</v>
      </c>
      <c r="F133" s="38">
        <f>E133*1800</f>
        <v>54000</v>
      </c>
      <c r="G133" s="38">
        <f>E133*500</f>
        <v>15000</v>
      </c>
      <c r="H133" s="38">
        <f>E133*1300</f>
        <v>39000</v>
      </c>
    </row>
    <row r="134" spans="1:8" x14ac:dyDescent="0.25">
      <c r="A134" s="29"/>
      <c r="B134" s="29"/>
      <c r="C134" s="29" t="s">
        <v>106</v>
      </c>
      <c r="D134" s="29" t="s">
        <v>11</v>
      </c>
      <c r="E134" s="29">
        <v>20</v>
      </c>
      <c r="F134" s="38">
        <f>E134*1500</f>
        <v>30000</v>
      </c>
      <c r="G134" s="38">
        <f>E134*500</f>
        <v>10000</v>
      </c>
      <c r="H134" s="38">
        <v>20000</v>
      </c>
    </row>
    <row r="135" spans="1:8" x14ac:dyDescent="0.25">
      <c r="A135" s="29"/>
      <c r="B135" s="29"/>
      <c r="C135" s="29" t="s">
        <v>292</v>
      </c>
      <c r="D135" s="29" t="s">
        <v>11</v>
      </c>
      <c r="E135" s="29">
        <v>13</v>
      </c>
      <c r="F135" s="38">
        <f>E135*1500</f>
        <v>19500</v>
      </c>
      <c r="G135" s="38">
        <f>E135*500</f>
        <v>6500</v>
      </c>
      <c r="H135" s="38">
        <v>13000</v>
      </c>
    </row>
    <row r="136" spans="1:8" x14ac:dyDescent="0.25">
      <c r="A136" s="29"/>
      <c r="B136" s="29"/>
      <c r="C136" s="29" t="s">
        <v>16</v>
      </c>
      <c r="D136" s="29" t="s">
        <v>11</v>
      </c>
      <c r="E136" s="29">
        <v>53</v>
      </c>
      <c r="F136" s="38">
        <f>E136*1500</f>
        <v>79500</v>
      </c>
      <c r="G136" s="38">
        <f>E136*500</f>
        <v>26500</v>
      </c>
      <c r="H136" s="38">
        <v>53000</v>
      </c>
    </row>
    <row r="137" spans="1:8" x14ac:dyDescent="0.25">
      <c r="A137" s="29"/>
      <c r="B137" s="29"/>
      <c r="C137" s="29"/>
      <c r="D137" s="29" t="s">
        <v>12</v>
      </c>
      <c r="E137" s="29">
        <v>3</v>
      </c>
      <c r="F137" s="38">
        <f>E137*3000</f>
        <v>9000</v>
      </c>
      <c r="G137" s="38">
        <f>E137*2000</f>
        <v>6000</v>
      </c>
      <c r="H137" s="38">
        <v>3000</v>
      </c>
    </row>
    <row r="138" spans="1:8" x14ac:dyDescent="0.25">
      <c r="A138" s="29"/>
      <c r="B138" s="29"/>
      <c r="C138" s="29"/>
      <c r="D138" s="29" t="s">
        <v>13</v>
      </c>
      <c r="E138" s="29">
        <v>1</v>
      </c>
      <c r="F138" s="38">
        <v>6500</v>
      </c>
      <c r="G138" s="38">
        <v>4500</v>
      </c>
      <c r="H138" s="38">
        <v>2000</v>
      </c>
    </row>
    <row r="139" spans="1:8" x14ac:dyDescent="0.25">
      <c r="A139" s="29"/>
      <c r="B139" s="29"/>
      <c r="C139" s="29"/>
      <c r="D139" s="29" t="s">
        <v>14</v>
      </c>
      <c r="E139" s="29">
        <v>1</v>
      </c>
      <c r="F139" s="38">
        <v>10000</v>
      </c>
      <c r="G139" s="38">
        <v>5500</v>
      </c>
      <c r="H139" s="38">
        <v>4500</v>
      </c>
    </row>
    <row r="140" spans="1:8" x14ac:dyDescent="0.25">
      <c r="A140" s="125" t="s">
        <v>17</v>
      </c>
      <c r="B140" s="125"/>
      <c r="C140" s="125"/>
      <c r="D140" s="125"/>
      <c r="E140" s="17">
        <f>SUM(E133:E139)</f>
        <v>121</v>
      </c>
      <c r="F140" s="17">
        <f>SUM(F133:F139)</f>
        <v>208500</v>
      </c>
      <c r="G140" s="17">
        <f>SUM(G133:G139)</f>
        <v>74000</v>
      </c>
      <c r="H140" s="17">
        <f>SUM(H133:H139)</f>
        <v>134500</v>
      </c>
    </row>
    <row r="141" spans="1:8" x14ac:dyDescent="0.25">
      <c r="A141" s="29" t="s">
        <v>8</v>
      </c>
      <c r="B141" s="37">
        <v>45231</v>
      </c>
      <c r="C141" s="29" t="s">
        <v>288</v>
      </c>
      <c r="D141" s="29" t="s">
        <v>11</v>
      </c>
      <c r="E141" s="29">
        <f>60-11</f>
        <v>49</v>
      </c>
      <c r="F141" s="38">
        <f>E141*1800</f>
        <v>88200</v>
      </c>
      <c r="G141" s="38">
        <f>E141*500</f>
        <v>24500</v>
      </c>
      <c r="H141" s="38">
        <f>E141*1300</f>
        <v>63700</v>
      </c>
    </row>
    <row r="142" spans="1:8" x14ac:dyDescent="0.25">
      <c r="A142" s="29"/>
      <c r="B142" s="29"/>
      <c r="C142" s="29" t="s">
        <v>106</v>
      </c>
      <c r="D142" s="29" t="s">
        <v>11</v>
      </c>
      <c r="E142" s="29">
        <v>10</v>
      </c>
      <c r="F142" s="38">
        <f>E142*1500</f>
        <v>15000</v>
      </c>
      <c r="G142" s="38">
        <f>E142*500</f>
        <v>5000</v>
      </c>
      <c r="H142" s="38">
        <v>10000</v>
      </c>
    </row>
    <row r="143" spans="1:8" x14ac:dyDescent="0.25">
      <c r="A143" s="29"/>
      <c r="B143" s="29"/>
      <c r="C143" s="29" t="s">
        <v>108</v>
      </c>
      <c r="D143" s="29" t="s">
        <v>11</v>
      </c>
      <c r="E143" s="29">
        <v>22</v>
      </c>
      <c r="F143" s="38">
        <f>E143*1500</f>
        <v>33000</v>
      </c>
      <c r="G143" s="38">
        <f>E143*500</f>
        <v>11000</v>
      </c>
      <c r="H143" s="38">
        <v>22000</v>
      </c>
    </row>
    <row r="144" spans="1:8" x14ac:dyDescent="0.25">
      <c r="A144" s="29"/>
      <c r="B144" s="29"/>
      <c r="C144" s="29" t="s">
        <v>16</v>
      </c>
      <c r="D144" s="29" t="s">
        <v>11</v>
      </c>
      <c r="E144" s="29">
        <v>64</v>
      </c>
      <c r="F144" s="38">
        <f>E144*1500</f>
        <v>96000</v>
      </c>
      <c r="G144" s="38">
        <f>E144*500</f>
        <v>32000</v>
      </c>
      <c r="H144" s="38">
        <v>64000</v>
      </c>
    </row>
    <row r="145" spans="1:8" x14ac:dyDescent="0.25">
      <c r="A145" s="29"/>
      <c r="B145" s="29"/>
      <c r="C145" s="29"/>
      <c r="D145" s="29" t="s">
        <v>12</v>
      </c>
      <c r="E145" s="29">
        <v>6</v>
      </c>
      <c r="F145" s="38">
        <f>E145*3000</f>
        <v>18000</v>
      </c>
      <c r="G145" s="38">
        <f>E145*2000</f>
        <v>12000</v>
      </c>
      <c r="H145" s="38">
        <v>6000</v>
      </c>
    </row>
    <row r="146" spans="1:8" x14ac:dyDescent="0.25">
      <c r="A146" s="29"/>
      <c r="B146" s="29"/>
      <c r="C146" s="29" t="s">
        <v>217</v>
      </c>
      <c r="D146" s="29" t="s">
        <v>425</v>
      </c>
      <c r="E146" s="29">
        <v>7</v>
      </c>
      <c r="F146" s="38">
        <f>E146*2000</f>
        <v>14000</v>
      </c>
      <c r="G146" s="38">
        <f>E146*1000</f>
        <v>7000</v>
      </c>
      <c r="H146" s="38">
        <v>7000</v>
      </c>
    </row>
    <row r="147" spans="1:8" x14ac:dyDescent="0.25">
      <c r="A147" s="29"/>
      <c r="B147" s="29"/>
      <c r="C147" s="29"/>
      <c r="D147" s="29" t="s">
        <v>441</v>
      </c>
      <c r="E147" s="29">
        <v>1</v>
      </c>
      <c r="F147" s="38">
        <v>3000</v>
      </c>
      <c r="G147" s="38">
        <v>1000</v>
      </c>
      <c r="H147" s="38">
        <v>2000</v>
      </c>
    </row>
    <row r="148" spans="1:8" x14ac:dyDescent="0.25">
      <c r="A148" s="29"/>
      <c r="B148" s="29"/>
      <c r="C148" s="29"/>
      <c r="D148" s="29" t="s">
        <v>432</v>
      </c>
      <c r="E148" s="29">
        <v>1</v>
      </c>
      <c r="F148" s="38">
        <v>5000</v>
      </c>
      <c r="G148" s="38">
        <v>2500</v>
      </c>
      <c r="H148" s="38">
        <v>2500</v>
      </c>
    </row>
    <row r="149" spans="1:8" x14ac:dyDescent="0.25">
      <c r="A149" s="29"/>
      <c r="B149" s="29"/>
      <c r="C149" s="29"/>
      <c r="D149" s="29" t="s">
        <v>13</v>
      </c>
      <c r="E149" s="29">
        <v>1</v>
      </c>
      <c r="F149" s="38">
        <v>6500</v>
      </c>
      <c r="G149" s="38">
        <v>4500</v>
      </c>
      <c r="H149" s="38">
        <v>2000</v>
      </c>
    </row>
    <row r="150" spans="1:8" x14ac:dyDescent="0.25">
      <c r="A150" s="29"/>
      <c r="B150" s="29"/>
      <c r="C150" s="29" t="s">
        <v>444</v>
      </c>
      <c r="D150" s="29" t="s">
        <v>21</v>
      </c>
      <c r="E150" s="29">
        <v>3</v>
      </c>
      <c r="F150" s="38">
        <v>45000</v>
      </c>
      <c r="G150" s="38">
        <v>30000</v>
      </c>
      <c r="H150" s="38">
        <v>15000</v>
      </c>
    </row>
    <row r="151" spans="1:8" x14ac:dyDescent="0.25">
      <c r="A151" s="125" t="s">
        <v>17</v>
      </c>
      <c r="B151" s="125"/>
      <c r="C151" s="125"/>
      <c r="D151" s="125"/>
      <c r="E151" s="17">
        <f>SUM(E141:E150)</f>
        <v>164</v>
      </c>
      <c r="F151" s="17">
        <f>SUM(F141:F150)</f>
        <v>323700</v>
      </c>
      <c r="G151" s="17">
        <f>SUM(G141:G150)</f>
        <v>129500</v>
      </c>
      <c r="H151" s="17">
        <f>SUM(H141:H150)</f>
        <v>194200</v>
      </c>
    </row>
    <row r="152" spans="1:8" x14ac:dyDescent="0.25">
      <c r="A152" s="29" t="s">
        <v>18</v>
      </c>
      <c r="B152" s="37">
        <v>45261</v>
      </c>
      <c r="C152" s="29" t="s">
        <v>288</v>
      </c>
      <c r="D152" s="29" t="s">
        <v>11</v>
      </c>
      <c r="E152" s="29">
        <v>47</v>
      </c>
      <c r="F152" s="38">
        <v>84600</v>
      </c>
      <c r="G152" s="38">
        <v>23500</v>
      </c>
      <c r="H152" s="38">
        <v>61100</v>
      </c>
    </row>
    <row r="153" spans="1:8" x14ac:dyDescent="0.25">
      <c r="A153" s="29"/>
      <c r="B153" s="29"/>
      <c r="C153" s="29" t="s">
        <v>106</v>
      </c>
      <c r="D153" s="29" t="s">
        <v>11</v>
      </c>
      <c r="E153" s="29">
        <v>20</v>
      </c>
      <c r="F153" s="38">
        <v>30000</v>
      </c>
      <c r="G153" s="38">
        <v>10000</v>
      </c>
      <c r="H153" s="38">
        <v>20000</v>
      </c>
    </row>
    <row r="154" spans="1:8" x14ac:dyDescent="0.25">
      <c r="A154" s="29"/>
      <c r="B154" s="29"/>
      <c r="C154" s="29" t="s">
        <v>292</v>
      </c>
      <c r="D154" s="29" t="s">
        <v>11</v>
      </c>
      <c r="E154" s="29">
        <v>19</v>
      </c>
      <c r="F154" s="38">
        <v>28500</v>
      </c>
      <c r="G154" s="38">
        <v>9500</v>
      </c>
      <c r="H154" s="38">
        <v>19000</v>
      </c>
    </row>
    <row r="155" spans="1:8" x14ac:dyDescent="0.25">
      <c r="A155" s="29"/>
      <c r="B155" s="29"/>
      <c r="C155" s="29" t="s">
        <v>217</v>
      </c>
      <c r="D155" s="29" t="s">
        <v>11</v>
      </c>
      <c r="E155" s="29">
        <v>39</v>
      </c>
      <c r="F155" s="38">
        <v>58500</v>
      </c>
      <c r="G155" s="38">
        <v>19500</v>
      </c>
      <c r="H155" s="38">
        <v>39000</v>
      </c>
    </row>
    <row r="156" spans="1:8" x14ac:dyDescent="0.25">
      <c r="A156" s="29"/>
      <c r="B156" s="29"/>
      <c r="C156" s="29" t="s">
        <v>16</v>
      </c>
      <c r="D156" s="29" t="s">
        <v>11</v>
      </c>
      <c r="E156" s="29">
        <v>46</v>
      </c>
      <c r="F156" s="38">
        <v>69000</v>
      </c>
      <c r="G156" s="38">
        <v>23000</v>
      </c>
      <c r="H156" s="38">
        <v>46000</v>
      </c>
    </row>
    <row r="157" spans="1:8" x14ac:dyDescent="0.25">
      <c r="A157" s="29"/>
      <c r="B157" s="29"/>
      <c r="C157" s="29"/>
      <c r="D157" s="29" t="s">
        <v>12</v>
      </c>
      <c r="E157" s="29">
        <v>4</v>
      </c>
      <c r="F157" s="38">
        <v>12000</v>
      </c>
      <c r="G157" s="38">
        <v>8000</v>
      </c>
      <c r="H157" s="38">
        <v>4000</v>
      </c>
    </row>
    <row r="158" spans="1:8" x14ac:dyDescent="0.25">
      <c r="A158" s="29"/>
      <c r="B158" s="29"/>
      <c r="C158" s="29"/>
      <c r="D158" s="29" t="s">
        <v>13</v>
      </c>
      <c r="E158" s="29">
        <v>2</v>
      </c>
      <c r="F158" s="38">
        <v>13000</v>
      </c>
      <c r="G158" s="38">
        <v>9000</v>
      </c>
      <c r="H158" s="38">
        <v>4000</v>
      </c>
    </row>
    <row r="159" spans="1:8" x14ac:dyDescent="0.25">
      <c r="A159" s="29"/>
      <c r="B159" s="29"/>
      <c r="C159" s="29"/>
      <c r="D159" s="29" t="s">
        <v>14</v>
      </c>
      <c r="E159" s="29">
        <v>1</v>
      </c>
      <c r="F159" s="38">
        <v>10000</v>
      </c>
      <c r="G159" s="38">
        <v>5500</v>
      </c>
      <c r="H159" s="38">
        <v>4500</v>
      </c>
    </row>
    <row r="160" spans="1:8" x14ac:dyDescent="0.25">
      <c r="A160" s="126" t="s">
        <v>443</v>
      </c>
      <c r="B160" s="126"/>
      <c r="C160" s="126"/>
      <c r="D160" s="126"/>
      <c r="E160" s="16">
        <v>178</v>
      </c>
      <c r="F160" s="17">
        <v>305600</v>
      </c>
      <c r="G160" s="17">
        <v>108000</v>
      </c>
      <c r="H160" s="17">
        <v>197600</v>
      </c>
    </row>
    <row r="161" spans="1:8" x14ac:dyDescent="0.25">
      <c r="A161" s="29" t="s">
        <v>22</v>
      </c>
      <c r="B161" s="29" t="s">
        <v>445</v>
      </c>
      <c r="C161" s="29" t="s">
        <v>288</v>
      </c>
      <c r="D161" s="29" t="s">
        <v>11</v>
      </c>
      <c r="E161" s="29">
        <v>52</v>
      </c>
      <c r="F161" s="38">
        <f>E161*1800</f>
        <v>93600</v>
      </c>
      <c r="G161" s="38">
        <f>E161*500</f>
        <v>26000</v>
      </c>
      <c r="H161" s="38">
        <f>E161*1300</f>
        <v>67600</v>
      </c>
    </row>
    <row r="162" spans="1:8" x14ac:dyDescent="0.25">
      <c r="A162" s="29"/>
      <c r="B162" s="29"/>
      <c r="C162" s="29" t="s">
        <v>106</v>
      </c>
      <c r="D162" s="29" t="s">
        <v>11</v>
      </c>
      <c r="E162" s="29">
        <v>17</v>
      </c>
      <c r="F162" s="38">
        <f>E162*1500</f>
        <v>25500</v>
      </c>
      <c r="G162" s="38">
        <f>E162*500</f>
        <v>8500</v>
      </c>
      <c r="H162" s="38">
        <v>17000</v>
      </c>
    </row>
    <row r="163" spans="1:8" x14ac:dyDescent="0.25">
      <c r="A163" s="29"/>
      <c r="B163" s="29"/>
      <c r="C163" s="29" t="s">
        <v>108</v>
      </c>
      <c r="D163" s="29" t="s">
        <v>11</v>
      </c>
      <c r="E163" s="29">
        <f>27-12</f>
        <v>15</v>
      </c>
      <c r="F163" s="38">
        <f>E163*1500</f>
        <v>22500</v>
      </c>
      <c r="G163" s="38">
        <f>E163*500</f>
        <v>7500</v>
      </c>
      <c r="H163" s="38">
        <v>15000</v>
      </c>
    </row>
    <row r="164" spans="1:8" x14ac:dyDescent="0.25">
      <c r="A164" s="29"/>
      <c r="B164" s="29"/>
      <c r="C164" s="29" t="s">
        <v>16</v>
      </c>
      <c r="D164" s="29" t="s">
        <v>11</v>
      </c>
      <c r="E164" s="29">
        <v>63</v>
      </c>
      <c r="F164" s="38">
        <f>E164*1500</f>
        <v>94500</v>
      </c>
      <c r="G164" s="38">
        <f>E164*500</f>
        <v>31500</v>
      </c>
      <c r="H164" s="38">
        <v>63000</v>
      </c>
    </row>
    <row r="165" spans="1:8" x14ac:dyDescent="0.25">
      <c r="A165" s="29"/>
      <c r="B165" s="29"/>
      <c r="C165" s="29"/>
      <c r="D165" s="29" t="s">
        <v>12</v>
      </c>
      <c r="E165" s="29">
        <v>6</v>
      </c>
      <c r="F165" s="38">
        <f>E165*3000</f>
        <v>18000</v>
      </c>
      <c r="G165" s="38">
        <f>E165*2000</f>
        <v>12000</v>
      </c>
      <c r="H165" s="38">
        <v>6000</v>
      </c>
    </row>
    <row r="166" spans="1:8" x14ac:dyDescent="0.25">
      <c r="A166" s="29"/>
      <c r="B166" s="29"/>
      <c r="C166" s="29"/>
      <c r="D166" s="29" t="s">
        <v>14</v>
      </c>
      <c r="E166" s="29">
        <v>1</v>
      </c>
      <c r="F166" s="38">
        <v>10000</v>
      </c>
      <c r="G166" s="38">
        <v>5500</v>
      </c>
      <c r="H166" s="38">
        <v>4500</v>
      </c>
    </row>
    <row r="167" spans="1:8" x14ac:dyDescent="0.25">
      <c r="A167" s="29"/>
      <c r="B167" s="29"/>
      <c r="C167" s="29" t="s">
        <v>217</v>
      </c>
      <c r="D167" s="29" t="s">
        <v>11</v>
      </c>
      <c r="E167" s="29">
        <v>33</v>
      </c>
      <c r="F167" s="38">
        <f>E167*1500</f>
        <v>49500</v>
      </c>
      <c r="G167" s="38">
        <f>E167*500</f>
        <v>16500</v>
      </c>
      <c r="H167" s="38">
        <v>33000</v>
      </c>
    </row>
    <row r="168" spans="1:8" x14ac:dyDescent="0.25">
      <c r="A168" s="29"/>
      <c r="B168" s="29"/>
      <c r="C168" s="29"/>
      <c r="D168" s="29" t="s">
        <v>432</v>
      </c>
      <c r="E168" s="29">
        <v>3</v>
      </c>
      <c r="F168" s="38">
        <f>E168*5000</f>
        <v>15000</v>
      </c>
      <c r="G168" s="38">
        <f>E168*2500</f>
        <v>7500</v>
      </c>
      <c r="H168" s="38">
        <v>7500</v>
      </c>
    </row>
    <row r="169" spans="1:8" x14ac:dyDescent="0.25">
      <c r="A169" s="29"/>
      <c r="B169" s="29"/>
      <c r="C169" s="29"/>
      <c r="D169" s="29" t="s">
        <v>14</v>
      </c>
      <c r="E169" s="29">
        <v>2</v>
      </c>
      <c r="F169" s="38">
        <f>E169*10000</f>
        <v>20000</v>
      </c>
      <c r="G169" s="38">
        <f>E169*5500</f>
        <v>11000</v>
      </c>
      <c r="H169" s="38">
        <f>E169*4500</f>
        <v>9000</v>
      </c>
    </row>
    <row r="170" spans="1:8" x14ac:dyDescent="0.25">
      <c r="A170" s="125" t="s">
        <v>17</v>
      </c>
      <c r="B170" s="125"/>
      <c r="C170" s="125"/>
      <c r="D170" s="125"/>
      <c r="E170" s="17">
        <f>SUM(E161:E169)</f>
        <v>192</v>
      </c>
      <c r="F170" s="17">
        <f>SUM(F161:F169)</f>
        <v>348600</v>
      </c>
      <c r="G170" s="17">
        <f>SUM(G161:G169)</f>
        <v>126000</v>
      </c>
      <c r="H170" s="17">
        <f>SUM(H161:H169)</f>
        <v>222600</v>
      </c>
    </row>
    <row r="171" spans="1:8" x14ac:dyDescent="0.25">
      <c r="A171" s="29" t="s">
        <v>26</v>
      </c>
      <c r="B171" s="29" t="s">
        <v>446</v>
      </c>
      <c r="C171" s="29" t="s">
        <v>288</v>
      </c>
      <c r="D171" s="29" t="s">
        <v>11</v>
      </c>
      <c r="E171" s="29">
        <v>40</v>
      </c>
      <c r="F171" s="38">
        <f>E171*1800</f>
        <v>72000</v>
      </c>
      <c r="G171" s="38">
        <f>E171*500</f>
        <v>20000</v>
      </c>
      <c r="H171" s="38">
        <f>E171*1300</f>
        <v>52000</v>
      </c>
    </row>
    <row r="172" spans="1:8" x14ac:dyDescent="0.25">
      <c r="A172" s="29"/>
      <c r="B172" s="29"/>
      <c r="C172" s="29" t="s">
        <v>106</v>
      </c>
      <c r="D172" s="29" t="s">
        <v>11</v>
      </c>
      <c r="E172" s="29">
        <v>19</v>
      </c>
      <c r="F172" s="38">
        <f>E172*1500</f>
        <v>28500</v>
      </c>
      <c r="G172" s="38">
        <f>E172*500</f>
        <v>9500</v>
      </c>
      <c r="H172" s="38">
        <v>19000</v>
      </c>
    </row>
    <row r="173" spans="1:8" x14ac:dyDescent="0.25">
      <c r="A173" s="29"/>
      <c r="B173" s="29"/>
      <c r="C173" s="29" t="s">
        <v>292</v>
      </c>
      <c r="D173" s="29" t="s">
        <v>11</v>
      </c>
      <c r="E173" s="29">
        <v>9</v>
      </c>
      <c r="F173" s="38">
        <f>E173*1500</f>
        <v>13500</v>
      </c>
      <c r="G173" s="38">
        <f>E173*500</f>
        <v>4500</v>
      </c>
      <c r="H173" s="38">
        <f>E173*1000</f>
        <v>9000</v>
      </c>
    </row>
    <row r="174" spans="1:8" x14ac:dyDescent="0.25">
      <c r="A174" s="29"/>
      <c r="B174" s="29"/>
      <c r="C174" s="29" t="s">
        <v>376</v>
      </c>
      <c r="D174" s="29" t="s">
        <v>11</v>
      </c>
      <c r="E174" s="29">
        <v>80</v>
      </c>
      <c r="F174" s="38">
        <f t="shared" ref="F174:F180" si="6">E174*1500</f>
        <v>120000</v>
      </c>
      <c r="G174" s="38">
        <f t="shared" ref="G174:G180" si="7">E174*500</f>
        <v>40000</v>
      </c>
      <c r="H174" s="38">
        <f t="shared" ref="H174:H180" si="8">E174*1000</f>
        <v>80000</v>
      </c>
    </row>
    <row r="175" spans="1:8" x14ac:dyDescent="0.25">
      <c r="A175" s="29"/>
      <c r="B175" s="29"/>
      <c r="C175" s="29"/>
      <c r="D175" s="29"/>
      <c r="E175" s="29">
        <v>98</v>
      </c>
      <c r="F175" s="38">
        <f t="shared" si="6"/>
        <v>147000</v>
      </c>
      <c r="G175" s="38">
        <f t="shared" si="7"/>
        <v>49000</v>
      </c>
      <c r="H175" s="38">
        <f t="shared" si="8"/>
        <v>98000</v>
      </c>
    </row>
    <row r="176" spans="1:8" x14ac:dyDescent="0.25">
      <c r="A176" s="29"/>
      <c r="B176" s="29"/>
      <c r="C176" s="29"/>
      <c r="D176" s="29"/>
      <c r="E176" s="29">
        <v>110</v>
      </c>
      <c r="F176" s="38">
        <f t="shared" si="6"/>
        <v>165000</v>
      </c>
      <c r="G176" s="38">
        <f t="shared" si="7"/>
        <v>55000</v>
      </c>
      <c r="H176" s="38">
        <f t="shared" si="8"/>
        <v>110000</v>
      </c>
    </row>
    <row r="177" spans="1:8" x14ac:dyDescent="0.25">
      <c r="A177" s="29"/>
      <c r="B177" s="29"/>
      <c r="C177" s="29"/>
      <c r="D177" s="29"/>
      <c r="E177" s="29">
        <v>115</v>
      </c>
      <c r="F177" s="38">
        <f t="shared" si="6"/>
        <v>172500</v>
      </c>
      <c r="G177" s="38">
        <f t="shared" si="7"/>
        <v>57500</v>
      </c>
      <c r="H177" s="38">
        <f t="shared" si="8"/>
        <v>115000</v>
      </c>
    </row>
    <row r="178" spans="1:8" x14ac:dyDescent="0.25">
      <c r="A178" s="29"/>
      <c r="B178" s="29"/>
      <c r="C178" s="29"/>
      <c r="D178" s="29"/>
      <c r="E178" s="29">
        <v>63</v>
      </c>
      <c r="F178" s="38">
        <f t="shared" si="6"/>
        <v>94500</v>
      </c>
      <c r="G178" s="38">
        <f t="shared" si="7"/>
        <v>31500</v>
      </c>
      <c r="H178" s="38">
        <f t="shared" si="8"/>
        <v>63000</v>
      </c>
    </row>
    <row r="179" spans="1:8" x14ac:dyDescent="0.25">
      <c r="A179" s="29"/>
      <c r="B179" s="29"/>
      <c r="C179" s="29"/>
      <c r="D179" s="29"/>
      <c r="E179" s="29">
        <v>71</v>
      </c>
      <c r="F179" s="38">
        <f t="shared" si="6"/>
        <v>106500</v>
      </c>
      <c r="G179" s="38">
        <f t="shared" si="7"/>
        <v>35500</v>
      </c>
      <c r="H179" s="38">
        <f t="shared" si="8"/>
        <v>71000</v>
      </c>
    </row>
    <row r="180" spans="1:8" x14ac:dyDescent="0.25">
      <c r="A180" s="29"/>
      <c r="B180" s="29"/>
      <c r="C180" s="29" t="s">
        <v>217</v>
      </c>
      <c r="D180" s="29" t="s">
        <v>11</v>
      </c>
      <c r="E180" s="29">
        <v>21</v>
      </c>
      <c r="F180" s="38">
        <f t="shared" si="6"/>
        <v>31500</v>
      </c>
      <c r="G180" s="38">
        <f t="shared" si="7"/>
        <v>10500</v>
      </c>
      <c r="H180" s="38">
        <f t="shared" si="8"/>
        <v>21000</v>
      </c>
    </row>
    <row r="181" spans="1:8" x14ac:dyDescent="0.25">
      <c r="A181" s="29"/>
      <c r="B181" s="29"/>
      <c r="C181" s="29"/>
      <c r="D181" s="29" t="s">
        <v>13</v>
      </c>
      <c r="E181" s="29">
        <v>2</v>
      </c>
      <c r="F181" s="38">
        <f>E181*6500</f>
        <v>13000</v>
      </c>
      <c r="G181" s="38">
        <f>E181*4500</f>
        <v>9000</v>
      </c>
      <c r="H181" s="38">
        <f>E181*2000</f>
        <v>4000</v>
      </c>
    </row>
    <row r="182" spans="1:8" x14ac:dyDescent="0.25">
      <c r="A182" s="29"/>
      <c r="B182" s="29"/>
      <c r="C182" s="29"/>
      <c r="D182" s="29" t="s">
        <v>14</v>
      </c>
      <c r="E182" s="29">
        <v>1</v>
      </c>
      <c r="F182" s="38">
        <v>8000</v>
      </c>
      <c r="G182" s="38">
        <v>5500</v>
      </c>
      <c r="H182" s="38">
        <v>2500</v>
      </c>
    </row>
    <row r="183" spans="1:8" x14ac:dyDescent="0.25">
      <c r="A183" s="29"/>
      <c r="B183" s="29"/>
      <c r="C183" s="29"/>
      <c r="D183" s="29"/>
      <c r="E183" s="29">
        <v>1</v>
      </c>
      <c r="F183" s="38">
        <v>10000</v>
      </c>
      <c r="G183" s="38">
        <v>5500</v>
      </c>
      <c r="H183" s="38">
        <v>4500</v>
      </c>
    </row>
    <row r="184" spans="1:8" x14ac:dyDescent="0.25">
      <c r="A184" s="29"/>
      <c r="B184" s="29"/>
      <c r="C184" s="29" t="s">
        <v>16</v>
      </c>
      <c r="D184" s="29" t="s">
        <v>11</v>
      </c>
      <c r="E184" s="29">
        <v>45</v>
      </c>
      <c r="F184" s="38">
        <f>E184*1500</f>
        <v>67500</v>
      </c>
      <c r="G184" s="38">
        <f>E184*500</f>
        <v>22500</v>
      </c>
      <c r="H184" s="38">
        <f>E184*1000</f>
        <v>45000</v>
      </c>
    </row>
    <row r="185" spans="1:8" x14ac:dyDescent="0.25">
      <c r="A185" s="29"/>
      <c r="B185" s="29"/>
      <c r="C185" s="29"/>
      <c r="D185" s="29" t="s">
        <v>12</v>
      </c>
      <c r="E185" s="29">
        <v>4</v>
      </c>
      <c r="F185" s="38">
        <f>E185*3000</f>
        <v>12000</v>
      </c>
      <c r="G185" s="38">
        <f>E185*2000</f>
        <v>8000</v>
      </c>
      <c r="H185" s="38">
        <v>4000</v>
      </c>
    </row>
    <row r="186" spans="1:8" x14ac:dyDescent="0.25">
      <c r="A186" s="29"/>
      <c r="B186" s="29"/>
      <c r="C186" s="29"/>
      <c r="D186" s="29" t="s">
        <v>14</v>
      </c>
      <c r="E186" s="29">
        <v>1</v>
      </c>
      <c r="F186" s="38">
        <v>10000</v>
      </c>
      <c r="G186" s="38">
        <v>5500</v>
      </c>
      <c r="H186" s="38">
        <v>4500</v>
      </c>
    </row>
    <row r="187" spans="1:8" x14ac:dyDescent="0.25">
      <c r="A187" s="29"/>
      <c r="B187" s="29"/>
      <c r="C187" s="29" t="s">
        <v>24</v>
      </c>
      <c r="D187" s="29" t="s">
        <v>243</v>
      </c>
      <c r="E187" s="29">
        <v>15</v>
      </c>
      <c r="F187" s="38">
        <f>E187*15000</f>
        <v>225000</v>
      </c>
      <c r="G187" s="38">
        <f>E187*10000</f>
        <v>150000</v>
      </c>
      <c r="H187" s="38">
        <f>E187*5000</f>
        <v>75000</v>
      </c>
    </row>
    <row r="188" spans="1:8" x14ac:dyDescent="0.25">
      <c r="A188" s="125" t="s">
        <v>17</v>
      </c>
      <c r="B188" s="125"/>
      <c r="C188" s="125"/>
      <c r="D188" s="125"/>
      <c r="E188" s="17">
        <f>SUM(E171:E187)</f>
        <v>695</v>
      </c>
      <c r="F188" s="17">
        <f>SUM(F171:F187)</f>
        <v>1296500</v>
      </c>
      <c r="G188" s="17">
        <f>SUM(G171:G187)</f>
        <v>519000</v>
      </c>
      <c r="H188" s="17">
        <f>SUM(H171:H187)</f>
        <v>777500</v>
      </c>
    </row>
    <row r="189" spans="1:8" x14ac:dyDescent="0.25">
      <c r="A189" s="29" t="s">
        <v>28</v>
      </c>
      <c r="B189" s="29" t="s">
        <v>447</v>
      </c>
      <c r="C189" s="29" t="s">
        <v>217</v>
      </c>
      <c r="D189" s="29" t="s">
        <v>11</v>
      </c>
      <c r="E189" s="29">
        <f>35+26</f>
        <v>61</v>
      </c>
      <c r="F189" s="38">
        <f>E189*1500</f>
        <v>91500</v>
      </c>
      <c r="G189" s="38">
        <f>E189*500</f>
        <v>30500</v>
      </c>
      <c r="H189" s="38">
        <v>61000</v>
      </c>
    </row>
    <row r="190" spans="1:8" x14ac:dyDescent="0.25">
      <c r="A190" s="29"/>
      <c r="B190" s="29"/>
      <c r="C190" s="29"/>
      <c r="D190" s="29" t="s">
        <v>13</v>
      </c>
      <c r="E190" s="29">
        <v>14</v>
      </c>
      <c r="F190" s="38">
        <f>E190*6500</f>
        <v>91000</v>
      </c>
      <c r="G190" s="38">
        <f>E190*4500</f>
        <v>63000</v>
      </c>
      <c r="H190" s="38">
        <f>E190*1000</f>
        <v>14000</v>
      </c>
    </row>
    <row r="191" spans="1:8" x14ac:dyDescent="0.25">
      <c r="A191" s="29"/>
      <c r="B191" s="29"/>
      <c r="C191" s="29"/>
      <c r="D191" s="29" t="s">
        <v>14</v>
      </c>
      <c r="E191" s="29">
        <v>13</v>
      </c>
      <c r="F191" s="38">
        <f>E191*10000</f>
        <v>130000</v>
      </c>
      <c r="G191" s="38">
        <f>E191*5500</f>
        <v>71500</v>
      </c>
      <c r="H191" s="38">
        <f>E191*4500</f>
        <v>58500</v>
      </c>
    </row>
    <row r="192" spans="1:8" x14ac:dyDescent="0.25">
      <c r="A192" s="29"/>
      <c r="B192" s="29"/>
      <c r="C192" s="29"/>
      <c r="D192" s="29" t="s">
        <v>404</v>
      </c>
      <c r="E192" s="29">
        <v>1</v>
      </c>
      <c r="F192" s="38">
        <v>2000</v>
      </c>
      <c r="G192" s="38">
        <v>1000</v>
      </c>
      <c r="H192" s="38">
        <v>1000</v>
      </c>
    </row>
    <row r="193" spans="1:8" x14ac:dyDescent="0.25">
      <c r="A193" s="29"/>
      <c r="B193" s="29"/>
      <c r="C193" s="29"/>
      <c r="D193" s="29" t="s">
        <v>432</v>
      </c>
      <c r="E193" s="29">
        <v>1</v>
      </c>
      <c r="F193" s="38">
        <v>5000</v>
      </c>
      <c r="G193" s="38">
        <v>2500</v>
      </c>
      <c r="H193" s="38">
        <v>2500</v>
      </c>
    </row>
    <row r="194" spans="1:8" x14ac:dyDescent="0.25">
      <c r="A194" s="29"/>
      <c r="B194" s="29"/>
      <c r="C194" s="29" t="s">
        <v>20</v>
      </c>
      <c r="D194" s="29" t="s">
        <v>11</v>
      </c>
      <c r="E194" s="29">
        <v>12</v>
      </c>
      <c r="F194" s="38">
        <f>E194*1500</f>
        <v>18000</v>
      </c>
      <c r="G194" s="38">
        <f>E194*500</f>
        <v>6000</v>
      </c>
      <c r="H194" s="38">
        <v>12000</v>
      </c>
    </row>
    <row r="195" spans="1:8" x14ac:dyDescent="0.25">
      <c r="A195" s="29"/>
      <c r="B195" s="29"/>
      <c r="C195" s="29"/>
      <c r="D195" s="29" t="s">
        <v>13</v>
      </c>
      <c r="E195" s="29">
        <v>16</v>
      </c>
      <c r="F195" s="38">
        <f>E195*6500</f>
        <v>104000</v>
      </c>
      <c r="G195" s="38">
        <f>E195*4500</f>
        <v>72000</v>
      </c>
      <c r="H195" s="38">
        <f>E195*2000</f>
        <v>32000</v>
      </c>
    </row>
    <row r="196" spans="1:8" x14ac:dyDescent="0.25">
      <c r="A196" s="29"/>
      <c r="B196" s="29"/>
      <c r="C196" s="29"/>
      <c r="D196" s="29" t="s">
        <v>14</v>
      </c>
      <c r="E196" s="29">
        <v>25</v>
      </c>
      <c r="F196" s="38">
        <f>E196*10000</f>
        <v>250000</v>
      </c>
      <c r="G196" s="38">
        <f>E196*5500</f>
        <v>137500</v>
      </c>
      <c r="H196" s="38">
        <f>E196*4500</f>
        <v>112500</v>
      </c>
    </row>
    <row r="197" spans="1:8" x14ac:dyDescent="0.25">
      <c r="A197" s="29"/>
      <c r="B197" s="29"/>
      <c r="C197" s="29"/>
      <c r="D197" s="29" t="s">
        <v>425</v>
      </c>
      <c r="E197" s="29">
        <v>8</v>
      </c>
      <c r="F197" s="38">
        <f>E197*2000</f>
        <v>16000</v>
      </c>
      <c r="G197" s="38">
        <v>8000</v>
      </c>
      <c r="H197" s="38">
        <v>8000</v>
      </c>
    </row>
    <row r="198" spans="1:8" x14ac:dyDescent="0.25">
      <c r="A198" s="29"/>
      <c r="B198" s="29"/>
      <c r="C198" s="29"/>
      <c r="D198" s="29" t="s">
        <v>415</v>
      </c>
      <c r="E198" s="29">
        <v>5</v>
      </c>
      <c r="F198" s="38">
        <f>E198*3500</f>
        <v>17500</v>
      </c>
      <c r="G198" s="38">
        <f>E198*1500</f>
        <v>7500</v>
      </c>
      <c r="H198" s="38">
        <f>E198*2000</f>
        <v>10000</v>
      </c>
    </row>
    <row r="199" spans="1:8" x14ac:dyDescent="0.25">
      <c r="A199" s="29"/>
      <c r="B199" s="29"/>
      <c r="C199" s="29"/>
      <c r="D199" s="29" t="s">
        <v>424</v>
      </c>
      <c r="E199" s="29">
        <v>7</v>
      </c>
      <c r="F199" s="38">
        <f>E199*5000</f>
        <v>35000</v>
      </c>
      <c r="G199" s="38">
        <f>E199*2500</f>
        <v>17500</v>
      </c>
      <c r="H199" s="38">
        <v>17500</v>
      </c>
    </row>
    <row r="200" spans="1:8" x14ac:dyDescent="0.25">
      <c r="A200" s="29"/>
      <c r="B200" s="29"/>
      <c r="C200" s="29"/>
      <c r="D200" s="29" t="s">
        <v>448</v>
      </c>
      <c r="E200" s="29">
        <v>3</v>
      </c>
      <c r="F200" s="38">
        <f>E200*5000</f>
        <v>15000</v>
      </c>
      <c r="G200" s="38">
        <v>7500</v>
      </c>
      <c r="H200" s="38">
        <v>7500</v>
      </c>
    </row>
    <row r="201" spans="1:8" x14ac:dyDescent="0.25">
      <c r="A201" s="29"/>
      <c r="B201" s="29"/>
      <c r="C201" s="29"/>
      <c r="D201" s="29" t="s">
        <v>449</v>
      </c>
      <c r="E201" s="29">
        <v>8</v>
      </c>
      <c r="F201" s="38">
        <f>E201*3000</f>
        <v>24000</v>
      </c>
      <c r="G201" s="38">
        <f>E201*1500</f>
        <v>12000</v>
      </c>
      <c r="H201" s="38">
        <v>12000</v>
      </c>
    </row>
    <row r="202" spans="1:8" x14ac:dyDescent="0.25">
      <c r="A202" s="29"/>
      <c r="B202" s="29"/>
      <c r="C202" s="29" t="s">
        <v>81</v>
      </c>
      <c r="D202" s="29" t="s">
        <v>11</v>
      </c>
      <c r="E202" s="29">
        <v>75</v>
      </c>
      <c r="F202" s="38">
        <f t="shared" ref="F202:F207" si="9">E202*1800</f>
        <v>135000</v>
      </c>
      <c r="G202" s="38">
        <f t="shared" ref="G202:G207" si="10">E202*500</f>
        <v>37500</v>
      </c>
      <c r="H202" s="38">
        <f t="shared" ref="H202:H207" si="11">E202*1300</f>
        <v>97500</v>
      </c>
    </row>
    <row r="203" spans="1:8" x14ac:dyDescent="0.25">
      <c r="A203" s="29"/>
      <c r="B203" s="29"/>
      <c r="C203" s="29"/>
      <c r="D203" s="29"/>
      <c r="E203" s="29">
        <v>75</v>
      </c>
      <c r="F203" s="38">
        <f t="shared" si="9"/>
        <v>135000</v>
      </c>
      <c r="G203" s="38">
        <f t="shared" si="10"/>
        <v>37500</v>
      </c>
      <c r="H203" s="38">
        <f t="shared" si="11"/>
        <v>97500</v>
      </c>
    </row>
    <row r="204" spans="1:8" x14ac:dyDescent="0.25">
      <c r="A204" s="29"/>
      <c r="B204" s="29"/>
      <c r="C204" s="29"/>
      <c r="D204" s="29"/>
      <c r="E204" s="29">
        <v>75</v>
      </c>
      <c r="F204" s="38">
        <f t="shared" si="9"/>
        <v>135000</v>
      </c>
      <c r="G204" s="38">
        <f t="shared" si="10"/>
        <v>37500</v>
      </c>
      <c r="H204" s="38">
        <f t="shared" si="11"/>
        <v>97500</v>
      </c>
    </row>
    <row r="205" spans="1:8" x14ac:dyDescent="0.25">
      <c r="A205" s="29"/>
      <c r="B205" s="29"/>
      <c r="C205" s="29"/>
      <c r="D205" s="29"/>
      <c r="E205" s="29">
        <v>75</v>
      </c>
      <c r="F205" s="38">
        <f t="shared" si="9"/>
        <v>135000</v>
      </c>
      <c r="G205" s="38">
        <f t="shared" si="10"/>
        <v>37500</v>
      </c>
      <c r="H205" s="38">
        <f t="shared" si="11"/>
        <v>97500</v>
      </c>
    </row>
    <row r="206" spans="1:8" x14ac:dyDescent="0.25">
      <c r="A206" s="29"/>
      <c r="B206" s="29"/>
      <c r="C206" s="29"/>
      <c r="D206" s="29"/>
      <c r="E206" s="29">
        <v>75</v>
      </c>
      <c r="F206" s="38">
        <f t="shared" si="9"/>
        <v>135000</v>
      </c>
      <c r="G206" s="38">
        <f t="shared" si="10"/>
        <v>37500</v>
      </c>
      <c r="H206" s="38">
        <f t="shared" si="11"/>
        <v>97500</v>
      </c>
    </row>
    <row r="207" spans="1:8" x14ac:dyDescent="0.25">
      <c r="A207" s="29"/>
      <c r="B207" s="29"/>
      <c r="C207" s="29"/>
      <c r="D207" s="29"/>
      <c r="E207" s="29">
        <v>75</v>
      </c>
      <c r="F207" s="38">
        <f t="shared" si="9"/>
        <v>135000</v>
      </c>
      <c r="G207" s="38">
        <f t="shared" si="10"/>
        <v>37500</v>
      </c>
      <c r="H207" s="38">
        <f t="shared" si="11"/>
        <v>97500</v>
      </c>
    </row>
    <row r="208" spans="1:8" x14ac:dyDescent="0.25">
      <c r="A208" s="29"/>
      <c r="B208" s="29"/>
      <c r="C208" s="29" t="s">
        <v>373</v>
      </c>
      <c r="D208" s="29" t="s">
        <v>243</v>
      </c>
      <c r="E208" s="29">
        <v>2</v>
      </c>
      <c r="F208" s="38">
        <f>E208*13000</f>
        <v>26000</v>
      </c>
      <c r="G208" s="38">
        <f>E208*10000</f>
        <v>20000</v>
      </c>
      <c r="H208" s="38">
        <f>E208*3000</f>
        <v>6000</v>
      </c>
    </row>
    <row r="209" spans="1:8" x14ac:dyDescent="0.25">
      <c r="A209" s="125" t="s">
        <v>17</v>
      </c>
      <c r="B209" s="125"/>
      <c r="C209" s="125"/>
      <c r="D209" s="125"/>
      <c r="E209" s="17">
        <f>SUM(E189:E208)</f>
        <v>626</v>
      </c>
      <c r="F209" s="17">
        <f>SUM(F189:F208)</f>
        <v>1635000</v>
      </c>
      <c r="G209" s="17">
        <f>SUM(G189:G208)</f>
        <v>681500</v>
      </c>
      <c r="H209" s="17">
        <f>SUM(H189:H208)</f>
        <v>939500</v>
      </c>
    </row>
    <row r="210" spans="1:8" x14ac:dyDescent="0.25">
      <c r="A210" s="29"/>
      <c r="B210" s="29"/>
      <c r="C210" s="29" t="s">
        <v>16</v>
      </c>
      <c r="D210" s="29" t="s">
        <v>11</v>
      </c>
      <c r="E210" s="29">
        <v>73</v>
      </c>
      <c r="F210" s="38">
        <f>E210*1500</f>
        <v>109500</v>
      </c>
      <c r="G210" s="38">
        <f>E210*500</f>
        <v>36500</v>
      </c>
      <c r="H210" s="38">
        <v>73000</v>
      </c>
    </row>
    <row r="211" spans="1:8" x14ac:dyDescent="0.25">
      <c r="A211" s="29"/>
      <c r="B211" s="29"/>
      <c r="C211" s="29"/>
      <c r="D211" s="29" t="s">
        <v>12</v>
      </c>
      <c r="E211" s="29">
        <v>10</v>
      </c>
      <c r="F211" s="38">
        <f>E211*3000</f>
        <v>30000</v>
      </c>
      <c r="G211" s="38">
        <f>E211*2000</f>
        <v>20000</v>
      </c>
      <c r="H211" s="38">
        <v>10000</v>
      </c>
    </row>
    <row r="212" spans="1:8" x14ac:dyDescent="0.25">
      <c r="A212" s="29"/>
      <c r="B212" s="29"/>
      <c r="C212" s="29"/>
      <c r="D212" s="29" t="s">
        <v>13</v>
      </c>
      <c r="E212" s="29">
        <v>2</v>
      </c>
      <c r="F212" s="38">
        <f>E212*6500</f>
        <v>13000</v>
      </c>
      <c r="G212" s="38">
        <f>E212*4500</f>
        <v>9000</v>
      </c>
      <c r="H212" s="38">
        <f>E212*2000</f>
        <v>4000</v>
      </c>
    </row>
    <row r="213" spans="1:8" x14ac:dyDescent="0.25">
      <c r="A213" s="29"/>
      <c r="B213" s="29"/>
      <c r="C213" s="29"/>
      <c r="D213" s="29" t="s">
        <v>14</v>
      </c>
      <c r="E213" s="29">
        <v>2</v>
      </c>
      <c r="F213" s="38">
        <f>E213*10000</f>
        <v>20000</v>
      </c>
      <c r="G213" s="38">
        <f>E213*5500</f>
        <v>11000</v>
      </c>
      <c r="H213" s="38">
        <f>E213*4500</f>
        <v>9000</v>
      </c>
    </row>
    <row r="214" spans="1:8" x14ac:dyDescent="0.25">
      <c r="A214" s="125" t="s">
        <v>17</v>
      </c>
      <c r="B214" s="125"/>
      <c r="C214" s="125"/>
      <c r="D214" s="125"/>
      <c r="E214" s="17">
        <f>SUM(E210:E213)</f>
        <v>87</v>
      </c>
      <c r="F214" s="17">
        <f>SUM(F210:F213)</f>
        <v>172500</v>
      </c>
      <c r="G214" s="17">
        <f>SUM(G210:G213)</f>
        <v>76500</v>
      </c>
      <c r="H214" s="17">
        <f>SUM(H210:H213)</f>
        <v>96000</v>
      </c>
    </row>
    <row r="215" spans="1:8" x14ac:dyDescent="0.25">
      <c r="A215" s="29" t="s">
        <v>30</v>
      </c>
      <c r="B215" s="29" t="s">
        <v>450</v>
      </c>
      <c r="C215" s="29" t="s">
        <v>106</v>
      </c>
      <c r="D215" s="29" t="s">
        <v>11</v>
      </c>
      <c r="E215" s="29">
        <v>16</v>
      </c>
      <c r="F215" s="38">
        <f>E215*1500</f>
        <v>24000</v>
      </c>
      <c r="G215" s="38">
        <f>E215*500</f>
        <v>8000</v>
      </c>
      <c r="H215" s="38">
        <f>E215*1000</f>
        <v>16000</v>
      </c>
    </row>
    <row r="216" spans="1:8" x14ac:dyDescent="0.25">
      <c r="A216" s="29"/>
      <c r="B216" s="29"/>
      <c r="C216" s="29" t="s">
        <v>16</v>
      </c>
      <c r="D216" s="29" t="s">
        <v>11</v>
      </c>
      <c r="E216" s="29">
        <v>15</v>
      </c>
      <c r="F216" s="38">
        <f>E216*1500</f>
        <v>22500</v>
      </c>
      <c r="G216" s="38">
        <f>E216*500</f>
        <v>7500</v>
      </c>
      <c r="H216" s="38">
        <v>15000</v>
      </c>
    </row>
    <row r="217" spans="1:8" x14ac:dyDescent="0.25">
      <c r="A217" s="29"/>
      <c r="B217" s="29"/>
      <c r="C217" s="29"/>
      <c r="D217" s="29" t="s">
        <v>12</v>
      </c>
      <c r="E217" s="29">
        <v>2</v>
      </c>
      <c r="F217" s="38">
        <f>E217*3000</f>
        <v>6000</v>
      </c>
      <c r="G217" s="38">
        <f>E217*2000</f>
        <v>4000</v>
      </c>
      <c r="H217" s="38">
        <v>2000</v>
      </c>
    </row>
    <row r="218" spans="1:8" x14ac:dyDescent="0.25">
      <c r="A218" s="29"/>
      <c r="B218" s="29"/>
      <c r="C218" s="29"/>
      <c r="D218" s="29" t="s">
        <v>14</v>
      </c>
      <c r="E218" s="29">
        <v>1</v>
      </c>
      <c r="F218" s="38">
        <v>10000</v>
      </c>
      <c r="G218" s="38">
        <v>5500</v>
      </c>
      <c r="H218" s="38">
        <v>4500</v>
      </c>
    </row>
    <row r="219" spans="1:8" x14ac:dyDescent="0.25">
      <c r="A219" s="125" t="s">
        <v>17</v>
      </c>
      <c r="B219" s="125"/>
      <c r="C219" s="125"/>
      <c r="D219" s="125"/>
      <c r="E219" s="17">
        <f>SUM(E215:E218)</f>
        <v>34</v>
      </c>
      <c r="F219" s="17">
        <f>SUM(F215:F218)</f>
        <v>62500</v>
      </c>
      <c r="G219" s="17">
        <f>SUM(G215:G218)</f>
        <v>25000</v>
      </c>
      <c r="H219" s="17">
        <f>SUM(H215:H218)</f>
        <v>37500</v>
      </c>
    </row>
    <row r="220" spans="1:8" x14ac:dyDescent="0.25">
      <c r="A220" s="29" t="s">
        <v>32</v>
      </c>
      <c r="B220" s="29" t="s">
        <v>453</v>
      </c>
      <c r="C220" s="29" t="s">
        <v>288</v>
      </c>
      <c r="D220" s="29" t="s">
        <v>11</v>
      </c>
      <c r="E220" s="29">
        <f>60-24</f>
        <v>36</v>
      </c>
      <c r="F220" s="29">
        <f>E220*1800</f>
        <v>64800</v>
      </c>
      <c r="G220" s="38">
        <f>E220*500</f>
        <v>18000</v>
      </c>
      <c r="H220" s="38">
        <f>E220*1300</f>
        <v>46800</v>
      </c>
    </row>
    <row r="221" spans="1:8" x14ac:dyDescent="0.25">
      <c r="A221" s="29"/>
      <c r="B221" s="29"/>
      <c r="C221" s="29" t="s">
        <v>106</v>
      </c>
      <c r="D221" s="29" t="s">
        <v>11</v>
      </c>
      <c r="E221" s="29">
        <v>16</v>
      </c>
      <c r="F221" s="38">
        <f>E221*1500</f>
        <v>24000</v>
      </c>
      <c r="G221" s="38">
        <f>E221*500</f>
        <v>8000</v>
      </c>
      <c r="H221" s="38">
        <v>16000</v>
      </c>
    </row>
    <row r="222" spans="1:8" x14ac:dyDescent="0.25">
      <c r="A222" s="29"/>
      <c r="B222" s="29"/>
      <c r="C222" s="29" t="s">
        <v>292</v>
      </c>
      <c r="D222" s="29" t="s">
        <v>11</v>
      </c>
      <c r="E222" s="29">
        <v>9</v>
      </c>
      <c r="F222" s="38">
        <f>E222*1500</f>
        <v>13500</v>
      </c>
      <c r="G222" s="38">
        <f>E222*500</f>
        <v>4500</v>
      </c>
      <c r="H222" s="38">
        <f>E222*1000</f>
        <v>9000</v>
      </c>
    </row>
    <row r="223" spans="1:8" x14ac:dyDescent="0.25">
      <c r="A223" s="29"/>
      <c r="B223" s="29"/>
      <c r="C223" s="29" t="s">
        <v>108</v>
      </c>
      <c r="D223" s="29" t="s">
        <v>11</v>
      </c>
      <c r="E223" s="29">
        <v>23</v>
      </c>
      <c r="F223" s="38">
        <f>E223*1500</f>
        <v>34500</v>
      </c>
      <c r="G223" s="38">
        <f>E223*500</f>
        <v>11500</v>
      </c>
      <c r="H223" s="38">
        <f>E223*1000</f>
        <v>23000</v>
      </c>
    </row>
    <row r="224" spans="1:8" x14ac:dyDescent="0.25">
      <c r="A224" s="29"/>
      <c r="B224" s="29"/>
      <c r="C224" s="29" t="s">
        <v>16</v>
      </c>
      <c r="D224" s="29" t="s">
        <v>11</v>
      </c>
      <c r="E224" s="29">
        <v>18</v>
      </c>
      <c r="F224" s="38">
        <f>E224*1500</f>
        <v>27000</v>
      </c>
      <c r="G224" s="38">
        <f>E224*500</f>
        <v>9000</v>
      </c>
      <c r="H224" s="38">
        <f>E224*1000</f>
        <v>18000</v>
      </c>
    </row>
    <row r="225" spans="1:8" x14ac:dyDescent="0.25">
      <c r="A225" s="29"/>
      <c r="B225" s="29"/>
      <c r="C225" s="29"/>
      <c r="D225" s="29" t="s">
        <v>12</v>
      </c>
      <c r="E225" s="29">
        <v>3</v>
      </c>
      <c r="F225" s="38">
        <f>E225*3000</f>
        <v>9000</v>
      </c>
      <c r="G225" s="38">
        <f>E225*2000</f>
        <v>6000</v>
      </c>
      <c r="H225" s="38">
        <v>3000</v>
      </c>
    </row>
    <row r="226" spans="1:8" x14ac:dyDescent="0.25">
      <c r="A226" s="29"/>
      <c r="B226" s="29"/>
      <c r="C226" s="29" t="s">
        <v>451</v>
      </c>
      <c r="D226" s="29" t="s">
        <v>243</v>
      </c>
      <c r="E226" s="29">
        <v>3</v>
      </c>
      <c r="F226" s="38">
        <f>E226*13000</f>
        <v>39000</v>
      </c>
      <c r="G226" s="38">
        <f>E226*10000</f>
        <v>30000</v>
      </c>
      <c r="H226" s="38">
        <v>9000</v>
      </c>
    </row>
    <row r="227" spans="1:8" x14ac:dyDescent="0.25">
      <c r="A227" s="29"/>
      <c r="B227" s="29"/>
      <c r="C227" s="29" t="s">
        <v>373</v>
      </c>
      <c r="D227" s="29" t="s">
        <v>243</v>
      </c>
      <c r="E227" s="29">
        <v>5</v>
      </c>
      <c r="F227" s="38">
        <f>E227*13000</f>
        <v>65000</v>
      </c>
      <c r="G227" s="38">
        <f>E227*10000</f>
        <v>50000</v>
      </c>
      <c r="H227" s="38">
        <v>15000</v>
      </c>
    </row>
    <row r="228" spans="1:8" x14ac:dyDescent="0.25">
      <c r="A228" s="125" t="s">
        <v>17</v>
      </c>
      <c r="B228" s="125"/>
      <c r="C228" s="125"/>
      <c r="D228" s="125"/>
      <c r="E228" s="17">
        <f>SUM(E220:E227)</f>
        <v>113</v>
      </c>
      <c r="F228" s="17">
        <f>SUM(F220:F227)</f>
        <v>276800</v>
      </c>
      <c r="G228" s="17">
        <f>SUM(G220:G227)</f>
        <v>137000</v>
      </c>
      <c r="H228" s="17">
        <f>SUM(H220:H227)</f>
        <v>139800</v>
      </c>
    </row>
    <row r="229" spans="1:8" x14ac:dyDescent="0.25">
      <c r="A229" s="29" t="s">
        <v>8</v>
      </c>
      <c r="B229" s="29" t="s">
        <v>452</v>
      </c>
      <c r="C229" s="29" t="s">
        <v>288</v>
      </c>
      <c r="D229" s="29" t="s">
        <v>11</v>
      </c>
      <c r="E229" s="29">
        <f>60-18</f>
        <v>42</v>
      </c>
      <c r="F229" s="38">
        <f>E229*1800</f>
        <v>75600</v>
      </c>
      <c r="G229" s="38">
        <f>E229*500</f>
        <v>21000</v>
      </c>
      <c r="H229" s="38">
        <f>E229*1300</f>
        <v>54600</v>
      </c>
    </row>
    <row r="230" spans="1:8" x14ac:dyDescent="0.25">
      <c r="A230" s="29"/>
      <c r="B230" s="29"/>
      <c r="C230" s="29" t="s">
        <v>106</v>
      </c>
      <c r="D230" s="29" t="s">
        <v>11</v>
      </c>
      <c r="E230" s="29">
        <v>19</v>
      </c>
      <c r="F230" s="38">
        <f>E230*1500</f>
        <v>28500</v>
      </c>
      <c r="G230" s="38">
        <f>E230*500</f>
        <v>9500</v>
      </c>
      <c r="H230" s="38">
        <v>19000</v>
      </c>
    </row>
    <row r="231" spans="1:8" x14ac:dyDescent="0.25">
      <c r="A231" s="29"/>
      <c r="B231" s="29"/>
      <c r="C231" s="29" t="s">
        <v>373</v>
      </c>
      <c r="D231" s="29" t="s">
        <v>243</v>
      </c>
      <c r="E231" s="29">
        <v>1</v>
      </c>
      <c r="F231" s="38">
        <v>13000</v>
      </c>
      <c r="G231" s="38">
        <v>10000</v>
      </c>
      <c r="H231" s="38">
        <v>3000</v>
      </c>
    </row>
    <row r="232" spans="1:8" x14ac:dyDescent="0.25">
      <c r="A232" s="29"/>
      <c r="B232" s="29"/>
      <c r="C232" s="29" t="s">
        <v>217</v>
      </c>
      <c r="D232" s="29" t="s">
        <v>404</v>
      </c>
      <c r="E232" s="29">
        <v>2</v>
      </c>
      <c r="F232" s="38">
        <f>E232*2000</f>
        <v>4000</v>
      </c>
      <c r="G232" s="38">
        <f>E232*1000</f>
        <v>2000</v>
      </c>
      <c r="H232" s="38">
        <v>2000</v>
      </c>
    </row>
    <row r="233" spans="1:8" x14ac:dyDescent="0.25">
      <c r="A233" s="29"/>
      <c r="B233" s="29"/>
      <c r="C233" s="29"/>
      <c r="D233" s="29" t="s">
        <v>441</v>
      </c>
      <c r="E233" s="29">
        <v>2</v>
      </c>
      <c r="F233" s="38">
        <f>E233*3000</f>
        <v>6000</v>
      </c>
      <c r="G233" s="38">
        <f>E233*1500</f>
        <v>3000</v>
      </c>
      <c r="H233" s="38">
        <v>3000</v>
      </c>
    </row>
    <row r="234" spans="1:8" x14ac:dyDescent="0.25">
      <c r="A234" s="29"/>
      <c r="B234" s="29"/>
      <c r="C234" s="29"/>
      <c r="D234" s="29" t="s">
        <v>13</v>
      </c>
      <c r="E234" s="29">
        <v>1</v>
      </c>
      <c r="F234" s="38">
        <v>6500</v>
      </c>
      <c r="G234" s="38">
        <v>4500</v>
      </c>
      <c r="H234" s="38">
        <v>2000</v>
      </c>
    </row>
    <row r="235" spans="1:8" x14ac:dyDescent="0.25">
      <c r="A235" s="29"/>
      <c r="B235" s="29"/>
      <c r="C235" s="29" t="s">
        <v>16</v>
      </c>
      <c r="D235" s="29" t="s">
        <v>11</v>
      </c>
      <c r="E235" s="29">
        <v>59</v>
      </c>
      <c r="F235" s="38">
        <f>E235*1500</f>
        <v>88500</v>
      </c>
      <c r="G235" s="38">
        <f>E235*500</f>
        <v>29500</v>
      </c>
      <c r="H235" s="38">
        <v>59000</v>
      </c>
    </row>
    <row r="236" spans="1:8" x14ac:dyDescent="0.25">
      <c r="A236" s="29"/>
      <c r="B236" s="29"/>
      <c r="C236" s="29"/>
      <c r="D236" s="29" t="s">
        <v>12</v>
      </c>
      <c r="E236" s="29">
        <v>2</v>
      </c>
      <c r="F236" s="38">
        <f>E236*3000</f>
        <v>6000</v>
      </c>
      <c r="G236" s="38">
        <f>E236*2000</f>
        <v>4000</v>
      </c>
      <c r="H236" s="38">
        <v>2000</v>
      </c>
    </row>
    <row r="237" spans="1:8" x14ac:dyDescent="0.25">
      <c r="A237" s="29"/>
      <c r="B237" s="29"/>
      <c r="C237" s="29"/>
      <c r="D237" s="29" t="s">
        <v>13</v>
      </c>
      <c r="E237" s="29">
        <v>1</v>
      </c>
      <c r="F237" s="38">
        <v>6500</v>
      </c>
      <c r="G237" s="38">
        <v>4500</v>
      </c>
      <c r="H237" s="38">
        <v>2000</v>
      </c>
    </row>
    <row r="238" spans="1:8" x14ac:dyDescent="0.25">
      <c r="A238" s="29"/>
      <c r="B238" s="29"/>
      <c r="C238" s="29" t="s">
        <v>454</v>
      </c>
      <c r="D238" s="29" t="s">
        <v>13</v>
      </c>
      <c r="E238" s="29">
        <v>3</v>
      </c>
      <c r="F238" s="38">
        <f>E238*6500</f>
        <v>19500</v>
      </c>
      <c r="G238" s="38">
        <f>E238*4500</f>
        <v>13500</v>
      </c>
      <c r="H238" s="38">
        <f>E238*2000</f>
        <v>6000</v>
      </c>
    </row>
    <row r="239" spans="1:8" x14ac:dyDescent="0.25">
      <c r="A239" s="29"/>
      <c r="B239" s="29"/>
      <c r="C239" s="29"/>
      <c r="D239" s="29" t="s">
        <v>14</v>
      </c>
      <c r="E239" s="29">
        <v>3</v>
      </c>
      <c r="F239" s="38">
        <f>E239*10000</f>
        <v>30000</v>
      </c>
      <c r="G239" s="38">
        <f>E239*5500</f>
        <v>16500</v>
      </c>
      <c r="H239" s="38">
        <f>E239*4500</f>
        <v>13500</v>
      </c>
    </row>
    <row r="240" spans="1:8" x14ac:dyDescent="0.25">
      <c r="A240" s="125" t="s">
        <v>17</v>
      </c>
      <c r="B240" s="125"/>
      <c r="C240" s="125"/>
      <c r="D240" s="125"/>
      <c r="E240" s="17">
        <f>SUM(E229:E239)</f>
        <v>135</v>
      </c>
      <c r="F240" s="17">
        <f>SUM(F229:F239)</f>
        <v>284100</v>
      </c>
      <c r="G240" s="17">
        <f>SUM(G229:G239)</f>
        <v>118000</v>
      </c>
      <c r="H240" s="17">
        <f>SUM(H229:H239)</f>
        <v>166100</v>
      </c>
    </row>
    <row r="241" spans="1:8" x14ac:dyDescent="0.25">
      <c r="A241" s="29" t="s">
        <v>18</v>
      </c>
      <c r="B241" s="29" t="s">
        <v>455</v>
      </c>
      <c r="C241" s="29" t="s">
        <v>288</v>
      </c>
      <c r="D241" s="29" t="s">
        <v>11</v>
      </c>
      <c r="E241" s="29">
        <f>60-18</f>
        <v>42</v>
      </c>
      <c r="F241" s="38">
        <f>E241*1800</f>
        <v>75600</v>
      </c>
      <c r="G241" s="38">
        <f>E241*500</f>
        <v>21000</v>
      </c>
      <c r="H241" s="38">
        <f>E241*1300</f>
        <v>54600</v>
      </c>
    </row>
    <row r="242" spans="1:8" x14ac:dyDescent="0.25">
      <c r="A242" s="29"/>
      <c r="B242" s="29"/>
      <c r="C242" s="29" t="s">
        <v>106</v>
      </c>
      <c r="D242" s="29" t="s">
        <v>11</v>
      </c>
      <c r="E242" s="29">
        <v>18</v>
      </c>
      <c r="F242" s="38">
        <f>E242*1500</f>
        <v>27000</v>
      </c>
      <c r="G242" s="38">
        <f>E242*500</f>
        <v>9000</v>
      </c>
      <c r="H242" s="38">
        <v>18000</v>
      </c>
    </row>
    <row r="243" spans="1:8" x14ac:dyDescent="0.25">
      <c r="A243" s="29"/>
      <c r="B243" s="29"/>
      <c r="C243" s="29" t="s">
        <v>108</v>
      </c>
      <c r="D243" s="29" t="s">
        <v>11</v>
      </c>
      <c r="E243" s="29">
        <v>12</v>
      </c>
      <c r="F243" s="38">
        <f>E243*1500</f>
        <v>18000</v>
      </c>
      <c r="G243" s="38">
        <f>E243*500</f>
        <v>6000</v>
      </c>
      <c r="H243" s="38">
        <f>E243*1000</f>
        <v>12000</v>
      </c>
    </row>
    <row r="244" spans="1:8" x14ac:dyDescent="0.25">
      <c r="A244" s="29"/>
      <c r="B244" s="29"/>
      <c r="C244" s="29" t="s">
        <v>373</v>
      </c>
      <c r="D244" s="29" t="s">
        <v>243</v>
      </c>
      <c r="E244" s="29">
        <v>2</v>
      </c>
      <c r="F244" s="38">
        <f>E244*13000</f>
        <v>26000</v>
      </c>
      <c r="G244" s="38">
        <f>E244*10000</f>
        <v>20000</v>
      </c>
      <c r="H244" s="38">
        <v>6000</v>
      </c>
    </row>
    <row r="245" spans="1:8" x14ac:dyDescent="0.25">
      <c r="A245" s="125" t="s">
        <v>17</v>
      </c>
      <c r="B245" s="125"/>
      <c r="C245" s="125"/>
      <c r="D245" s="125"/>
      <c r="E245" s="17">
        <f>SUM(E241:E244)</f>
        <v>74</v>
      </c>
      <c r="F245" s="17">
        <f>SUM(F241:F244)</f>
        <v>146600</v>
      </c>
      <c r="G245" s="17">
        <f>SUM(G241:G244)</f>
        <v>56000</v>
      </c>
      <c r="H245" s="17">
        <f>SUM(H241:H244)</f>
        <v>90600</v>
      </c>
    </row>
    <row r="246" spans="1:8" x14ac:dyDescent="0.25">
      <c r="A246" s="29" t="s">
        <v>22</v>
      </c>
      <c r="B246" s="29" t="s">
        <v>456</v>
      </c>
      <c r="C246" s="29" t="s">
        <v>288</v>
      </c>
      <c r="D246" s="29" t="s">
        <v>11</v>
      </c>
      <c r="E246" s="29">
        <v>40</v>
      </c>
      <c r="F246" s="38">
        <f>E246*1800</f>
        <v>72000</v>
      </c>
      <c r="G246" s="38">
        <f>E246*500</f>
        <v>20000</v>
      </c>
      <c r="H246" s="38">
        <f>E246*1300</f>
        <v>52000</v>
      </c>
    </row>
    <row r="247" spans="1:8" x14ac:dyDescent="0.25">
      <c r="A247" s="29"/>
      <c r="B247" s="29"/>
      <c r="C247" s="29" t="s">
        <v>106</v>
      </c>
      <c r="D247" s="29" t="s">
        <v>11</v>
      </c>
      <c r="E247" s="29">
        <v>16</v>
      </c>
      <c r="F247" s="38">
        <f>E247*1500</f>
        <v>24000</v>
      </c>
      <c r="G247" s="38">
        <f>E247*500</f>
        <v>8000</v>
      </c>
      <c r="H247" s="38">
        <v>16000</v>
      </c>
    </row>
    <row r="248" spans="1:8" x14ac:dyDescent="0.25">
      <c r="A248" s="29"/>
      <c r="B248" s="29"/>
      <c r="C248" s="29" t="s">
        <v>292</v>
      </c>
      <c r="D248" s="29" t="s">
        <v>11</v>
      </c>
      <c r="E248" s="29">
        <v>6</v>
      </c>
      <c r="F248" s="38">
        <f>E248*1500</f>
        <v>9000</v>
      </c>
      <c r="G248" s="38">
        <f>E248*500</f>
        <v>3000</v>
      </c>
      <c r="H248" s="38">
        <v>6000</v>
      </c>
    </row>
    <row r="249" spans="1:8" x14ac:dyDescent="0.25">
      <c r="A249" s="29"/>
      <c r="B249" s="29"/>
      <c r="C249" s="29" t="s">
        <v>16</v>
      </c>
      <c r="D249" s="29" t="s">
        <v>11</v>
      </c>
      <c r="E249" s="29">
        <v>44</v>
      </c>
      <c r="F249" s="38">
        <f>E249*1500</f>
        <v>66000</v>
      </c>
      <c r="G249" s="38">
        <f>E249*500</f>
        <v>22000</v>
      </c>
      <c r="H249" s="38">
        <v>44000</v>
      </c>
    </row>
    <row r="250" spans="1:8" x14ac:dyDescent="0.25">
      <c r="A250" s="29"/>
      <c r="B250" s="29"/>
      <c r="C250" s="29" t="s">
        <v>217</v>
      </c>
      <c r="D250" s="29" t="s">
        <v>11</v>
      </c>
      <c r="E250" s="29">
        <v>103</v>
      </c>
      <c r="F250" s="38">
        <f>E250*1500</f>
        <v>154500</v>
      </c>
      <c r="G250" s="38">
        <f>E250*500</f>
        <v>51500</v>
      </c>
      <c r="H250" s="38">
        <v>103000</v>
      </c>
    </row>
    <row r="251" spans="1:8" x14ac:dyDescent="0.25">
      <c r="A251" s="125" t="s">
        <v>17</v>
      </c>
      <c r="B251" s="125"/>
      <c r="C251" s="125"/>
      <c r="D251" s="125"/>
      <c r="E251" s="17">
        <f>SUM(E246:E250)</f>
        <v>209</v>
      </c>
      <c r="F251" s="17">
        <f>SUM(F246:F250)</f>
        <v>325500</v>
      </c>
      <c r="G251" s="17">
        <f>SUM(G246:G250)</f>
        <v>104500</v>
      </c>
      <c r="H251" s="17">
        <f>SUM(H246:H250)</f>
        <v>221000</v>
      </c>
    </row>
    <row r="252" spans="1:8" x14ac:dyDescent="0.25">
      <c r="A252" s="29" t="s">
        <v>26</v>
      </c>
      <c r="B252" s="29" t="s">
        <v>457</v>
      </c>
      <c r="C252" s="29" t="s">
        <v>376</v>
      </c>
      <c r="D252" s="29" t="s">
        <v>11</v>
      </c>
      <c r="E252" s="29">
        <v>100</v>
      </c>
      <c r="F252" s="38">
        <f t="shared" ref="F252:F257" si="12">E252*1500</f>
        <v>150000</v>
      </c>
      <c r="G252" s="38">
        <f t="shared" ref="G252:G263" si="13">E252*500</f>
        <v>50000</v>
      </c>
      <c r="H252" s="38">
        <f t="shared" ref="H252:H257" si="14">E252*1000</f>
        <v>100000</v>
      </c>
    </row>
    <row r="253" spans="1:8" x14ac:dyDescent="0.25">
      <c r="A253" s="29"/>
      <c r="B253" s="29"/>
      <c r="C253" s="29"/>
      <c r="D253" s="29"/>
      <c r="E253" s="29">
        <v>82</v>
      </c>
      <c r="F253" s="38">
        <f t="shared" si="12"/>
        <v>123000</v>
      </c>
      <c r="G253" s="38">
        <f t="shared" si="13"/>
        <v>41000</v>
      </c>
      <c r="H253" s="38">
        <f t="shared" si="14"/>
        <v>82000</v>
      </c>
    </row>
    <row r="254" spans="1:8" x14ac:dyDescent="0.25">
      <c r="A254" s="29"/>
      <c r="B254" s="29"/>
      <c r="C254" s="29"/>
      <c r="D254" s="29"/>
      <c r="E254" s="29">
        <v>99</v>
      </c>
      <c r="F254" s="38">
        <f t="shared" si="12"/>
        <v>148500</v>
      </c>
      <c r="G254" s="38">
        <f t="shared" si="13"/>
        <v>49500</v>
      </c>
      <c r="H254" s="38">
        <f t="shared" si="14"/>
        <v>99000</v>
      </c>
    </row>
    <row r="255" spans="1:8" x14ac:dyDescent="0.25">
      <c r="A255" s="29"/>
      <c r="B255" s="29"/>
      <c r="C255" s="29"/>
      <c r="D255" s="29"/>
      <c r="E255" s="29">
        <v>90</v>
      </c>
      <c r="F255" s="38">
        <f t="shared" si="12"/>
        <v>135000</v>
      </c>
      <c r="G255" s="38">
        <f t="shared" si="13"/>
        <v>45000</v>
      </c>
      <c r="H255" s="38">
        <f t="shared" si="14"/>
        <v>90000</v>
      </c>
    </row>
    <row r="256" spans="1:8" x14ac:dyDescent="0.25">
      <c r="A256" s="29"/>
      <c r="B256" s="29"/>
      <c r="C256" s="29"/>
      <c r="D256" s="29"/>
      <c r="E256" s="29">
        <v>45</v>
      </c>
      <c r="F256" s="38">
        <f t="shared" si="12"/>
        <v>67500</v>
      </c>
      <c r="G256" s="38">
        <f t="shared" si="13"/>
        <v>22500</v>
      </c>
      <c r="H256" s="38">
        <f t="shared" si="14"/>
        <v>45000</v>
      </c>
    </row>
    <row r="257" spans="1:8" x14ac:dyDescent="0.25">
      <c r="A257" s="29"/>
      <c r="B257" s="29"/>
      <c r="C257" s="29"/>
      <c r="D257" s="29"/>
      <c r="E257" s="29">
        <v>42</v>
      </c>
      <c r="F257" s="38">
        <f t="shared" si="12"/>
        <v>63000</v>
      </c>
      <c r="G257" s="38">
        <f t="shared" si="13"/>
        <v>21000</v>
      </c>
      <c r="H257" s="38">
        <f t="shared" si="14"/>
        <v>42000</v>
      </c>
    </row>
    <row r="258" spans="1:8" x14ac:dyDescent="0.25">
      <c r="A258" s="29"/>
      <c r="B258" s="29"/>
      <c r="C258" s="29" t="s">
        <v>81</v>
      </c>
      <c r="D258" s="29" t="s">
        <v>11</v>
      </c>
      <c r="E258" s="29">
        <f>75-17</f>
        <v>58</v>
      </c>
      <c r="F258" s="38">
        <f t="shared" ref="F258:F263" si="15">E258*1800</f>
        <v>104400</v>
      </c>
      <c r="G258" s="38">
        <f t="shared" si="13"/>
        <v>29000</v>
      </c>
      <c r="H258" s="38">
        <f t="shared" ref="H258:H263" si="16">E258*1300</f>
        <v>75400</v>
      </c>
    </row>
    <row r="259" spans="1:8" x14ac:dyDescent="0.25">
      <c r="A259" s="29"/>
      <c r="B259" s="29"/>
      <c r="C259" s="29"/>
      <c r="D259" s="29"/>
      <c r="E259" s="29">
        <v>74</v>
      </c>
      <c r="F259" s="38">
        <f t="shared" si="15"/>
        <v>133200</v>
      </c>
      <c r="G259" s="38">
        <f t="shared" si="13"/>
        <v>37000</v>
      </c>
      <c r="H259" s="38">
        <f t="shared" si="16"/>
        <v>96200</v>
      </c>
    </row>
    <row r="260" spans="1:8" x14ac:dyDescent="0.25">
      <c r="A260" s="29"/>
      <c r="B260" s="29"/>
      <c r="C260" s="29"/>
      <c r="D260" s="29"/>
      <c r="E260" s="29">
        <v>69</v>
      </c>
      <c r="F260" s="38">
        <f t="shared" si="15"/>
        <v>124200</v>
      </c>
      <c r="G260" s="38">
        <f t="shared" si="13"/>
        <v>34500</v>
      </c>
      <c r="H260" s="38">
        <f t="shared" si="16"/>
        <v>89700</v>
      </c>
    </row>
    <row r="261" spans="1:8" x14ac:dyDescent="0.25">
      <c r="A261" s="29"/>
      <c r="B261" s="29"/>
      <c r="C261" s="29"/>
      <c r="D261" s="29"/>
      <c r="E261" s="29">
        <v>70</v>
      </c>
      <c r="F261" s="38">
        <f t="shared" si="15"/>
        <v>126000</v>
      </c>
      <c r="G261" s="38">
        <f t="shared" si="13"/>
        <v>35000</v>
      </c>
      <c r="H261" s="38">
        <f t="shared" si="16"/>
        <v>91000</v>
      </c>
    </row>
    <row r="262" spans="1:8" x14ac:dyDescent="0.25">
      <c r="A262" s="29"/>
      <c r="B262" s="29"/>
      <c r="C262" s="29"/>
      <c r="D262" s="29"/>
      <c r="E262" s="29">
        <f>75-38</f>
        <v>37</v>
      </c>
      <c r="F262" s="38">
        <f t="shared" si="15"/>
        <v>66600</v>
      </c>
      <c r="G262" s="38">
        <f t="shared" si="13"/>
        <v>18500</v>
      </c>
      <c r="H262" s="38">
        <f t="shared" si="16"/>
        <v>48100</v>
      </c>
    </row>
    <row r="263" spans="1:8" x14ac:dyDescent="0.25">
      <c r="A263" s="29"/>
      <c r="B263" s="29"/>
      <c r="C263" s="29"/>
      <c r="D263" s="29"/>
      <c r="E263" s="29">
        <f>75-19</f>
        <v>56</v>
      </c>
      <c r="F263" s="38">
        <f t="shared" si="15"/>
        <v>100800</v>
      </c>
      <c r="G263" s="38">
        <f t="shared" si="13"/>
        <v>28000</v>
      </c>
      <c r="H263" s="38">
        <f t="shared" si="16"/>
        <v>72800</v>
      </c>
    </row>
    <row r="264" spans="1:8" x14ac:dyDescent="0.25">
      <c r="A264" s="126" t="s">
        <v>17</v>
      </c>
      <c r="B264" s="126"/>
      <c r="C264" s="126"/>
      <c r="D264" s="126"/>
      <c r="E264" s="16">
        <f>SUM(E252:E263)</f>
        <v>822</v>
      </c>
      <c r="F264" s="17">
        <f>SUM(F252:F263)</f>
        <v>1342200</v>
      </c>
      <c r="G264" s="17">
        <f>SUM(G252:G263)</f>
        <v>411000</v>
      </c>
      <c r="H264" s="17">
        <f>SUM(H252:H263)</f>
        <v>931200</v>
      </c>
    </row>
    <row r="265" spans="1:8" x14ac:dyDescent="0.25">
      <c r="A265" s="29" t="s">
        <v>28</v>
      </c>
      <c r="B265" s="29" t="s">
        <v>458</v>
      </c>
      <c r="C265" s="29" t="s">
        <v>16</v>
      </c>
      <c r="D265" s="29" t="s">
        <v>11</v>
      </c>
      <c r="E265" s="29">
        <v>39</v>
      </c>
      <c r="F265" s="38">
        <f>E265*1500</f>
        <v>58500</v>
      </c>
      <c r="G265" s="38">
        <f>E265*500</f>
        <v>19500</v>
      </c>
      <c r="H265" s="38">
        <v>39000</v>
      </c>
    </row>
    <row r="266" spans="1:8" x14ac:dyDescent="0.25">
      <c r="A266" s="29"/>
      <c r="B266" s="29"/>
      <c r="C266" s="29"/>
      <c r="D266" s="29" t="s">
        <v>12</v>
      </c>
      <c r="E266" s="29">
        <v>4</v>
      </c>
      <c r="F266" s="38">
        <f>E266*3000</f>
        <v>12000</v>
      </c>
      <c r="G266" s="38">
        <f>E266*2000</f>
        <v>8000</v>
      </c>
      <c r="H266" s="38">
        <v>4000</v>
      </c>
    </row>
    <row r="267" spans="1:8" x14ac:dyDescent="0.25">
      <c r="A267" s="29"/>
      <c r="B267" s="29"/>
      <c r="C267" s="29"/>
      <c r="D267" s="29" t="s">
        <v>14</v>
      </c>
      <c r="E267" s="29">
        <v>1</v>
      </c>
      <c r="F267" s="38">
        <v>10000</v>
      </c>
      <c r="G267" s="38">
        <v>5500</v>
      </c>
      <c r="H267" s="38">
        <v>4500</v>
      </c>
    </row>
    <row r="268" spans="1:8" x14ac:dyDescent="0.25">
      <c r="A268" s="29"/>
      <c r="B268" s="29"/>
      <c r="C268" s="29" t="s">
        <v>217</v>
      </c>
      <c r="D268" s="29" t="s">
        <v>13</v>
      </c>
      <c r="E268" s="29">
        <v>12</v>
      </c>
      <c r="F268" s="38">
        <f>E268*6500</f>
        <v>78000</v>
      </c>
      <c r="G268" s="38">
        <f>E268*4500</f>
        <v>54000</v>
      </c>
      <c r="H268" s="38">
        <f>E268*2000</f>
        <v>24000</v>
      </c>
    </row>
    <row r="269" spans="1:8" x14ac:dyDescent="0.25">
      <c r="A269" s="29"/>
      <c r="B269" s="29"/>
      <c r="C269" s="29"/>
      <c r="D269" s="29" t="s">
        <v>14</v>
      </c>
      <c r="E269" s="29">
        <v>3</v>
      </c>
      <c r="F269" s="38">
        <f>E269*8000</f>
        <v>24000</v>
      </c>
      <c r="G269" s="38">
        <f>E269*5500</f>
        <v>16500</v>
      </c>
      <c r="H269" s="38">
        <f>E269*2500</f>
        <v>7500</v>
      </c>
    </row>
    <row r="270" spans="1:8" x14ac:dyDescent="0.25">
      <c r="A270" s="29"/>
      <c r="B270" s="29"/>
      <c r="C270" s="29"/>
      <c r="D270" s="29"/>
      <c r="E270" s="29">
        <v>5</v>
      </c>
      <c r="F270" s="38">
        <f>E270*10000</f>
        <v>50000</v>
      </c>
      <c r="G270" s="38">
        <f>E270*5500</f>
        <v>27500</v>
      </c>
      <c r="H270" s="38">
        <f>E270*4500</f>
        <v>22500</v>
      </c>
    </row>
    <row r="271" spans="1:8" x14ac:dyDescent="0.25">
      <c r="A271" s="29"/>
      <c r="B271" s="29"/>
      <c r="C271" s="29"/>
      <c r="D271" s="29" t="s">
        <v>425</v>
      </c>
      <c r="E271" s="29">
        <v>1</v>
      </c>
      <c r="F271" s="38">
        <v>2000</v>
      </c>
      <c r="G271" s="38">
        <v>1000</v>
      </c>
      <c r="H271" s="38">
        <v>1000</v>
      </c>
    </row>
    <row r="272" spans="1:8" x14ac:dyDescent="0.25">
      <c r="A272" s="29"/>
      <c r="B272" s="29"/>
      <c r="C272" s="29"/>
      <c r="D272" s="29" t="s">
        <v>441</v>
      </c>
      <c r="E272" s="29">
        <v>4</v>
      </c>
      <c r="F272" s="38">
        <f>E272*3000</f>
        <v>12000</v>
      </c>
      <c r="G272" s="38">
        <f>E272*1500</f>
        <v>6000</v>
      </c>
      <c r="H272" s="38">
        <f>E272*1500</f>
        <v>6000</v>
      </c>
    </row>
    <row r="273" spans="1:8" x14ac:dyDescent="0.25">
      <c r="A273" s="29"/>
      <c r="B273" s="29"/>
      <c r="C273" s="29"/>
      <c r="D273" s="29" t="s">
        <v>415</v>
      </c>
      <c r="E273" s="29">
        <v>2</v>
      </c>
      <c r="F273" s="38">
        <f>E273*3500</f>
        <v>7000</v>
      </c>
      <c r="G273" s="38">
        <f>E273*1500</f>
        <v>3000</v>
      </c>
      <c r="H273" s="38">
        <v>4000</v>
      </c>
    </row>
    <row r="274" spans="1:8" x14ac:dyDescent="0.25">
      <c r="A274" s="29"/>
      <c r="B274" s="29"/>
      <c r="C274" s="29" t="s">
        <v>20</v>
      </c>
      <c r="D274" s="29" t="s">
        <v>11</v>
      </c>
      <c r="E274" s="29">
        <v>15</v>
      </c>
      <c r="F274" s="38">
        <f>E274*1500</f>
        <v>22500</v>
      </c>
      <c r="G274" s="38">
        <f>E274*500</f>
        <v>7500</v>
      </c>
      <c r="H274" s="38">
        <v>15000</v>
      </c>
    </row>
    <row r="275" spans="1:8" x14ac:dyDescent="0.25">
      <c r="A275" s="29"/>
      <c r="B275" s="29"/>
      <c r="C275" s="29"/>
      <c r="D275" s="29" t="s">
        <v>13</v>
      </c>
      <c r="E275" s="29">
        <f>25-7</f>
        <v>18</v>
      </c>
      <c r="F275" s="38">
        <f>E275*6500</f>
        <v>117000</v>
      </c>
      <c r="G275" s="38">
        <f>E275*4500</f>
        <v>81000</v>
      </c>
      <c r="H275" s="38">
        <f>E275*2000</f>
        <v>36000</v>
      </c>
    </row>
    <row r="276" spans="1:8" x14ac:dyDescent="0.25">
      <c r="A276" s="29"/>
      <c r="B276" s="29"/>
      <c r="C276" s="29"/>
      <c r="D276" s="29" t="s">
        <v>14</v>
      </c>
      <c r="E276" s="29">
        <f>30-4</f>
        <v>26</v>
      </c>
      <c r="F276" s="38">
        <f>E276*10000</f>
        <v>260000</v>
      </c>
      <c r="G276" s="38">
        <f>E276*5500</f>
        <v>143000</v>
      </c>
      <c r="H276" s="38">
        <f>E276*4500</f>
        <v>117000</v>
      </c>
    </row>
    <row r="277" spans="1:8" x14ac:dyDescent="0.25">
      <c r="A277" s="29"/>
      <c r="B277" s="29"/>
      <c r="C277" s="29"/>
      <c r="D277" s="29" t="s">
        <v>425</v>
      </c>
      <c r="E277" s="29">
        <v>8</v>
      </c>
      <c r="F277" s="38">
        <f>E277*2000</f>
        <v>16000</v>
      </c>
      <c r="G277" s="38">
        <f>E277*1000</f>
        <v>8000</v>
      </c>
      <c r="H277" s="38">
        <v>8000</v>
      </c>
    </row>
    <row r="278" spans="1:8" x14ac:dyDescent="0.25">
      <c r="A278" s="29"/>
      <c r="B278" s="29"/>
      <c r="C278" s="29"/>
      <c r="D278" s="29" t="s">
        <v>441</v>
      </c>
      <c r="E278" s="29">
        <v>7</v>
      </c>
      <c r="F278" s="38">
        <f>E278*3000</f>
        <v>21000</v>
      </c>
      <c r="G278" s="38">
        <f>E278*1500</f>
        <v>10500</v>
      </c>
      <c r="H278" s="38">
        <v>10500</v>
      </c>
    </row>
    <row r="279" spans="1:8" x14ac:dyDescent="0.25">
      <c r="A279" s="29"/>
      <c r="B279" s="29"/>
      <c r="C279" s="29"/>
      <c r="D279" s="29" t="s">
        <v>459</v>
      </c>
      <c r="E279" s="29">
        <v>10</v>
      </c>
      <c r="F279" s="38">
        <f>E279*5000</f>
        <v>50000</v>
      </c>
      <c r="G279" s="38">
        <f>E279*2500</f>
        <v>25000</v>
      </c>
      <c r="H279" s="38">
        <v>25000</v>
      </c>
    </row>
    <row r="280" spans="1:8" x14ac:dyDescent="0.25">
      <c r="A280" s="29"/>
      <c r="B280" s="29"/>
      <c r="C280" s="29"/>
      <c r="D280" s="29" t="s">
        <v>415</v>
      </c>
      <c r="E280" s="29">
        <v>9</v>
      </c>
      <c r="F280" s="38">
        <f>E280*3500</f>
        <v>31500</v>
      </c>
      <c r="G280" s="38">
        <f>E280*1500</f>
        <v>13500</v>
      </c>
      <c r="H280" s="38">
        <f>E280*2000</f>
        <v>18000</v>
      </c>
    </row>
    <row r="281" spans="1:8" x14ac:dyDescent="0.25">
      <c r="A281" s="29"/>
      <c r="B281" s="29"/>
      <c r="C281" s="29" t="s">
        <v>460</v>
      </c>
      <c r="D281" s="29" t="s">
        <v>441</v>
      </c>
      <c r="E281" s="29">
        <v>2</v>
      </c>
      <c r="F281" s="38">
        <f>E281*3000</f>
        <v>6000</v>
      </c>
      <c r="G281" s="38">
        <f>E281*1500</f>
        <v>3000</v>
      </c>
      <c r="H281" s="38">
        <f>E281*1500</f>
        <v>3000</v>
      </c>
    </row>
    <row r="282" spans="1:8" x14ac:dyDescent="0.25">
      <c r="A282" s="29"/>
      <c r="B282" s="29"/>
      <c r="C282" s="29"/>
      <c r="D282" s="29" t="s">
        <v>425</v>
      </c>
      <c r="E282" s="29">
        <v>2</v>
      </c>
      <c r="F282" s="38">
        <f>E282*2000</f>
        <v>4000</v>
      </c>
      <c r="G282" s="38">
        <v>2000</v>
      </c>
      <c r="H282" s="38">
        <v>2000</v>
      </c>
    </row>
    <row r="283" spans="1:8" x14ac:dyDescent="0.25">
      <c r="A283" s="29"/>
      <c r="B283" s="29"/>
      <c r="C283" s="29"/>
      <c r="D283" s="29" t="s">
        <v>13</v>
      </c>
      <c r="E283" s="29">
        <v>15</v>
      </c>
      <c r="F283" s="38">
        <f>E283*6500</f>
        <v>97500</v>
      </c>
      <c r="G283" s="38">
        <f>E283*4500</f>
        <v>67500</v>
      </c>
      <c r="H283" s="38">
        <f>E283*2000</f>
        <v>30000</v>
      </c>
    </row>
    <row r="284" spans="1:8" x14ac:dyDescent="0.25">
      <c r="A284" s="29"/>
      <c r="B284" s="29"/>
      <c r="C284" s="29"/>
      <c r="D284" s="29" t="s">
        <v>11</v>
      </c>
      <c r="E284" s="29">
        <v>75</v>
      </c>
      <c r="F284" s="38">
        <f>E284*1500</f>
        <v>112500</v>
      </c>
      <c r="G284" s="38">
        <f>E284*500</f>
        <v>37500</v>
      </c>
      <c r="H284" s="38">
        <v>75000</v>
      </c>
    </row>
    <row r="285" spans="1:8" x14ac:dyDescent="0.25">
      <c r="A285" s="29"/>
      <c r="B285" s="29"/>
      <c r="C285" s="29" t="s">
        <v>461</v>
      </c>
      <c r="D285" s="29" t="s">
        <v>425</v>
      </c>
      <c r="E285" s="29">
        <v>6</v>
      </c>
      <c r="F285" s="38">
        <f>E285*2000</f>
        <v>12000</v>
      </c>
      <c r="G285" s="38">
        <f>E285*1000</f>
        <v>6000</v>
      </c>
      <c r="H285" s="38">
        <v>6000</v>
      </c>
    </row>
    <row r="286" spans="1:8" x14ac:dyDescent="0.25">
      <c r="A286" s="29"/>
      <c r="B286" s="29"/>
      <c r="C286" s="29"/>
      <c r="D286" s="29" t="s">
        <v>415</v>
      </c>
      <c r="E286" s="29">
        <v>4</v>
      </c>
      <c r="F286" s="38">
        <f>E286*3500</f>
        <v>14000</v>
      </c>
      <c r="G286" s="38">
        <f>E286*1500</f>
        <v>6000</v>
      </c>
      <c r="H286" s="38">
        <f>E286*2000</f>
        <v>8000</v>
      </c>
    </row>
    <row r="287" spans="1:8" x14ac:dyDescent="0.25">
      <c r="A287" s="29"/>
      <c r="B287" s="29"/>
      <c r="C287" s="29"/>
      <c r="D287" s="29" t="s">
        <v>432</v>
      </c>
      <c r="E287" s="29">
        <v>3</v>
      </c>
      <c r="F287" s="38">
        <f>E287*5000</f>
        <v>15000</v>
      </c>
      <c r="G287" s="38">
        <f>E287*2500</f>
        <v>7500</v>
      </c>
      <c r="H287" s="38">
        <v>7500</v>
      </c>
    </row>
    <row r="288" spans="1:8" x14ac:dyDescent="0.25">
      <c r="A288" s="29"/>
      <c r="B288" s="29"/>
      <c r="C288" s="29"/>
      <c r="D288" s="29" t="s">
        <v>13</v>
      </c>
      <c r="E288" s="29">
        <v>4</v>
      </c>
      <c r="F288" s="38">
        <f>E288*6500</f>
        <v>26000</v>
      </c>
      <c r="G288" s="38">
        <f>E288*4500</f>
        <v>18000</v>
      </c>
      <c r="H288" s="38">
        <f>E288*2000</f>
        <v>8000</v>
      </c>
    </row>
    <row r="289" spans="1:8" x14ac:dyDescent="0.25">
      <c r="A289" s="125" t="s">
        <v>17</v>
      </c>
      <c r="B289" s="125"/>
      <c r="C289" s="125"/>
      <c r="D289" s="125"/>
      <c r="E289" s="17">
        <f>SUM(E265:E288)</f>
        <v>275</v>
      </c>
      <c r="F289" s="17">
        <f>SUM(F265:F288)</f>
        <v>1058500</v>
      </c>
      <c r="G289" s="17">
        <f>SUM(G265:G288)</f>
        <v>577000</v>
      </c>
      <c r="H289" s="17">
        <f>SUM(H265:H288)</f>
        <v>481500</v>
      </c>
    </row>
    <row r="290" spans="1:8" x14ac:dyDescent="0.25">
      <c r="A290" s="29"/>
      <c r="B290" s="29"/>
      <c r="C290" s="29" t="s">
        <v>16</v>
      </c>
      <c r="D290" s="29" t="s">
        <v>11</v>
      </c>
      <c r="E290" s="29">
        <v>80</v>
      </c>
      <c r="F290" s="38">
        <f>E290*1500</f>
        <v>120000</v>
      </c>
      <c r="G290" s="38">
        <f>E290*500</f>
        <v>40000</v>
      </c>
      <c r="H290" s="38">
        <v>80000</v>
      </c>
    </row>
    <row r="291" spans="1:8" x14ac:dyDescent="0.25">
      <c r="A291" s="29"/>
      <c r="B291" s="29"/>
      <c r="C291" s="29"/>
      <c r="D291" s="29" t="s">
        <v>12</v>
      </c>
      <c r="E291" s="29">
        <v>7</v>
      </c>
      <c r="F291" s="38">
        <f>E291*3000</f>
        <v>21000</v>
      </c>
      <c r="G291" s="38">
        <f>E291*2000</f>
        <v>14000</v>
      </c>
      <c r="H291" s="38">
        <v>7000</v>
      </c>
    </row>
    <row r="292" spans="1:8" x14ac:dyDescent="0.25">
      <c r="A292" s="29"/>
      <c r="B292" s="29"/>
      <c r="C292" s="29"/>
      <c r="D292" s="29" t="s">
        <v>13</v>
      </c>
      <c r="E292" s="29">
        <v>2</v>
      </c>
      <c r="F292" s="38">
        <f>E292*6500</f>
        <v>13000</v>
      </c>
      <c r="G292" s="38">
        <f>E292*4500</f>
        <v>9000</v>
      </c>
      <c r="H292" s="38">
        <f>E292*2000</f>
        <v>4000</v>
      </c>
    </row>
    <row r="293" spans="1:8" x14ac:dyDescent="0.25">
      <c r="A293" s="29"/>
      <c r="B293" s="29"/>
      <c r="C293" s="29"/>
      <c r="D293" s="29" t="s">
        <v>14</v>
      </c>
      <c r="E293" s="29">
        <v>1</v>
      </c>
      <c r="F293" s="38">
        <v>10000</v>
      </c>
      <c r="G293" s="38">
        <v>5500</v>
      </c>
      <c r="H293" s="38">
        <v>4500</v>
      </c>
    </row>
    <row r="294" spans="1:8" x14ac:dyDescent="0.25">
      <c r="A294" s="125" t="s">
        <v>17</v>
      </c>
      <c r="B294" s="125"/>
      <c r="C294" s="125"/>
      <c r="D294" s="125"/>
      <c r="E294" s="17">
        <f>SUM(E290:E293)</f>
        <v>90</v>
      </c>
      <c r="F294" s="17">
        <f>SUM(F290:F293)</f>
        <v>164000</v>
      </c>
      <c r="G294" s="17">
        <f>SUM(G290:G293)</f>
        <v>68500</v>
      </c>
      <c r="H294" s="17">
        <f>SUM(H290:H293)</f>
        <v>95500</v>
      </c>
    </row>
    <row r="295" spans="1:8" x14ac:dyDescent="0.25">
      <c r="A295" s="29" t="s">
        <v>30</v>
      </c>
      <c r="B295" s="29" t="s">
        <v>462</v>
      </c>
      <c r="C295" s="29" t="s">
        <v>16</v>
      </c>
      <c r="D295" s="29" t="s">
        <v>11</v>
      </c>
      <c r="E295" s="29">
        <v>59</v>
      </c>
      <c r="F295" s="38">
        <f>E295*1500</f>
        <v>88500</v>
      </c>
      <c r="G295" s="38">
        <f>E295*500</f>
        <v>29500</v>
      </c>
      <c r="H295" s="38">
        <v>59000</v>
      </c>
    </row>
    <row r="296" spans="1:8" x14ac:dyDescent="0.25">
      <c r="A296" s="29"/>
      <c r="B296" s="29"/>
      <c r="C296" s="29"/>
      <c r="D296" s="29" t="s">
        <v>12</v>
      </c>
      <c r="E296" s="29">
        <v>5</v>
      </c>
      <c r="F296" s="38">
        <f>E296*3000</f>
        <v>15000</v>
      </c>
      <c r="G296" s="38">
        <f>E296*2000</f>
        <v>10000</v>
      </c>
      <c r="H296" s="38">
        <v>5000</v>
      </c>
    </row>
    <row r="297" spans="1:8" x14ac:dyDescent="0.25">
      <c r="A297" s="29"/>
      <c r="B297" s="29"/>
      <c r="C297" s="29"/>
      <c r="D297" s="29" t="s">
        <v>13</v>
      </c>
      <c r="E297" s="29">
        <v>1</v>
      </c>
      <c r="F297" s="38">
        <v>6500</v>
      </c>
      <c r="G297" s="38">
        <v>4500</v>
      </c>
      <c r="H297" s="38">
        <v>2000</v>
      </c>
    </row>
    <row r="298" spans="1:8" x14ac:dyDescent="0.25">
      <c r="A298" s="29"/>
      <c r="B298" s="29"/>
      <c r="C298" s="29" t="s">
        <v>454</v>
      </c>
      <c r="D298" s="29" t="s">
        <v>13</v>
      </c>
      <c r="E298" s="29">
        <v>3</v>
      </c>
      <c r="F298" s="38">
        <f>E298*6500</f>
        <v>19500</v>
      </c>
      <c r="G298" s="38">
        <f>E298*4500</f>
        <v>13500</v>
      </c>
      <c r="H298" s="38">
        <f>E298*2000</f>
        <v>6000</v>
      </c>
    </row>
    <row r="299" spans="1:8" x14ac:dyDescent="0.25">
      <c r="A299" s="29"/>
      <c r="B299" s="29"/>
      <c r="C299" s="29"/>
      <c r="D299" s="29" t="s">
        <v>14</v>
      </c>
      <c r="E299" s="29">
        <v>3</v>
      </c>
      <c r="F299" s="38">
        <f>E299*10000</f>
        <v>30000</v>
      </c>
      <c r="G299" s="38">
        <f>E299*5500</f>
        <v>16500</v>
      </c>
      <c r="H299" s="38">
        <f>E299*4500</f>
        <v>13500</v>
      </c>
    </row>
    <row r="300" spans="1:8" x14ac:dyDescent="0.25">
      <c r="A300" s="125" t="s">
        <v>17</v>
      </c>
      <c r="B300" s="125"/>
      <c r="C300" s="125"/>
      <c r="D300" s="125"/>
      <c r="E300" s="17">
        <f>SUM(E295:E299)</f>
        <v>71</v>
      </c>
      <c r="F300" s="17">
        <f>SUM(F295:F299)</f>
        <v>159500</v>
      </c>
      <c r="G300" s="17">
        <f>SUM(G295:G299)</f>
        <v>74000</v>
      </c>
      <c r="H300" s="17">
        <f>SUM(H295:H299)</f>
        <v>85500</v>
      </c>
    </row>
    <row r="301" spans="1:8" x14ac:dyDescent="0.25">
      <c r="A301" s="29" t="s">
        <v>32</v>
      </c>
      <c r="B301" s="29" t="s">
        <v>463</v>
      </c>
      <c r="C301" s="29" t="s">
        <v>288</v>
      </c>
      <c r="D301" s="29" t="s">
        <v>11</v>
      </c>
      <c r="E301" s="29">
        <f>50-5</f>
        <v>45</v>
      </c>
      <c r="F301" s="38">
        <f>E301*1800</f>
        <v>81000</v>
      </c>
      <c r="G301" s="38">
        <f>E301*500</f>
        <v>22500</v>
      </c>
      <c r="H301" s="38">
        <f>E301*1300</f>
        <v>58500</v>
      </c>
    </row>
    <row r="302" spans="1:8" x14ac:dyDescent="0.25">
      <c r="A302" s="29"/>
      <c r="B302" s="29"/>
      <c r="C302" s="29" t="s">
        <v>106</v>
      </c>
      <c r="D302" s="29" t="s">
        <v>11</v>
      </c>
      <c r="E302" s="29">
        <v>16</v>
      </c>
      <c r="F302" s="38">
        <f>E302*1500</f>
        <v>24000</v>
      </c>
      <c r="G302" s="38">
        <f>E302*500</f>
        <v>8000</v>
      </c>
      <c r="H302" s="38">
        <v>16000</v>
      </c>
    </row>
    <row r="303" spans="1:8" x14ac:dyDescent="0.25">
      <c r="A303" s="29"/>
      <c r="B303" s="29"/>
      <c r="C303" s="29" t="s">
        <v>108</v>
      </c>
      <c r="D303" s="29" t="s">
        <v>11</v>
      </c>
      <c r="E303" s="29">
        <v>12</v>
      </c>
      <c r="F303" s="38">
        <f>E303*1500</f>
        <v>18000</v>
      </c>
      <c r="G303" s="38">
        <f>E303*500</f>
        <v>6000</v>
      </c>
      <c r="H303" s="38">
        <v>12000</v>
      </c>
    </row>
    <row r="304" spans="1:8" x14ac:dyDescent="0.25">
      <c r="A304" s="29"/>
      <c r="B304" s="29"/>
      <c r="C304" s="29" t="s">
        <v>16</v>
      </c>
      <c r="D304" s="29" t="s">
        <v>11</v>
      </c>
      <c r="E304" s="29">
        <v>56</v>
      </c>
      <c r="F304" s="38">
        <v>84000</v>
      </c>
      <c r="G304" s="38">
        <f>E304*500</f>
        <v>28000</v>
      </c>
      <c r="H304" s="38">
        <v>56000</v>
      </c>
    </row>
    <row r="305" spans="1:8" x14ac:dyDescent="0.25">
      <c r="A305" s="29"/>
      <c r="B305" s="29"/>
      <c r="C305" s="29"/>
      <c r="D305" s="29" t="s">
        <v>12</v>
      </c>
      <c r="E305" s="29">
        <v>3</v>
      </c>
      <c r="F305" s="38">
        <f>E305*3000</f>
        <v>9000</v>
      </c>
      <c r="G305" s="38">
        <f>E305*2000</f>
        <v>6000</v>
      </c>
      <c r="H305" s="38">
        <v>3000</v>
      </c>
    </row>
    <row r="306" spans="1:8" x14ac:dyDescent="0.25">
      <c r="A306" s="29"/>
      <c r="B306" s="29"/>
      <c r="C306" s="29"/>
      <c r="D306" s="29" t="s">
        <v>14</v>
      </c>
      <c r="E306" s="29">
        <v>1</v>
      </c>
      <c r="F306" s="38">
        <v>10000</v>
      </c>
      <c r="G306" s="38">
        <v>5500</v>
      </c>
      <c r="H306" s="38">
        <v>4500</v>
      </c>
    </row>
    <row r="307" spans="1:8" x14ac:dyDescent="0.25">
      <c r="A307" s="29"/>
      <c r="B307" s="29"/>
      <c r="C307" s="29" t="s">
        <v>217</v>
      </c>
      <c r="D307" s="29" t="s">
        <v>13</v>
      </c>
      <c r="E307" s="29">
        <v>9</v>
      </c>
      <c r="F307" s="38">
        <f>E307*6500</f>
        <v>58500</v>
      </c>
      <c r="G307" s="38">
        <f>E307*4500</f>
        <v>40500</v>
      </c>
      <c r="H307" s="38">
        <f>E307*2000</f>
        <v>18000</v>
      </c>
    </row>
    <row r="308" spans="1:8" x14ac:dyDescent="0.25">
      <c r="A308" s="29"/>
      <c r="B308" s="29"/>
      <c r="C308" s="29"/>
      <c r="D308" s="29" t="s">
        <v>14</v>
      </c>
      <c r="E308" s="29">
        <v>5</v>
      </c>
      <c r="F308" s="38">
        <f>E308*8000</f>
        <v>40000</v>
      </c>
      <c r="G308" s="38">
        <f>E308*5500</f>
        <v>27500</v>
      </c>
      <c r="H308" s="38">
        <f>E308*2500</f>
        <v>12500</v>
      </c>
    </row>
    <row r="309" spans="1:8" x14ac:dyDescent="0.25">
      <c r="A309" s="29"/>
      <c r="B309" s="29"/>
      <c r="C309" s="29"/>
      <c r="D309" s="29" t="s">
        <v>425</v>
      </c>
      <c r="E309" s="29">
        <v>3</v>
      </c>
      <c r="F309" s="38">
        <f>E309*2000</f>
        <v>6000</v>
      </c>
      <c r="G309" s="38">
        <v>3000</v>
      </c>
      <c r="H309" s="38">
        <v>3000</v>
      </c>
    </row>
    <row r="310" spans="1:8" x14ac:dyDescent="0.25">
      <c r="A310" s="29"/>
      <c r="B310" s="29"/>
      <c r="C310" s="29"/>
      <c r="D310" s="29" t="s">
        <v>424</v>
      </c>
      <c r="E310" s="29">
        <v>1</v>
      </c>
      <c r="F310" s="38">
        <v>5000</v>
      </c>
      <c r="G310" s="38">
        <v>2500</v>
      </c>
      <c r="H310" s="38">
        <v>2500</v>
      </c>
    </row>
    <row r="311" spans="1:8" x14ac:dyDescent="0.25">
      <c r="A311" s="29"/>
      <c r="B311" s="29"/>
      <c r="C311" s="29"/>
      <c r="D311" s="29" t="s">
        <v>415</v>
      </c>
      <c r="E311" s="29">
        <v>4</v>
      </c>
      <c r="F311" s="38">
        <f>E311*3500</f>
        <v>14000</v>
      </c>
      <c r="G311" s="38">
        <f>E311*1500</f>
        <v>6000</v>
      </c>
      <c r="H311" s="38">
        <v>8000</v>
      </c>
    </row>
    <row r="312" spans="1:8" x14ac:dyDescent="0.25">
      <c r="A312" s="125" t="s">
        <v>17</v>
      </c>
      <c r="B312" s="125"/>
      <c r="C312" s="125"/>
      <c r="D312" s="125"/>
      <c r="E312" s="17">
        <f>SUM(E301:E311)</f>
        <v>155</v>
      </c>
      <c r="F312" s="17">
        <f>SUM(F301:F311)</f>
        <v>349500</v>
      </c>
      <c r="G312" s="17">
        <f>SUM(G301:G311)</f>
        <v>155500</v>
      </c>
      <c r="H312" s="17">
        <f>SUM(H301:H311)</f>
        <v>194000</v>
      </c>
    </row>
    <row r="313" spans="1:8" x14ac:dyDescent="0.25">
      <c r="A313" s="29" t="s">
        <v>8</v>
      </c>
      <c r="B313" s="29" t="s">
        <v>464</v>
      </c>
      <c r="C313" s="29" t="s">
        <v>288</v>
      </c>
      <c r="D313" s="29" t="s">
        <v>11</v>
      </c>
      <c r="E313" s="29">
        <f>55-19</f>
        <v>36</v>
      </c>
      <c r="F313" s="38">
        <f>E313*1800</f>
        <v>64800</v>
      </c>
      <c r="G313" s="38">
        <f>E313*500</f>
        <v>18000</v>
      </c>
      <c r="H313" s="38">
        <f>E313*1300</f>
        <v>46800</v>
      </c>
    </row>
    <row r="314" spans="1:8" x14ac:dyDescent="0.25">
      <c r="A314" s="29"/>
      <c r="B314" s="29"/>
      <c r="C314" s="29" t="s">
        <v>106</v>
      </c>
      <c r="D314" s="29" t="s">
        <v>11</v>
      </c>
      <c r="E314" s="29">
        <v>17</v>
      </c>
      <c r="F314" s="38">
        <f>E314*1500</f>
        <v>25500</v>
      </c>
      <c r="G314" s="38">
        <f>E314*500</f>
        <v>8500</v>
      </c>
      <c r="H314" s="38">
        <v>17000</v>
      </c>
    </row>
    <row r="315" spans="1:8" x14ac:dyDescent="0.25">
      <c r="A315" s="29"/>
      <c r="B315" s="29"/>
      <c r="C315" s="29" t="s">
        <v>16</v>
      </c>
      <c r="D315" s="29" t="s">
        <v>11</v>
      </c>
      <c r="E315" s="29">
        <v>68</v>
      </c>
      <c r="F315" s="38">
        <f>E315*1500</f>
        <v>102000</v>
      </c>
      <c r="G315" s="38">
        <f>E315*500</f>
        <v>34000</v>
      </c>
      <c r="H315" s="38">
        <v>68000</v>
      </c>
    </row>
    <row r="316" spans="1:8" x14ac:dyDescent="0.25">
      <c r="A316" s="29"/>
      <c r="B316" s="29"/>
      <c r="C316" s="29"/>
      <c r="D316" s="29" t="s">
        <v>12</v>
      </c>
      <c r="E316" s="29">
        <v>4</v>
      </c>
      <c r="F316" s="38">
        <f>E316*3000</f>
        <v>12000</v>
      </c>
      <c r="G316" s="38">
        <f>E316*2000</f>
        <v>8000</v>
      </c>
      <c r="H316" s="38">
        <v>4000</v>
      </c>
    </row>
    <row r="317" spans="1:8" x14ac:dyDescent="0.25">
      <c r="A317" s="29"/>
      <c r="B317" s="29"/>
      <c r="C317" s="29" t="s">
        <v>217</v>
      </c>
      <c r="D317" s="29" t="s">
        <v>11</v>
      </c>
      <c r="E317" s="29">
        <v>9</v>
      </c>
      <c r="F317" s="38">
        <f>E317*1500</f>
        <v>13500</v>
      </c>
      <c r="G317" s="38">
        <f>E317*500</f>
        <v>4500</v>
      </c>
      <c r="H317" s="38">
        <v>9000</v>
      </c>
    </row>
    <row r="318" spans="1:8" x14ac:dyDescent="0.25">
      <c r="A318" s="29"/>
      <c r="B318" s="29"/>
      <c r="C318" s="29" t="s">
        <v>24</v>
      </c>
      <c r="D318" s="29" t="s">
        <v>243</v>
      </c>
      <c r="E318" s="29">
        <v>1</v>
      </c>
      <c r="F318" s="38">
        <v>15000</v>
      </c>
      <c r="G318" s="38">
        <v>10000</v>
      </c>
      <c r="H318" s="38">
        <v>5000</v>
      </c>
    </row>
    <row r="319" spans="1:8" x14ac:dyDescent="0.25">
      <c r="A319" s="125" t="s">
        <v>17</v>
      </c>
      <c r="B319" s="125"/>
      <c r="C319" s="125"/>
      <c r="D319" s="125"/>
      <c r="E319" s="17">
        <f>SUM(E313:E318)</f>
        <v>135</v>
      </c>
      <c r="F319" s="17">
        <f>SUM(F313:F318)</f>
        <v>232800</v>
      </c>
      <c r="G319" s="17">
        <f>SUM(G313:G318)</f>
        <v>83000</v>
      </c>
      <c r="H319" s="17">
        <f>SUM(H313:H318)</f>
        <v>149800</v>
      </c>
    </row>
    <row r="320" spans="1:8" x14ac:dyDescent="0.25">
      <c r="A320" s="29" t="s">
        <v>18</v>
      </c>
      <c r="B320" s="29" t="s">
        <v>465</v>
      </c>
      <c r="C320" s="29" t="s">
        <v>288</v>
      </c>
      <c r="D320" s="29" t="s">
        <v>11</v>
      </c>
      <c r="E320" s="29">
        <v>60</v>
      </c>
      <c r="F320" s="38">
        <f>E320*1800</f>
        <v>108000</v>
      </c>
      <c r="G320" s="38">
        <f>E320*500</f>
        <v>30000</v>
      </c>
      <c r="H320" s="38">
        <f>E320*1300</f>
        <v>78000</v>
      </c>
    </row>
    <row r="321" spans="1:8" x14ac:dyDescent="0.25">
      <c r="A321" s="29"/>
      <c r="B321" s="29"/>
      <c r="C321" s="29" t="s">
        <v>106</v>
      </c>
      <c r="D321" s="29" t="s">
        <v>11</v>
      </c>
      <c r="E321" s="29">
        <v>17</v>
      </c>
      <c r="F321" s="38">
        <f>E321*1500</f>
        <v>25500</v>
      </c>
      <c r="G321" s="38">
        <f>E321*500</f>
        <v>8500</v>
      </c>
      <c r="H321" s="38">
        <v>17000</v>
      </c>
    </row>
    <row r="322" spans="1:8" x14ac:dyDescent="0.25">
      <c r="A322" s="29"/>
      <c r="B322" s="29"/>
      <c r="C322" s="29" t="s">
        <v>108</v>
      </c>
      <c r="D322" s="29" t="s">
        <v>11</v>
      </c>
      <c r="E322" s="29">
        <f>25-11</f>
        <v>14</v>
      </c>
      <c r="F322" s="38">
        <f>E322*1500</f>
        <v>21000</v>
      </c>
      <c r="G322" s="38">
        <f>E322*500</f>
        <v>7000</v>
      </c>
      <c r="H322" s="38">
        <v>14000</v>
      </c>
    </row>
    <row r="323" spans="1:8" x14ac:dyDescent="0.25">
      <c r="A323" s="29"/>
      <c r="B323" s="29"/>
      <c r="C323" s="29" t="s">
        <v>16</v>
      </c>
      <c r="D323" s="29" t="s">
        <v>11</v>
      </c>
      <c r="E323" s="29">
        <v>57</v>
      </c>
      <c r="F323" s="38">
        <f>E323*1500</f>
        <v>85500</v>
      </c>
      <c r="G323" s="38">
        <f>E323*500</f>
        <v>28500</v>
      </c>
      <c r="H323" s="38">
        <v>57000</v>
      </c>
    </row>
    <row r="324" spans="1:8" x14ac:dyDescent="0.25">
      <c r="A324" s="29"/>
      <c r="B324" s="29"/>
      <c r="C324" s="29"/>
      <c r="D324" s="29" t="s">
        <v>12</v>
      </c>
      <c r="E324" s="29">
        <v>2</v>
      </c>
      <c r="F324" s="38">
        <f>E324*3000</f>
        <v>6000</v>
      </c>
      <c r="G324" s="38">
        <f>E324*2000</f>
        <v>4000</v>
      </c>
      <c r="H324" s="38">
        <v>2000</v>
      </c>
    </row>
    <row r="325" spans="1:8" x14ac:dyDescent="0.25">
      <c r="A325" s="29"/>
      <c r="B325" s="29"/>
      <c r="C325" s="29"/>
      <c r="D325" s="29" t="s">
        <v>13</v>
      </c>
      <c r="E325" s="29">
        <v>1</v>
      </c>
      <c r="F325" s="38">
        <v>6500</v>
      </c>
      <c r="G325" s="38">
        <v>4500</v>
      </c>
      <c r="H325" s="38">
        <v>2000</v>
      </c>
    </row>
    <row r="326" spans="1:8" x14ac:dyDescent="0.25">
      <c r="A326" s="29"/>
      <c r="B326" s="29"/>
      <c r="C326" s="29"/>
      <c r="D326" s="29" t="s">
        <v>243</v>
      </c>
      <c r="E326" s="29">
        <v>1</v>
      </c>
      <c r="F326" s="38">
        <v>13000</v>
      </c>
      <c r="G326" s="38">
        <v>10000</v>
      </c>
      <c r="H326" s="38">
        <v>3000</v>
      </c>
    </row>
    <row r="327" spans="1:8" x14ac:dyDescent="0.25">
      <c r="A327" s="29"/>
      <c r="B327" s="29"/>
      <c r="C327" s="29" t="s">
        <v>466</v>
      </c>
      <c r="D327" s="29" t="s">
        <v>13</v>
      </c>
      <c r="E327" s="29">
        <v>2</v>
      </c>
      <c r="F327" s="38">
        <f>E327*6500</f>
        <v>13000</v>
      </c>
      <c r="G327" s="38">
        <f>E327*4500</f>
        <v>9000</v>
      </c>
      <c r="H327" s="38">
        <f>E327*2000</f>
        <v>4000</v>
      </c>
    </row>
    <row r="328" spans="1:8" x14ac:dyDescent="0.25">
      <c r="A328" s="29"/>
      <c r="B328" s="29"/>
      <c r="C328" s="29"/>
      <c r="D328" s="29" t="s">
        <v>14</v>
      </c>
      <c r="E328" s="29">
        <v>5</v>
      </c>
      <c r="F328" s="38">
        <f>E328*10000</f>
        <v>50000</v>
      </c>
      <c r="G328" s="38">
        <f>E328*5500</f>
        <v>27500</v>
      </c>
      <c r="H328" s="38">
        <f>E328*4500</f>
        <v>22500</v>
      </c>
    </row>
    <row r="329" spans="1:8" x14ac:dyDescent="0.25">
      <c r="A329" s="125" t="s">
        <v>17</v>
      </c>
      <c r="B329" s="125"/>
      <c r="C329" s="125"/>
      <c r="D329" s="125"/>
      <c r="E329" s="17">
        <f>SUM(E320:E328)</f>
        <v>159</v>
      </c>
      <c r="F329" s="17">
        <f>SUM(F320:F328)</f>
        <v>328500</v>
      </c>
      <c r="G329" s="17">
        <f>SUM(G320:G328)</f>
        <v>129000</v>
      </c>
      <c r="H329" s="17">
        <f>SUM(H320:H328)</f>
        <v>199500</v>
      </c>
    </row>
    <row r="330" spans="1:8" x14ac:dyDescent="0.25">
      <c r="A330" s="29" t="s">
        <v>22</v>
      </c>
      <c r="B330" s="29" t="s">
        <v>467</v>
      </c>
      <c r="C330" s="29" t="s">
        <v>288</v>
      </c>
      <c r="D330" s="29" t="s">
        <v>11</v>
      </c>
      <c r="E330" s="29">
        <f>55-7</f>
        <v>48</v>
      </c>
      <c r="F330" s="38">
        <f>E330*1800</f>
        <v>86400</v>
      </c>
      <c r="G330" s="38">
        <f>E330*500</f>
        <v>24000</v>
      </c>
      <c r="H330" s="38">
        <f>E330*1300</f>
        <v>62400</v>
      </c>
    </row>
    <row r="331" spans="1:8" x14ac:dyDescent="0.25">
      <c r="A331" s="29"/>
      <c r="B331" s="29"/>
      <c r="C331" s="29" t="s">
        <v>106</v>
      </c>
      <c r="D331" s="29" t="s">
        <v>11</v>
      </c>
      <c r="E331" s="29">
        <v>17</v>
      </c>
      <c r="F331" s="38">
        <f>E331*1500</f>
        <v>25500</v>
      </c>
      <c r="G331" s="38">
        <f>E331*500</f>
        <v>8500</v>
      </c>
      <c r="H331" s="38">
        <f>E331*1000</f>
        <v>17000</v>
      </c>
    </row>
    <row r="332" spans="1:8" x14ac:dyDescent="0.25">
      <c r="A332" s="29"/>
      <c r="B332" s="29"/>
      <c r="C332" s="29" t="s">
        <v>292</v>
      </c>
      <c r="D332" s="29" t="s">
        <v>11</v>
      </c>
      <c r="E332" s="29">
        <v>9</v>
      </c>
      <c r="F332" s="38">
        <f>E332*1500</f>
        <v>13500</v>
      </c>
      <c r="G332" s="38">
        <f>E332*500</f>
        <v>4500</v>
      </c>
      <c r="H332" s="38">
        <v>9000</v>
      </c>
    </row>
    <row r="333" spans="1:8" x14ac:dyDescent="0.25">
      <c r="A333" s="29"/>
      <c r="B333" s="29"/>
      <c r="C333" s="29" t="s">
        <v>16</v>
      </c>
      <c r="D333" s="29" t="s">
        <v>11</v>
      </c>
      <c r="E333" s="29">
        <v>36</v>
      </c>
      <c r="F333" s="38">
        <f>E333*1500</f>
        <v>54000</v>
      </c>
      <c r="G333" s="38">
        <f>E333*500</f>
        <v>18000</v>
      </c>
      <c r="H333" s="38">
        <v>36000</v>
      </c>
    </row>
    <row r="334" spans="1:8" x14ac:dyDescent="0.25">
      <c r="A334" s="29"/>
      <c r="B334" s="29"/>
      <c r="C334" s="29" t="s">
        <v>217</v>
      </c>
      <c r="D334" s="29" t="s">
        <v>11</v>
      </c>
      <c r="E334" s="29">
        <v>17</v>
      </c>
      <c r="F334" s="38">
        <f>E334*1500</f>
        <v>25500</v>
      </c>
      <c r="G334" s="38">
        <f>E334*500</f>
        <v>8500</v>
      </c>
      <c r="H334" s="38">
        <v>17000</v>
      </c>
    </row>
    <row r="335" spans="1:8" x14ac:dyDescent="0.25">
      <c r="A335" s="29"/>
      <c r="B335" s="29"/>
      <c r="C335" s="29"/>
      <c r="D335" s="29" t="s">
        <v>404</v>
      </c>
      <c r="E335" s="29">
        <v>1</v>
      </c>
      <c r="F335" s="38">
        <v>2000</v>
      </c>
      <c r="G335" s="38">
        <v>1000</v>
      </c>
      <c r="H335" s="38">
        <v>1000</v>
      </c>
    </row>
    <row r="336" spans="1:8" x14ac:dyDescent="0.25">
      <c r="A336" s="29"/>
      <c r="B336" s="29"/>
      <c r="C336" s="29"/>
      <c r="D336" s="29" t="s">
        <v>448</v>
      </c>
      <c r="E336" s="29">
        <v>2</v>
      </c>
      <c r="F336" s="38">
        <f>E336*5000</f>
        <v>10000</v>
      </c>
      <c r="G336" s="38">
        <f>E336*2500</f>
        <v>5000</v>
      </c>
      <c r="H336" s="38">
        <v>5000</v>
      </c>
    </row>
    <row r="337" spans="1:8" x14ac:dyDescent="0.25">
      <c r="A337" s="125" t="s">
        <v>17</v>
      </c>
      <c r="B337" s="125"/>
      <c r="C337" s="125"/>
      <c r="D337" s="125"/>
      <c r="E337" s="17">
        <f>SUM(E330:E336)</f>
        <v>130</v>
      </c>
      <c r="F337" s="17">
        <f>SUM(F330:F336)</f>
        <v>216900</v>
      </c>
      <c r="G337" s="17">
        <f>SUM(G330:G336)</f>
        <v>69500</v>
      </c>
      <c r="H337" s="17">
        <f>SUM(H330:H336)</f>
        <v>147400</v>
      </c>
    </row>
    <row r="338" spans="1:8" x14ac:dyDescent="0.25">
      <c r="A338" s="29" t="s">
        <v>26</v>
      </c>
      <c r="B338" s="29" t="s">
        <v>468</v>
      </c>
      <c r="C338" s="29" t="s">
        <v>81</v>
      </c>
      <c r="D338" s="29" t="s">
        <v>11</v>
      </c>
      <c r="E338" s="29">
        <v>75</v>
      </c>
      <c r="F338" s="38">
        <f>E338*1800</f>
        <v>135000</v>
      </c>
      <c r="G338" s="38">
        <f>E338*500</f>
        <v>37500</v>
      </c>
      <c r="H338" s="38">
        <f>E338*1300</f>
        <v>97500</v>
      </c>
    </row>
    <row r="339" spans="1:8" x14ac:dyDescent="0.25">
      <c r="A339" s="29"/>
      <c r="B339" s="29"/>
      <c r="C339" s="29"/>
      <c r="D339" s="29"/>
      <c r="E339" s="29">
        <v>75</v>
      </c>
      <c r="F339" s="38">
        <f>E339*1800</f>
        <v>135000</v>
      </c>
      <c r="G339" s="38">
        <f t="shared" ref="G339:G347" si="17">E339*500</f>
        <v>37500</v>
      </c>
      <c r="H339" s="38">
        <f>E339*1300</f>
        <v>97500</v>
      </c>
    </row>
    <row r="340" spans="1:8" x14ac:dyDescent="0.25">
      <c r="A340" s="29"/>
      <c r="B340" s="29"/>
      <c r="C340" s="29"/>
      <c r="D340" s="29"/>
      <c r="E340" s="29">
        <v>75</v>
      </c>
      <c r="F340" s="38">
        <f>E340*1800</f>
        <v>135000</v>
      </c>
      <c r="G340" s="38">
        <f t="shared" si="17"/>
        <v>37500</v>
      </c>
      <c r="H340" s="38">
        <f>E340*1300</f>
        <v>97500</v>
      </c>
    </row>
    <row r="341" spans="1:8" x14ac:dyDescent="0.25">
      <c r="A341" s="29"/>
      <c r="B341" s="29"/>
      <c r="C341" s="29"/>
      <c r="D341" s="29"/>
      <c r="E341" s="29">
        <v>75</v>
      </c>
      <c r="F341" s="38">
        <f>E341*1800</f>
        <v>135000</v>
      </c>
      <c r="G341" s="38">
        <f t="shared" si="17"/>
        <v>37500</v>
      </c>
      <c r="H341" s="38">
        <f>E341*1300</f>
        <v>97500</v>
      </c>
    </row>
    <row r="342" spans="1:8" x14ac:dyDescent="0.25">
      <c r="A342" s="29"/>
      <c r="B342" s="29"/>
      <c r="C342" s="29" t="s">
        <v>376</v>
      </c>
      <c r="D342" s="29" t="s">
        <v>11</v>
      </c>
      <c r="E342" s="29">
        <v>78</v>
      </c>
      <c r="F342" s="38">
        <f t="shared" ref="F342:F347" si="18">E342*1500</f>
        <v>117000</v>
      </c>
      <c r="G342" s="38">
        <f t="shared" si="17"/>
        <v>39000</v>
      </c>
      <c r="H342" s="38">
        <f t="shared" ref="H342:H348" si="19">E342*1000</f>
        <v>78000</v>
      </c>
    </row>
    <row r="343" spans="1:8" x14ac:dyDescent="0.25">
      <c r="A343" s="29"/>
      <c r="B343" s="29"/>
      <c r="C343" s="29"/>
      <c r="D343" s="29"/>
      <c r="E343" s="29">
        <v>106</v>
      </c>
      <c r="F343" s="38">
        <f t="shared" si="18"/>
        <v>159000</v>
      </c>
      <c r="G343" s="38">
        <f t="shared" si="17"/>
        <v>53000</v>
      </c>
      <c r="H343" s="38">
        <f t="shared" si="19"/>
        <v>106000</v>
      </c>
    </row>
    <row r="344" spans="1:8" x14ac:dyDescent="0.25">
      <c r="A344" s="29"/>
      <c r="B344" s="29"/>
      <c r="C344" s="29"/>
      <c r="D344" s="29"/>
      <c r="E344" s="29">
        <v>91</v>
      </c>
      <c r="F344" s="38">
        <f t="shared" si="18"/>
        <v>136500</v>
      </c>
      <c r="G344" s="38">
        <f t="shared" si="17"/>
        <v>45500</v>
      </c>
      <c r="H344" s="38">
        <f t="shared" si="19"/>
        <v>91000</v>
      </c>
    </row>
    <row r="345" spans="1:8" x14ac:dyDescent="0.25">
      <c r="A345" s="29"/>
      <c r="B345" s="29"/>
      <c r="C345" s="29"/>
      <c r="D345" s="29"/>
      <c r="E345" s="29">
        <v>67</v>
      </c>
      <c r="F345" s="38">
        <f t="shared" si="18"/>
        <v>100500</v>
      </c>
      <c r="G345" s="38">
        <f t="shared" si="17"/>
        <v>33500</v>
      </c>
      <c r="H345" s="38">
        <f t="shared" si="19"/>
        <v>67000</v>
      </c>
    </row>
    <row r="346" spans="1:8" x14ac:dyDescent="0.25">
      <c r="A346" s="29"/>
      <c r="B346" s="29"/>
      <c r="C346" s="29"/>
      <c r="D346" s="29"/>
      <c r="E346" s="29">
        <v>48</v>
      </c>
      <c r="F346" s="38">
        <f t="shared" si="18"/>
        <v>72000</v>
      </c>
      <c r="G346" s="38">
        <f t="shared" si="17"/>
        <v>24000</v>
      </c>
      <c r="H346" s="38">
        <f t="shared" si="19"/>
        <v>48000</v>
      </c>
    </row>
    <row r="347" spans="1:8" x14ac:dyDescent="0.25">
      <c r="A347" s="29"/>
      <c r="B347" s="29"/>
      <c r="C347" s="29" t="s">
        <v>16</v>
      </c>
      <c r="D347" s="29" t="s">
        <v>11</v>
      </c>
      <c r="E347" s="29">
        <v>56</v>
      </c>
      <c r="F347" s="38">
        <f t="shared" si="18"/>
        <v>84000</v>
      </c>
      <c r="G347" s="38">
        <f t="shared" si="17"/>
        <v>28000</v>
      </c>
      <c r="H347" s="38">
        <f t="shared" si="19"/>
        <v>56000</v>
      </c>
    </row>
    <row r="348" spans="1:8" x14ac:dyDescent="0.25">
      <c r="A348" s="29"/>
      <c r="B348" s="29"/>
      <c r="C348" s="29"/>
      <c r="D348" s="29" t="s">
        <v>12</v>
      </c>
      <c r="E348" s="29">
        <v>1</v>
      </c>
      <c r="F348" s="38">
        <v>3000</v>
      </c>
      <c r="G348" s="38">
        <v>2000</v>
      </c>
      <c r="H348" s="38">
        <f t="shared" si="19"/>
        <v>1000</v>
      </c>
    </row>
    <row r="349" spans="1:8" x14ac:dyDescent="0.25">
      <c r="A349" s="125" t="s">
        <v>17</v>
      </c>
      <c r="B349" s="125"/>
      <c r="C349" s="125"/>
      <c r="D349" s="125"/>
      <c r="E349" s="17">
        <f>SUM(E338:E348)</f>
        <v>747</v>
      </c>
      <c r="F349" s="17">
        <f>SUM(F338:F348)</f>
        <v>1212000</v>
      </c>
      <c r="G349" s="17">
        <f>SUM(G338:G348)</f>
        <v>375000</v>
      </c>
      <c r="H349" s="17">
        <f>SUM(H338:H348)</f>
        <v>837000</v>
      </c>
    </row>
    <row r="350" spans="1:8" x14ac:dyDescent="0.25">
      <c r="A350" s="29" t="s">
        <v>28</v>
      </c>
      <c r="B350" s="29" t="s">
        <v>469</v>
      </c>
      <c r="C350" s="29" t="s">
        <v>217</v>
      </c>
      <c r="D350" s="29" t="s">
        <v>425</v>
      </c>
      <c r="E350" s="29">
        <v>3</v>
      </c>
      <c r="F350" s="38">
        <f>E350*2000</f>
        <v>6000</v>
      </c>
      <c r="G350" s="38">
        <f>E350*1000</f>
        <v>3000</v>
      </c>
      <c r="H350" s="38">
        <v>3000</v>
      </c>
    </row>
    <row r="351" spans="1:8" x14ac:dyDescent="0.25">
      <c r="A351" s="29"/>
      <c r="B351" s="29"/>
      <c r="C351" s="29"/>
      <c r="D351" s="29" t="s">
        <v>415</v>
      </c>
      <c r="E351" s="29">
        <v>1</v>
      </c>
      <c r="F351" s="38">
        <v>3500</v>
      </c>
      <c r="G351" s="38">
        <v>1500</v>
      </c>
      <c r="H351" s="38">
        <v>2000</v>
      </c>
    </row>
    <row r="352" spans="1:8" x14ac:dyDescent="0.25">
      <c r="A352" s="29"/>
      <c r="B352" s="29"/>
      <c r="C352" s="29"/>
      <c r="D352" s="29" t="s">
        <v>13</v>
      </c>
      <c r="E352" s="29">
        <v>16</v>
      </c>
      <c r="F352" s="38">
        <f>E352*6500</f>
        <v>104000</v>
      </c>
      <c r="G352" s="38">
        <f>E352*4500</f>
        <v>72000</v>
      </c>
      <c r="H352" s="38">
        <f>E352*2000</f>
        <v>32000</v>
      </c>
    </row>
    <row r="353" spans="1:9" x14ac:dyDescent="0.25">
      <c r="A353" s="29"/>
      <c r="B353" s="29"/>
      <c r="C353" s="29"/>
      <c r="D353" s="29" t="s">
        <v>14</v>
      </c>
      <c r="E353" s="29">
        <v>7</v>
      </c>
      <c r="F353" s="38">
        <f>E353*8000</f>
        <v>56000</v>
      </c>
      <c r="G353" s="38">
        <f>E353*5500</f>
        <v>38500</v>
      </c>
      <c r="H353" s="38">
        <f>E353*2500</f>
        <v>17500</v>
      </c>
    </row>
    <row r="354" spans="1:9" x14ac:dyDescent="0.25">
      <c r="A354" s="29"/>
      <c r="B354" s="29"/>
      <c r="C354" s="29"/>
      <c r="D354" s="29" t="s">
        <v>11</v>
      </c>
      <c r="E354" s="29">
        <v>25</v>
      </c>
      <c r="F354" s="38">
        <f>E354*1500</f>
        <v>37500</v>
      </c>
      <c r="G354" s="38">
        <f>E354*500</f>
        <v>12500</v>
      </c>
      <c r="H354" s="38">
        <v>25000</v>
      </c>
    </row>
    <row r="355" spans="1:9" x14ac:dyDescent="0.25">
      <c r="A355" s="29"/>
      <c r="B355" s="29"/>
      <c r="C355" s="29" t="s">
        <v>20</v>
      </c>
      <c r="D355" s="29" t="s">
        <v>11</v>
      </c>
      <c r="E355" s="29">
        <v>15</v>
      </c>
      <c r="F355" s="38">
        <f>E355*1500</f>
        <v>22500</v>
      </c>
      <c r="G355" s="38">
        <f>E355*500</f>
        <v>7500</v>
      </c>
      <c r="H355" s="38">
        <v>15000</v>
      </c>
    </row>
    <row r="356" spans="1:9" x14ac:dyDescent="0.25">
      <c r="A356" s="29"/>
      <c r="B356" s="29"/>
      <c r="C356" s="29"/>
      <c r="D356" s="29" t="s">
        <v>13</v>
      </c>
      <c r="E356" s="29">
        <v>17</v>
      </c>
      <c r="F356" s="38">
        <f>E356*6500</f>
        <v>110500</v>
      </c>
      <c r="G356" s="38">
        <f>E356*4500</f>
        <v>76500</v>
      </c>
      <c r="H356" s="38">
        <f>E356*2000</f>
        <v>34000</v>
      </c>
    </row>
    <row r="357" spans="1:9" x14ac:dyDescent="0.25">
      <c r="A357" s="29"/>
      <c r="B357" s="29"/>
      <c r="C357" s="29"/>
      <c r="D357" s="29" t="s">
        <v>14</v>
      </c>
      <c r="E357" s="29">
        <v>24</v>
      </c>
      <c r="F357" s="38">
        <f>E357*10000</f>
        <v>240000</v>
      </c>
      <c r="G357" s="38">
        <f>E357*5500</f>
        <v>132000</v>
      </c>
      <c r="H357" s="38">
        <f>E357*4500</f>
        <v>108000</v>
      </c>
    </row>
    <row r="358" spans="1:9" x14ac:dyDescent="0.25">
      <c r="A358" s="29"/>
      <c r="B358" s="29"/>
      <c r="C358" s="29"/>
      <c r="D358" s="29" t="s">
        <v>425</v>
      </c>
      <c r="E358" s="29">
        <v>10</v>
      </c>
      <c r="F358" s="38">
        <f>E358*2000</f>
        <v>20000</v>
      </c>
      <c r="G358" s="38">
        <v>10000</v>
      </c>
      <c r="H358" s="38">
        <v>10000</v>
      </c>
    </row>
    <row r="359" spans="1:9" x14ac:dyDescent="0.25">
      <c r="A359" s="29"/>
      <c r="B359" s="29"/>
      <c r="C359" s="29"/>
      <c r="D359" s="29" t="s">
        <v>415</v>
      </c>
      <c r="E359" s="29">
        <v>11</v>
      </c>
      <c r="F359" s="38">
        <f>E359*3500</f>
        <v>38500</v>
      </c>
      <c r="G359" s="38">
        <f>E359*1500</f>
        <v>16500</v>
      </c>
      <c r="H359" s="38">
        <f>E359*2000</f>
        <v>22000</v>
      </c>
    </row>
    <row r="360" spans="1:9" x14ac:dyDescent="0.25">
      <c r="A360" s="29"/>
      <c r="B360" s="29"/>
      <c r="C360" s="29"/>
      <c r="D360" s="29" t="s">
        <v>424</v>
      </c>
      <c r="E360" s="29">
        <v>3</v>
      </c>
      <c r="F360" s="38">
        <f>E360*5000</f>
        <v>15000</v>
      </c>
      <c r="G360" s="38">
        <v>7500</v>
      </c>
      <c r="H360" s="38">
        <v>7500</v>
      </c>
    </row>
    <row r="361" spans="1:9" x14ac:dyDescent="0.25">
      <c r="A361" s="29"/>
      <c r="B361" s="29"/>
      <c r="C361" s="29"/>
      <c r="D361" s="29" t="s">
        <v>448</v>
      </c>
      <c r="E361" s="29">
        <v>4</v>
      </c>
      <c r="F361" s="38">
        <f>E361*5000</f>
        <v>20000</v>
      </c>
      <c r="G361" s="38">
        <v>10000</v>
      </c>
      <c r="H361" s="38">
        <v>10000</v>
      </c>
    </row>
    <row r="362" spans="1:9" x14ac:dyDescent="0.25">
      <c r="A362" s="125" t="s">
        <v>17</v>
      </c>
      <c r="B362" s="125"/>
      <c r="C362" s="125"/>
      <c r="D362" s="125"/>
      <c r="E362" s="17">
        <f>SUM(E350:E361)</f>
        <v>136</v>
      </c>
      <c r="F362" s="17">
        <f>SUM(F350:F361)</f>
        <v>673500</v>
      </c>
      <c r="G362" s="17">
        <f>SUM(G350:G361)</f>
        <v>387500</v>
      </c>
      <c r="H362" s="17">
        <f>SUM(H350:H361)</f>
        <v>286000</v>
      </c>
    </row>
    <row r="363" spans="1:9" x14ac:dyDescent="0.25">
      <c r="A363" s="29"/>
      <c r="B363" s="29"/>
      <c r="C363" s="29" t="s">
        <v>16</v>
      </c>
      <c r="D363" s="29" t="s">
        <v>11</v>
      </c>
      <c r="E363" s="29">
        <v>70</v>
      </c>
      <c r="F363" s="38">
        <f>E363*1500</f>
        <v>105000</v>
      </c>
      <c r="G363" s="38">
        <f>E363*500</f>
        <v>35000</v>
      </c>
      <c r="H363" s="38">
        <f>E363*1000</f>
        <v>70000</v>
      </c>
    </row>
    <row r="364" spans="1:9" x14ac:dyDescent="0.25">
      <c r="A364" s="29"/>
      <c r="B364" s="29"/>
      <c r="C364" s="29"/>
      <c r="D364" s="29" t="s">
        <v>12</v>
      </c>
      <c r="E364" s="29">
        <v>3</v>
      </c>
      <c r="F364" s="38">
        <f>E364*3000</f>
        <v>9000</v>
      </c>
      <c r="G364" s="38">
        <f>E364*2000</f>
        <v>6000</v>
      </c>
      <c r="H364" s="38">
        <v>3000</v>
      </c>
    </row>
    <row r="365" spans="1:9" x14ac:dyDescent="0.25">
      <c r="A365" s="29"/>
      <c r="B365" s="29"/>
      <c r="C365" s="29"/>
      <c r="D365" s="29" t="s">
        <v>14</v>
      </c>
      <c r="E365" s="29">
        <v>1</v>
      </c>
      <c r="F365" s="38">
        <v>10000</v>
      </c>
      <c r="G365" s="38">
        <v>5500</v>
      </c>
      <c r="H365" s="38">
        <v>4500</v>
      </c>
      <c r="I365" s="4"/>
    </row>
    <row r="366" spans="1:9" x14ac:dyDescent="0.25">
      <c r="A366" s="29"/>
      <c r="B366" s="29"/>
      <c r="C366" s="29" t="s">
        <v>373</v>
      </c>
      <c r="D366" s="29" t="s">
        <v>243</v>
      </c>
      <c r="E366" s="29">
        <v>2</v>
      </c>
      <c r="F366" s="38">
        <f>E366*13000</f>
        <v>26000</v>
      </c>
      <c r="G366" s="38">
        <f>E366*10000</f>
        <v>20000</v>
      </c>
      <c r="H366" s="38">
        <f>E366*3000</f>
        <v>6000</v>
      </c>
    </row>
    <row r="367" spans="1:9" x14ac:dyDescent="0.25">
      <c r="A367" s="125" t="s">
        <v>17</v>
      </c>
      <c r="B367" s="125"/>
      <c r="C367" s="125"/>
      <c r="D367" s="125"/>
      <c r="E367" s="17">
        <f>SUM(E363:E366)</f>
        <v>76</v>
      </c>
      <c r="F367" s="17">
        <f>SUM(F363:F366)</f>
        <v>150000</v>
      </c>
      <c r="G367" s="17">
        <f>SUM(G363:G366)</f>
        <v>66500</v>
      </c>
      <c r="H367" s="17">
        <f>SUM(H363:H366)</f>
        <v>83500</v>
      </c>
    </row>
    <row r="368" spans="1:9" x14ac:dyDescent="0.25">
      <c r="A368" s="29" t="s">
        <v>30</v>
      </c>
      <c r="B368" s="29" t="s">
        <v>470</v>
      </c>
      <c r="C368" s="29" t="s">
        <v>288</v>
      </c>
      <c r="D368" s="29" t="s">
        <v>11</v>
      </c>
      <c r="E368" s="29">
        <f>42-5</f>
        <v>37</v>
      </c>
      <c r="F368" s="38">
        <f>E368*1800</f>
        <v>66600</v>
      </c>
      <c r="G368" s="38">
        <f>E368*500</f>
        <v>18500</v>
      </c>
      <c r="H368" s="38">
        <f>E368*1300</f>
        <v>48100</v>
      </c>
    </row>
    <row r="369" spans="1:8" x14ac:dyDescent="0.25">
      <c r="A369" s="29"/>
      <c r="B369" s="29"/>
      <c r="C369" s="29" t="s">
        <v>106</v>
      </c>
      <c r="D369" s="29" t="s">
        <v>11</v>
      </c>
      <c r="E369" s="29">
        <v>16</v>
      </c>
      <c r="F369" s="38">
        <f>E369*1500</f>
        <v>24000</v>
      </c>
      <c r="G369" s="38">
        <f>E369*500</f>
        <v>8000</v>
      </c>
      <c r="H369" s="38">
        <f>E369*1000</f>
        <v>16000</v>
      </c>
    </row>
    <row r="370" spans="1:8" x14ac:dyDescent="0.25">
      <c r="A370" s="29"/>
      <c r="B370" s="29"/>
      <c r="C370" s="29" t="s">
        <v>16</v>
      </c>
      <c r="D370" s="29" t="s">
        <v>11</v>
      </c>
      <c r="E370" s="29">
        <v>69</v>
      </c>
      <c r="F370" s="38">
        <f>E370*1500</f>
        <v>103500</v>
      </c>
      <c r="G370" s="38">
        <f>E370*500</f>
        <v>34500</v>
      </c>
      <c r="H370" s="38">
        <v>69000</v>
      </c>
    </row>
    <row r="371" spans="1:8" x14ac:dyDescent="0.25">
      <c r="A371" s="29"/>
      <c r="B371" s="29"/>
      <c r="C371" s="29"/>
      <c r="D371" s="29" t="s">
        <v>12</v>
      </c>
      <c r="E371" s="29">
        <v>2</v>
      </c>
      <c r="F371" s="38">
        <f>E371*3000</f>
        <v>6000</v>
      </c>
      <c r="G371" s="38">
        <v>4000</v>
      </c>
      <c r="H371" s="38">
        <v>2000</v>
      </c>
    </row>
    <row r="372" spans="1:8" x14ac:dyDescent="0.25">
      <c r="A372" s="29"/>
      <c r="B372" s="29"/>
      <c r="C372" s="29"/>
      <c r="D372" s="29" t="s">
        <v>243</v>
      </c>
      <c r="E372" s="29">
        <v>1</v>
      </c>
      <c r="F372" s="38">
        <v>15000</v>
      </c>
      <c r="G372" s="38">
        <v>10000</v>
      </c>
      <c r="H372" s="38">
        <v>5000</v>
      </c>
    </row>
    <row r="373" spans="1:8" x14ac:dyDescent="0.25">
      <c r="A373" s="125" t="s">
        <v>17</v>
      </c>
      <c r="B373" s="125"/>
      <c r="C373" s="125"/>
      <c r="D373" s="125"/>
      <c r="E373" s="17">
        <f>SUM(E368:E372)</f>
        <v>125</v>
      </c>
      <c r="F373" s="17">
        <f>SUM(F368:F372)</f>
        <v>215100</v>
      </c>
      <c r="G373" s="17">
        <f>SUM(G368:G372)</f>
        <v>75000</v>
      </c>
      <c r="H373" s="17">
        <f>SUM(H368:H372)</f>
        <v>140100</v>
      </c>
    </row>
    <row r="374" spans="1:8" x14ac:dyDescent="0.25">
      <c r="A374" s="29" t="s">
        <v>32</v>
      </c>
      <c r="B374" s="29" t="s">
        <v>471</v>
      </c>
      <c r="C374" s="29" t="s">
        <v>288</v>
      </c>
      <c r="D374" s="29" t="s">
        <v>11</v>
      </c>
      <c r="E374" s="29">
        <f>60-11</f>
        <v>49</v>
      </c>
      <c r="F374" s="38">
        <f>E374*1800</f>
        <v>88200</v>
      </c>
      <c r="G374" s="38">
        <f>E374*500</f>
        <v>24500</v>
      </c>
      <c r="H374" s="38">
        <f>E374*1300</f>
        <v>63700</v>
      </c>
    </row>
    <row r="375" spans="1:8" x14ac:dyDescent="0.25">
      <c r="A375" s="29"/>
      <c r="B375" s="29"/>
      <c r="C375" s="29" t="s">
        <v>106</v>
      </c>
      <c r="D375" s="29" t="s">
        <v>11</v>
      </c>
      <c r="E375" s="29">
        <v>12</v>
      </c>
      <c r="F375" s="38">
        <f>E375*1500</f>
        <v>18000</v>
      </c>
      <c r="G375" s="38">
        <f>E375*500</f>
        <v>6000</v>
      </c>
      <c r="H375" s="38">
        <v>12000</v>
      </c>
    </row>
    <row r="376" spans="1:8" x14ac:dyDescent="0.25">
      <c r="A376" s="29"/>
      <c r="B376" s="29"/>
      <c r="C376" s="29" t="s">
        <v>108</v>
      </c>
      <c r="D376" s="29" t="s">
        <v>11</v>
      </c>
      <c r="E376" s="29">
        <v>25</v>
      </c>
      <c r="F376" s="38">
        <f>E376*1500</f>
        <v>37500</v>
      </c>
      <c r="G376" s="38">
        <f>E376*500</f>
        <v>12500</v>
      </c>
      <c r="H376" s="38">
        <v>25000</v>
      </c>
    </row>
    <row r="377" spans="1:8" x14ac:dyDescent="0.25">
      <c r="A377" s="29"/>
      <c r="B377" s="29"/>
      <c r="C377" s="29" t="s">
        <v>16</v>
      </c>
      <c r="D377" s="29" t="s">
        <v>11</v>
      </c>
      <c r="E377" s="29">
        <v>39</v>
      </c>
      <c r="F377" s="38">
        <f>E377*1500</f>
        <v>58500</v>
      </c>
      <c r="G377" s="38">
        <f>E377*500</f>
        <v>19500</v>
      </c>
      <c r="H377" s="38">
        <v>39000</v>
      </c>
    </row>
    <row r="378" spans="1:8" x14ac:dyDescent="0.25">
      <c r="A378" s="125" t="s">
        <v>17</v>
      </c>
      <c r="B378" s="125"/>
      <c r="C378" s="125"/>
      <c r="D378" s="125"/>
      <c r="E378" s="17">
        <f>SUM(E374:E377)</f>
        <v>125</v>
      </c>
      <c r="F378" s="17">
        <f>SUM(F374:F377)</f>
        <v>202200</v>
      </c>
      <c r="G378" s="17">
        <f>SUM(G374:G377)</f>
        <v>62500</v>
      </c>
      <c r="H378" s="17">
        <f>SUM(H374:H377)</f>
        <v>139700</v>
      </c>
    </row>
    <row r="379" spans="1:8" x14ac:dyDescent="0.25">
      <c r="A379" s="29"/>
      <c r="B379" s="29"/>
      <c r="C379" s="29"/>
      <c r="D379" s="29"/>
      <c r="E379" s="29"/>
      <c r="F379" s="38"/>
      <c r="G379" s="38"/>
      <c r="H379" s="38"/>
    </row>
    <row r="380" spans="1:8" x14ac:dyDescent="0.25">
      <c r="A380" s="29"/>
      <c r="B380" s="29"/>
      <c r="C380" s="29"/>
      <c r="D380" s="29"/>
      <c r="E380" s="29"/>
      <c r="F380" s="38"/>
      <c r="G380" s="38"/>
      <c r="H380" s="38"/>
    </row>
    <row r="381" spans="1:8" x14ac:dyDescent="0.25">
      <c r="A381" s="29"/>
      <c r="B381" s="29"/>
      <c r="C381" s="29"/>
      <c r="D381" s="29"/>
      <c r="E381" s="29"/>
      <c r="F381" s="38"/>
      <c r="G381" s="38"/>
      <c r="H381" s="38"/>
    </row>
    <row r="382" spans="1:8" x14ac:dyDescent="0.25">
      <c r="F382" s="4"/>
      <c r="G382" s="4"/>
      <c r="H382" s="4"/>
    </row>
    <row r="383" spans="1:8" x14ac:dyDescent="0.25">
      <c r="F383" s="4"/>
      <c r="G383" s="4"/>
      <c r="H383" s="4"/>
    </row>
    <row r="384" spans="1:8" x14ac:dyDescent="0.25">
      <c r="F384" s="4"/>
      <c r="G384" s="4"/>
      <c r="H384" s="4"/>
    </row>
    <row r="385" spans="5:8" x14ac:dyDescent="0.25">
      <c r="F385" s="4"/>
      <c r="G385" s="4"/>
      <c r="H385" s="4"/>
    </row>
    <row r="386" spans="5:8" x14ac:dyDescent="0.25">
      <c r="F386" s="4"/>
      <c r="G386" s="4"/>
      <c r="H386" s="4"/>
    </row>
    <row r="387" spans="5:8" x14ac:dyDescent="0.25">
      <c r="E387">
        <f>SUM(E12+E13+E35+E48+E50+E60+E69+E70+E86+E98+E99+E148+E168+E193+E199+E279+E200+E287+E310+E336+E360+E361)</f>
        <v>60</v>
      </c>
      <c r="F387" s="4"/>
      <c r="G387" s="4"/>
      <c r="H387" s="4"/>
    </row>
    <row r="388" spans="5:8" x14ac:dyDescent="0.25">
      <c r="F388" s="4"/>
      <c r="G388" s="4"/>
      <c r="H388" s="4"/>
    </row>
    <row r="389" spans="5:8" x14ac:dyDescent="0.25">
      <c r="F389" s="4"/>
      <c r="G389" s="4"/>
      <c r="H389" s="4"/>
    </row>
    <row r="390" spans="5:8" x14ac:dyDescent="0.25">
      <c r="F390" s="4"/>
      <c r="G390" s="4"/>
      <c r="H390" s="4"/>
    </row>
    <row r="391" spans="5:8" x14ac:dyDescent="0.25">
      <c r="F391" s="4"/>
      <c r="G391" s="4"/>
      <c r="H391" s="4"/>
    </row>
    <row r="392" spans="5:8" x14ac:dyDescent="0.25">
      <c r="F392" s="4"/>
      <c r="G392" s="4"/>
      <c r="H392" s="4"/>
    </row>
    <row r="393" spans="5:8" x14ac:dyDescent="0.25">
      <c r="F393" s="4"/>
      <c r="G393" s="4"/>
      <c r="H393" s="4"/>
    </row>
    <row r="394" spans="5:8" x14ac:dyDescent="0.25">
      <c r="F394" s="4"/>
      <c r="G394" s="4"/>
      <c r="H394" s="4"/>
    </row>
    <row r="395" spans="5:8" x14ac:dyDescent="0.25">
      <c r="F395" s="4"/>
      <c r="G395" s="4"/>
      <c r="H395" s="4"/>
    </row>
    <row r="396" spans="5:8" x14ac:dyDescent="0.25">
      <c r="F396" s="4"/>
      <c r="G396" s="4"/>
      <c r="H396" s="4"/>
    </row>
    <row r="397" spans="5:8" x14ac:dyDescent="0.25">
      <c r="F397" s="4"/>
      <c r="G397" s="4"/>
      <c r="H397" s="4"/>
    </row>
    <row r="398" spans="5:8" x14ac:dyDescent="0.25">
      <c r="F398" s="4"/>
      <c r="G398" s="4"/>
      <c r="H398" s="4"/>
    </row>
    <row r="399" spans="5:8" x14ac:dyDescent="0.25">
      <c r="F399" s="4"/>
      <c r="G399" s="4"/>
      <c r="H399" s="4"/>
    </row>
    <row r="400" spans="5:8" x14ac:dyDescent="0.25">
      <c r="F400" s="4"/>
      <c r="G400" s="4"/>
      <c r="H400" s="4"/>
    </row>
    <row r="401" spans="6:8" x14ac:dyDescent="0.25">
      <c r="F401" s="4"/>
      <c r="G401" s="4"/>
      <c r="H401" s="4"/>
    </row>
    <row r="402" spans="6:8" x14ac:dyDescent="0.25">
      <c r="F402" s="4"/>
      <c r="G402" s="4"/>
      <c r="H402" s="4"/>
    </row>
    <row r="403" spans="6:8" x14ac:dyDescent="0.25">
      <c r="F403" s="4"/>
      <c r="G403" s="4"/>
      <c r="H403" s="4"/>
    </row>
    <row r="404" spans="6:8" x14ac:dyDescent="0.25">
      <c r="F404" s="4"/>
      <c r="G404" s="4"/>
      <c r="H404" s="4"/>
    </row>
    <row r="405" spans="6:8" x14ac:dyDescent="0.25">
      <c r="F405" s="4"/>
      <c r="G405" s="4"/>
      <c r="H405" s="4"/>
    </row>
    <row r="406" spans="6:8" x14ac:dyDescent="0.25">
      <c r="F406" s="4"/>
      <c r="G406" s="4"/>
      <c r="H406" s="4"/>
    </row>
    <row r="407" spans="6:8" x14ac:dyDescent="0.25">
      <c r="F407" s="4"/>
      <c r="G407" s="4"/>
      <c r="H407" s="4"/>
    </row>
    <row r="408" spans="6:8" x14ac:dyDescent="0.25">
      <c r="F408" s="4"/>
      <c r="G408" s="4"/>
      <c r="H408" s="4"/>
    </row>
    <row r="409" spans="6:8" x14ac:dyDescent="0.25">
      <c r="F409" s="4"/>
      <c r="G409" s="4"/>
      <c r="H409" s="4"/>
    </row>
    <row r="410" spans="6:8" x14ac:dyDescent="0.25">
      <c r="F410" s="4"/>
      <c r="G410" s="4"/>
      <c r="H410" s="4"/>
    </row>
    <row r="411" spans="6:8" x14ac:dyDescent="0.25">
      <c r="F411" s="4"/>
      <c r="G411" s="4"/>
      <c r="H411" s="4"/>
    </row>
    <row r="412" spans="6:8" x14ac:dyDescent="0.25">
      <c r="F412" s="4"/>
      <c r="G412" s="4"/>
      <c r="H412" s="4"/>
    </row>
    <row r="413" spans="6:8" x14ac:dyDescent="0.25">
      <c r="F413" s="4"/>
      <c r="G413" s="4"/>
      <c r="H413" s="4"/>
    </row>
    <row r="414" spans="6:8" x14ac:dyDescent="0.25">
      <c r="F414" s="4"/>
      <c r="G414" s="4"/>
      <c r="H414" s="4"/>
    </row>
    <row r="415" spans="6:8" x14ac:dyDescent="0.25">
      <c r="F415" s="4"/>
      <c r="G415" s="4"/>
      <c r="H415" s="4"/>
    </row>
    <row r="416" spans="6:8" x14ac:dyDescent="0.25">
      <c r="F416" s="4"/>
      <c r="G416" s="4"/>
      <c r="H416" s="4"/>
    </row>
    <row r="417" spans="6:8" x14ac:dyDescent="0.25">
      <c r="F417" s="4"/>
      <c r="G417" s="4"/>
      <c r="H417" s="4"/>
    </row>
    <row r="418" spans="6:8" x14ac:dyDescent="0.25">
      <c r="F418" s="4"/>
      <c r="G418" s="4"/>
      <c r="H418" s="4"/>
    </row>
    <row r="419" spans="6:8" x14ac:dyDescent="0.25">
      <c r="F419" s="4"/>
      <c r="G419" s="4"/>
      <c r="H419" s="4"/>
    </row>
    <row r="420" spans="6:8" x14ac:dyDescent="0.25">
      <c r="F420" s="4"/>
      <c r="G420" s="4"/>
      <c r="H420" s="4"/>
    </row>
    <row r="421" spans="6:8" x14ac:dyDescent="0.25">
      <c r="F421" s="4"/>
      <c r="G421" s="4"/>
      <c r="H421" s="4"/>
    </row>
    <row r="422" spans="6:8" x14ac:dyDescent="0.25">
      <c r="F422" s="4"/>
      <c r="G422" s="4"/>
      <c r="H422" s="4"/>
    </row>
    <row r="423" spans="6:8" x14ac:dyDescent="0.25">
      <c r="F423" s="4"/>
      <c r="G423" s="4"/>
      <c r="H423" s="4"/>
    </row>
    <row r="424" spans="6:8" x14ac:dyDescent="0.25">
      <c r="F424" s="4"/>
      <c r="G424" s="4"/>
      <c r="H424" s="4"/>
    </row>
    <row r="425" spans="6:8" x14ac:dyDescent="0.25">
      <c r="F425" s="4"/>
      <c r="G425" s="4"/>
      <c r="H425" s="4"/>
    </row>
    <row r="426" spans="6:8" x14ac:dyDescent="0.25">
      <c r="F426" s="4"/>
      <c r="G426" s="4"/>
      <c r="H426" s="4"/>
    </row>
    <row r="427" spans="6:8" x14ac:dyDescent="0.25">
      <c r="F427" s="4"/>
      <c r="G427" s="4"/>
      <c r="H427" s="4"/>
    </row>
    <row r="428" spans="6:8" x14ac:dyDescent="0.25">
      <c r="F428" s="4"/>
      <c r="G428" s="4"/>
      <c r="H428" s="4"/>
    </row>
    <row r="429" spans="6:8" x14ac:dyDescent="0.25">
      <c r="F429" s="4"/>
      <c r="G429" s="4"/>
      <c r="H429" s="4"/>
    </row>
    <row r="430" spans="6:8" x14ac:dyDescent="0.25">
      <c r="F430" s="4"/>
      <c r="G430" s="4"/>
      <c r="H430" s="4"/>
    </row>
    <row r="431" spans="6:8" x14ac:dyDescent="0.25">
      <c r="F431" s="4"/>
      <c r="G431" s="4"/>
      <c r="H431" s="4"/>
    </row>
    <row r="432" spans="6:8" x14ac:dyDescent="0.25">
      <c r="F432" s="4"/>
      <c r="G432" s="4"/>
      <c r="H432" s="4"/>
    </row>
    <row r="433" spans="6:8" x14ac:dyDescent="0.25">
      <c r="F433" s="4"/>
      <c r="G433" s="4"/>
      <c r="H433" s="4"/>
    </row>
    <row r="434" spans="6:8" x14ac:dyDescent="0.25">
      <c r="F434" s="4"/>
      <c r="G434" s="4"/>
      <c r="H434" s="4"/>
    </row>
    <row r="435" spans="6:8" x14ac:dyDescent="0.25">
      <c r="F435" s="4"/>
      <c r="G435" s="4"/>
      <c r="H435" s="4"/>
    </row>
    <row r="436" spans="6:8" x14ac:dyDescent="0.25">
      <c r="F436" s="4"/>
      <c r="G436" s="4"/>
      <c r="H436" s="4"/>
    </row>
    <row r="437" spans="6:8" x14ac:dyDescent="0.25">
      <c r="F437" s="4"/>
      <c r="G437" s="4"/>
      <c r="H437" s="4"/>
    </row>
    <row r="438" spans="6:8" x14ac:dyDescent="0.25">
      <c r="F438" s="4"/>
      <c r="G438" s="4"/>
      <c r="H438" s="4"/>
    </row>
    <row r="439" spans="6:8" x14ac:dyDescent="0.25">
      <c r="F439" s="4"/>
      <c r="G439" s="4"/>
      <c r="H439" s="4"/>
    </row>
    <row r="440" spans="6:8" x14ac:dyDescent="0.25">
      <c r="F440" s="4"/>
      <c r="G440" s="4"/>
      <c r="H440" s="4"/>
    </row>
    <row r="441" spans="6:8" x14ac:dyDescent="0.25">
      <c r="F441" s="4"/>
      <c r="G441" s="4"/>
      <c r="H441" s="4"/>
    </row>
    <row r="442" spans="6:8" x14ac:dyDescent="0.25">
      <c r="F442" s="4"/>
      <c r="G442" s="4"/>
      <c r="H442" s="4"/>
    </row>
    <row r="443" spans="6:8" x14ac:dyDescent="0.25">
      <c r="F443" s="4"/>
      <c r="G443" s="4"/>
      <c r="H443" s="4"/>
    </row>
    <row r="444" spans="6:8" x14ac:dyDescent="0.25">
      <c r="F444" s="4"/>
      <c r="G444" s="4"/>
      <c r="H444" s="4"/>
    </row>
    <row r="445" spans="6:8" x14ac:dyDescent="0.25">
      <c r="F445" s="4"/>
      <c r="G445" s="4"/>
      <c r="H445" s="4"/>
    </row>
    <row r="446" spans="6:8" x14ac:dyDescent="0.25">
      <c r="F446" s="4"/>
      <c r="G446" s="4"/>
      <c r="H446" s="4"/>
    </row>
    <row r="447" spans="6:8" x14ac:dyDescent="0.25">
      <c r="F447" s="4"/>
      <c r="G447" s="4"/>
      <c r="H447" s="4"/>
    </row>
    <row r="448" spans="6:8" x14ac:dyDescent="0.25">
      <c r="F448" s="4"/>
      <c r="G448" s="4"/>
      <c r="H448" s="4"/>
    </row>
    <row r="449" spans="6:8" x14ac:dyDescent="0.25">
      <c r="F449" s="4"/>
      <c r="G449" s="4"/>
      <c r="H449" s="4"/>
    </row>
    <row r="450" spans="6:8" x14ac:dyDescent="0.25">
      <c r="F450" s="4"/>
      <c r="G450" s="4"/>
      <c r="H450" s="4"/>
    </row>
    <row r="451" spans="6:8" x14ac:dyDescent="0.25">
      <c r="F451" s="4"/>
      <c r="G451" s="4"/>
      <c r="H451" s="4"/>
    </row>
    <row r="452" spans="6:8" x14ac:dyDescent="0.25">
      <c r="F452" s="4"/>
      <c r="G452" s="4"/>
      <c r="H452" s="4"/>
    </row>
    <row r="453" spans="6:8" x14ac:dyDescent="0.25">
      <c r="F453" s="4"/>
      <c r="G453" s="4"/>
      <c r="H453" s="4"/>
    </row>
    <row r="454" spans="6:8" x14ac:dyDescent="0.25">
      <c r="F454" s="4"/>
      <c r="G454" s="4"/>
      <c r="H454" s="4"/>
    </row>
    <row r="455" spans="6:8" x14ac:dyDescent="0.25">
      <c r="F455" s="4"/>
      <c r="G455" s="4"/>
      <c r="H455" s="4"/>
    </row>
    <row r="456" spans="6:8" x14ac:dyDescent="0.25">
      <c r="F456" s="4"/>
      <c r="G456" s="4"/>
      <c r="H456" s="4"/>
    </row>
    <row r="457" spans="6:8" x14ac:dyDescent="0.25">
      <c r="F457" s="4"/>
      <c r="G457" s="4"/>
      <c r="H457" s="4"/>
    </row>
    <row r="458" spans="6:8" x14ac:dyDescent="0.25">
      <c r="F458" s="4"/>
      <c r="G458" s="4"/>
      <c r="H458" s="4"/>
    </row>
    <row r="459" spans="6:8" x14ac:dyDescent="0.25">
      <c r="F459" s="4"/>
      <c r="G459" s="4"/>
      <c r="H459" s="4"/>
    </row>
    <row r="460" spans="6:8" x14ac:dyDescent="0.25">
      <c r="F460" s="4"/>
      <c r="G460" s="4"/>
      <c r="H460" s="4"/>
    </row>
    <row r="461" spans="6:8" x14ac:dyDescent="0.25">
      <c r="F461" s="4"/>
      <c r="G461" s="4"/>
      <c r="H461" s="4"/>
    </row>
    <row r="462" spans="6:8" x14ac:dyDescent="0.25">
      <c r="F462" s="4"/>
      <c r="G462" s="4"/>
      <c r="H462" s="4"/>
    </row>
    <row r="463" spans="6:8" x14ac:dyDescent="0.25">
      <c r="F463" s="4"/>
      <c r="G463" s="4"/>
      <c r="H463" s="4"/>
    </row>
    <row r="464" spans="6:8" x14ac:dyDescent="0.25">
      <c r="F464" s="4"/>
      <c r="G464" s="4"/>
      <c r="H464" s="4"/>
    </row>
    <row r="465" spans="6:8" x14ac:dyDescent="0.25">
      <c r="F465" s="4"/>
      <c r="G465" s="4"/>
      <c r="H465" s="4"/>
    </row>
    <row r="466" spans="6:8" x14ac:dyDescent="0.25">
      <c r="F466" s="4"/>
      <c r="G466" s="4"/>
      <c r="H466" s="4"/>
    </row>
    <row r="467" spans="6:8" x14ac:dyDescent="0.25">
      <c r="F467" s="4"/>
      <c r="G467" s="4"/>
      <c r="H467" s="4"/>
    </row>
    <row r="468" spans="6:8" x14ac:dyDescent="0.25">
      <c r="F468" s="4"/>
      <c r="G468" s="4"/>
      <c r="H468" s="4"/>
    </row>
    <row r="469" spans="6:8" x14ac:dyDescent="0.25">
      <c r="F469" s="4"/>
      <c r="G469" s="4"/>
      <c r="H469" s="4"/>
    </row>
    <row r="470" spans="6:8" x14ac:dyDescent="0.25">
      <c r="F470" s="4"/>
      <c r="G470" s="4"/>
      <c r="H470" s="4"/>
    </row>
    <row r="471" spans="6:8" x14ac:dyDescent="0.25">
      <c r="F471" s="4"/>
      <c r="G471" s="4"/>
      <c r="H471" s="4"/>
    </row>
    <row r="472" spans="6:8" x14ac:dyDescent="0.25">
      <c r="F472" s="4"/>
      <c r="G472" s="4"/>
      <c r="H472" s="4"/>
    </row>
    <row r="473" spans="6:8" x14ac:dyDescent="0.25">
      <c r="F473" s="4"/>
      <c r="G473" s="4"/>
      <c r="H473" s="4"/>
    </row>
    <row r="474" spans="6:8" x14ac:dyDescent="0.25">
      <c r="F474" s="4"/>
      <c r="G474" s="4"/>
      <c r="H474" s="4"/>
    </row>
    <row r="475" spans="6:8" x14ac:dyDescent="0.25">
      <c r="F475" s="4"/>
      <c r="G475" s="4"/>
      <c r="H475" s="4"/>
    </row>
    <row r="476" spans="6:8" x14ac:dyDescent="0.25">
      <c r="F476" s="4"/>
      <c r="G476" s="4"/>
      <c r="H476" s="4"/>
    </row>
    <row r="477" spans="6:8" x14ac:dyDescent="0.25">
      <c r="F477" s="4"/>
      <c r="G477" s="4"/>
      <c r="H477" s="4"/>
    </row>
    <row r="478" spans="6:8" x14ac:dyDescent="0.25">
      <c r="F478" s="4"/>
      <c r="G478" s="4"/>
      <c r="H478" s="4"/>
    </row>
    <row r="479" spans="6:8" x14ac:dyDescent="0.25">
      <c r="F479" s="4"/>
      <c r="G479" s="4"/>
      <c r="H479" s="4"/>
    </row>
    <row r="480" spans="6:8" x14ac:dyDescent="0.25">
      <c r="F480" s="4"/>
      <c r="G480" s="4"/>
      <c r="H480" s="4"/>
    </row>
    <row r="481" spans="6:8" x14ac:dyDescent="0.25">
      <c r="F481" s="4"/>
      <c r="G481" s="4"/>
      <c r="H481" s="4"/>
    </row>
    <row r="482" spans="6:8" x14ac:dyDescent="0.25">
      <c r="F482" s="4"/>
      <c r="G482" s="4"/>
      <c r="H482" s="4"/>
    </row>
    <row r="483" spans="6:8" x14ac:dyDescent="0.25">
      <c r="F483" s="4"/>
      <c r="G483" s="4"/>
      <c r="H483" s="4"/>
    </row>
    <row r="484" spans="6:8" x14ac:dyDescent="0.25">
      <c r="F484" s="4"/>
      <c r="G484" s="4"/>
      <c r="H484" s="4"/>
    </row>
    <row r="485" spans="6:8" x14ac:dyDescent="0.25">
      <c r="F485" s="4"/>
      <c r="G485" s="4"/>
      <c r="H485" s="4"/>
    </row>
    <row r="486" spans="6:8" x14ac:dyDescent="0.25">
      <c r="F486" s="4"/>
      <c r="G486" s="4"/>
      <c r="H486" s="4"/>
    </row>
    <row r="487" spans="6:8" x14ac:dyDescent="0.25">
      <c r="F487" s="4"/>
      <c r="G487" s="4"/>
      <c r="H487" s="4"/>
    </row>
    <row r="488" spans="6:8" x14ac:dyDescent="0.25">
      <c r="F488" s="4"/>
      <c r="G488" s="4"/>
      <c r="H488" s="4"/>
    </row>
    <row r="489" spans="6:8" x14ac:dyDescent="0.25">
      <c r="F489" s="4"/>
      <c r="G489" s="4"/>
      <c r="H489" s="4"/>
    </row>
    <row r="490" spans="6:8" x14ac:dyDescent="0.25">
      <c r="F490" s="4"/>
      <c r="G490" s="4"/>
      <c r="H490" s="4"/>
    </row>
    <row r="491" spans="6:8" x14ac:dyDescent="0.25">
      <c r="F491" s="4"/>
      <c r="G491" s="4"/>
      <c r="H491" s="4"/>
    </row>
    <row r="492" spans="6:8" x14ac:dyDescent="0.25">
      <c r="F492" s="4"/>
      <c r="G492" s="4"/>
      <c r="H492" s="4"/>
    </row>
    <row r="493" spans="6:8" x14ac:dyDescent="0.25">
      <c r="F493" s="4"/>
      <c r="G493" s="4"/>
      <c r="H493" s="4"/>
    </row>
    <row r="494" spans="6:8" x14ac:dyDescent="0.25">
      <c r="F494" s="4"/>
      <c r="G494" s="4"/>
      <c r="H494" s="4"/>
    </row>
    <row r="495" spans="6:8" x14ac:dyDescent="0.25">
      <c r="F495" s="4"/>
      <c r="G495" s="4"/>
      <c r="H495" s="4"/>
    </row>
    <row r="496" spans="6:8" x14ac:dyDescent="0.25">
      <c r="F496" s="4"/>
      <c r="G496" s="4"/>
      <c r="H496" s="4"/>
    </row>
    <row r="497" spans="6:8" x14ac:dyDescent="0.25">
      <c r="F497" s="4"/>
      <c r="G497" s="4"/>
      <c r="H497" s="4"/>
    </row>
    <row r="498" spans="6:8" x14ac:dyDescent="0.25">
      <c r="F498" s="4"/>
      <c r="G498" s="4"/>
      <c r="H498" s="4"/>
    </row>
    <row r="499" spans="6:8" x14ac:dyDescent="0.25">
      <c r="F499" s="4"/>
      <c r="G499" s="4"/>
      <c r="H499" s="4"/>
    </row>
    <row r="500" spans="6:8" x14ac:dyDescent="0.25">
      <c r="F500" s="4"/>
      <c r="G500" s="4"/>
      <c r="H500" s="4"/>
    </row>
    <row r="501" spans="6:8" x14ac:dyDescent="0.25">
      <c r="F501" s="4"/>
      <c r="G501" s="4"/>
      <c r="H501" s="4"/>
    </row>
    <row r="502" spans="6:8" x14ac:dyDescent="0.25">
      <c r="F502" s="4"/>
      <c r="G502" s="4"/>
      <c r="H502" s="4"/>
    </row>
    <row r="503" spans="6:8" x14ac:dyDescent="0.25">
      <c r="F503" s="4"/>
      <c r="G503" s="4"/>
      <c r="H503" s="4"/>
    </row>
    <row r="504" spans="6:8" x14ac:dyDescent="0.25">
      <c r="F504" s="4"/>
      <c r="G504" s="4"/>
      <c r="H504" s="4"/>
    </row>
    <row r="505" spans="6:8" x14ac:dyDescent="0.25">
      <c r="F505" s="4"/>
      <c r="G505" s="4"/>
      <c r="H505" s="4"/>
    </row>
    <row r="506" spans="6:8" x14ac:dyDescent="0.25">
      <c r="F506" s="4"/>
      <c r="G506" s="4"/>
      <c r="H506" s="4"/>
    </row>
    <row r="507" spans="6:8" x14ac:dyDescent="0.25">
      <c r="F507" s="4"/>
      <c r="G507" s="4"/>
      <c r="H507" s="4"/>
    </row>
    <row r="508" spans="6:8" x14ac:dyDescent="0.25">
      <c r="F508" s="4"/>
      <c r="G508" s="4"/>
      <c r="H508" s="4"/>
    </row>
    <row r="509" spans="6:8" x14ac:dyDescent="0.25">
      <c r="F509" s="4"/>
      <c r="G509" s="4"/>
      <c r="H509" s="4"/>
    </row>
    <row r="510" spans="6:8" x14ac:dyDescent="0.25">
      <c r="F510" s="4"/>
      <c r="G510" s="4"/>
      <c r="H510" s="4"/>
    </row>
    <row r="511" spans="6:8" x14ac:dyDescent="0.25">
      <c r="F511" s="4"/>
      <c r="G511" s="4"/>
      <c r="H511" s="4"/>
    </row>
    <row r="512" spans="6:8" x14ac:dyDescent="0.25">
      <c r="F512" s="4"/>
      <c r="G512" s="4"/>
      <c r="H512" s="4"/>
    </row>
    <row r="513" spans="6:8" x14ac:dyDescent="0.25">
      <c r="F513" s="4"/>
      <c r="G513" s="4"/>
      <c r="H513" s="4"/>
    </row>
    <row r="514" spans="6:8" x14ac:dyDescent="0.25">
      <c r="F514" s="4"/>
      <c r="G514" s="4"/>
      <c r="H514" s="4"/>
    </row>
    <row r="515" spans="6:8" x14ac:dyDescent="0.25">
      <c r="F515" s="4"/>
      <c r="G515" s="4"/>
      <c r="H515" s="4"/>
    </row>
    <row r="516" spans="6:8" x14ac:dyDescent="0.25">
      <c r="F516" s="4"/>
      <c r="G516" s="4"/>
      <c r="H516" s="4"/>
    </row>
    <row r="517" spans="6:8" x14ac:dyDescent="0.25">
      <c r="F517" s="4"/>
      <c r="G517" s="4"/>
      <c r="H517" s="4"/>
    </row>
    <row r="518" spans="6:8" x14ac:dyDescent="0.25">
      <c r="F518" s="4"/>
      <c r="G518" s="4"/>
      <c r="H518" s="4"/>
    </row>
    <row r="519" spans="6:8" x14ac:dyDescent="0.25">
      <c r="F519" s="4"/>
      <c r="G519" s="4"/>
      <c r="H519" s="4"/>
    </row>
    <row r="520" spans="6:8" x14ac:dyDescent="0.25">
      <c r="F520" s="4"/>
      <c r="G520" s="4"/>
      <c r="H520" s="4"/>
    </row>
    <row r="521" spans="6:8" x14ac:dyDescent="0.25">
      <c r="F521" s="4"/>
      <c r="G521" s="4"/>
      <c r="H521" s="4"/>
    </row>
    <row r="522" spans="6:8" x14ac:dyDescent="0.25">
      <c r="F522" s="4"/>
      <c r="G522" s="4"/>
      <c r="H522" s="4"/>
    </row>
    <row r="523" spans="6:8" x14ac:dyDescent="0.25">
      <c r="F523" s="4"/>
      <c r="G523" s="4"/>
      <c r="H523" s="4"/>
    </row>
    <row r="524" spans="6:8" x14ac:dyDescent="0.25">
      <c r="F524" s="4"/>
      <c r="G524" s="4"/>
      <c r="H524" s="4"/>
    </row>
    <row r="525" spans="6:8" x14ac:dyDescent="0.25">
      <c r="F525" s="4"/>
      <c r="G525" s="4"/>
      <c r="H525" s="4"/>
    </row>
    <row r="526" spans="6:8" x14ac:dyDescent="0.25">
      <c r="F526" s="4"/>
      <c r="G526" s="4"/>
      <c r="H526" s="4"/>
    </row>
    <row r="527" spans="6:8" x14ac:dyDescent="0.25">
      <c r="F527" s="4"/>
      <c r="G527" s="4"/>
      <c r="H527" s="4"/>
    </row>
    <row r="528" spans="6:8" x14ac:dyDescent="0.25">
      <c r="F528" s="4"/>
      <c r="G528" s="4"/>
      <c r="H528" s="4"/>
    </row>
    <row r="529" spans="6:8" x14ac:dyDescent="0.25">
      <c r="F529" s="4"/>
      <c r="G529" s="4"/>
      <c r="H529" s="4"/>
    </row>
    <row r="530" spans="6:8" x14ac:dyDescent="0.25">
      <c r="F530" s="4"/>
      <c r="G530" s="4"/>
      <c r="H530" s="4"/>
    </row>
    <row r="531" spans="6:8" x14ac:dyDescent="0.25">
      <c r="F531" s="4"/>
      <c r="G531" s="4"/>
      <c r="H531" s="4"/>
    </row>
    <row r="532" spans="6:8" x14ac:dyDescent="0.25">
      <c r="F532" s="4"/>
      <c r="G532" s="4"/>
      <c r="H532" s="4"/>
    </row>
    <row r="533" spans="6:8" x14ac:dyDescent="0.25">
      <c r="F533" s="4"/>
      <c r="G533" s="4"/>
      <c r="H533" s="4"/>
    </row>
    <row r="534" spans="6:8" x14ac:dyDescent="0.25">
      <c r="F534" s="4"/>
      <c r="G534" s="4"/>
      <c r="H534" s="4"/>
    </row>
    <row r="535" spans="6:8" x14ac:dyDescent="0.25">
      <c r="F535" s="4"/>
      <c r="G535" s="4"/>
      <c r="H535" s="4"/>
    </row>
    <row r="536" spans="6:8" x14ac:dyDescent="0.25">
      <c r="F536" s="4"/>
      <c r="G536" s="4"/>
      <c r="H536" s="4"/>
    </row>
    <row r="537" spans="6:8" x14ac:dyDescent="0.25">
      <c r="F537" s="4"/>
      <c r="G537" s="4"/>
      <c r="H537" s="4"/>
    </row>
    <row r="538" spans="6:8" x14ac:dyDescent="0.25">
      <c r="F538" s="4"/>
      <c r="G538" s="4"/>
      <c r="H538" s="4"/>
    </row>
    <row r="539" spans="6:8" x14ac:dyDescent="0.25">
      <c r="F539" s="4"/>
      <c r="G539" s="4"/>
      <c r="H539" s="4"/>
    </row>
    <row r="540" spans="6:8" x14ac:dyDescent="0.25">
      <c r="F540" s="4"/>
      <c r="G540" s="4"/>
      <c r="H540" s="4"/>
    </row>
    <row r="541" spans="6:8" x14ac:dyDescent="0.25">
      <c r="F541" s="4"/>
      <c r="G541" s="4"/>
      <c r="H541" s="4"/>
    </row>
    <row r="542" spans="6:8" x14ac:dyDescent="0.25">
      <c r="F542" s="4"/>
      <c r="G542" s="4"/>
      <c r="H542" s="4"/>
    </row>
    <row r="543" spans="6:8" x14ac:dyDescent="0.25">
      <c r="F543" s="4"/>
      <c r="G543" s="4"/>
      <c r="H543" s="4"/>
    </row>
    <row r="544" spans="6:8" x14ac:dyDescent="0.25">
      <c r="F544" s="4"/>
      <c r="G544" s="4"/>
      <c r="H544" s="4"/>
    </row>
    <row r="545" spans="6:8" x14ac:dyDescent="0.25">
      <c r="F545" s="4"/>
      <c r="G545" s="4"/>
      <c r="H545" s="4"/>
    </row>
    <row r="546" spans="6:8" x14ac:dyDescent="0.25">
      <c r="F546" s="4"/>
      <c r="G546" s="4"/>
      <c r="H546" s="4"/>
    </row>
    <row r="547" spans="6:8" x14ac:dyDescent="0.25">
      <c r="F547" s="4"/>
      <c r="G547" s="4"/>
      <c r="H547" s="4"/>
    </row>
    <row r="548" spans="6:8" x14ac:dyDescent="0.25">
      <c r="F548" s="4"/>
      <c r="G548" s="4"/>
      <c r="H548" s="4"/>
    </row>
    <row r="549" spans="6:8" x14ac:dyDescent="0.25">
      <c r="F549" s="4"/>
      <c r="G549" s="4"/>
      <c r="H549" s="4"/>
    </row>
    <row r="550" spans="6:8" x14ac:dyDescent="0.25">
      <c r="F550" s="4"/>
      <c r="G550" s="4"/>
      <c r="H550" s="4"/>
    </row>
    <row r="551" spans="6:8" x14ac:dyDescent="0.25">
      <c r="F551" s="4"/>
      <c r="G551" s="4"/>
      <c r="H551" s="4"/>
    </row>
    <row r="552" spans="6:8" x14ac:dyDescent="0.25">
      <c r="F552" s="4"/>
      <c r="G552" s="4"/>
      <c r="H552" s="4"/>
    </row>
    <row r="553" spans="6:8" x14ac:dyDescent="0.25">
      <c r="F553" s="4"/>
      <c r="G553" s="4"/>
      <c r="H553" s="4"/>
    </row>
    <row r="554" spans="6:8" x14ac:dyDescent="0.25">
      <c r="F554" s="4"/>
      <c r="G554" s="4"/>
      <c r="H554" s="4"/>
    </row>
    <row r="555" spans="6:8" x14ac:dyDescent="0.25">
      <c r="F555" s="4"/>
      <c r="G555" s="4"/>
      <c r="H555" s="4"/>
    </row>
    <row r="556" spans="6:8" x14ac:dyDescent="0.25">
      <c r="F556" s="4"/>
      <c r="G556" s="4"/>
      <c r="H556" s="4"/>
    </row>
    <row r="557" spans="6:8" x14ac:dyDescent="0.25">
      <c r="F557" s="4"/>
      <c r="G557" s="4"/>
      <c r="H557" s="4"/>
    </row>
    <row r="558" spans="6:8" x14ac:dyDescent="0.25">
      <c r="F558" s="4"/>
      <c r="G558" s="4"/>
      <c r="H558" s="4"/>
    </row>
    <row r="559" spans="6:8" x14ac:dyDescent="0.25">
      <c r="F559" s="4"/>
      <c r="G559" s="4"/>
      <c r="H559" s="4"/>
    </row>
    <row r="560" spans="6:8" x14ac:dyDescent="0.25">
      <c r="F560" s="4"/>
      <c r="G560" s="4"/>
      <c r="H560" s="4"/>
    </row>
    <row r="561" spans="6:8" x14ac:dyDescent="0.25">
      <c r="F561" s="4"/>
      <c r="G561" s="4"/>
      <c r="H561" s="4"/>
    </row>
    <row r="562" spans="6:8" x14ac:dyDescent="0.25">
      <c r="F562" s="4"/>
      <c r="G562" s="4"/>
      <c r="H562" s="4"/>
    </row>
    <row r="563" spans="6:8" x14ac:dyDescent="0.25">
      <c r="F563" s="4"/>
      <c r="G563" s="4"/>
      <c r="H563" s="4"/>
    </row>
    <row r="564" spans="6:8" x14ac:dyDescent="0.25">
      <c r="F564" s="4"/>
      <c r="G564" s="4"/>
      <c r="H564" s="4"/>
    </row>
    <row r="565" spans="6:8" x14ac:dyDescent="0.25">
      <c r="F565" s="4"/>
      <c r="G565" s="4"/>
      <c r="H565" s="4"/>
    </row>
    <row r="566" spans="6:8" x14ac:dyDescent="0.25">
      <c r="F566" s="4"/>
      <c r="G566" s="4"/>
      <c r="H566" s="4"/>
    </row>
    <row r="567" spans="6:8" x14ac:dyDescent="0.25">
      <c r="F567" s="4"/>
      <c r="G567" s="4"/>
      <c r="H567" s="4"/>
    </row>
    <row r="568" spans="6:8" x14ac:dyDescent="0.25">
      <c r="F568" s="4"/>
      <c r="G568" s="4"/>
      <c r="H568" s="4"/>
    </row>
    <row r="569" spans="6:8" x14ac:dyDescent="0.25">
      <c r="F569" s="4"/>
      <c r="G569" s="4"/>
      <c r="H569" s="4"/>
    </row>
    <row r="570" spans="6:8" x14ac:dyDescent="0.25">
      <c r="F570" s="4"/>
      <c r="G570" s="4"/>
      <c r="H570" s="4"/>
    </row>
    <row r="571" spans="6:8" x14ac:dyDescent="0.25">
      <c r="F571" s="4"/>
      <c r="G571" s="4"/>
      <c r="H571" s="4"/>
    </row>
    <row r="572" spans="6:8" x14ac:dyDescent="0.25">
      <c r="F572" s="4"/>
      <c r="G572" s="4"/>
      <c r="H572" s="4"/>
    </row>
    <row r="573" spans="6:8" x14ac:dyDescent="0.25">
      <c r="F573" s="4"/>
      <c r="G573" s="4"/>
      <c r="H573" s="4"/>
    </row>
    <row r="574" spans="6:8" x14ac:dyDescent="0.25">
      <c r="F574" s="4"/>
      <c r="G574" s="4"/>
      <c r="H574" s="4"/>
    </row>
    <row r="575" spans="6:8" x14ac:dyDescent="0.25">
      <c r="F575" s="4"/>
      <c r="G575" s="4"/>
      <c r="H575" s="4"/>
    </row>
    <row r="576" spans="6:8" x14ac:dyDescent="0.25">
      <c r="F576" s="4"/>
      <c r="G576" s="4"/>
      <c r="H576" s="4"/>
    </row>
    <row r="577" spans="6:8" x14ac:dyDescent="0.25">
      <c r="F577" s="4"/>
      <c r="G577" s="4"/>
      <c r="H577" s="4"/>
    </row>
    <row r="578" spans="6:8" x14ac:dyDescent="0.25">
      <c r="F578" s="4"/>
      <c r="G578" s="4"/>
      <c r="H578" s="4"/>
    </row>
    <row r="579" spans="6:8" x14ac:dyDescent="0.25">
      <c r="F579" s="4"/>
      <c r="G579" s="4"/>
      <c r="H579" s="4"/>
    </row>
    <row r="580" spans="6:8" x14ac:dyDescent="0.25">
      <c r="F580" s="4"/>
      <c r="G580" s="4"/>
      <c r="H580" s="4"/>
    </row>
    <row r="581" spans="6:8" x14ac:dyDescent="0.25">
      <c r="F581" s="4"/>
      <c r="G581" s="4"/>
      <c r="H581" s="4"/>
    </row>
    <row r="582" spans="6:8" x14ac:dyDescent="0.25">
      <c r="F582" s="4"/>
      <c r="G582" s="4"/>
      <c r="H582" s="4"/>
    </row>
    <row r="583" spans="6:8" x14ac:dyDescent="0.25">
      <c r="F583" s="4"/>
      <c r="G583" s="4"/>
      <c r="H583" s="4"/>
    </row>
    <row r="584" spans="6:8" x14ac:dyDescent="0.25">
      <c r="F584" s="4"/>
      <c r="G584" s="4"/>
      <c r="H584" s="4"/>
    </row>
    <row r="585" spans="6:8" x14ac:dyDescent="0.25">
      <c r="F585" s="4"/>
      <c r="G585" s="4"/>
      <c r="H585" s="4"/>
    </row>
    <row r="586" spans="6:8" x14ac:dyDescent="0.25">
      <c r="F586" s="4"/>
      <c r="G586" s="4"/>
      <c r="H586" s="4"/>
    </row>
    <row r="587" spans="6:8" x14ac:dyDescent="0.25">
      <c r="F587" s="4"/>
      <c r="G587" s="4"/>
      <c r="H587" s="4"/>
    </row>
    <row r="588" spans="6:8" x14ac:dyDescent="0.25">
      <c r="F588" s="4"/>
      <c r="G588" s="4"/>
      <c r="H588" s="4"/>
    </row>
    <row r="589" spans="6:8" x14ac:dyDescent="0.25">
      <c r="F589" s="4"/>
      <c r="G589" s="4"/>
      <c r="H589" s="4"/>
    </row>
    <row r="590" spans="6:8" x14ac:dyDescent="0.25">
      <c r="F590" s="4"/>
      <c r="G590" s="4"/>
      <c r="H590" s="4"/>
    </row>
  </sheetData>
  <autoFilter ref="A1:H378" xr:uid="{00000000-0009-0000-0000-00000E000000}"/>
  <mergeCells count="37">
    <mergeCell ref="A378:D378"/>
    <mergeCell ref="A93:D93"/>
    <mergeCell ref="A105:D105"/>
    <mergeCell ref="A72:D72"/>
    <mergeCell ref="A151:D151"/>
    <mergeCell ref="A140:D140"/>
    <mergeCell ref="A132:D132"/>
    <mergeCell ref="A117:D117"/>
    <mergeCell ref="A214:D214"/>
    <mergeCell ref="A109:D109"/>
    <mergeCell ref="A349:D349"/>
    <mergeCell ref="A362:D362"/>
    <mergeCell ref="A209:D209"/>
    <mergeCell ref="A188:D188"/>
    <mergeCell ref="A170:D170"/>
    <mergeCell ref="A337:D337"/>
    <mergeCell ref="A62:D62"/>
    <mergeCell ref="A15:D15"/>
    <mergeCell ref="A21:D21"/>
    <mergeCell ref="A27:D27"/>
    <mergeCell ref="A38:D38"/>
    <mergeCell ref="A52:D52"/>
    <mergeCell ref="A160:D160"/>
    <mergeCell ref="A312:D312"/>
    <mergeCell ref="A300:D300"/>
    <mergeCell ref="A329:D329"/>
    <mergeCell ref="A373:D373"/>
    <mergeCell ref="A219:D219"/>
    <mergeCell ref="A367:D367"/>
    <mergeCell ref="A228:D228"/>
    <mergeCell ref="A240:D240"/>
    <mergeCell ref="A319:D319"/>
    <mergeCell ref="A251:D251"/>
    <mergeCell ref="A245:D245"/>
    <mergeCell ref="A294:D294"/>
    <mergeCell ref="A289:D289"/>
    <mergeCell ref="A264:D26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70"/>
  <sheetViews>
    <sheetView topLeftCell="A100" workbookViewId="0">
      <selection activeCell="I24" sqref="I24"/>
    </sheetView>
  </sheetViews>
  <sheetFormatPr defaultRowHeight="15" x14ac:dyDescent="0.25"/>
  <cols>
    <col min="1" max="1" width="8.5703125" bestFit="1" customWidth="1"/>
    <col min="2" max="2" width="11.140625" bestFit="1" customWidth="1"/>
    <col min="3" max="3" width="18.42578125" bestFit="1" customWidth="1"/>
    <col min="4" max="4" width="19.140625" bestFit="1" customWidth="1"/>
    <col min="5" max="5" width="8.140625" bestFit="1" customWidth="1"/>
    <col min="6" max="6" width="13.28515625" bestFit="1" customWidth="1"/>
    <col min="7" max="7" width="11.5703125" bestFit="1" customWidth="1"/>
    <col min="8" max="8" width="11.7109375" bestFit="1" customWidth="1"/>
  </cols>
  <sheetData>
    <row r="1" spans="1: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s="29" t="s">
        <v>8</v>
      </c>
      <c r="B2" s="37">
        <v>44928</v>
      </c>
      <c r="C2" s="29" t="s">
        <v>288</v>
      </c>
      <c r="D2" s="29" t="s">
        <v>11</v>
      </c>
      <c r="E2" s="29">
        <f>60-18</f>
        <v>42</v>
      </c>
      <c r="F2" s="38">
        <f>E2*1800</f>
        <v>75600</v>
      </c>
      <c r="G2" s="38">
        <f>E2*500</f>
        <v>21000</v>
      </c>
      <c r="H2" s="38">
        <f>E2*1300</f>
        <v>54600</v>
      </c>
    </row>
    <row r="3" spans="1:8" x14ac:dyDescent="0.25">
      <c r="A3" s="29"/>
      <c r="B3" s="29"/>
      <c r="C3" s="29" t="s">
        <v>106</v>
      </c>
      <c r="D3" s="29" t="s">
        <v>11</v>
      </c>
      <c r="E3" s="29">
        <v>20</v>
      </c>
      <c r="F3" s="38">
        <f>E3*1500</f>
        <v>30000</v>
      </c>
      <c r="G3" s="38">
        <f>E3*500</f>
        <v>10000</v>
      </c>
      <c r="H3" s="38">
        <f>E3*1000</f>
        <v>20000</v>
      </c>
    </row>
    <row r="4" spans="1:8" x14ac:dyDescent="0.25">
      <c r="A4" s="29"/>
      <c r="B4" s="29"/>
      <c r="C4" s="29" t="s">
        <v>16</v>
      </c>
      <c r="D4" s="29" t="s">
        <v>11</v>
      </c>
      <c r="E4" s="29">
        <v>43</v>
      </c>
      <c r="F4" s="38">
        <f>E4*1500</f>
        <v>64500</v>
      </c>
      <c r="G4" s="38">
        <f>E4*500</f>
        <v>21500</v>
      </c>
      <c r="H4" s="38">
        <f>E4*1000</f>
        <v>43000</v>
      </c>
    </row>
    <row r="5" spans="1:8" x14ac:dyDescent="0.25">
      <c r="A5" s="29"/>
      <c r="B5" s="29"/>
      <c r="C5" s="29"/>
      <c r="D5" s="29" t="s">
        <v>12</v>
      </c>
      <c r="E5" s="29">
        <v>3</v>
      </c>
      <c r="F5" s="38">
        <f>E5*3000</f>
        <v>9000</v>
      </c>
      <c r="G5" s="38">
        <f>E5*2000</f>
        <v>6000</v>
      </c>
      <c r="H5" s="38">
        <v>3000</v>
      </c>
    </row>
    <row r="6" spans="1:8" x14ac:dyDescent="0.25">
      <c r="A6" s="29"/>
      <c r="B6" s="29"/>
      <c r="C6" s="29" t="s">
        <v>24</v>
      </c>
      <c r="D6" s="29" t="s">
        <v>243</v>
      </c>
      <c r="E6" s="29">
        <v>2</v>
      </c>
      <c r="F6" s="38">
        <f>E6*15000</f>
        <v>30000</v>
      </c>
      <c r="G6" s="38">
        <f>E6*10000</f>
        <v>20000</v>
      </c>
      <c r="H6" s="38">
        <v>10000</v>
      </c>
    </row>
    <row r="7" spans="1:8" x14ac:dyDescent="0.25">
      <c r="A7" s="29"/>
      <c r="B7" s="29"/>
      <c r="C7" s="29" t="s">
        <v>217</v>
      </c>
      <c r="D7" s="29" t="s">
        <v>11</v>
      </c>
      <c r="E7" s="29">
        <v>41</v>
      </c>
      <c r="F7" s="38">
        <f>E7*1500</f>
        <v>61500</v>
      </c>
      <c r="G7" s="38">
        <f>E7*500</f>
        <v>20500</v>
      </c>
      <c r="H7" s="38">
        <v>41000</v>
      </c>
    </row>
    <row r="8" spans="1:8" x14ac:dyDescent="0.25">
      <c r="A8" s="125" t="s">
        <v>17</v>
      </c>
      <c r="B8" s="125"/>
      <c r="C8" s="125"/>
      <c r="D8" s="125"/>
      <c r="E8" s="17">
        <f>SUM(E2:E7)</f>
        <v>151</v>
      </c>
      <c r="F8" s="17">
        <f>SUM(F2:F7)</f>
        <v>270600</v>
      </c>
      <c r="G8" s="17">
        <f>SUM(G2:G7)</f>
        <v>99000</v>
      </c>
      <c r="H8" s="17">
        <f>SUM(H2:H7)</f>
        <v>171600</v>
      </c>
    </row>
    <row r="9" spans="1:8" x14ac:dyDescent="0.25">
      <c r="A9" s="29" t="s">
        <v>18</v>
      </c>
      <c r="B9" s="37">
        <v>44959</v>
      </c>
      <c r="C9" s="29" t="s">
        <v>288</v>
      </c>
      <c r="D9" s="29" t="s">
        <v>11</v>
      </c>
      <c r="E9" s="29">
        <v>55</v>
      </c>
      <c r="F9" s="38">
        <f>E9*1800</f>
        <v>99000</v>
      </c>
      <c r="G9" s="38">
        <f>E9*500</f>
        <v>27500</v>
      </c>
      <c r="H9" s="38">
        <f>E9*1300</f>
        <v>71500</v>
      </c>
    </row>
    <row r="10" spans="1:8" x14ac:dyDescent="0.25">
      <c r="A10" s="29"/>
      <c r="B10" s="29"/>
      <c r="C10" s="29" t="s">
        <v>106</v>
      </c>
      <c r="D10" s="29" t="s">
        <v>11</v>
      </c>
      <c r="E10" s="29">
        <v>20</v>
      </c>
      <c r="F10" s="38">
        <f>E10*1500</f>
        <v>30000</v>
      </c>
      <c r="G10" s="38">
        <f>E10*500</f>
        <v>10000</v>
      </c>
      <c r="H10" s="38">
        <v>20000</v>
      </c>
    </row>
    <row r="11" spans="1:8" x14ac:dyDescent="0.25">
      <c r="A11" s="29"/>
      <c r="B11" s="29"/>
      <c r="C11" s="29" t="s">
        <v>108</v>
      </c>
      <c r="D11" s="29" t="s">
        <v>11</v>
      </c>
      <c r="E11" s="29">
        <f>25-12</f>
        <v>13</v>
      </c>
      <c r="F11" s="38">
        <f>E11*1500</f>
        <v>19500</v>
      </c>
      <c r="G11" s="38">
        <f>E11*500</f>
        <v>6500</v>
      </c>
      <c r="H11" s="38">
        <v>13000</v>
      </c>
    </row>
    <row r="12" spans="1:8" x14ac:dyDescent="0.25">
      <c r="A12" s="29"/>
      <c r="B12" s="29"/>
      <c r="C12" s="29" t="s">
        <v>16</v>
      </c>
      <c r="D12" s="29" t="s">
        <v>11</v>
      </c>
      <c r="E12" s="29">
        <v>36</v>
      </c>
      <c r="F12" s="38">
        <f>E12*1500</f>
        <v>54000</v>
      </c>
      <c r="G12" s="38">
        <f>E12*500</f>
        <v>18000</v>
      </c>
      <c r="H12" s="38">
        <v>36000</v>
      </c>
    </row>
    <row r="13" spans="1:8" x14ac:dyDescent="0.25">
      <c r="A13" s="29"/>
      <c r="B13" s="29"/>
      <c r="C13" s="29"/>
      <c r="D13" s="29" t="s">
        <v>12</v>
      </c>
      <c r="E13" s="29">
        <v>4</v>
      </c>
      <c r="F13" s="38">
        <f>E13*3000</f>
        <v>12000</v>
      </c>
      <c r="G13" s="38">
        <f>E13*2000</f>
        <v>8000</v>
      </c>
      <c r="H13" s="38">
        <v>4000</v>
      </c>
    </row>
    <row r="14" spans="1:8" x14ac:dyDescent="0.25">
      <c r="A14" s="126" t="s">
        <v>17</v>
      </c>
      <c r="B14" s="126"/>
      <c r="C14" s="126"/>
      <c r="D14" s="126"/>
      <c r="E14" s="16">
        <f>SUM(E9:E13)</f>
        <v>128</v>
      </c>
      <c r="F14" s="39">
        <f>SUM(F9:F13)</f>
        <v>214500</v>
      </c>
      <c r="G14" s="39">
        <f>SUM(G9:G13)</f>
        <v>70000</v>
      </c>
      <c r="H14" s="39">
        <f>SUM(H9:H13)</f>
        <v>144500</v>
      </c>
    </row>
    <row r="15" spans="1:8" x14ac:dyDescent="0.25">
      <c r="A15" s="29" t="s">
        <v>22</v>
      </c>
      <c r="B15" s="37">
        <v>44987</v>
      </c>
      <c r="C15" s="29" t="s">
        <v>288</v>
      </c>
      <c r="D15" s="29" t="s">
        <v>11</v>
      </c>
      <c r="E15" s="29">
        <v>49</v>
      </c>
      <c r="F15" s="38">
        <f>E15*1800</f>
        <v>88200</v>
      </c>
      <c r="G15" s="38">
        <f>E15*500</f>
        <v>24500</v>
      </c>
      <c r="H15" s="38">
        <f>E15*1300</f>
        <v>63700</v>
      </c>
    </row>
    <row r="16" spans="1:8" x14ac:dyDescent="0.25">
      <c r="A16" s="29"/>
      <c r="B16" s="29"/>
      <c r="C16" s="29" t="s">
        <v>106</v>
      </c>
      <c r="D16" s="29" t="s">
        <v>11</v>
      </c>
      <c r="E16" s="29">
        <v>20</v>
      </c>
      <c r="F16" s="38">
        <f>E16*1500</f>
        <v>30000</v>
      </c>
      <c r="G16" s="38">
        <f>E16*500</f>
        <v>10000</v>
      </c>
      <c r="H16" s="38">
        <v>20000</v>
      </c>
    </row>
    <row r="17" spans="1:8" x14ac:dyDescent="0.25">
      <c r="A17" s="29"/>
      <c r="B17" s="29"/>
      <c r="C17" s="29" t="s">
        <v>16</v>
      </c>
      <c r="D17" s="29" t="s">
        <v>11</v>
      </c>
      <c r="E17" s="29">
        <v>66</v>
      </c>
      <c r="F17" s="38">
        <f>E17*1500</f>
        <v>99000</v>
      </c>
      <c r="G17" s="38">
        <f>E17*500</f>
        <v>33000</v>
      </c>
      <c r="H17" s="38">
        <v>66000</v>
      </c>
    </row>
    <row r="18" spans="1:8" x14ac:dyDescent="0.25">
      <c r="A18" s="29"/>
      <c r="B18" s="29"/>
      <c r="C18" s="29"/>
      <c r="D18" s="29" t="s">
        <v>12</v>
      </c>
      <c r="E18" s="29">
        <v>1</v>
      </c>
      <c r="F18" s="38">
        <v>3000</v>
      </c>
      <c r="G18" s="38">
        <v>2000</v>
      </c>
      <c r="H18" s="38">
        <v>1000</v>
      </c>
    </row>
    <row r="19" spans="1:8" x14ac:dyDescent="0.25">
      <c r="A19" s="29"/>
      <c r="B19" s="29"/>
      <c r="C19" s="29" t="s">
        <v>24</v>
      </c>
      <c r="D19" s="29" t="s">
        <v>243</v>
      </c>
      <c r="E19" s="29">
        <v>1</v>
      </c>
      <c r="F19" s="38">
        <v>15000</v>
      </c>
      <c r="G19" s="38">
        <v>10000</v>
      </c>
      <c r="H19" s="38">
        <v>5000</v>
      </c>
    </row>
    <row r="20" spans="1:8" x14ac:dyDescent="0.25">
      <c r="A20" s="29"/>
      <c r="B20" s="29"/>
      <c r="C20" s="29" t="s">
        <v>472</v>
      </c>
      <c r="D20" s="29" t="s">
        <v>243</v>
      </c>
      <c r="E20" s="29">
        <v>2</v>
      </c>
      <c r="F20" s="38">
        <f>E20*15000</f>
        <v>30000</v>
      </c>
      <c r="G20" s="38">
        <f>E20*10000</f>
        <v>20000</v>
      </c>
      <c r="H20" s="38">
        <f>E20*5000</f>
        <v>10000</v>
      </c>
    </row>
    <row r="21" spans="1:8" x14ac:dyDescent="0.25">
      <c r="A21" s="125" t="s">
        <v>17</v>
      </c>
      <c r="B21" s="125"/>
      <c r="C21" s="125"/>
      <c r="D21" s="125"/>
      <c r="E21" s="17">
        <f>SUM(E15:E20)</f>
        <v>139</v>
      </c>
      <c r="F21" s="17">
        <f>SUM(F15:F20)</f>
        <v>265200</v>
      </c>
      <c r="G21" s="17">
        <f>SUM(G15:G20)</f>
        <v>99500</v>
      </c>
      <c r="H21" s="17">
        <f>SUM(H15:H20)</f>
        <v>165700</v>
      </c>
    </row>
    <row r="22" spans="1:8" x14ac:dyDescent="0.25">
      <c r="A22" s="29" t="s">
        <v>26</v>
      </c>
      <c r="B22" s="37">
        <v>45018</v>
      </c>
      <c r="C22" s="29" t="s">
        <v>288</v>
      </c>
      <c r="D22" s="29" t="s">
        <v>11</v>
      </c>
      <c r="E22" s="29">
        <v>40</v>
      </c>
      <c r="F22" s="38">
        <f>E22*1800</f>
        <v>72000</v>
      </c>
      <c r="G22" s="38">
        <f>E22*500</f>
        <v>20000</v>
      </c>
      <c r="H22" s="38">
        <f>E22*1300</f>
        <v>52000</v>
      </c>
    </row>
    <row r="23" spans="1:8" x14ac:dyDescent="0.25">
      <c r="A23" s="29"/>
      <c r="B23" s="29"/>
      <c r="C23" s="29" t="s">
        <v>108</v>
      </c>
      <c r="D23" s="29" t="s">
        <v>11</v>
      </c>
      <c r="E23" s="29">
        <f>25-14</f>
        <v>11</v>
      </c>
      <c r="F23" s="38">
        <f>E23*1500</f>
        <v>16500</v>
      </c>
      <c r="G23" s="38">
        <f>E23*500</f>
        <v>5500</v>
      </c>
      <c r="H23" s="38">
        <v>11000</v>
      </c>
    </row>
    <row r="24" spans="1:8" x14ac:dyDescent="0.25">
      <c r="A24" s="29"/>
      <c r="B24" s="29"/>
      <c r="C24" s="29" t="s">
        <v>16</v>
      </c>
      <c r="D24" s="29" t="s">
        <v>11</v>
      </c>
      <c r="E24" s="29">
        <v>38</v>
      </c>
      <c r="F24" s="38">
        <f>E24*1500</f>
        <v>57000</v>
      </c>
      <c r="G24" s="38">
        <f>E24*500</f>
        <v>19000</v>
      </c>
      <c r="H24" s="38">
        <v>38000</v>
      </c>
    </row>
    <row r="25" spans="1:8" x14ac:dyDescent="0.25">
      <c r="A25" s="29"/>
      <c r="B25" s="29"/>
      <c r="C25" s="29"/>
      <c r="D25" s="29" t="s">
        <v>12</v>
      </c>
      <c r="E25" s="29">
        <v>4</v>
      </c>
      <c r="F25" s="38">
        <f>E25*3000</f>
        <v>12000</v>
      </c>
      <c r="G25" s="38">
        <f>E25*2000</f>
        <v>8000</v>
      </c>
      <c r="H25" s="38">
        <v>4000</v>
      </c>
    </row>
    <row r="26" spans="1:8" x14ac:dyDescent="0.25">
      <c r="A26" s="29"/>
      <c r="B26" s="29"/>
      <c r="C26" s="29" t="s">
        <v>217</v>
      </c>
      <c r="D26" s="29" t="s">
        <v>11</v>
      </c>
      <c r="E26" s="29">
        <v>46</v>
      </c>
      <c r="F26" s="38">
        <f>E26*1500</f>
        <v>69000</v>
      </c>
      <c r="G26" s="38">
        <f>E26*500</f>
        <v>23000</v>
      </c>
      <c r="H26" s="38">
        <v>46000</v>
      </c>
    </row>
    <row r="27" spans="1:8" x14ac:dyDescent="0.25">
      <c r="A27" s="29"/>
      <c r="B27" s="29"/>
      <c r="C27" s="29"/>
      <c r="D27" s="29" t="s">
        <v>13</v>
      </c>
      <c r="E27" s="29">
        <v>12</v>
      </c>
      <c r="F27" s="38">
        <f>E27*6500</f>
        <v>78000</v>
      </c>
      <c r="G27" s="38">
        <f>E27*4500</f>
        <v>54000</v>
      </c>
      <c r="H27" s="38">
        <f>E27*2000</f>
        <v>24000</v>
      </c>
    </row>
    <row r="28" spans="1:8" x14ac:dyDescent="0.25">
      <c r="A28" s="29"/>
      <c r="B28" s="29"/>
      <c r="C28" s="29"/>
      <c r="D28" s="29" t="s">
        <v>14</v>
      </c>
      <c r="E28" s="29">
        <v>6</v>
      </c>
      <c r="F28" s="38">
        <f>E28*10000</f>
        <v>60000</v>
      </c>
      <c r="G28" s="38">
        <f>E28*5500</f>
        <v>33000</v>
      </c>
      <c r="H28" s="38">
        <f>E28*4500</f>
        <v>27000</v>
      </c>
    </row>
    <row r="29" spans="1:8" x14ac:dyDescent="0.25">
      <c r="A29" s="29"/>
      <c r="B29" s="29"/>
      <c r="C29" s="29"/>
      <c r="D29" s="29" t="s">
        <v>14</v>
      </c>
      <c r="E29" s="29">
        <v>2</v>
      </c>
      <c r="F29" s="38">
        <f>E29*8000</f>
        <v>16000</v>
      </c>
      <c r="G29" s="38">
        <f>E29*5500</f>
        <v>11000</v>
      </c>
      <c r="H29" s="38">
        <f>E29*2500</f>
        <v>5000</v>
      </c>
    </row>
    <row r="30" spans="1:8" x14ac:dyDescent="0.25">
      <c r="A30" s="29"/>
      <c r="B30" s="29"/>
      <c r="C30" s="29"/>
      <c r="D30" s="29" t="s">
        <v>436</v>
      </c>
      <c r="E30" s="29">
        <v>2</v>
      </c>
      <c r="F30" s="38">
        <f>E30*3000</f>
        <v>6000</v>
      </c>
      <c r="G30" s="38">
        <f>E30*1500</f>
        <v>3000</v>
      </c>
      <c r="H30" s="38">
        <v>3000</v>
      </c>
    </row>
    <row r="31" spans="1:8" x14ac:dyDescent="0.25">
      <c r="A31" s="29"/>
      <c r="B31" s="29"/>
      <c r="C31" s="29"/>
      <c r="D31" s="29" t="s">
        <v>425</v>
      </c>
      <c r="E31" s="29">
        <v>1</v>
      </c>
      <c r="F31" s="38">
        <v>2000</v>
      </c>
      <c r="G31" s="38">
        <v>1000</v>
      </c>
      <c r="H31" s="38">
        <v>1000</v>
      </c>
    </row>
    <row r="32" spans="1:8" x14ac:dyDescent="0.25">
      <c r="A32" s="29"/>
      <c r="B32" s="29"/>
      <c r="C32" s="29"/>
      <c r="D32" s="29" t="s">
        <v>424</v>
      </c>
      <c r="E32" s="29">
        <v>1</v>
      </c>
      <c r="F32" s="38">
        <v>5000</v>
      </c>
      <c r="G32" s="38">
        <v>2500</v>
      </c>
      <c r="H32" s="38">
        <v>2500</v>
      </c>
    </row>
    <row r="33" spans="1:8" x14ac:dyDescent="0.25">
      <c r="A33" s="29"/>
      <c r="B33" s="29"/>
      <c r="C33" s="29" t="s">
        <v>376</v>
      </c>
      <c r="D33" s="29" t="s">
        <v>11</v>
      </c>
      <c r="E33" s="29">
        <v>68</v>
      </c>
      <c r="F33" s="38">
        <f t="shared" ref="F33:F38" si="0">E33*1500</f>
        <v>102000</v>
      </c>
      <c r="G33" s="38">
        <f>E33*500</f>
        <v>34000</v>
      </c>
      <c r="H33" s="38">
        <f t="shared" ref="H33:H38" si="1">E33*1000</f>
        <v>68000</v>
      </c>
    </row>
    <row r="34" spans="1:8" x14ac:dyDescent="0.25">
      <c r="A34" s="29"/>
      <c r="B34" s="29"/>
      <c r="C34" s="29"/>
      <c r="D34" s="29" t="s">
        <v>11</v>
      </c>
      <c r="E34" s="29">
        <v>75</v>
      </c>
      <c r="F34" s="38">
        <f t="shared" si="0"/>
        <v>112500</v>
      </c>
      <c r="G34" s="38">
        <f t="shared" ref="G34:G44" si="2">E34*500</f>
        <v>37500</v>
      </c>
      <c r="H34" s="38">
        <f t="shared" si="1"/>
        <v>75000</v>
      </c>
    </row>
    <row r="35" spans="1:8" x14ac:dyDescent="0.25">
      <c r="A35" s="29"/>
      <c r="B35" s="29"/>
      <c r="C35" s="29"/>
      <c r="D35" s="29" t="s">
        <v>11</v>
      </c>
      <c r="E35" s="29">
        <v>74</v>
      </c>
      <c r="F35" s="38">
        <f t="shared" si="0"/>
        <v>111000</v>
      </c>
      <c r="G35" s="38">
        <f t="shared" si="2"/>
        <v>37000</v>
      </c>
      <c r="H35" s="38">
        <f t="shared" si="1"/>
        <v>74000</v>
      </c>
    </row>
    <row r="36" spans="1:8" x14ac:dyDescent="0.25">
      <c r="A36" s="29"/>
      <c r="B36" s="29"/>
      <c r="C36" s="29"/>
      <c r="D36" s="29" t="s">
        <v>11</v>
      </c>
      <c r="E36" s="29">
        <v>60</v>
      </c>
      <c r="F36" s="38">
        <f t="shared" si="0"/>
        <v>90000</v>
      </c>
      <c r="G36" s="38">
        <f t="shared" si="2"/>
        <v>30000</v>
      </c>
      <c r="H36" s="38">
        <f t="shared" si="1"/>
        <v>60000</v>
      </c>
    </row>
    <row r="37" spans="1:8" x14ac:dyDescent="0.25">
      <c r="A37" s="29"/>
      <c r="B37" s="29"/>
      <c r="C37" s="29"/>
      <c r="D37" s="29" t="s">
        <v>11</v>
      </c>
      <c r="E37" s="29">
        <v>70</v>
      </c>
      <c r="F37" s="38">
        <f t="shared" si="0"/>
        <v>105000</v>
      </c>
      <c r="G37" s="38">
        <f t="shared" si="2"/>
        <v>35000</v>
      </c>
      <c r="H37" s="38">
        <f t="shared" si="1"/>
        <v>70000</v>
      </c>
    </row>
    <row r="38" spans="1:8" x14ac:dyDescent="0.25">
      <c r="A38" s="29"/>
      <c r="B38" s="29"/>
      <c r="C38" s="29"/>
      <c r="D38" s="29" t="s">
        <v>11</v>
      </c>
      <c r="E38" s="29">
        <v>40</v>
      </c>
      <c r="F38" s="38">
        <f t="shared" si="0"/>
        <v>60000</v>
      </c>
      <c r="G38" s="38">
        <f t="shared" si="2"/>
        <v>20000</v>
      </c>
      <c r="H38" s="38">
        <f t="shared" si="1"/>
        <v>40000</v>
      </c>
    </row>
    <row r="39" spans="1:8" x14ac:dyDescent="0.25">
      <c r="A39" s="29"/>
      <c r="B39" s="29"/>
      <c r="C39" s="29" t="s">
        <v>81</v>
      </c>
      <c r="D39" s="29" t="s">
        <v>11</v>
      </c>
      <c r="E39" s="29">
        <v>75</v>
      </c>
      <c r="F39" s="38">
        <f t="shared" ref="F39:F44" si="3">E39*1800</f>
        <v>135000</v>
      </c>
      <c r="G39" s="38">
        <f t="shared" si="2"/>
        <v>37500</v>
      </c>
      <c r="H39" s="38">
        <f t="shared" ref="H39:H44" si="4">E39*1300</f>
        <v>97500</v>
      </c>
    </row>
    <row r="40" spans="1:8" x14ac:dyDescent="0.25">
      <c r="A40" s="29"/>
      <c r="B40" s="29"/>
      <c r="C40" s="29"/>
      <c r="D40" s="29" t="s">
        <v>11</v>
      </c>
      <c r="E40" s="29">
        <v>75</v>
      </c>
      <c r="F40" s="38">
        <f t="shared" si="3"/>
        <v>135000</v>
      </c>
      <c r="G40" s="38">
        <f t="shared" si="2"/>
        <v>37500</v>
      </c>
      <c r="H40" s="38">
        <f t="shared" si="4"/>
        <v>97500</v>
      </c>
    </row>
    <row r="41" spans="1:8" x14ac:dyDescent="0.25">
      <c r="A41" s="29"/>
      <c r="B41" s="29"/>
      <c r="C41" s="29"/>
      <c r="D41" s="29" t="s">
        <v>11</v>
      </c>
      <c r="E41" s="29">
        <v>75</v>
      </c>
      <c r="F41" s="38">
        <f t="shared" si="3"/>
        <v>135000</v>
      </c>
      <c r="G41" s="38">
        <f t="shared" si="2"/>
        <v>37500</v>
      </c>
      <c r="H41" s="38">
        <f t="shared" si="4"/>
        <v>97500</v>
      </c>
    </row>
    <row r="42" spans="1:8" x14ac:dyDescent="0.25">
      <c r="A42" s="29"/>
      <c r="B42" s="29"/>
      <c r="C42" s="29"/>
      <c r="D42" s="29" t="s">
        <v>11</v>
      </c>
      <c r="E42" s="29">
        <v>75</v>
      </c>
      <c r="F42" s="38">
        <f t="shared" si="3"/>
        <v>135000</v>
      </c>
      <c r="G42" s="38">
        <f t="shared" si="2"/>
        <v>37500</v>
      </c>
      <c r="H42" s="38">
        <f t="shared" si="4"/>
        <v>97500</v>
      </c>
    </row>
    <row r="43" spans="1:8" x14ac:dyDescent="0.25">
      <c r="A43" s="29"/>
      <c r="B43" s="29"/>
      <c r="C43" s="29"/>
      <c r="D43" s="29" t="s">
        <v>11</v>
      </c>
      <c r="E43" s="29">
        <v>75</v>
      </c>
      <c r="F43" s="38">
        <f t="shared" si="3"/>
        <v>135000</v>
      </c>
      <c r="G43" s="38">
        <f t="shared" si="2"/>
        <v>37500</v>
      </c>
      <c r="H43" s="38">
        <f t="shared" si="4"/>
        <v>97500</v>
      </c>
    </row>
    <row r="44" spans="1:8" x14ac:dyDescent="0.25">
      <c r="A44" s="29"/>
      <c r="B44" s="29"/>
      <c r="C44" s="29"/>
      <c r="D44" s="29" t="s">
        <v>11</v>
      </c>
      <c r="E44" s="29">
        <f>75-19</f>
        <v>56</v>
      </c>
      <c r="F44" s="38">
        <f t="shared" si="3"/>
        <v>100800</v>
      </c>
      <c r="G44" s="38">
        <f t="shared" si="2"/>
        <v>28000</v>
      </c>
      <c r="H44" s="38">
        <f t="shared" si="4"/>
        <v>72800</v>
      </c>
    </row>
    <row r="45" spans="1:8" x14ac:dyDescent="0.25">
      <c r="A45" s="29"/>
      <c r="B45" s="29"/>
      <c r="C45" s="29" t="s">
        <v>20</v>
      </c>
      <c r="D45" s="29" t="s">
        <v>13</v>
      </c>
      <c r="E45" s="29">
        <v>30</v>
      </c>
      <c r="F45" s="38">
        <f>E45*6500</f>
        <v>195000</v>
      </c>
      <c r="G45" s="38">
        <f>E45*4500</f>
        <v>135000</v>
      </c>
      <c r="H45" s="38">
        <f>E45*2000</f>
        <v>60000</v>
      </c>
    </row>
    <row r="46" spans="1:8" x14ac:dyDescent="0.25">
      <c r="A46" s="125" t="s">
        <v>17</v>
      </c>
      <c r="B46" s="125"/>
      <c r="C46" s="125"/>
      <c r="D46" s="125"/>
      <c r="E46" s="17">
        <f>SUM(E22:E45)</f>
        <v>1011</v>
      </c>
      <c r="F46" s="17">
        <f>SUM(F22:F45)</f>
        <v>1944800</v>
      </c>
      <c r="G46" s="17">
        <f>SUM(G22:G45)</f>
        <v>724000</v>
      </c>
      <c r="H46" s="17">
        <f>SUM(H22:H45)</f>
        <v>1220800</v>
      </c>
    </row>
    <row r="47" spans="1:8" x14ac:dyDescent="0.25">
      <c r="A47" s="29" t="s">
        <v>28</v>
      </c>
      <c r="B47" s="37">
        <v>45048</v>
      </c>
      <c r="C47" s="29" t="s">
        <v>473</v>
      </c>
      <c r="D47" s="29" t="s">
        <v>13</v>
      </c>
      <c r="E47" s="29">
        <v>10</v>
      </c>
      <c r="F47" s="38">
        <f>E47*6500</f>
        <v>65000</v>
      </c>
      <c r="G47" s="38">
        <f>E47*4500</f>
        <v>45000</v>
      </c>
      <c r="H47" s="38">
        <f>E47*2000</f>
        <v>20000</v>
      </c>
    </row>
    <row r="48" spans="1:8" x14ac:dyDescent="0.25">
      <c r="A48" s="29"/>
      <c r="B48" s="29"/>
      <c r="C48" s="29"/>
      <c r="D48" s="29" t="s">
        <v>14</v>
      </c>
      <c r="E48" s="29">
        <v>5</v>
      </c>
      <c r="F48" s="38">
        <f>E48*10000</f>
        <v>50000</v>
      </c>
      <c r="G48" s="38">
        <f>E48*5500</f>
        <v>27500</v>
      </c>
      <c r="H48" s="38">
        <f>E48*4500</f>
        <v>22500</v>
      </c>
    </row>
    <row r="49" spans="1:8" x14ac:dyDescent="0.25">
      <c r="A49" s="29"/>
      <c r="B49" s="29"/>
      <c r="C49" s="29"/>
      <c r="D49" s="29" t="s">
        <v>14</v>
      </c>
      <c r="E49" s="29">
        <v>1</v>
      </c>
      <c r="F49" s="38">
        <v>8000</v>
      </c>
      <c r="G49" s="38">
        <v>5500</v>
      </c>
      <c r="H49" s="38">
        <v>2500</v>
      </c>
    </row>
    <row r="50" spans="1:8" x14ac:dyDescent="0.25">
      <c r="A50" s="29"/>
      <c r="B50" s="29"/>
      <c r="C50" s="29"/>
      <c r="D50" s="29" t="s">
        <v>425</v>
      </c>
      <c r="E50" s="29">
        <v>7</v>
      </c>
      <c r="F50" s="38">
        <f>E50*2000</f>
        <v>14000</v>
      </c>
      <c r="G50" s="38">
        <v>7000</v>
      </c>
      <c r="H50" s="38">
        <v>7000</v>
      </c>
    </row>
    <row r="51" spans="1:8" x14ac:dyDescent="0.25">
      <c r="A51" s="29"/>
      <c r="B51" s="29"/>
      <c r="C51" s="29"/>
      <c r="D51" s="29" t="s">
        <v>424</v>
      </c>
      <c r="E51" s="29">
        <v>1</v>
      </c>
      <c r="F51" s="38">
        <v>5000</v>
      </c>
      <c r="G51" s="38">
        <v>2500</v>
      </c>
      <c r="H51" s="38">
        <v>2500</v>
      </c>
    </row>
    <row r="52" spans="1:8" x14ac:dyDescent="0.25">
      <c r="A52" s="29"/>
      <c r="B52" s="29"/>
      <c r="C52" s="29"/>
      <c r="D52" s="29" t="s">
        <v>441</v>
      </c>
      <c r="E52" s="29">
        <v>3</v>
      </c>
      <c r="F52" s="38">
        <f>E52*2500</f>
        <v>7500</v>
      </c>
      <c r="G52" s="38">
        <f>E52*1500</f>
        <v>4500</v>
      </c>
      <c r="H52" s="38">
        <v>3000</v>
      </c>
    </row>
    <row r="53" spans="1:8" x14ac:dyDescent="0.25">
      <c r="A53" s="29"/>
      <c r="B53" s="29"/>
      <c r="C53" s="29" t="s">
        <v>474</v>
      </c>
      <c r="D53" s="29" t="s">
        <v>13</v>
      </c>
      <c r="E53" s="29">
        <v>16</v>
      </c>
      <c r="F53" s="38">
        <f>E53*6500</f>
        <v>104000</v>
      </c>
      <c r="G53" s="38">
        <f>E53*4500</f>
        <v>72000</v>
      </c>
      <c r="H53" s="38">
        <f>E53*2000</f>
        <v>32000</v>
      </c>
    </row>
    <row r="54" spans="1:8" x14ac:dyDescent="0.25">
      <c r="A54" s="29"/>
      <c r="B54" s="29"/>
      <c r="C54" s="29"/>
      <c r="D54" s="29" t="s">
        <v>14</v>
      </c>
      <c r="E54" s="29">
        <v>8</v>
      </c>
      <c r="F54" s="38">
        <f>E54*10000</f>
        <v>80000</v>
      </c>
      <c r="G54" s="38">
        <f>E54*5500</f>
        <v>44000</v>
      </c>
      <c r="H54" s="38">
        <f>E54*4500</f>
        <v>36000</v>
      </c>
    </row>
    <row r="55" spans="1:8" x14ac:dyDescent="0.25">
      <c r="A55" s="29"/>
      <c r="B55" s="29"/>
      <c r="C55" s="29" t="s">
        <v>460</v>
      </c>
      <c r="D55" s="29" t="s">
        <v>11</v>
      </c>
      <c r="E55" s="29">
        <v>6</v>
      </c>
      <c r="F55" s="38">
        <f>E55*1500</f>
        <v>9000</v>
      </c>
      <c r="G55" s="38">
        <f>E55*500</f>
        <v>3000</v>
      </c>
      <c r="H55" s="38">
        <v>6000</v>
      </c>
    </row>
    <row r="56" spans="1:8" x14ac:dyDescent="0.25">
      <c r="A56" s="29"/>
      <c r="B56" s="29"/>
      <c r="C56" s="29"/>
      <c r="D56" s="29" t="s">
        <v>13</v>
      </c>
      <c r="E56" s="29">
        <v>9</v>
      </c>
      <c r="F56" s="38">
        <f>E56*6500</f>
        <v>58500</v>
      </c>
      <c r="G56" s="38">
        <f>E56*4500</f>
        <v>40500</v>
      </c>
      <c r="H56" s="38">
        <f>E56*2000</f>
        <v>18000</v>
      </c>
    </row>
    <row r="57" spans="1:8" x14ac:dyDescent="0.25">
      <c r="A57" s="29"/>
      <c r="B57" s="29"/>
      <c r="C57" s="29"/>
      <c r="D57" s="29" t="s">
        <v>14</v>
      </c>
      <c r="E57" s="29">
        <v>9</v>
      </c>
      <c r="F57" s="38">
        <f>E57*10000</f>
        <v>90000</v>
      </c>
      <c r="G57" s="38">
        <f>E57*5500</f>
        <v>49500</v>
      </c>
      <c r="H57" s="38">
        <f>E57*4500</f>
        <v>40500</v>
      </c>
    </row>
    <row r="58" spans="1:8" x14ac:dyDescent="0.25">
      <c r="A58" s="29"/>
      <c r="B58" s="29"/>
      <c r="C58" s="29"/>
      <c r="D58" s="29" t="s">
        <v>415</v>
      </c>
      <c r="E58" s="29">
        <v>2</v>
      </c>
      <c r="F58" s="38">
        <f>E58*3000</f>
        <v>6000</v>
      </c>
      <c r="G58" s="38">
        <v>3000</v>
      </c>
      <c r="H58" s="38">
        <v>3000</v>
      </c>
    </row>
    <row r="59" spans="1:8" x14ac:dyDescent="0.25">
      <c r="A59" s="29"/>
      <c r="B59" s="29"/>
      <c r="C59" s="29"/>
      <c r="D59" s="29" t="s">
        <v>475</v>
      </c>
      <c r="E59" s="29">
        <v>1</v>
      </c>
      <c r="F59" s="38">
        <v>2000</v>
      </c>
      <c r="G59" s="38">
        <v>1000</v>
      </c>
      <c r="H59" s="38">
        <v>1000</v>
      </c>
    </row>
    <row r="60" spans="1:8" x14ac:dyDescent="0.25">
      <c r="A60" s="29"/>
      <c r="B60" s="29"/>
      <c r="C60" s="29" t="s">
        <v>20</v>
      </c>
      <c r="D60" s="29" t="s">
        <v>11</v>
      </c>
      <c r="E60" s="29">
        <v>8</v>
      </c>
      <c r="F60" s="38">
        <f>E60*1500</f>
        <v>12000</v>
      </c>
      <c r="G60" s="38">
        <f>E60*500</f>
        <v>4000</v>
      </c>
      <c r="H60" s="38">
        <v>8000</v>
      </c>
    </row>
    <row r="61" spans="1:8" x14ac:dyDescent="0.25">
      <c r="A61" s="29"/>
      <c r="B61" s="29"/>
      <c r="C61" s="29"/>
      <c r="D61" s="29" t="s">
        <v>13</v>
      </c>
      <c r="E61" s="29">
        <v>14</v>
      </c>
      <c r="F61" s="38">
        <f>E61*6500</f>
        <v>91000</v>
      </c>
      <c r="G61" s="38">
        <f>E61*4500</f>
        <v>63000</v>
      </c>
      <c r="H61" s="38">
        <f>E61*2000</f>
        <v>28000</v>
      </c>
    </row>
    <row r="62" spans="1:8" x14ac:dyDescent="0.25">
      <c r="A62" s="29"/>
      <c r="B62" s="29"/>
      <c r="C62" s="29"/>
      <c r="D62" s="29" t="s">
        <v>14</v>
      </c>
      <c r="E62" s="29">
        <v>32</v>
      </c>
      <c r="F62" s="38">
        <f>E62*10000</f>
        <v>320000</v>
      </c>
      <c r="G62" s="38">
        <f>E62*5500</f>
        <v>176000</v>
      </c>
      <c r="H62" s="38">
        <f>E62*4500</f>
        <v>144000</v>
      </c>
    </row>
    <row r="63" spans="1:8" x14ac:dyDescent="0.25">
      <c r="A63" s="127" t="s">
        <v>17</v>
      </c>
      <c r="B63" s="127"/>
      <c r="C63" s="127"/>
      <c r="D63" s="127"/>
      <c r="E63" s="17">
        <f>SUM(E47:E62)</f>
        <v>132</v>
      </c>
      <c r="F63" s="17">
        <f>SUM(F47:F62)</f>
        <v>922000</v>
      </c>
      <c r="G63" s="17">
        <f>SUM(G47:G62)</f>
        <v>548000</v>
      </c>
      <c r="H63" s="17">
        <f>SUM(H47:H62)</f>
        <v>374000</v>
      </c>
    </row>
    <row r="64" spans="1:8" x14ac:dyDescent="0.25">
      <c r="A64" s="29" t="s">
        <v>30</v>
      </c>
      <c r="B64" s="37">
        <v>45079</v>
      </c>
      <c r="C64" s="29" t="s">
        <v>288</v>
      </c>
      <c r="D64" s="29" t="s">
        <v>11</v>
      </c>
      <c r="E64" s="29">
        <f>30-14</f>
        <v>16</v>
      </c>
      <c r="F64" s="38">
        <f>E64*1800</f>
        <v>28800</v>
      </c>
      <c r="G64" s="38">
        <f>E64*500</f>
        <v>8000</v>
      </c>
      <c r="H64" s="38">
        <f>E64*1300</f>
        <v>20800</v>
      </c>
    </row>
    <row r="65" spans="1:8" x14ac:dyDescent="0.25">
      <c r="A65" s="29"/>
      <c r="B65" s="29"/>
      <c r="C65" s="29" t="s">
        <v>106</v>
      </c>
      <c r="D65" s="29" t="s">
        <v>11</v>
      </c>
      <c r="E65" s="29">
        <v>16</v>
      </c>
      <c r="F65" s="38">
        <f>E65*1500</f>
        <v>24000</v>
      </c>
      <c r="G65" s="38">
        <f>E65*500</f>
        <v>8000</v>
      </c>
      <c r="H65" s="38">
        <f>E65*1000</f>
        <v>16000</v>
      </c>
    </row>
    <row r="66" spans="1:8" x14ac:dyDescent="0.25">
      <c r="A66" s="29"/>
      <c r="B66" s="29"/>
      <c r="C66" s="29" t="s">
        <v>476</v>
      </c>
      <c r="D66" s="29" t="s">
        <v>13</v>
      </c>
      <c r="E66" s="29">
        <v>1</v>
      </c>
      <c r="F66" s="38">
        <v>6500</v>
      </c>
      <c r="G66" s="38">
        <v>4500</v>
      </c>
      <c r="H66" s="38">
        <v>2000</v>
      </c>
    </row>
    <row r="67" spans="1:8" x14ac:dyDescent="0.25">
      <c r="A67" s="29"/>
      <c r="B67" s="29"/>
      <c r="C67" s="29"/>
      <c r="D67" s="29" t="s">
        <v>14</v>
      </c>
      <c r="E67" s="29">
        <v>2</v>
      </c>
      <c r="F67" s="38">
        <v>10000</v>
      </c>
      <c r="G67" s="38">
        <f>E67*5500</f>
        <v>11000</v>
      </c>
      <c r="H67" s="38">
        <f>E67*4500</f>
        <v>9000</v>
      </c>
    </row>
    <row r="68" spans="1:8" x14ac:dyDescent="0.25">
      <c r="A68" s="29"/>
      <c r="B68" s="29"/>
      <c r="C68" s="29" t="s">
        <v>477</v>
      </c>
      <c r="D68" s="29" t="s">
        <v>13</v>
      </c>
      <c r="E68" s="29">
        <v>1</v>
      </c>
      <c r="F68" s="38">
        <v>6500</v>
      </c>
      <c r="G68" s="38">
        <v>4500</v>
      </c>
      <c r="H68" s="38">
        <v>2000</v>
      </c>
    </row>
    <row r="69" spans="1:8" x14ac:dyDescent="0.25">
      <c r="A69" s="29"/>
      <c r="B69" s="29"/>
      <c r="C69" s="29"/>
      <c r="D69" s="29" t="s">
        <v>14</v>
      </c>
      <c r="E69" s="29">
        <v>3</v>
      </c>
      <c r="F69" s="38">
        <f>E69*10000</f>
        <v>30000</v>
      </c>
      <c r="G69" s="38">
        <f>E69*5500</f>
        <v>16500</v>
      </c>
      <c r="H69" s="38">
        <f>E69*4500</f>
        <v>13500</v>
      </c>
    </row>
    <row r="70" spans="1:8" x14ac:dyDescent="0.25">
      <c r="A70" s="125" t="s">
        <v>17</v>
      </c>
      <c r="B70" s="125"/>
      <c r="C70" s="125"/>
      <c r="D70" s="125"/>
      <c r="E70" s="17">
        <f>SUM(E64:E69)</f>
        <v>39</v>
      </c>
      <c r="F70" s="17">
        <f>SUM(F64:F69)</f>
        <v>105800</v>
      </c>
      <c r="G70" s="17">
        <f>SUM(G64:G69)</f>
        <v>52500</v>
      </c>
      <c r="H70" s="17">
        <f>SUM(H64:H69)</f>
        <v>63300</v>
      </c>
    </row>
    <row r="71" spans="1:8" x14ac:dyDescent="0.25">
      <c r="A71" s="29" t="s">
        <v>32</v>
      </c>
      <c r="B71" s="37">
        <v>45109</v>
      </c>
      <c r="C71" s="29" t="s">
        <v>288</v>
      </c>
      <c r="D71" s="29" t="s">
        <v>11</v>
      </c>
      <c r="E71" s="29">
        <f>54-43</f>
        <v>11</v>
      </c>
      <c r="F71" s="38">
        <f>E71*1800</f>
        <v>19800</v>
      </c>
      <c r="G71" s="38">
        <f t="shared" ref="G71:G76" si="5">E71*500</f>
        <v>5500</v>
      </c>
      <c r="H71" s="38">
        <f>E71*1300</f>
        <v>14300</v>
      </c>
    </row>
    <row r="72" spans="1:8" x14ac:dyDescent="0.25">
      <c r="A72" s="29"/>
      <c r="B72" s="29"/>
      <c r="C72" s="29" t="s">
        <v>106</v>
      </c>
      <c r="D72" s="29" t="s">
        <v>11</v>
      </c>
      <c r="E72" s="29">
        <v>14</v>
      </c>
      <c r="F72" s="38">
        <f>E72*1500</f>
        <v>21000</v>
      </c>
      <c r="G72" s="38">
        <f t="shared" si="5"/>
        <v>7000</v>
      </c>
      <c r="H72" s="38">
        <f>E72*1000</f>
        <v>14000</v>
      </c>
    </row>
    <row r="73" spans="1:8" x14ac:dyDescent="0.25">
      <c r="A73" s="29"/>
      <c r="B73" s="29"/>
      <c r="C73" s="29" t="s">
        <v>108</v>
      </c>
      <c r="D73" s="29" t="s">
        <v>11</v>
      </c>
      <c r="E73" s="29">
        <v>3</v>
      </c>
      <c r="F73" s="38">
        <f>E73*1500</f>
        <v>4500</v>
      </c>
      <c r="G73" s="38">
        <f t="shared" si="5"/>
        <v>1500</v>
      </c>
      <c r="H73" s="38">
        <f>E73*1000</f>
        <v>3000</v>
      </c>
    </row>
    <row r="74" spans="1:8" x14ac:dyDescent="0.25">
      <c r="A74" s="29"/>
      <c r="B74" s="29"/>
      <c r="C74" s="29" t="s">
        <v>478</v>
      </c>
      <c r="D74" s="29" t="s">
        <v>11</v>
      </c>
      <c r="E74" s="29">
        <v>50</v>
      </c>
      <c r="F74" s="38">
        <f>E74*1700</f>
        <v>85000</v>
      </c>
      <c r="G74" s="38">
        <f t="shared" si="5"/>
        <v>25000</v>
      </c>
      <c r="H74" s="38">
        <f>E74*1200</f>
        <v>60000</v>
      </c>
    </row>
    <row r="75" spans="1:8" x14ac:dyDescent="0.25">
      <c r="A75" s="29"/>
      <c r="B75" s="29"/>
      <c r="C75" s="29" t="s">
        <v>217</v>
      </c>
      <c r="D75" s="29" t="s">
        <v>11</v>
      </c>
      <c r="E75" s="29">
        <v>22</v>
      </c>
      <c r="F75" s="38">
        <f>E75*1500</f>
        <v>33000</v>
      </c>
      <c r="G75" s="38">
        <f t="shared" si="5"/>
        <v>11000</v>
      </c>
      <c r="H75" s="38">
        <v>22000</v>
      </c>
    </row>
    <row r="76" spans="1:8" x14ac:dyDescent="0.25">
      <c r="A76" s="29"/>
      <c r="B76" s="29"/>
      <c r="C76" s="29" t="s">
        <v>16</v>
      </c>
      <c r="D76" s="29" t="s">
        <v>11</v>
      </c>
      <c r="E76" s="29">
        <v>49</v>
      </c>
      <c r="F76" s="38">
        <f>E76*1500</f>
        <v>73500</v>
      </c>
      <c r="G76" s="38">
        <f t="shared" si="5"/>
        <v>24500</v>
      </c>
      <c r="H76" s="38">
        <v>49000</v>
      </c>
    </row>
    <row r="77" spans="1:8" x14ac:dyDescent="0.25">
      <c r="A77" s="29"/>
      <c r="B77" s="29"/>
      <c r="C77" s="29"/>
      <c r="D77" s="29" t="s">
        <v>12</v>
      </c>
      <c r="E77" s="29">
        <v>3</v>
      </c>
      <c r="F77" s="38">
        <f>E77*3000</f>
        <v>9000</v>
      </c>
      <c r="G77" s="38">
        <f>E77*2000</f>
        <v>6000</v>
      </c>
      <c r="H77" s="38">
        <v>3000</v>
      </c>
    </row>
    <row r="78" spans="1:8" x14ac:dyDescent="0.25">
      <c r="A78" s="29"/>
      <c r="B78" s="29"/>
      <c r="C78" s="29" t="s">
        <v>479</v>
      </c>
      <c r="D78" s="29" t="s">
        <v>14</v>
      </c>
      <c r="E78" s="29">
        <v>1</v>
      </c>
      <c r="F78" s="38">
        <v>8000</v>
      </c>
      <c r="G78" s="38">
        <v>5500</v>
      </c>
      <c r="H78" s="38">
        <v>2500</v>
      </c>
    </row>
    <row r="79" spans="1:8" x14ac:dyDescent="0.25">
      <c r="A79" s="29"/>
      <c r="B79" s="29"/>
      <c r="C79" s="29"/>
      <c r="D79" s="29" t="s">
        <v>14</v>
      </c>
      <c r="E79" s="29">
        <v>4</v>
      </c>
      <c r="F79" s="38">
        <f>E79*10000</f>
        <v>40000</v>
      </c>
      <c r="G79" s="38">
        <f>E79*5500</f>
        <v>22000</v>
      </c>
      <c r="H79" s="38">
        <f>E79*4500</f>
        <v>18000</v>
      </c>
    </row>
    <row r="80" spans="1:8" x14ac:dyDescent="0.25">
      <c r="A80" s="29"/>
      <c r="B80" s="29"/>
      <c r="C80" s="29"/>
      <c r="D80" s="29" t="s">
        <v>415</v>
      </c>
      <c r="E80" s="29">
        <v>1</v>
      </c>
      <c r="F80" s="38">
        <v>3500</v>
      </c>
      <c r="G80" s="38">
        <v>1500</v>
      </c>
      <c r="H80" s="38">
        <v>2000</v>
      </c>
    </row>
    <row r="81" spans="1:8" x14ac:dyDescent="0.25">
      <c r="A81" s="29"/>
      <c r="B81" s="29"/>
      <c r="C81" s="29"/>
      <c r="D81" s="29" t="s">
        <v>436</v>
      </c>
      <c r="E81" s="29">
        <v>2</v>
      </c>
      <c r="F81" s="38">
        <f>E81*2000</f>
        <v>4000</v>
      </c>
      <c r="G81" s="38">
        <v>2000</v>
      </c>
      <c r="H81" s="38">
        <v>2000</v>
      </c>
    </row>
    <row r="82" spans="1:8" x14ac:dyDescent="0.25">
      <c r="A82" s="125" t="s">
        <v>17</v>
      </c>
      <c r="B82" s="125"/>
      <c r="C82" s="125"/>
      <c r="D82" s="125"/>
      <c r="E82" s="17">
        <f>SUM(E71:E81)</f>
        <v>160</v>
      </c>
      <c r="F82" s="17">
        <f>SUM(F71:F81)</f>
        <v>301300</v>
      </c>
      <c r="G82" s="17">
        <f>SUM(G71:G81)</f>
        <v>111500</v>
      </c>
      <c r="H82" s="17">
        <f>SUM(H71:H81)</f>
        <v>189800</v>
      </c>
    </row>
    <row r="83" spans="1:8" x14ac:dyDescent="0.25">
      <c r="A83" s="29" t="s">
        <v>8</v>
      </c>
      <c r="B83" s="37">
        <v>45140</v>
      </c>
      <c r="C83" s="29" t="s">
        <v>288</v>
      </c>
      <c r="D83" s="29" t="s">
        <v>11</v>
      </c>
      <c r="E83" s="29">
        <f>60-17</f>
        <v>43</v>
      </c>
      <c r="F83" s="38">
        <f>E83*1800</f>
        <v>77400</v>
      </c>
      <c r="G83" s="38">
        <f>E83*500</f>
        <v>21500</v>
      </c>
      <c r="H83" s="38">
        <f>E83*1300</f>
        <v>55900</v>
      </c>
    </row>
    <row r="84" spans="1:8" x14ac:dyDescent="0.25">
      <c r="A84" s="29"/>
      <c r="B84" s="29"/>
      <c r="C84" s="29" t="s">
        <v>106</v>
      </c>
      <c r="D84" s="29" t="s">
        <v>11</v>
      </c>
      <c r="E84" s="29">
        <v>14</v>
      </c>
      <c r="F84" s="38">
        <f>E84*1500</f>
        <v>21000</v>
      </c>
      <c r="G84" s="38">
        <f>E84*500</f>
        <v>7000</v>
      </c>
      <c r="H84" s="38">
        <f>E84*1000</f>
        <v>14000</v>
      </c>
    </row>
    <row r="85" spans="1:8" x14ac:dyDescent="0.25">
      <c r="A85" s="29"/>
      <c r="B85" s="29"/>
      <c r="C85" s="29" t="s">
        <v>478</v>
      </c>
      <c r="D85" s="29" t="s">
        <v>11</v>
      </c>
      <c r="E85" s="29">
        <v>56</v>
      </c>
      <c r="F85" s="38">
        <f>E85*1700</f>
        <v>95200</v>
      </c>
      <c r="G85" s="38">
        <f>E85*500</f>
        <v>28000</v>
      </c>
      <c r="H85" s="38">
        <f>E85*1200</f>
        <v>67200</v>
      </c>
    </row>
    <row r="86" spans="1:8" x14ac:dyDescent="0.25">
      <c r="A86" s="29"/>
      <c r="B86" s="29"/>
      <c r="C86" s="29" t="s">
        <v>16</v>
      </c>
      <c r="D86" s="29" t="s">
        <v>11</v>
      </c>
      <c r="E86" s="29">
        <v>41</v>
      </c>
      <c r="F86" s="38">
        <f>E86*1500</f>
        <v>61500</v>
      </c>
      <c r="G86" s="38">
        <f>E86*500</f>
        <v>20500</v>
      </c>
      <c r="H86" s="38">
        <f>E86*1000</f>
        <v>41000</v>
      </c>
    </row>
    <row r="87" spans="1:8" x14ac:dyDescent="0.25">
      <c r="A87" s="29"/>
      <c r="B87" s="29"/>
      <c r="C87" s="29"/>
      <c r="D87" s="29" t="s">
        <v>12</v>
      </c>
      <c r="E87" s="29">
        <v>2</v>
      </c>
      <c r="F87" s="38">
        <f>E87*3000</f>
        <v>6000</v>
      </c>
      <c r="G87" s="38">
        <f>E87*2000</f>
        <v>4000</v>
      </c>
      <c r="H87" s="38">
        <v>2000</v>
      </c>
    </row>
    <row r="88" spans="1:8" x14ac:dyDescent="0.25">
      <c r="A88" s="29"/>
      <c r="B88" s="29"/>
      <c r="C88" s="29" t="s">
        <v>20</v>
      </c>
      <c r="D88" s="29" t="s">
        <v>13</v>
      </c>
      <c r="E88" s="29">
        <v>50</v>
      </c>
      <c r="F88" s="38">
        <f>E88*6500</f>
        <v>325000</v>
      </c>
      <c r="G88" s="38">
        <f>E88*4500</f>
        <v>225000</v>
      </c>
      <c r="H88" s="38">
        <f>E88*2000</f>
        <v>100000</v>
      </c>
    </row>
    <row r="89" spans="1:8" x14ac:dyDescent="0.25">
      <c r="A89" s="125" t="s">
        <v>17</v>
      </c>
      <c r="B89" s="125"/>
      <c r="C89" s="125"/>
      <c r="D89" s="125"/>
      <c r="E89" s="17">
        <f>SUM(E83:E88)</f>
        <v>206</v>
      </c>
      <c r="F89" s="17">
        <f>SUM(F83:F88)</f>
        <v>586100</v>
      </c>
      <c r="G89" s="17">
        <f>SUM(G83:G88)</f>
        <v>306000</v>
      </c>
      <c r="H89" s="17">
        <f>SUM(H83:H88)</f>
        <v>280100</v>
      </c>
    </row>
    <row r="90" spans="1:8" x14ac:dyDescent="0.25">
      <c r="A90" s="29" t="s">
        <v>18</v>
      </c>
      <c r="B90" s="37">
        <v>45171</v>
      </c>
      <c r="C90" s="29" t="s">
        <v>288</v>
      </c>
      <c r="D90" s="29" t="s">
        <v>11</v>
      </c>
      <c r="E90" s="29">
        <f>57-35</f>
        <v>22</v>
      </c>
      <c r="F90" s="38">
        <f>E90*1800</f>
        <v>39600</v>
      </c>
      <c r="G90" s="38">
        <f>E90*500</f>
        <v>11000</v>
      </c>
      <c r="H90" s="38">
        <f>E90*1300</f>
        <v>28600</v>
      </c>
    </row>
    <row r="91" spans="1:8" x14ac:dyDescent="0.25">
      <c r="A91" s="29"/>
      <c r="B91" s="29"/>
      <c r="C91" s="29" t="s">
        <v>106</v>
      </c>
      <c r="D91" s="29" t="s">
        <v>11</v>
      </c>
      <c r="E91" s="29">
        <v>18</v>
      </c>
      <c r="F91" s="38">
        <f>E91*1500</f>
        <v>27000</v>
      </c>
      <c r="G91" s="38">
        <f>E91*500</f>
        <v>9000</v>
      </c>
      <c r="H91" s="38">
        <v>18000</v>
      </c>
    </row>
    <row r="92" spans="1:8" x14ac:dyDescent="0.25">
      <c r="A92" s="29"/>
      <c r="B92" s="29"/>
      <c r="C92" s="29" t="s">
        <v>478</v>
      </c>
      <c r="D92" s="29" t="s">
        <v>11</v>
      </c>
      <c r="E92" s="29">
        <v>50</v>
      </c>
      <c r="F92" s="38">
        <f>E92*1700</f>
        <v>85000</v>
      </c>
      <c r="G92" s="38">
        <f>E92*500</f>
        <v>25000</v>
      </c>
      <c r="H92" s="38">
        <f>E92*1200</f>
        <v>60000</v>
      </c>
    </row>
    <row r="93" spans="1:8" x14ac:dyDescent="0.25">
      <c r="A93" s="29"/>
      <c r="B93" s="29"/>
      <c r="C93" s="29" t="s">
        <v>16</v>
      </c>
      <c r="D93" s="29" t="s">
        <v>11</v>
      </c>
      <c r="E93" s="29">
        <v>30</v>
      </c>
      <c r="F93" s="38">
        <f>E93*1500</f>
        <v>45000</v>
      </c>
      <c r="G93" s="38">
        <f>E93*500</f>
        <v>15000</v>
      </c>
      <c r="H93" s="38">
        <v>30000</v>
      </c>
    </row>
    <row r="94" spans="1:8" x14ac:dyDescent="0.25">
      <c r="A94" s="29"/>
      <c r="B94" s="29"/>
      <c r="C94" s="29"/>
      <c r="D94" s="29" t="s">
        <v>12</v>
      </c>
      <c r="E94" s="29">
        <v>2</v>
      </c>
      <c r="F94" s="38">
        <f>E94*3000</f>
        <v>6000</v>
      </c>
      <c r="G94" s="38">
        <f>E94*2000</f>
        <v>4000</v>
      </c>
      <c r="H94" s="38">
        <v>2000</v>
      </c>
    </row>
    <row r="95" spans="1:8" x14ac:dyDescent="0.25">
      <c r="A95" s="29"/>
      <c r="B95" s="29"/>
      <c r="C95" s="29"/>
      <c r="D95" s="29" t="s">
        <v>13</v>
      </c>
      <c r="E95" s="29">
        <v>1</v>
      </c>
      <c r="F95" s="38">
        <v>6500</v>
      </c>
      <c r="G95" s="38">
        <v>4500</v>
      </c>
      <c r="H95" s="38">
        <v>2000</v>
      </c>
    </row>
    <row r="96" spans="1:8" x14ac:dyDescent="0.25">
      <c r="A96" s="125" t="s">
        <v>17</v>
      </c>
      <c r="B96" s="125"/>
      <c r="C96" s="125"/>
      <c r="D96" s="125"/>
      <c r="E96" s="17">
        <f>SUM(E90:E95)</f>
        <v>123</v>
      </c>
      <c r="F96" s="17">
        <f>SUM(F90:F95)</f>
        <v>209100</v>
      </c>
      <c r="G96" s="17">
        <f>SUM(G90:G95)</f>
        <v>68500</v>
      </c>
      <c r="H96" s="17">
        <f>SUM(H90:H95)</f>
        <v>140600</v>
      </c>
    </row>
    <row r="97" spans="1:8" x14ac:dyDescent="0.25">
      <c r="A97" s="29" t="s">
        <v>22</v>
      </c>
      <c r="B97" s="37">
        <v>45201</v>
      </c>
      <c r="C97" s="29" t="s">
        <v>288</v>
      </c>
      <c r="D97" s="29" t="s">
        <v>11</v>
      </c>
      <c r="E97" s="29">
        <f>55-22</f>
        <v>33</v>
      </c>
      <c r="F97" s="38">
        <f>E97*1800</f>
        <v>59400</v>
      </c>
      <c r="G97" s="38">
        <f>E97*500</f>
        <v>16500</v>
      </c>
      <c r="H97" s="38">
        <f>E97*1300</f>
        <v>42900</v>
      </c>
    </row>
    <row r="98" spans="1:8" x14ac:dyDescent="0.25">
      <c r="A98" s="29"/>
      <c r="B98" s="29"/>
      <c r="C98" s="29" t="s">
        <v>106</v>
      </c>
      <c r="D98" s="29" t="s">
        <v>11</v>
      </c>
      <c r="E98" s="29">
        <v>18</v>
      </c>
      <c r="F98" s="38">
        <f>E98*1500</f>
        <v>27000</v>
      </c>
      <c r="G98" s="38">
        <f>E98*500</f>
        <v>9000</v>
      </c>
      <c r="H98" s="38">
        <f>E98*1000</f>
        <v>18000</v>
      </c>
    </row>
    <row r="99" spans="1:8" x14ac:dyDescent="0.25">
      <c r="A99" s="29"/>
      <c r="B99" s="29"/>
      <c r="C99" s="29" t="s">
        <v>478</v>
      </c>
      <c r="D99" s="29" t="s">
        <v>11</v>
      </c>
      <c r="E99" s="29">
        <v>50</v>
      </c>
      <c r="F99" s="38">
        <f>E99*1700</f>
        <v>85000</v>
      </c>
      <c r="G99" s="38">
        <f>E99*500</f>
        <v>25000</v>
      </c>
      <c r="H99" s="38">
        <f>E99*1200</f>
        <v>60000</v>
      </c>
    </row>
    <row r="100" spans="1:8" x14ac:dyDescent="0.25">
      <c r="A100" s="29"/>
      <c r="B100" s="29"/>
      <c r="C100" s="29" t="s">
        <v>217</v>
      </c>
      <c r="D100" s="29" t="s">
        <v>11</v>
      </c>
      <c r="E100" s="29">
        <v>80</v>
      </c>
      <c r="F100" s="38">
        <f>E100*1500</f>
        <v>120000</v>
      </c>
      <c r="G100" s="38">
        <f>E100*500</f>
        <v>40000</v>
      </c>
      <c r="H100" s="38">
        <v>80000</v>
      </c>
    </row>
    <row r="101" spans="1:8" x14ac:dyDescent="0.25">
      <c r="A101" s="29"/>
      <c r="B101" s="29"/>
      <c r="C101" s="29" t="s">
        <v>16</v>
      </c>
      <c r="D101" s="29" t="s">
        <v>11</v>
      </c>
      <c r="E101" s="29">
        <v>27</v>
      </c>
      <c r="F101" s="38">
        <f>E101*1500</f>
        <v>40500</v>
      </c>
      <c r="G101" s="38">
        <f>E101*500</f>
        <v>13500</v>
      </c>
      <c r="H101" s="38">
        <v>27000</v>
      </c>
    </row>
    <row r="102" spans="1:8" x14ac:dyDescent="0.25">
      <c r="A102" s="29"/>
      <c r="B102" s="29"/>
      <c r="C102" s="29"/>
      <c r="D102" s="29" t="s">
        <v>12</v>
      </c>
      <c r="E102" s="29">
        <v>1</v>
      </c>
      <c r="F102" s="38">
        <v>3000</v>
      </c>
      <c r="G102" s="38">
        <v>2000</v>
      </c>
      <c r="H102" s="38">
        <v>1000</v>
      </c>
    </row>
    <row r="103" spans="1:8" x14ac:dyDescent="0.25">
      <c r="A103" s="29"/>
      <c r="B103" s="29"/>
      <c r="C103" s="29"/>
      <c r="D103" s="29" t="s">
        <v>14</v>
      </c>
      <c r="E103" s="29">
        <v>1</v>
      </c>
      <c r="F103" s="38">
        <v>10000</v>
      </c>
      <c r="G103" s="38">
        <v>5500</v>
      </c>
      <c r="H103" s="38">
        <v>4500</v>
      </c>
    </row>
    <row r="104" spans="1:8" x14ac:dyDescent="0.25">
      <c r="A104" s="29"/>
      <c r="B104" s="29"/>
      <c r="C104" s="29" t="s">
        <v>24</v>
      </c>
      <c r="D104" s="29" t="s">
        <v>243</v>
      </c>
      <c r="E104" s="29">
        <v>2</v>
      </c>
      <c r="F104" s="38">
        <f>E104*15000</f>
        <v>30000</v>
      </c>
      <c r="G104" s="38">
        <f>E104*10000</f>
        <v>20000</v>
      </c>
      <c r="H104" s="38">
        <f>E104*3000</f>
        <v>6000</v>
      </c>
    </row>
    <row r="105" spans="1:8" x14ac:dyDescent="0.25">
      <c r="A105" s="29"/>
      <c r="B105" s="29"/>
      <c r="C105" s="29" t="s">
        <v>472</v>
      </c>
      <c r="D105" s="29" t="s">
        <v>243</v>
      </c>
      <c r="E105" s="29">
        <v>1</v>
      </c>
      <c r="F105" s="38">
        <f>E105*15000</f>
        <v>15000</v>
      </c>
      <c r="G105" s="38">
        <f>E105*10000</f>
        <v>10000</v>
      </c>
      <c r="H105" s="38">
        <f>E105*3000</f>
        <v>3000</v>
      </c>
    </row>
    <row r="106" spans="1:8" x14ac:dyDescent="0.25">
      <c r="A106" s="125" t="s">
        <v>17</v>
      </c>
      <c r="B106" s="125"/>
      <c r="C106" s="125"/>
      <c r="D106" s="125"/>
      <c r="E106" s="17">
        <f>SUM(E97:E105)</f>
        <v>213</v>
      </c>
      <c r="F106" s="17">
        <f>SUM(F97:F105)</f>
        <v>389900</v>
      </c>
      <c r="G106" s="17">
        <f>SUM(G97:G105)</f>
        <v>141500</v>
      </c>
      <c r="H106" s="17">
        <f>SUM(H97:H105)</f>
        <v>242400</v>
      </c>
    </row>
    <row r="107" spans="1:8" x14ac:dyDescent="0.25">
      <c r="A107" s="29" t="s">
        <v>26</v>
      </c>
      <c r="B107" s="37">
        <v>45232</v>
      </c>
      <c r="C107" s="29" t="s">
        <v>288</v>
      </c>
      <c r="D107" s="29" t="s">
        <v>11</v>
      </c>
      <c r="E107" s="29">
        <f>46-17</f>
        <v>29</v>
      </c>
      <c r="F107" s="38">
        <f>E107*1800</f>
        <v>52200</v>
      </c>
      <c r="G107" s="38">
        <f>E107*500</f>
        <v>14500</v>
      </c>
      <c r="H107" s="38">
        <f>E107*1300</f>
        <v>37700</v>
      </c>
    </row>
    <row r="108" spans="1:8" x14ac:dyDescent="0.25">
      <c r="A108" s="29"/>
      <c r="B108" s="29"/>
      <c r="C108" s="29" t="s">
        <v>108</v>
      </c>
      <c r="D108" s="29" t="s">
        <v>11</v>
      </c>
      <c r="E108" s="29">
        <f>26-7</f>
        <v>19</v>
      </c>
      <c r="F108" s="38">
        <f>E108*1500</f>
        <v>28500</v>
      </c>
      <c r="G108" s="38">
        <f>E108*500</f>
        <v>9500</v>
      </c>
      <c r="H108" s="38">
        <f>E108*1000</f>
        <v>19000</v>
      </c>
    </row>
    <row r="109" spans="1:8" x14ac:dyDescent="0.25">
      <c r="A109" s="29"/>
      <c r="B109" s="29"/>
      <c r="C109" s="29" t="s">
        <v>16</v>
      </c>
      <c r="D109" s="29" t="s">
        <v>11</v>
      </c>
      <c r="E109" s="29">
        <v>22</v>
      </c>
      <c r="F109" s="38">
        <f>E109*1500</f>
        <v>33000</v>
      </c>
      <c r="G109" s="38">
        <f>E109*500</f>
        <v>11000</v>
      </c>
      <c r="H109" s="38">
        <v>22000</v>
      </c>
    </row>
    <row r="110" spans="1:8" x14ac:dyDescent="0.25">
      <c r="A110" s="29"/>
      <c r="B110" s="29"/>
      <c r="C110" s="29"/>
      <c r="D110" s="29" t="s">
        <v>12</v>
      </c>
      <c r="E110" s="29">
        <v>1</v>
      </c>
      <c r="F110" s="38">
        <v>3000</v>
      </c>
      <c r="G110" s="38">
        <v>2000</v>
      </c>
      <c r="H110" s="38">
        <v>1000</v>
      </c>
    </row>
    <row r="111" spans="1:8" x14ac:dyDescent="0.25">
      <c r="A111" s="29"/>
      <c r="B111" s="29"/>
      <c r="C111" s="29" t="s">
        <v>435</v>
      </c>
      <c r="D111" s="29" t="s">
        <v>13</v>
      </c>
      <c r="E111" s="29">
        <v>4</v>
      </c>
      <c r="F111" s="38">
        <f>E111*6500</f>
        <v>26000</v>
      </c>
      <c r="G111" s="38">
        <f>E111*4500</f>
        <v>18000</v>
      </c>
      <c r="H111" s="38">
        <f>E111*2000</f>
        <v>8000</v>
      </c>
    </row>
    <row r="112" spans="1:8" x14ac:dyDescent="0.25">
      <c r="A112" s="29"/>
      <c r="B112" s="29"/>
      <c r="C112" s="29"/>
      <c r="D112" s="29" t="s">
        <v>14</v>
      </c>
      <c r="E112" s="29">
        <v>5</v>
      </c>
      <c r="F112" s="38">
        <f>E112*10000</f>
        <v>50000</v>
      </c>
      <c r="G112" s="38">
        <f>E112*5500</f>
        <v>27500</v>
      </c>
      <c r="H112" s="38">
        <f>E112*4500</f>
        <v>22500</v>
      </c>
    </row>
    <row r="113" spans="1:8" x14ac:dyDescent="0.25">
      <c r="A113" s="125" t="s">
        <v>17</v>
      </c>
      <c r="B113" s="125"/>
      <c r="C113" s="125"/>
      <c r="D113" s="125"/>
      <c r="E113" s="17">
        <f>SUM(E107:E112)</f>
        <v>80</v>
      </c>
      <c r="F113" s="17">
        <f>SUM(F107:F112)</f>
        <v>192700</v>
      </c>
      <c r="G113" s="17">
        <f>SUM(G107:G112)</f>
        <v>82500</v>
      </c>
      <c r="H113" s="17">
        <f>SUM(H107:H112)</f>
        <v>110200</v>
      </c>
    </row>
    <row r="114" spans="1:8" x14ac:dyDescent="0.25">
      <c r="A114" s="29" t="s">
        <v>28</v>
      </c>
      <c r="B114" s="37">
        <v>45262</v>
      </c>
      <c r="C114" s="29" t="s">
        <v>217</v>
      </c>
      <c r="D114" s="29" t="s">
        <v>11</v>
      </c>
      <c r="E114" s="29">
        <v>55</v>
      </c>
      <c r="F114" s="38">
        <f>E114*1500</f>
        <v>82500</v>
      </c>
      <c r="G114" s="38">
        <f>E114*500</f>
        <v>27500</v>
      </c>
      <c r="H114" s="38">
        <f>E114*1000</f>
        <v>55000</v>
      </c>
    </row>
    <row r="115" spans="1:8" x14ac:dyDescent="0.25">
      <c r="A115" s="29"/>
      <c r="B115" s="29"/>
      <c r="C115" s="29"/>
      <c r="D115" s="29" t="s">
        <v>11</v>
      </c>
      <c r="E115" s="29">
        <v>15</v>
      </c>
      <c r="F115" s="38">
        <f>E115*1500</f>
        <v>22500</v>
      </c>
      <c r="G115" s="38">
        <f>E115*500</f>
        <v>7500</v>
      </c>
      <c r="H115" s="38">
        <f>E115*1000</f>
        <v>15000</v>
      </c>
    </row>
    <row r="116" spans="1:8" x14ac:dyDescent="0.25">
      <c r="A116" s="29"/>
      <c r="B116" s="29"/>
      <c r="C116" s="29"/>
      <c r="D116" s="29" t="s">
        <v>13</v>
      </c>
      <c r="E116" s="29">
        <v>20</v>
      </c>
      <c r="F116" s="38">
        <f>E116*6500</f>
        <v>130000</v>
      </c>
      <c r="G116" s="38">
        <f>E116*4500</f>
        <v>90000</v>
      </c>
      <c r="H116" s="38">
        <f>E116*2000</f>
        <v>40000</v>
      </c>
    </row>
    <row r="117" spans="1:8" x14ac:dyDescent="0.25">
      <c r="A117" s="29"/>
      <c r="B117" s="29"/>
      <c r="C117" s="29"/>
      <c r="D117" s="29" t="s">
        <v>14</v>
      </c>
      <c r="E117" s="29">
        <v>3</v>
      </c>
      <c r="F117" s="38">
        <f>E117*8000</f>
        <v>24000</v>
      </c>
      <c r="G117" s="38">
        <f>E117*5500</f>
        <v>16500</v>
      </c>
      <c r="H117" s="38">
        <f>E117*2500</f>
        <v>7500</v>
      </c>
    </row>
    <row r="118" spans="1:8" x14ac:dyDescent="0.25">
      <c r="A118" s="29"/>
      <c r="B118" s="29"/>
      <c r="C118" s="29"/>
      <c r="D118" s="29" t="s">
        <v>14</v>
      </c>
      <c r="E118" s="29">
        <v>12</v>
      </c>
      <c r="F118" s="38">
        <f>E118*10000</f>
        <v>120000</v>
      </c>
      <c r="G118" s="38">
        <f>E118*5500</f>
        <v>66000</v>
      </c>
      <c r="H118" s="38">
        <f>E118*4500</f>
        <v>54000</v>
      </c>
    </row>
    <row r="119" spans="1:8" x14ac:dyDescent="0.25">
      <c r="A119" s="29"/>
      <c r="B119" s="29"/>
      <c r="C119" s="29"/>
      <c r="D119" s="29" t="s">
        <v>425</v>
      </c>
      <c r="E119" s="29">
        <v>6</v>
      </c>
      <c r="F119" s="38">
        <f>E119*2000</f>
        <v>12000</v>
      </c>
      <c r="G119" s="38">
        <v>6000</v>
      </c>
      <c r="H119" s="38">
        <v>6000</v>
      </c>
    </row>
    <row r="120" spans="1:8" x14ac:dyDescent="0.25">
      <c r="A120" s="29"/>
      <c r="B120" s="29"/>
      <c r="C120" s="29"/>
      <c r="D120" s="29" t="s">
        <v>441</v>
      </c>
      <c r="E120" s="29">
        <v>4</v>
      </c>
      <c r="F120" s="38">
        <f>E120*3000</f>
        <v>12000</v>
      </c>
      <c r="G120" s="38">
        <v>6000</v>
      </c>
      <c r="H120" s="38">
        <v>6000</v>
      </c>
    </row>
    <row r="121" spans="1:8" x14ac:dyDescent="0.25">
      <c r="A121" s="29"/>
      <c r="B121" s="29"/>
      <c r="C121" s="29"/>
      <c r="D121" s="29" t="s">
        <v>480</v>
      </c>
      <c r="E121" s="29">
        <v>1</v>
      </c>
      <c r="F121" s="38">
        <v>5000</v>
      </c>
      <c r="G121" s="38">
        <v>2500</v>
      </c>
      <c r="H121" s="38">
        <v>2500</v>
      </c>
    </row>
    <row r="122" spans="1:8" x14ac:dyDescent="0.25">
      <c r="A122" s="29"/>
      <c r="B122" s="29"/>
      <c r="C122" s="29" t="s">
        <v>481</v>
      </c>
      <c r="D122" s="29" t="s">
        <v>11</v>
      </c>
      <c r="E122" s="29">
        <v>5</v>
      </c>
      <c r="F122" s="38">
        <f>E122*1500</f>
        <v>7500</v>
      </c>
      <c r="G122" s="38">
        <f>E122*500</f>
        <v>2500</v>
      </c>
      <c r="H122" s="38">
        <f>E122*1000</f>
        <v>5000</v>
      </c>
    </row>
    <row r="123" spans="1:8" x14ac:dyDescent="0.25">
      <c r="A123" s="29"/>
      <c r="B123" s="29"/>
      <c r="C123" s="29"/>
      <c r="D123" s="29" t="s">
        <v>13</v>
      </c>
      <c r="E123" s="29">
        <v>11</v>
      </c>
      <c r="F123" s="38">
        <f>E123*6500</f>
        <v>71500</v>
      </c>
      <c r="G123" s="38">
        <f>E123*4500</f>
        <v>49500</v>
      </c>
      <c r="H123" s="38">
        <f>E123*2000</f>
        <v>22000</v>
      </c>
    </row>
    <row r="124" spans="1:8" x14ac:dyDescent="0.25">
      <c r="A124" s="29"/>
      <c r="B124" s="29"/>
      <c r="C124" s="29"/>
      <c r="D124" s="29" t="s">
        <v>14</v>
      </c>
      <c r="E124" s="29">
        <v>9</v>
      </c>
      <c r="F124" s="38">
        <f>E124*10000</f>
        <v>90000</v>
      </c>
      <c r="G124" s="38">
        <f>E124*5500</f>
        <v>49500</v>
      </c>
      <c r="H124" s="38">
        <f>E124*4500</f>
        <v>40500</v>
      </c>
    </row>
    <row r="125" spans="1:8" x14ac:dyDescent="0.25">
      <c r="A125" s="29"/>
      <c r="B125" s="29"/>
      <c r="C125" s="29" t="s">
        <v>81</v>
      </c>
      <c r="D125" s="29" t="s">
        <v>11</v>
      </c>
      <c r="E125" s="29">
        <v>75</v>
      </c>
      <c r="F125" s="38">
        <f t="shared" ref="F125:F130" si="6">E125*1800</f>
        <v>135000</v>
      </c>
      <c r="G125" s="38">
        <f t="shared" ref="G125:G130" si="7">E125*500</f>
        <v>37500</v>
      </c>
      <c r="H125" s="38">
        <f t="shared" ref="H125:H130" si="8">E125*1300</f>
        <v>97500</v>
      </c>
    </row>
    <row r="126" spans="1:8" x14ac:dyDescent="0.25">
      <c r="A126" s="29"/>
      <c r="B126" s="29"/>
      <c r="C126" s="29"/>
      <c r="D126" s="29" t="s">
        <v>11</v>
      </c>
      <c r="E126" s="29">
        <v>75</v>
      </c>
      <c r="F126" s="38">
        <f t="shared" si="6"/>
        <v>135000</v>
      </c>
      <c r="G126" s="38">
        <f t="shared" si="7"/>
        <v>37500</v>
      </c>
      <c r="H126" s="38">
        <f t="shared" si="8"/>
        <v>97500</v>
      </c>
    </row>
    <row r="127" spans="1:8" x14ac:dyDescent="0.25">
      <c r="A127" s="29"/>
      <c r="B127" s="29"/>
      <c r="C127" s="29"/>
      <c r="D127" s="29" t="s">
        <v>11</v>
      </c>
      <c r="E127" s="29">
        <v>75</v>
      </c>
      <c r="F127" s="38">
        <f t="shared" si="6"/>
        <v>135000</v>
      </c>
      <c r="G127" s="38">
        <f t="shared" si="7"/>
        <v>37500</v>
      </c>
      <c r="H127" s="38">
        <f t="shared" si="8"/>
        <v>97500</v>
      </c>
    </row>
    <row r="128" spans="1:8" x14ac:dyDescent="0.25">
      <c r="A128" s="29"/>
      <c r="B128" s="29"/>
      <c r="C128" s="29"/>
      <c r="D128" s="29" t="s">
        <v>11</v>
      </c>
      <c r="E128" s="29">
        <v>71</v>
      </c>
      <c r="F128" s="38">
        <f t="shared" si="6"/>
        <v>127800</v>
      </c>
      <c r="G128" s="38">
        <f t="shared" si="7"/>
        <v>35500</v>
      </c>
      <c r="H128" s="38">
        <f t="shared" si="8"/>
        <v>92300</v>
      </c>
    </row>
    <row r="129" spans="1:8" x14ac:dyDescent="0.25">
      <c r="A129" s="29"/>
      <c r="B129" s="29"/>
      <c r="C129" s="29"/>
      <c r="D129" s="29" t="s">
        <v>11</v>
      </c>
      <c r="E129" s="29">
        <v>73</v>
      </c>
      <c r="F129" s="38">
        <f t="shared" si="6"/>
        <v>131400</v>
      </c>
      <c r="G129" s="38">
        <f t="shared" si="7"/>
        <v>36500</v>
      </c>
      <c r="H129" s="38">
        <f t="shared" si="8"/>
        <v>94900</v>
      </c>
    </row>
    <row r="130" spans="1:8" x14ac:dyDescent="0.25">
      <c r="A130" s="29"/>
      <c r="B130" s="29"/>
      <c r="C130" s="29"/>
      <c r="D130" s="29" t="s">
        <v>11</v>
      </c>
      <c r="E130" s="29">
        <f>75-15</f>
        <v>60</v>
      </c>
      <c r="F130" s="38">
        <f t="shared" si="6"/>
        <v>108000</v>
      </c>
      <c r="G130" s="38">
        <f t="shared" si="7"/>
        <v>30000</v>
      </c>
      <c r="H130" s="38">
        <f t="shared" si="8"/>
        <v>78000</v>
      </c>
    </row>
    <row r="131" spans="1:8" x14ac:dyDescent="0.25">
      <c r="A131" s="125" t="s">
        <v>17</v>
      </c>
      <c r="B131" s="125"/>
      <c r="C131" s="125"/>
      <c r="D131" s="125"/>
      <c r="E131" s="17">
        <f>SUM(E114:E130)</f>
        <v>570</v>
      </c>
      <c r="F131" s="17">
        <f>SUM(F114:F130)</f>
        <v>1349200</v>
      </c>
      <c r="G131" s="17">
        <f>SUM(G114:G130)</f>
        <v>538000</v>
      </c>
      <c r="H131" s="17">
        <f>SUM(H114:H130)</f>
        <v>811200</v>
      </c>
    </row>
    <row r="132" spans="1:8" x14ac:dyDescent="0.25">
      <c r="A132" s="29"/>
      <c r="B132" s="29"/>
      <c r="C132" s="29" t="s">
        <v>16</v>
      </c>
      <c r="D132" s="29" t="s">
        <v>11</v>
      </c>
      <c r="E132" s="29">
        <v>50</v>
      </c>
      <c r="F132" s="38">
        <f>E132*1500</f>
        <v>75000</v>
      </c>
      <c r="G132" s="38">
        <f>E132*500</f>
        <v>25000</v>
      </c>
      <c r="H132" s="38">
        <f>E132*1000</f>
        <v>50000</v>
      </c>
    </row>
    <row r="133" spans="1:8" x14ac:dyDescent="0.25">
      <c r="A133" s="29"/>
      <c r="B133" s="29"/>
      <c r="C133" s="29"/>
      <c r="D133" s="29" t="s">
        <v>12</v>
      </c>
      <c r="E133" s="29">
        <v>2</v>
      </c>
      <c r="F133" s="38">
        <f>E133*3000</f>
        <v>6000</v>
      </c>
      <c r="G133" s="38">
        <f>E133*2000</f>
        <v>4000</v>
      </c>
      <c r="H133" s="38">
        <v>2000</v>
      </c>
    </row>
    <row r="134" spans="1:8" x14ac:dyDescent="0.25">
      <c r="A134" s="29"/>
      <c r="B134" s="29"/>
      <c r="C134" s="29"/>
      <c r="D134" s="29" t="s">
        <v>13</v>
      </c>
      <c r="E134" s="29">
        <v>1</v>
      </c>
      <c r="F134" s="38">
        <v>6500</v>
      </c>
      <c r="G134" s="38">
        <v>4500</v>
      </c>
      <c r="H134" s="38">
        <v>2000</v>
      </c>
    </row>
    <row r="135" spans="1:8" x14ac:dyDescent="0.25">
      <c r="A135" s="29"/>
      <c r="B135" s="29"/>
      <c r="C135" s="29"/>
      <c r="D135" s="29" t="s">
        <v>14</v>
      </c>
      <c r="E135" s="29">
        <v>1</v>
      </c>
      <c r="F135" s="38">
        <v>10000</v>
      </c>
      <c r="G135" s="38">
        <v>5500</v>
      </c>
      <c r="H135" s="38">
        <v>4500</v>
      </c>
    </row>
    <row r="136" spans="1:8" x14ac:dyDescent="0.25">
      <c r="A136" s="125" t="s">
        <v>17</v>
      </c>
      <c r="B136" s="125"/>
      <c r="C136" s="125"/>
      <c r="D136" s="125"/>
      <c r="E136" s="17">
        <f>SUM(E132:E135)</f>
        <v>54</v>
      </c>
      <c r="F136" s="17">
        <f>SUM(F132:F135)</f>
        <v>97500</v>
      </c>
      <c r="G136" s="17">
        <f>SUM(G132:G135)</f>
        <v>39000</v>
      </c>
      <c r="H136" s="17">
        <f>SUM(H132:H135)</f>
        <v>58500</v>
      </c>
    </row>
    <row r="137" spans="1:8" x14ac:dyDescent="0.25">
      <c r="A137" s="29" t="s">
        <v>30</v>
      </c>
      <c r="B137" s="29" t="s">
        <v>482</v>
      </c>
      <c r="C137" s="29" t="s">
        <v>288</v>
      </c>
      <c r="D137" s="29" t="s">
        <v>11</v>
      </c>
      <c r="E137" s="29">
        <f>30-22</f>
        <v>8</v>
      </c>
      <c r="F137" s="38">
        <f>E137*1800</f>
        <v>14400</v>
      </c>
      <c r="G137" s="38">
        <f>E137*500</f>
        <v>4000</v>
      </c>
      <c r="H137" s="38">
        <f>E137*1300</f>
        <v>10400</v>
      </c>
    </row>
    <row r="138" spans="1:8" x14ac:dyDescent="0.25">
      <c r="A138" s="29"/>
      <c r="B138" s="29"/>
      <c r="C138" s="29" t="s">
        <v>106</v>
      </c>
      <c r="D138" s="29" t="s">
        <v>11</v>
      </c>
      <c r="E138" s="29">
        <v>20</v>
      </c>
      <c r="F138" s="38">
        <f>E138*1500</f>
        <v>30000</v>
      </c>
      <c r="G138" s="38">
        <f>E138*500</f>
        <v>10000</v>
      </c>
      <c r="H138" s="38">
        <v>20000</v>
      </c>
    </row>
    <row r="139" spans="1:8" x14ac:dyDescent="0.25">
      <c r="A139" s="29"/>
      <c r="B139" s="29"/>
      <c r="C139" s="29" t="s">
        <v>478</v>
      </c>
      <c r="D139" s="29" t="s">
        <v>11</v>
      </c>
      <c r="E139" s="29">
        <v>50</v>
      </c>
      <c r="F139" s="38">
        <f>E139*1700</f>
        <v>85000</v>
      </c>
      <c r="G139" s="38">
        <f>E139*500</f>
        <v>25000</v>
      </c>
      <c r="H139" s="38">
        <f>E139*1200</f>
        <v>60000</v>
      </c>
    </row>
    <row r="140" spans="1:8" x14ac:dyDescent="0.25">
      <c r="A140" s="29"/>
      <c r="B140" s="29"/>
      <c r="C140" s="29" t="s">
        <v>16</v>
      </c>
      <c r="D140" s="29" t="s">
        <v>11</v>
      </c>
      <c r="E140" s="29">
        <v>41</v>
      </c>
      <c r="F140" s="38">
        <f>E140*1500</f>
        <v>61500</v>
      </c>
      <c r="G140" s="38">
        <f>E140*500</f>
        <v>20500</v>
      </c>
      <c r="H140" s="38">
        <v>41000</v>
      </c>
    </row>
    <row r="141" spans="1:8" x14ac:dyDescent="0.25">
      <c r="A141" s="29"/>
      <c r="B141" s="29"/>
      <c r="C141" s="29"/>
      <c r="D141" s="29" t="s">
        <v>12</v>
      </c>
      <c r="E141" s="29">
        <v>4</v>
      </c>
      <c r="F141" s="38">
        <f>E141*3000</f>
        <v>12000</v>
      </c>
      <c r="G141" s="38">
        <f>E141*2000</f>
        <v>8000</v>
      </c>
      <c r="H141" s="38">
        <v>4000</v>
      </c>
    </row>
    <row r="142" spans="1:8" x14ac:dyDescent="0.25">
      <c r="A142" s="29"/>
      <c r="B142" s="29"/>
      <c r="C142" s="29"/>
      <c r="D142" s="29" t="s">
        <v>13</v>
      </c>
      <c r="E142" s="29">
        <v>1</v>
      </c>
      <c r="F142" s="38">
        <v>6500</v>
      </c>
      <c r="G142" s="38">
        <v>4500</v>
      </c>
      <c r="H142" s="38">
        <v>2000</v>
      </c>
    </row>
    <row r="143" spans="1:8" x14ac:dyDescent="0.25">
      <c r="A143" s="29"/>
      <c r="B143" s="29"/>
      <c r="C143" s="29"/>
      <c r="D143" s="29" t="s">
        <v>14</v>
      </c>
      <c r="E143" s="29">
        <v>2</v>
      </c>
      <c r="F143" s="38">
        <f>E143*10000</f>
        <v>20000</v>
      </c>
      <c r="G143" s="38">
        <f>E143*5500</f>
        <v>11000</v>
      </c>
      <c r="H143" s="38">
        <f>E143*4500</f>
        <v>9000</v>
      </c>
    </row>
    <row r="144" spans="1:8" x14ac:dyDescent="0.25">
      <c r="A144" s="29"/>
      <c r="B144" s="29"/>
      <c r="C144" s="29" t="s">
        <v>24</v>
      </c>
      <c r="D144" s="29" t="s">
        <v>243</v>
      </c>
      <c r="E144" s="29">
        <v>1</v>
      </c>
      <c r="F144" s="38">
        <v>15000</v>
      </c>
      <c r="G144" s="38">
        <v>10000</v>
      </c>
      <c r="H144" s="38">
        <v>5000</v>
      </c>
    </row>
    <row r="145" spans="1:8" x14ac:dyDescent="0.25">
      <c r="A145" s="125" t="s">
        <v>17</v>
      </c>
      <c r="B145" s="125"/>
      <c r="C145" s="125"/>
      <c r="D145" s="125"/>
      <c r="E145" s="17">
        <f>SUM(E137:E144)</f>
        <v>127</v>
      </c>
      <c r="F145" s="17">
        <f>SUM(F137:F144)</f>
        <v>244400</v>
      </c>
      <c r="G145" s="17">
        <f>SUM(G137:G144)</f>
        <v>93000</v>
      </c>
      <c r="H145" s="17">
        <f>SUM(H137:H144)</f>
        <v>151400</v>
      </c>
    </row>
    <row r="146" spans="1:8" x14ac:dyDescent="0.25">
      <c r="A146" s="29" t="s">
        <v>32</v>
      </c>
      <c r="B146" s="29" t="s">
        <v>483</v>
      </c>
      <c r="C146" s="29" t="s">
        <v>288</v>
      </c>
      <c r="D146" s="29" t="s">
        <v>11</v>
      </c>
      <c r="E146" s="29">
        <f>58-22</f>
        <v>36</v>
      </c>
      <c r="F146" s="38">
        <f>E146*1800</f>
        <v>64800</v>
      </c>
      <c r="G146" s="38">
        <f>E146*500</f>
        <v>18000</v>
      </c>
      <c r="H146" s="38">
        <f>E146*1300</f>
        <v>46800</v>
      </c>
    </row>
    <row r="147" spans="1:8" x14ac:dyDescent="0.25">
      <c r="A147" s="29"/>
      <c r="B147" s="29"/>
      <c r="C147" s="29" t="s">
        <v>106</v>
      </c>
      <c r="D147" s="29" t="s">
        <v>11</v>
      </c>
      <c r="E147" s="29">
        <v>17</v>
      </c>
      <c r="F147" s="38">
        <f>E147*1500</f>
        <v>25500</v>
      </c>
      <c r="G147" s="38">
        <f>E147*500</f>
        <v>8500</v>
      </c>
      <c r="H147" s="38">
        <v>17000</v>
      </c>
    </row>
    <row r="148" spans="1:8" x14ac:dyDescent="0.25">
      <c r="A148" s="29"/>
      <c r="B148" s="29"/>
      <c r="C148" s="29" t="s">
        <v>478</v>
      </c>
      <c r="D148" s="29" t="s">
        <v>11</v>
      </c>
      <c r="E148" s="29">
        <v>50</v>
      </c>
      <c r="F148" s="38">
        <f>E148*1700</f>
        <v>85000</v>
      </c>
      <c r="G148" s="38">
        <f>E148*500</f>
        <v>25000</v>
      </c>
      <c r="H148" s="38">
        <f>E148*1200</f>
        <v>60000</v>
      </c>
    </row>
    <row r="149" spans="1:8" x14ac:dyDescent="0.25">
      <c r="A149" s="29"/>
      <c r="B149" s="29"/>
      <c r="C149" s="29" t="s">
        <v>108</v>
      </c>
      <c r="D149" s="29" t="s">
        <v>11</v>
      </c>
      <c r="E149" s="29">
        <f>25-12</f>
        <v>13</v>
      </c>
      <c r="F149" s="38">
        <f>E149*1500</f>
        <v>19500</v>
      </c>
      <c r="G149" s="38">
        <f>E149*500</f>
        <v>6500</v>
      </c>
      <c r="H149" s="38">
        <f>E149*1000</f>
        <v>13000</v>
      </c>
    </row>
    <row r="150" spans="1:8" x14ac:dyDescent="0.25">
      <c r="A150" s="29"/>
      <c r="B150" s="29"/>
      <c r="C150" s="29" t="s">
        <v>16</v>
      </c>
      <c r="D150" s="29" t="s">
        <v>11</v>
      </c>
      <c r="E150" s="29">
        <v>70</v>
      </c>
      <c r="F150" s="38">
        <f>E150*1500</f>
        <v>105000</v>
      </c>
      <c r="G150" s="38">
        <f>E150*500</f>
        <v>35000</v>
      </c>
      <c r="H150" s="38">
        <f>E150*1000</f>
        <v>70000</v>
      </c>
    </row>
    <row r="151" spans="1:8" x14ac:dyDescent="0.25">
      <c r="A151" s="29"/>
      <c r="B151" s="29"/>
      <c r="C151" s="29"/>
      <c r="D151" s="29" t="s">
        <v>12</v>
      </c>
      <c r="E151" s="29">
        <v>4</v>
      </c>
      <c r="F151" s="38">
        <f>E151*3000</f>
        <v>12000</v>
      </c>
      <c r="G151" s="38">
        <f>E151*2000</f>
        <v>8000</v>
      </c>
      <c r="H151" s="38">
        <f>E151*1000</f>
        <v>4000</v>
      </c>
    </row>
    <row r="152" spans="1:8" x14ac:dyDescent="0.25">
      <c r="A152" s="29"/>
      <c r="B152" s="29"/>
      <c r="C152" s="29" t="s">
        <v>303</v>
      </c>
      <c r="D152" s="29" t="s">
        <v>484</v>
      </c>
      <c r="E152" s="29">
        <v>1</v>
      </c>
      <c r="F152" s="38">
        <v>3000</v>
      </c>
      <c r="G152" s="38">
        <v>2000</v>
      </c>
      <c r="H152" s="38">
        <v>1000</v>
      </c>
    </row>
    <row r="153" spans="1:8" x14ac:dyDescent="0.25">
      <c r="A153" s="29"/>
      <c r="B153" s="29"/>
      <c r="C153" s="29"/>
      <c r="D153" s="29" t="s">
        <v>441</v>
      </c>
      <c r="E153" s="29">
        <v>1</v>
      </c>
      <c r="F153" s="38">
        <v>4000</v>
      </c>
      <c r="G153" s="38">
        <v>2000</v>
      </c>
      <c r="H153" s="38">
        <v>2000</v>
      </c>
    </row>
    <row r="154" spans="1:8" x14ac:dyDescent="0.25">
      <c r="A154" s="29"/>
      <c r="B154" s="29"/>
      <c r="C154" s="29"/>
      <c r="D154" s="29" t="s">
        <v>13</v>
      </c>
      <c r="E154" s="29">
        <v>4</v>
      </c>
      <c r="F154" s="38">
        <f>E154*6500</f>
        <v>26000</v>
      </c>
      <c r="G154" s="38">
        <f>E154*4500</f>
        <v>18000</v>
      </c>
      <c r="H154" s="38">
        <f>E154*2000</f>
        <v>8000</v>
      </c>
    </row>
    <row r="155" spans="1:8" x14ac:dyDescent="0.25">
      <c r="A155" s="29"/>
      <c r="B155" s="29"/>
      <c r="C155" s="29"/>
      <c r="D155" s="29" t="s">
        <v>14</v>
      </c>
      <c r="E155" s="29">
        <v>7</v>
      </c>
      <c r="F155" s="38">
        <f>E155*10000</f>
        <v>70000</v>
      </c>
      <c r="G155" s="38">
        <f>E155*5500</f>
        <v>38500</v>
      </c>
      <c r="H155" s="38">
        <f>E155*4500</f>
        <v>31500</v>
      </c>
    </row>
    <row r="156" spans="1:8" x14ac:dyDescent="0.25">
      <c r="A156" s="125" t="s">
        <v>17</v>
      </c>
      <c r="B156" s="125"/>
      <c r="C156" s="125"/>
      <c r="D156" s="125"/>
      <c r="E156" s="17">
        <f>SUM(E146:E155)</f>
        <v>203</v>
      </c>
      <c r="F156" s="17">
        <f>SUM(F146:F155)</f>
        <v>414800</v>
      </c>
      <c r="G156" s="17">
        <f>SUM(G146:G155)</f>
        <v>161500</v>
      </c>
      <c r="H156" s="17">
        <f>SUM(H146:H155)</f>
        <v>253300</v>
      </c>
    </row>
    <row r="157" spans="1:8" x14ac:dyDescent="0.25">
      <c r="A157" s="29" t="s">
        <v>8</v>
      </c>
      <c r="B157" s="29" t="s">
        <v>485</v>
      </c>
      <c r="C157" s="29" t="s">
        <v>288</v>
      </c>
      <c r="D157" s="29" t="s">
        <v>11</v>
      </c>
      <c r="E157" s="29">
        <f>50-9</f>
        <v>41</v>
      </c>
      <c r="F157" s="38">
        <f>E157*1800</f>
        <v>73800</v>
      </c>
      <c r="G157" s="38">
        <f t="shared" ref="G157:G167" si="9">E157*500</f>
        <v>20500</v>
      </c>
      <c r="H157" s="38">
        <f>E157*1300</f>
        <v>53300</v>
      </c>
    </row>
    <row r="158" spans="1:8" x14ac:dyDescent="0.25">
      <c r="A158" s="29"/>
      <c r="B158" s="29"/>
      <c r="C158" s="29" t="s">
        <v>106</v>
      </c>
      <c r="D158" s="29" t="s">
        <v>11</v>
      </c>
      <c r="E158" s="29">
        <v>13</v>
      </c>
      <c r="F158" s="38">
        <f>E158*1500</f>
        <v>19500</v>
      </c>
      <c r="G158" s="38">
        <f t="shared" si="9"/>
        <v>6500</v>
      </c>
      <c r="H158" s="38">
        <f>E158*1000</f>
        <v>13000</v>
      </c>
    </row>
    <row r="159" spans="1:8" x14ac:dyDescent="0.25">
      <c r="A159" s="29"/>
      <c r="B159" s="29"/>
      <c r="C159" s="29" t="s">
        <v>108</v>
      </c>
      <c r="D159" s="29" t="s">
        <v>11</v>
      </c>
      <c r="E159" s="29">
        <v>25</v>
      </c>
      <c r="F159" s="38">
        <f>E159*1500</f>
        <v>37500</v>
      </c>
      <c r="G159" s="38">
        <f t="shared" si="9"/>
        <v>12500</v>
      </c>
      <c r="H159" s="38">
        <f>E159*1000</f>
        <v>25000</v>
      </c>
    </row>
    <row r="160" spans="1:8" x14ac:dyDescent="0.25">
      <c r="A160" s="29"/>
      <c r="B160" s="29"/>
      <c r="C160" s="29" t="s">
        <v>478</v>
      </c>
      <c r="D160" s="29" t="s">
        <v>11</v>
      </c>
      <c r="E160" s="29">
        <v>50</v>
      </c>
      <c r="F160" s="38">
        <f>E160*1700</f>
        <v>85000</v>
      </c>
      <c r="G160" s="38">
        <f t="shared" si="9"/>
        <v>25000</v>
      </c>
      <c r="H160" s="38">
        <f>E160*1200</f>
        <v>60000</v>
      </c>
    </row>
    <row r="161" spans="1:8" x14ac:dyDescent="0.25">
      <c r="A161" s="29"/>
      <c r="B161" s="29"/>
      <c r="C161" s="29" t="s">
        <v>376</v>
      </c>
      <c r="D161" s="29" t="s">
        <v>11</v>
      </c>
      <c r="E161" s="29">
        <v>37</v>
      </c>
      <c r="F161" s="38">
        <f t="shared" ref="F161:F167" si="10">E161*1500</f>
        <v>55500</v>
      </c>
      <c r="G161" s="38">
        <f t="shared" si="9"/>
        <v>18500</v>
      </c>
      <c r="H161" s="38">
        <f t="shared" ref="H161:H166" si="11">E161*1000</f>
        <v>37000</v>
      </c>
    </row>
    <row r="162" spans="1:8" x14ac:dyDescent="0.25">
      <c r="A162" s="29"/>
      <c r="B162" s="29"/>
      <c r="C162" s="29"/>
      <c r="D162" s="29" t="s">
        <v>11</v>
      </c>
      <c r="E162" s="29">
        <v>66</v>
      </c>
      <c r="F162" s="38">
        <f t="shared" si="10"/>
        <v>99000</v>
      </c>
      <c r="G162" s="38">
        <f t="shared" si="9"/>
        <v>33000</v>
      </c>
      <c r="H162" s="38">
        <f t="shared" si="11"/>
        <v>66000</v>
      </c>
    </row>
    <row r="163" spans="1:8" x14ac:dyDescent="0.25">
      <c r="A163" s="29"/>
      <c r="B163" s="29"/>
      <c r="C163" s="29"/>
      <c r="D163" s="29" t="s">
        <v>11</v>
      </c>
      <c r="E163" s="29">
        <v>80</v>
      </c>
      <c r="F163" s="38">
        <f t="shared" si="10"/>
        <v>120000</v>
      </c>
      <c r="G163" s="38">
        <f t="shared" si="9"/>
        <v>40000</v>
      </c>
      <c r="H163" s="38">
        <f t="shared" si="11"/>
        <v>80000</v>
      </c>
    </row>
    <row r="164" spans="1:8" x14ac:dyDescent="0.25">
      <c r="A164" s="29"/>
      <c r="B164" s="29"/>
      <c r="C164" s="29"/>
      <c r="D164" s="29" t="s">
        <v>11</v>
      </c>
      <c r="E164" s="29">
        <v>55</v>
      </c>
      <c r="F164" s="38">
        <f t="shared" si="10"/>
        <v>82500</v>
      </c>
      <c r="G164" s="38">
        <f t="shared" si="9"/>
        <v>27500</v>
      </c>
      <c r="H164" s="38">
        <f t="shared" si="11"/>
        <v>55000</v>
      </c>
    </row>
    <row r="165" spans="1:8" x14ac:dyDescent="0.25">
      <c r="A165" s="29"/>
      <c r="B165" s="29"/>
      <c r="C165" s="29"/>
      <c r="D165" s="29" t="s">
        <v>11</v>
      </c>
      <c r="E165" s="29">
        <v>71</v>
      </c>
      <c r="F165" s="38">
        <f t="shared" si="10"/>
        <v>106500</v>
      </c>
      <c r="G165" s="38">
        <f t="shared" si="9"/>
        <v>35500</v>
      </c>
      <c r="H165" s="38">
        <f t="shared" si="11"/>
        <v>71000</v>
      </c>
    </row>
    <row r="166" spans="1:8" x14ac:dyDescent="0.25">
      <c r="A166" s="29"/>
      <c r="B166" s="29"/>
      <c r="C166" s="29"/>
      <c r="D166" s="29" t="s">
        <v>11</v>
      </c>
      <c r="E166" s="29">
        <v>69</v>
      </c>
      <c r="F166" s="38">
        <f t="shared" si="10"/>
        <v>103500</v>
      </c>
      <c r="G166" s="38">
        <f t="shared" si="9"/>
        <v>34500</v>
      </c>
      <c r="H166" s="38">
        <f t="shared" si="11"/>
        <v>69000</v>
      </c>
    </row>
    <row r="167" spans="1:8" x14ac:dyDescent="0.25">
      <c r="A167" s="29"/>
      <c r="B167" s="29"/>
      <c r="C167" s="29" t="s">
        <v>16</v>
      </c>
      <c r="D167" s="29" t="s">
        <v>11</v>
      </c>
      <c r="E167" s="29">
        <v>65</v>
      </c>
      <c r="F167" s="38">
        <f t="shared" si="10"/>
        <v>97500</v>
      </c>
      <c r="G167" s="38">
        <f t="shared" si="9"/>
        <v>32500</v>
      </c>
      <c r="H167" s="38">
        <v>65000</v>
      </c>
    </row>
    <row r="168" spans="1:8" x14ac:dyDescent="0.25">
      <c r="A168" s="29"/>
      <c r="B168" s="29"/>
      <c r="C168" s="29"/>
      <c r="D168" s="29" t="s">
        <v>12</v>
      </c>
      <c r="E168" s="29">
        <v>1</v>
      </c>
      <c r="F168" s="38">
        <v>3000</v>
      </c>
      <c r="G168" s="38">
        <v>2000</v>
      </c>
      <c r="H168" s="38">
        <v>1000</v>
      </c>
    </row>
    <row r="169" spans="1:8" x14ac:dyDescent="0.25">
      <c r="A169" s="29"/>
      <c r="B169" s="29"/>
      <c r="C169" s="29" t="s">
        <v>481</v>
      </c>
      <c r="D169" s="29" t="s">
        <v>13</v>
      </c>
      <c r="E169" s="29">
        <v>1</v>
      </c>
      <c r="F169" s="38">
        <v>6500</v>
      </c>
      <c r="G169" s="38">
        <v>4500</v>
      </c>
      <c r="H169" s="38">
        <v>2000</v>
      </c>
    </row>
    <row r="170" spans="1:8" x14ac:dyDescent="0.25">
      <c r="A170" s="29"/>
      <c r="B170" s="29"/>
      <c r="C170" s="29"/>
      <c r="D170" s="29" t="s">
        <v>14</v>
      </c>
      <c r="E170" s="29">
        <v>4</v>
      </c>
      <c r="F170" s="38">
        <f>E170*10000</f>
        <v>40000</v>
      </c>
      <c r="G170" s="38">
        <f>E170*5500</f>
        <v>22000</v>
      </c>
      <c r="H170" s="38">
        <f>E170*4500</f>
        <v>18000</v>
      </c>
    </row>
    <row r="171" spans="1:8" x14ac:dyDescent="0.25">
      <c r="A171" s="29"/>
      <c r="B171" s="29"/>
      <c r="C171" s="29"/>
      <c r="D171" s="29" t="s">
        <v>415</v>
      </c>
      <c r="E171" s="29">
        <v>1</v>
      </c>
      <c r="F171" s="38">
        <v>3500</v>
      </c>
      <c r="G171" s="38">
        <v>1500</v>
      </c>
      <c r="H171" s="38">
        <v>2000</v>
      </c>
    </row>
    <row r="172" spans="1:8" x14ac:dyDescent="0.25">
      <c r="A172" s="125" t="s">
        <v>17</v>
      </c>
      <c r="B172" s="125"/>
      <c r="C172" s="125"/>
      <c r="D172" s="125"/>
      <c r="E172" s="17">
        <f>SUM(E157:E171)</f>
        <v>579</v>
      </c>
      <c r="F172" s="17">
        <f>SUM(F157:F171)</f>
        <v>933300</v>
      </c>
      <c r="G172" s="17">
        <f>SUM(G157:G171)</f>
        <v>316000</v>
      </c>
      <c r="H172" s="17">
        <f>SUM(H157:H171)</f>
        <v>617300</v>
      </c>
    </row>
    <row r="173" spans="1:8" x14ac:dyDescent="0.25">
      <c r="A173" s="29" t="s">
        <v>18</v>
      </c>
      <c r="B173" s="29" t="s">
        <v>486</v>
      </c>
      <c r="C173" s="29" t="s">
        <v>106</v>
      </c>
      <c r="D173" s="29" t="s">
        <v>11</v>
      </c>
      <c r="E173" s="29">
        <v>17</v>
      </c>
      <c r="F173" s="38">
        <f>E173*1500</f>
        <v>25500</v>
      </c>
      <c r="G173" s="38">
        <f>E173*500</f>
        <v>8500</v>
      </c>
      <c r="H173" s="38">
        <v>17000</v>
      </c>
    </row>
    <row r="174" spans="1:8" x14ac:dyDescent="0.25">
      <c r="A174" s="29"/>
      <c r="B174" s="29"/>
      <c r="C174" s="29" t="s">
        <v>478</v>
      </c>
      <c r="D174" s="29" t="s">
        <v>11</v>
      </c>
      <c r="E174" s="29">
        <v>50</v>
      </c>
      <c r="F174" s="38">
        <f>E174*1700</f>
        <v>85000</v>
      </c>
      <c r="G174" s="38">
        <f>E174*500</f>
        <v>25000</v>
      </c>
      <c r="H174" s="38">
        <f>E174*1200</f>
        <v>60000</v>
      </c>
    </row>
    <row r="175" spans="1:8" x14ac:dyDescent="0.25">
      <c r="A175" s="29"/>
      <c r="B175" s="29"/>
      <c r="C175" s="29" t="s">
        <v>16</v>
      </c>
      <c r="D175" s="29" t="s">
        <v>11</v>
      </c>
      <c r="E175" s="29">
        <v>33</v>
      </c>
      <c r="F175" s="38">
        <f>E175*1500</f>
        <v>49500</v>
      </c>
      <c r="G175" s="38">
        <f>E175*500</f>
        <v>16500</v>
      </c>
      <c r="H175" s="38">
        <v>33000</v>
      </c>
    </row>
    <row r="176" spans="1:8" x14ac:dyDescent="0.25">
      <c r="A176" s="29"/>
      <c r="B176" s="29"/>
      <c r="C176" s="29" t="s">
        <v>481</v>
      </c>
      <c r="D176" s="29" t="s">
        <v>13</v>
      </c>
      <c r="E176" s="29">
        <v>1</v>
      </c>
      <c r="F176" s="38">
        <v>6500</v>
      </c>
      <c r="G176" s="38">
        <v>4500</v>
      </c>
      <c r="H176" s="38">
        <v>2000</v>
      </c>
    </row>
    <row r="177" spans="1:8" x14ac:dyDescent="0.25">
      <c r="A177" s="125" t="s">
        <v>17</v>
      </c>
      <c r="B177" s="125"/>
      <c r="C177" s="125"/>
      <c r="D177" s="125"/>
      <c r="E177" s="17">
        <f>SUM(E173:E176)</f>
        <v>101</v>
      </c>
      <c r="F177" s="17">
        <f>SUM(F173:F176)</f>
        <v>166500</v>
      </c>
      <c r="G177" s="17">
        <f>SUM(G173:G176)</f>
        <v>54500</v>
      </c>
      <c r="H177" s="17">
        <f>SUM(H173:H176)</f>
        <v>112000</v>
      </c>
    </row>
    <row r="178" spans="1:8" x14ac:dyDescent="0.25">
      <c r="A178" s="29" t="s">
        <v>22</v>
      </c>
      <c r="B178" s="29" t="s">
        <v>487</v>
      </c>
      <c r="C178" s="29" t="s">
        <v>288</v>
      </c>
      <c r="D178" s="29" t="s">
        <v>11</v>
      </c>
      <c r="E178" s="29">
        <f>54-15</f>
        <v>39</v>
      </c>
      <c r="F178" s="38">
        <f>E178*1800</f>
        <v>70200</v>
      </c>
      <c r="G178" s="38">
        <f t="shared" ref="G178:G192" si="12">E178*500</f>
        <v>19500</v>
      </c>
      <c r="H178" s="38">
        <f>E178*1300</f>
        <v>50700</v>
      </c>
    </row>
    <row r="179" spans="1:8" x14ac:dyDescent="0.25">
      <c r="A179" s="29"/>
      <c r="B179" s="29"/>
      <c r="C179" s="29" t="s">
        <v>288</v>
      </c>
      <c r="D179" s="29" t="s">
        <v>11</v>
      </c>
      <c r="E179" s="29">
        <f>55-18</f>
        <v>37</v>
      </c>
      <c r="F179" s="38">
        <f>E179*1800</f>
        <v>66600</v>
      </c>
      <c r="G179" s="38">
        <f t="shared" si="12"/>
        <v>18500</v>
      </c>
      <c r="H179" s="38">
        <f>E179*1300</f>
        <v>48100</v>
      </c>
    </row>
    <row r="180" spans="1:8" x14ac:dyDescent="0.25">
      <c r="A180" s="29"/>
      <c r="B180" s="29"/>
      <c r="C180" s="29" t="s">
        <v>106</v>
      </c>
      <c r="D180" s="29" t="s">
        <v>11</v>
      </c>
      <c r="E180" s="29">
        <v>17</v>
      </c>
      <c r="F180" s="38">
        <f>E180*1500</f>
        <v>25500</v>
      </c>
      <c r="G180" s="38">
        <f t="shared" si="12"/>
        <v>8500</v>
      </c>
      <c r="H180" s="38">
        <v>17000</v>
      </c>
    </row>
    <row r="181" spans="1:8" x14ac:dyDescent="0.25">
      <c r="A181" s="29"/>
      <c r="B181" s="29"/>
      <c r="C181" s="29" t="s">
        <v>108</v>
      </c>
      <c r="D181" s="29" t="s">
        <v>11</v>
      </c>
      <c r="E181" s="29">
        <v>25</v>
      </c>
      <c r="F181" s="38">
        <f>E181*1500</f>
        <v>37500</v>
      </c>
      <c r="G181" s="38">
        <f t="shared" si="12"/>
        <v>12500</v>
      </c>
      <c r="H181" s="38">
        <v>25000</v>
      </c>
    </row>
    <row r="182" spans="1:8" x14ac:dyDescent="0.25">
      <c r="A182" s="29"/>
      <c r="B182" s="29"/>
      <c r="C182" s="29" t="s">
        <v>478</v>
      </c>
      <c r="D182" s="29" t="s">
        <v>11</v>
      </c>
      <c r="E182" s="29">
        <v>50</v>
      </c>
      <c r="F182" s="38">
        <f>E182*1700</f>
        <v>85000</v>
      </c>
      <c r="G182" s="38">
        <f t="shared" si="12"/>
        <v>25000</v>
      </c>
      <c r="H182" s="38">
        <f>E182*1200</f>
        <v>60000</v>
      </c>
    </row>
    <row r="183" spans="1:8" x14ac:dyDescent="0.25">
      <c r="A183" s="29"/>
      <c r="B183" s="29"/>
      <c r="C183" s="29" t="s">
        <v>376</v>
      </c>
      <c r="D183" s="29" t="s">
        <v>11</v>
      </c>
      <c r="E183" s="29">
        <v>56</v>
      </c>
      <c r="F183" s="38">
        <f>E183*1500</f>
        <v>84000</v>
      </c>
      <c r="G183" s="38">
        <f t="shared" si="12"/>
        <v>28000</v>
      </c>
      <c r="H183" s="38">
        <f>E183*1000</f>
        <v>56000</v>
      </c>
    </row>
    <row r="184" spans="1:8" x14ac:dyDescent="0.25">
      <c r="A184" s="29"/>
      <c r="B184" s="29"/>
      <c r="C184" s="29" t="s">
        <v>376</v>
      </c>
      <c r="D184" s="29" t="s">
        <v>11</v>
      </c>
      <c r="E184" s="29">
        <v>84</v>
      </c>
      <c r="F184" s="38">
        <f>E184*1500</f>
        <v>126000</v>
      </c>
      <c r="G184" s="38">
        <f t="shared" si="12"/>
        <v>42000</v>
      </c>
      <c r="H184" s="38">
        <f>E184*1000</f>
        <v>84000</v>
      </c>
    </row>
    <row r="185" spans="1:8" x14ac:dyDescent="0.25">
      <c r="A185" s="29"/>
      <c r="B185" s="29"/>
      <c r="C185" s="29" t="s">
        <v>376</v>
      </c>
      <c r="D185" s="29" t="s">
        <v>11</v>
      </c>
      <c r="E185" s="29">
        <v>54</v>
      </c>
      <c r="F185" s="38">
        <f>E185*1500</f>
        <v>81000</v>
      </c>
      <c r="G185" s="38">
        <f t="shared" si="12"/>
        <v>27000</v>
      </c>
      <c r="H185" s="38">
        <f>E185*1000</f>
        <v>54000</v>
      </c>
    </row>
    <row r="186" spans="1:8" x14ac:dyDescent="0.25">
      <c r="A186" s="29"/>
      <c r="B186" s="29"/>
      <c r="C186" s="29" t="s">
        <v>376</v>
      </c>
      <c r="D186" s="29" t="s">
        <v>11</v>
      </c>
      <c r="E186" s="29">
        <v>84</v>
      </c>
      <c r="F186" s="38">
        <f>E186*1500</f>
        <v>126000</v>
      </c>
      <c r="G186" s="38">
        <f t="shared" si="12"/>
        <v>42000</v>
      </c>
      <c r="H186" s="38">
        <f>E186*1000</f>
        <v>84000</v>
      </c>
    </row>
    <row r="187" spans="1:8" x14ac:dyDescent="0.25">
      <c r="A187" s="29"/>
      <c r="B187" s="29"/>
      <c r="C187" s="29" t="s">
        <v>81</v>
      </c>
      <c r="D187" s="29" t="s">
        <v>11</v>
      </c>
      <c r="E187" s="29">
        <v>75</v>
      </c>
      <c r="F187" s="38">
        <f>E187*1800</f>
        <v>135000</v>
      </c>
      <c r="G187" s="38">
        <f t="shared" si="12"/>
        <v>37500</v>
      </c>
      <c r="H187" s="38">
        <f>E187*1300</f>
        <v>97500</v>
      </c>
    </row>
    <row r="188" spans="1:8" x14ac:dyDescent="0.25">
      <c r="A188" s="29"/>
      <c r="B188" s="29"/>
      <c r="C188" s="29" t="s">
        <v>81</v>
      </c>
      <c r="D188" s="29" t="s">
        <v>11</v>
      </c>
      <c r="E188" s="29">
        <v>75</v>
      </c>
      <c r="F188" s="38">
        <f>E188*1800</f>
        <v>135000</v>
      </c>
      <c r="G188" s="38">
        <f t="shared" si="12"/>
        <v>37500</v>
      </c>
      <c r="H188" s="38">
        <f>E188*1300</f>
        <v>97500</v>
      </c>
    </row>
    <row r="189" spans="1:8" x14ac:dyDescent="0.25">
      <c r="A189" s="29"/>
      <c r="B189" s="29"/>
      <c r="C189" s="29" t="s">
        <v>81</v>
      </c>
      <c r="D189" s="29" t="s">
        <v>11</v>
      </c>
      <c r="E189" s="29">
        <v>75</v>
      </c>
      <c r="F189" s="38">
        <f>E189*1800</f>
        <v>135000</v>
      </c>
      <c r="G189" s="38">
        <f t="shared" si="12"/>
        <v>37500</v>
      </c>
      <c r="H189" s="38">
        <f>E189*1300</f>
        <v>97500</v>
      </c>
    </row>
    <row r="190" spans="1:8" x14ac:dyDescent="0.25">
      <c r="A190" s="29"/>
      <c r="B190" s="29"/>
      <c r="C190" s="29" t="s">
        <v>81</v>
      </c>
      <c r="D190" s="29" t="s">
        <v>11</v>
      </c>
      <c r="E190" s="29">
        <v>75</v>
      </c>
      <c r="F190" s="38">
        <f>E190*1800</f>
        <v>135000</v>
      </c>
      <c r="G190" s="38">
        <f t="shared" si="12"/>
        <v>37500</v>
      </c>
      <c r="H190" s="38">
        <f>E190*1300</f>
        <v>97500</v>
      </c>
    </row>
    <row r="191" spans="1:8" x14ac:dyDescent="0.25">
      <c r="A191" s="29"/>
      <c r="B191" s="29"/>
      <c r="C191" s="29" t="s">
        <v>81</v>
      </c>
      <c r="D191" s="29" t="s">
        <v>11</v>
      </c>
      <c r="E191" s="29">
        <v>75</v>
      </c>
      <c r="F191" s="38">
        <f>E191*1800</f>
        <v>135000</v>
      </c>
      <c r="G191" s="38">
        <f t="shared" si="12"/>
        <v>37500</v>
      </c>
      <c r="H191" s="38">
        <f>E191*1300</f>
        <v>97500</v>
      </c>
    </row>
    <row r="192" spans="1:8" x14ac:dyDescent="0.25">
      <c r="A192" s="29"/>
      <c r="B192" s="29"/>
      <c r="C192" s="29" t="s">
        <v>16</v>
      </c>
      <c r="D192" s="29" t="s">
        <v>11</v>
      </c>
      <c r="E192" s="29">
        <v>41</v>
      </c>
      <c r="F192" s="38">
        <f>E192*1500</f>
        <v>61500</v>
      </c>
      <c r="G192" s="38">
        <f t="shared" si="12"/>
        <v>20500</v>
      </c>
      <c r="H192" s="38">
        <f>E192*1000</f>
        <v>41000</v>
      </c>
    </row>
    <row r="193" spans="1:8" x14ac:dyDescent="0.25">
      <c r="A193" s="29"/>
      <c r="B193" s="29"/>
      <c r="C193" s="29"/>
      <c r="D193" s="29" t="s">
        <v>12</v>
      </c>
      <c r="E193" s="29">
        <v>3</v>
      </c>
      <c r="F193" s="38">
        <f>E193*3000</f>
        <v>9000</v>
      </c>
      <c r="G193" s="38">
        <f>E193*2000</f>
        <v>6000</v>
      </c>
      <c r="H193" s="38">
        <f>E193*1000</f>
        <v>3000</v>
      </c>
    </row>
    <row r="194" spans="1:8" x14ac:dyDescent="0.25">
      <c r="A194" s="29"/>
      <c r="B194" s="29"/>
      <c r="C194" s="29"/>
      <c r="D194" s="29" t="s">
        <v>14</v>
      </c>
      <c r="E194" s="29">
        <v>1</v>
      </c>
      <c r="F194" s="38">
        <v>10000</v>
      </c>
      <c r="G194" s="38">
        <v>5500</v>
      </c>
      <c r="H194" s="38">
        <v>4500</v>
      </c>
    </row>
    <row r="195" spans="1:8" x14ac:dyDescent="0.25">
      <c r="A195" s="125" t="s">
        <v>17</v>
      </c>
      <c r="B195" s="125"/>
      <c r="C195" s="125"/>
      <c r="D195" s="125"/>
      <c r="E195" s="17">
        <f>SUM(E178:E194)</f>
        <v>866</v>
      </c>
      <c r="F195" s="17">
        <f>SUM(F178:F194)</f>
        <v>1457300</v>
      </c>
      <c r="G195" s="17">
        <f>SUM(G178:G194)</f>
        <v>442500</v>
      </c>
      <c r="H195" s="17">
        <f>SUM(H178:H194)</f>
        <v>1014800</v>
      </c>
    </row>
    <row r="196" spans="1:8" x14ac:dyDescent="0.25">
      <c r="A196" s="29" t="s">
        <v>26</v>
      </c>
      <c r="B196" s="29" t="s">
        <v>488</v>
      </c>
      <c r="C196" s="29" t="s">
        <v>16</v>
      </c>
      <c r="D196" s="29" t="s">
        <v>11</v>
      </c>
      <c r="E196" s="29">
        <v>111</v>
      </c>
      <c r="F196" s="38">
        <f>E196*1500</f>
        <v>166500</v>
      </c>
      <c r="G196" s="38">
        <f>E196*500</f>
        <v>55500</v>
      </c>
      <c r="H196" s="38">
        <f>E196*1000</f>
        <v>111000</v>
      </c>
    </row>
    <row r="197" spans="1:8" x14ac:dyDescent="0.25">
      <c r="A197" s="29"/>
      <c r="B197" s="29"/>
      <c r="C197" s="29"/>
      <c r="D197" s="29" t="s">
        <v>12</v>
      </c>
      <c r="E197" s="29">
        <v>7</v>
      </c>
      <c r="F197" s="38">
        <f>E197*3000</f>
        <v>21000</v>
      </c>
      <c r="G197" s="38">
        <f>E197*2000</f>
        <v>14000</v>
      </c>
      <c r="H197" s="38">
        <f>E197*1000</f>
        <v>7000</v>
      </c>
    </row>
    <row r="198" spans="1:8" x14ac:dyDescent="0.25">
      <c r="A198" s="29"/>
      <c r="B198" s="29"/>
      <c r="C198" s="29"/>
      <c r="D198" s="29" t="s">
        <v>13</v>
      </c>
      <c r="E198" s="29">
        <v>2</v>
      </c>
      <c r="F198" s="38">
        <f>E198*6500</f>
        <v>13000</v>
      </c>
      <c r="G198" s="38">
        <f>E198*4500</f>
        <v>9000</v>
      </c>
      <c r="H198" s="38">
        <f>E198*2000</f>
        <v>4000</v>
      </c>
    </row>
    <row r="199" spans="1:8" x14ac:dyDescent="0.25">
      <c r="A199" s="29"/>
      <c r="B199" s="29"/>
      <c r="C199" s="29"/>
      <c r="D199" s="29" t="s">
        <v>14</v>
      </c>
      <c r="E199" s="29">
        <v>1</v>
      </c>
      <c r="F199" s="38">
        <v>10000</v>
      </c>
      <c r="G199" s="38">
        <v>5500</v>
      </c>
      <c r="H199" s="38">
        <v>4500</v>
      </c>
    </row>
    <row r="200" spans="1:8" x14ac:dyDescent="0.25">
      <c r="A200" s="29"/>
      <c r="B200" s="29"/>
      <c r="C200" s="29" t="s">
        <v>481</v>
      </c>
      <c r="D200" s="29" t="s">
        <v>13</v>
      </c>
      <c r="E200" s="29">
        <v>6</v>
      </c>
      <c r="F200" s="38">
        <f>E200*6500</f>
        <v>39000</v>
      </c>
      <c r="G200" s="38">
        <f>E200*4500</f>
        <v>27000</v>
      </c>
      <c r="H200" s="38">
        <f>E200*2000</f>
        <v>12000</v>
      </c>
    </row>
    <row r="201" spans="1:8" x14ac:dyDescent="0.25">
      <c r="A201" s="29"/>
      <c r="B201" s="29"/>
      <c r="C201" s="29"/>
      <c r="D201" s="29" t="s">
        <v>489</v>
      </c>
      <c r="E201" s="29">
        <v>5</v>
      </c>
      <c r="F201" s="38">
        <f>E201*2000</f>
        <v>10000</v>
      </c>
      <c r="G201" s="38">
        <v>5000</v>
      </c>
      <c r="H201" s="38">
        <v>5000</v>
      </c>
    </row>
    <row r="202" spans="1:8" x14ac:dyDescent="0.25">
      <c r="A202" s="29"/>
      <c r="B202" s="29"/>
      <c r="C202" s="29" t="s">
        <v>20</v>
      </c>
      <c r="D202" s="29" t="s">
        <v>415</v>
      </c>
      <c r="E202" s="29">
        <v>5</v>
      </c>
      <c r="F202" s="38">
        <f>E202*3500</f>
        <v>17500</v>
      </c>
      <c r="G202" s="38">
        <f>E202*1500</f>
        <v>7500</v>
      </c>
      <c r="H202" s="38">
        <f>E202*2000</f>
        <v>10000</v>
      </c>
    </row>
    <row r="203" spans="1:8" x14ac:dyDescent="0.25">
      <c r="A203" s="29"/>
      <c r="B203" s="29"/>
      <c r="C203" s="29"/>
      <c r="D203" s="29" t="s">
        <v>425</v>
      </c>
      <c r="E203" s="29">
        <v>2</v>
      </c>
      <c r="F203" s="38">
        <f>E203*2000</f>
        <v>4000</v>
      </c>
      <c r="G203" s="38">
        <v>2000</v>
      </c>
      <c r="H203" s="38">
        <v>2000</v>
      </c>
    </row>
    <row r="204" spans="1:8" x14ac:dyDescent="0.25">
      <c r="A204" s="29"/>
      <c r="B204" s="29"/>
      <c r="C204" s="29"/>
      <c r="D204" s="29" t="s">
        <v>432</v>
      </c>
      <c r="E204" s="29">
        <v>4</v>
      </c>
      <c r="F204" s="38">
        <f>E204*5000</f>
        <v>20000</v>
      </c>
      <c r="G204" s="38">
        <v>10000</v>
      </c>
      <c r="H204" s="38">
        <v>10000</v>
      </c>
    </row>
    <row r="205" spans="1:8" x14ac:dyDescent="0.25">
      <c r="A205" s="29"/>
      <c r="B205" s="29"/>
      <c r="C205" s="29"/>
      <c r="D205" s="29" t="s">
        <v>480</v>
      </c>
      <c r="E205" s="29">
        <v>1</v>
      </c>
      <c r="F205" s="38">
        <v>5000</v>
      </c>
      <c r="G205" s="38">
        <v>2500</v>
      </c>
      <c r="H205" s="38">
        <v>2500</v>
      </c>
    </row>
    <row r="206" spans="1:8" x14ac:dyDescent="0.25">
      <c r="A206" s="125" t="s">
        <v>17</v>
      </c>
      <c r="B206" s="125"/>
      <c r="C206" s="125"/>
      <c r="D206" s="125"/>
      <c r="E206" s="17">
        <f>SUM(E196:E205)</f>
        <v>144</v>
      </c>
      <c r="F206" s="17">
        <f>SUM(F196:F205)</f>
        <v>306000</v>
      </c>
      <c r="G206" s="17">
        <f>SUM(G196:G205)</f>
        <v>138000</v>
      </c>
      <c r="H206" s="17">
        <f>SUM(H196:H205)</f>
        <v>168000</v>
      </c>
    </row>
    <row r="207" spans="1:8" x14ac:dyDescent="0.25">
      <c r="A207" s="29" t="s">
        <v>28</v>
      </c>
      <c r="B207" s="29" t="s">
        <v>490</v>
      </c>
      <c r="C207" s="29" t="s">
        <v>481</v>
      </c>
      <c r="D207" s="29" t="s">
        <v>11</v>
      </c>
      <c r="E207" s="29">
        <v>3</v>
      </c>
      <c r="F207" s="38">
        <f>E207*1500</f>
        <v>4500</v>
      </c>
      <c r="G207" s="38">
        <f>E207*500</f>
        <v>1500</v>
      </c>
      <c r="H207" s="38">
        <f>E207*1000</f>
        <v>3000</v>
      </c>
    </row>
    <row r="208" spans="1:8" x14ac:dyDescent="0.25">
      <c r="A208" s="29"/>
      <c r="B208" s="29"/>
      <c r="C208" s="29"/>
      <c r="D208" s="29" t="s">
        <v>13</v>
      </c>
      <c r="E208" s="29">
        <v>3</v>
      </c>
      <c r="F208" s="38">
        <f>E208*6500</f>
        <v>19500</v>
      </c>
      <c r="G208" s="38">
        <f>E208*4500</f>
        <v>13500</v>
      </c>
      <c r="H208" s="38">
        <f>E208*2000</f>
        <v>6000</v>
      </c>
    </row>
    <row r="209" spans="1:8" x14ac:dyDescent="0.25">
      <c r="A209" s="29"/>
      <c r="B209" s="29"/>
      <c r="C209" s="29"/>
      <c r="D209" s="29" t="s">
        <v>14</v>
      </c>
      <c r="E209" s="29">
        <v>6</v>
      </c>
      <c r="F209" s="38">
        <f>E209*10000</f>
        <v>60000</v>
      </c>
      <c r="G209" s="38">
        <f>E209*5500</f>
        <v>33000</v>
      </c>
      <c r="H209" s="38">
        <f>E209*4500</f>
        <v>27000</v>
      </c>
    </row>
    <row r="210" spans="1:8" x14ac:dyDescent="0.25">
      <c r="A210" s="29"/>
      <c r="B210" s="29"/>
      <c r="C210" s="29"/>
      <c r="D210" s="29" t="s">
        <v>425</v>
      </c>
      <c r="E210" s="29">
        <v>1</v>
      </c>
      <c r="F210" s="38">
        <v>2000</v>
      </c>
      <c r="G210" s="38">
        <v>1000</v>
      </c>
      <c r="H210" s="38">
        <v>1000</v>
      </c>
    </row>
    <row r="211" spans="1:8" x14ac:dyDescent="0.25">
      <c r="A211" s="29"/>
      <c r="B211" s="29"/>
      <c r="C211" s="29" t="s">
        <v>20</v>
      </c>
      <c r="D211" s="29" t="s">
        <v>11</v>
      </c>
      <c r="E211" s="29">
        <v>5</v>
      </c>
      <c r="F211" s="38">
        <f>E211*1500</f>
        <v>7500</v>
      </c>
      <c r="G211" s="38">
        <f>E211*500</f>
        <v>2500</v>
      </c>
      <c r="H211" s="38">
        <v>5000</v>
      </c>
    </row>
    <row r="212" spans="1:8" x14ac:dyDescent="0.25">
      <c r="A212" s="29"/>
      <c r="B212" s="29"/>
      <c r="C212" s="29"/>
      <c r="D212" s="29" t="s">
        <v>13</v>
      </c>
      <c r="E212" s="29">
        <v>17</v>
      </c>
      <c r="F212" s="38">
        <f>E212*6500</f>
        <v>110500</v>
      </c>
      <c r="G212" s="38">
        <f>E212*4500</f>
        <v>76500</v>
      </c>
      <c r="H212" s="38">
        <f>E212*2000</f>
        <v>34000</v>
      </c>
    </row>
    <row r="213" spans="1:8" x14ac:dyDescent="0.25">
      <c r="A213" s="29"/>
      <c r="B213" s="29"/>
      <c r="C213" s="29"/>
      <c r="D213" s="29" t="s">
        <v>14</v>
      </c>
      <c r="E213" s="29">
        <v>19</v>
      </c>
      <c r="F213" s="38">
        <f>E213*10000</f>
        <v>190000</v>
      </c>
      <c r="G213" s="38">
        <f>E213*5500</f>
        <v>104500</v>
      </c>
      <c r="H213" s="38">
        <f>E213*4500</f>
        <v>85500</v>
      </c>
    </row>
    <row r="214" spans="1:8" x14ac:dyDescent="0.25">
      <c r="A214" s="29"/>
      <c r="B214" s="29"/>
      <c r="C214" s="29"/>
      <c r="D214" s="29" t="s">
        <v>243</v>
      </c>
      <c r="E214" s="29">
        <v>3</v>
      </c>
      <c r="F214" s="38">
        <f>E214*15000</f>
        <v>45000</v>
      </c>
      <c r="G214" s="38">
        <f>E214*10000</f>
        <v>30000</v>
      </c>
      <c r="H214" s="38">
        <f>E214*5000</f>
        <v>15000</v>
      </c>
    </row>
    <row r="215" spans="1:8" x14ac:dyDescent="0.25">
      <c r="A215" s="29"/>
      <c r="B215" s="29"/>
      <c r="C215" s="29"/>
      <c r="D215" s="29" t="s">
        <v>425</v>
      </c>
      <c r="E215" s="29">
        <v>8</v>
      </c>
      <c r="F215" s="38">
        <f>E215*2000</f>
        <v>16000</v>
      </c>
      <c r="G215" s="38">
        <v>8000</v>
      </c>
      <c r="H215" s="38">
        <v>8000</v>
      </c>
    </row>
    <row r="216" spans="1:8" x14ac:dyDescent="0.25">
      <c r="A216" s="29"/>
      <c r="B216" s="29"/>
      <c r="C216" s="29"/>
      <c r="D216" s="29" t="s">
        <v>415</v>
      </c>
      <c r="E216" s="29">
        <v>15</v>
      </c>
      <c r="F216" s="38">
        <f>E216*3500</f>
        <v>52500</v>
      </c>
      <c r="G216" s="38">
        <f>E216*1500</f>
        <v>22500</v>
      </c>
      <c r="H216" s="38">
        <f>E216*2000</f>
        <v>30000</v>
      </c>
    </row>
    <row r="217" spans="1:8" x14ac:dyDescent="0.25">
      <c r="A217" s="29"/>
      <c r="B217" s="29"/>
      <c r="C217" s="29"/>
      <c r="D217" s="29" t="s">
        <v>432</v>
      </c>
      <c r="E217" s="29">
        <v>8</v>
      </c>
      <c r="F217" s="38">
        <f>E217*5000</f>
        <v>40000</v>
      </c>
      <c r="G217" s="38">
        <f>E217*2500</f>
        <v>20000</v>
      </c>
      <c r="H217" s="38">
        <v>20000</v>
      </c>
    </row>
    <row r="218" spans="1:8" x14ac:dyDescent="0.25">
      <c r="A218" s="125" t="s">
        <v>17</v>
      </c>
      <c r="B218" s="125"/>
      <c r="C218" s="125"/>
      <c r="D218" s="125"/>
      <c r="E218" s="17">
        <f>SUM(E207:E217)</f>
        <v>88</v>
      </c>
      <c r="F218" s="17">
        <f>SUM(F207:F217)</f>
        <v>547500</v>
      </c>
      <c r="G218" s="17">
        <f>SUM(G207:G217)</f>
        <v>313000</v>
      </c>
      <c r="H218" s="17">
        <f>SUM(H207:H217)</f>
        <v>234500</v>
      </c>
    </row>
    <row r="219" spans="1:8" x14ac:dyDescent="0.25">
      <c r="A219" s="29"/>
      <c r="B219" s="29"/>
      <c r="C219" s="29" t="s">
        <v>16</v>
      </c>
      <c r="D219" s="29" t="s">
        <v>11</v>
      </c>
      <c r="E219" s="29">
        <v>69</v>
      </c>
      <c r="F219" s="38">
        <f>E219*1500</f>
        <v>103500</v>
      </c>
      <c r="G219" s="38">
        <f>E219*500</f>
        <v>34500</v>
      </c>
      <c r="H219" s="38">
        <v>69000</v>
      </c>
    </row>
    <row r="220" spans="1:8" x14ac:dyDescent="0.25">
      <c r="A220" s="29"/>
      <c r="B220" s="29"/>
      <c r="C220" s="29"/>
      <c r="D220" s="29" t="s">
        <v>12</v>
      </c>
      <c r="E220" s="29">
        <v>6</v>
      </c>
      <c r="F220" s="38">
        <f>E220*3000</f>
        <v>18000</v>
      </c>
      <c r="G220" s="38">
        <f>E220*2000</f>
        <v>12000</v>
      </c>
      <c r="H220" s="38">
        <v>6000</v>
      </c>
    </row>
    <row r="221" spans="1:8" x14ac:dyDescent="0.25">
      <c r="A221" s="29"/>
      <c r="B221" s="29"/>
      <c r="C221" s="29" t="s">
        <v>20</v>
      </c>
      <c r="D221" s="29" t="s">
        <v>491</v>
      </c>
      <c r="E221" s="29">
        <v>4</v>
      </c>
      <c r="F221" s="38">
        <f>E221*2000</f>
        <v>8000</v>
      </c>
      <c r="G221" s="38">
        <v>4000</v>
      </c>
      <c r="H221" s="38">
        <v>4000</v>
      </c>
    </row>
    <row r="222" spans="1:8" x14ac:dyDescent="0.25">
      <c r="A222" s="29"/>
      <c r="B222" s="29"/>
      <c r="C222" s="29"/>
      <c r="D222" s="29" t="s">
        <v>492</v>
      </c>
      <c r="E222" s="29">
        <v>7</v>
      </c>
      <c r="F222" s="38">
        <f>E222*3500</f>
        <v>24500</v>
      </c>
      <c r="G222" s="38">
        <f>E222*1500</f>
        <v>10500</v>
      </c>
      <c r="H222" s="38">
        <f>E222*2000</f>
        <v>14000</v>
      </c>
    </row>
    <row r="223" spans="1:8" x14ac:dyDescent="0.25">
      <c r="A223" s="125" t="s">
        <v>17</v>
      </c>
      <c r="B223" s="125"/>
      <c r="C223" s="125"/>
      <c r="D223" s="125"/>
      <c r="E223" s="17">
        <f>SUM(E219:E222)</f>
        <v>86</v>
      </c>
      <c r="F223" s="17">
        <f>SUM(F219:F222)</f>
        <v>154000</v>
      </c>
      <c r="G223" s="17">
        <f>SUM(G219:G222)</f>
        <v>61000</v>
      </c>
      <c r="H223" s="17">
        <f>SUM(H219:H222)</f>
        <v>93000</v>
      </c>
    </row>
    <row r="224" spans="1:8" x14ac:dyDescent="0.25">
      <c r="A224" s="29" t="s">
        <v>30</v>
      </c>
      <c r="B224" s="29" t="s">
        <v>493</v>
      </c>
      <c r="C224" s="29" t="s">
        <v>288</v>
      </c>
      <c r="D224" s="29" t="s">
        <v>11</v>
      </c>
      <c r="E224" s="29">
        <f>43-9</f>
        <v>34</v>
      </c>
      <c r="F224" s="38">
        <f>E224*1800</f>
        <v>61200</v>
      </c>
      <c r="G224" s="38">
        <f>E224*500</f>
        <v>17000</v>
      </c>
      <c r="H224" s="38">
        <f>E224*1300</f>
        <v>44200</v>
      </c>
    </row>
    <row r="225" spans="1:8" x14ac:dyDescent="0.25">
      <c r="A225" s="29"/>
      <c r="B225" s="29"/>
      <c r="C225" s="29" t="s">
        <v>106</v>
      </c>
      <c r="D225" s="29" t="s">
        <v>11</v>
      </c>
      <c r="E225" s="29">
        <v>17</v>
      </c>
      <c r="F225" s="38">
        <f>E225*1500</f>
        <v>25500</v>
      </c>
      <c r="G225" s="38">
        <f>E225*500</f>
        <v>8500</v>
      </c>
      <c r="H225" s="38">
        <v>17000</v>
      </c>
    </row>
    <row r="226" spans="1:8" x14ac:dyDescent="0.25">
      <c r="A226" s="29"/>
      <c r="B226" s="29"/>
      <c r="C226" s="29" t="s">
        <v>108</v>
      </c>
      <c r="D226" s="29" t="s">
        <v>11</v>
      </c>
      <c r="E226" s="29">
        <v>25</v>
      </c>
      <c r="F226" s="38">
        <f>E226*1500</f>
        <v>37500</v>
      </c>
      <c r="G226" s="38">
        <f>E226*500</f>
        <v>12500</v>
      </c>
      <c r="H226" s="38">
        <v>25000</v>
      </c>
    </row>
    <row r="227" spans="1:8" x14ac:dyDescent="0.25">
      <c r="A227" s="29"/>
      <c r="B227" s="29"/>
      <c r="C227" s="29" t="s">
        <v>478</v>
      </c>
      <c r="D227" s="29" t="s">
        <v>11</v>
      </c>
      <c r="E227" s="29">
        <v>46</v>
      </c>
      <c r="F227" s="38">
        <f>E227*1700</f>
        <v>78200</v>
      </c>
      <c r="G227" s="38">
        <f>E227*500</f>
        <v>23000</v>
      </c>
      <c r="H227" s="38">
        <f>E227*1200</f>
        <v>55200</v>
      </c>
    </row>
    <row r="228" spans="1:8" x14ac:dyDescent="0.25">
      <c r="A228" s="29"/>
      <c r="B228" s="29"/>
      <c r="C228" s="29" t="s">
        <v>16</v>
      </c>
      <c r="D228" s="29" t="s">
        <v>11</v>
      </c>
      <c r="E228" s="29">
        <v>34</v>
      </c>
      <c r="F228" s="38">
        <f>E228*1500</f>
        <v>51000</v>
      </c>
      <c r="G228" s="38">
        <f>E228*500</f>
        <v>17000</v>
      </c>
      <c r="H228" s="38">
        <v>34000</v>
      </c>
    </row>
    <row r="229" spans="1:8" x14ac:dyDescent="0.25">
      <c r="A229" s="29"/>
      <c r="B229" s="29"/>
      <c r="C229" s="29"/>
      <c r="D229" s="29" t="s">
        <v>12</v>
      </c>
      <c r="E229" s="29">
        <v>1</v>
      </c>
      <c r="F229" s="38">
        <v>3000</v>
      </c>
      <c r="G229" s="38">
        <v>2000</v>
      </c>
      <c r="H229" s="38">
        <v>1000</v>
      </c>
    </row>
    <row r="230" spans="1:8" x14ac:dyDescent="0.25">
      <c r="A230" s="29"/>
      <c r="B230" s="29"/>
      <c r="C230" s="29"/>
      <c r="D230" s="29" t="s">
        <v>13</v>
      </c>
      <c r="E230" s="29">
        <v>2</v>
      </c>
      <c r="F230" s="38">
        <f>E230*6500</f>
        <v>13000</v>
      </c>
      <c r="G230" s="38">
        <f>E230*4500</f>
        <v>9000</v>
      </c>
      <c r="H230" s="38">
        <f>E230*2000</f>
        <v>4000</v>
      </c>
    </row>
    <row r="231" spans="1:8" x14ac:dyDescent="0.25">
      <c r="A231" s="29"/>
      <c r="B231" s="29"/>
      <c r="C231" s="29" t="s">
        <v>481</v>
      </c>
      <c r="D231" s="29" t="s">
        <v>13</v>
      </c>
      <c r="E231" s="29">
        <v>4</v>
      </c>
      <c r="F231" s="38">
        <f>E231*6500</f>
        <v>26000</v>
      </c>
      <c r="G231" s="38">
        <f>E231*4500</f>
        <v>18000</v>
      </c>
      <c r="H231" s="38">
        <f>E231*2000</f>
        <v>8000</v>
      </c>
    </row>
    <row r="232" spans="1:8" x14ac:dyDescent="0.25">
      <c r="A232" s="29"/>
      <c r="B232" s="29"/>
      <c r="C232" s="29"/>
      <c r="D232" s="29" t="s">
        <v>14</v>
      </c>
      <c r="E232" s="29">
        <v>3</v>
      </c>
      <c r="F232" s="38">
        <f>E232*10000</f>
        <v>30000</v>
      </c>
      <c r="G232" s="38">
        <f>E232*5500</f>
        <v>16500</v>
      </c>
      <c r="H232" s="38">
        <f>E232*4500</f>
        <v>13500</v>
      </c>
    </row>
    <row r="233" spans="1:8" x14ac:dyDescent="0.25">
      <c r="A233" s="29"/>
      <c r="B233" s="29"/>
      <c r="C233" s="29"/>
      <c r="D233" s="29" t="s">
        <v>489</v>
      </c>
      <c r="E233" s="29">
        <v>5</v>
      </c>
      <c r="F233" s="38">
        <f>E233*2000</f>
        <v>10000</v>
      </c>
      <c r="G233" s="38">
        <f>E233*1000</f>
        <v>5000</v>
      </c>
      <c r="H233" s="38">
        <v>5000</v>
      </c>
    </row>
    <row r="234" spans="1:8" x14ac:dyDescent="0.25">
      <c r="A234" s="29"/>
      <c r="B234" s="29"/>
      <c r="C234" s="29" t="s">
        <v>24</v>
      </c>
      <c r="D234" s="29" t="s">
        <v>243</v>
      </c>
      <c r="E234" s="29">
        <v>1</v>
      </c>
      <c r="F234" s="38">
        <v>15000</v>
      </c>
      <c r="G234" s="38">
        <v>10000</v>
      </c>
      <c r="H234" s="38">
        <v>5000</v>
      </c>
    </row>
    <row r="235" spans="1:8" x14ac:dyDescent="0.25">
      <c r="A235" s="125" t="s">
        <v>17</v>
      </c>
      <c r="B235" s="125"/>
      <c r="C235" s="125"/>
      <c r="D235" s="125"/>
      <c r="E235" s="17">
        <f>SUM(E224:E234)</f>
        <v>172</v>
      </c>
      <c r="F235" s="17">
        <f>SUM(F224:F234)</f>
        <v>350400</v>
      </c>
      <c r="G235" s="17">
        <f>SUM(G224:G234)</f>
        <v>138500</v>
      </c>
      <c r="H235" s="17">
        <f>SUM(H224:H234)</f>
        <v>211900</v>
      </c>
    </row>
    <row r="236" spans="1:8" x14ac:dyDescent="0.25">
      <c r="A236" s="29" t="s">
        <v>32</v>
      </c>
      <c r="B236" s="29" t="s">
        <v>494</v>
      </c>
      <c r="C236" s="29" t="s">
        <v>288</v>
      </c>
      <c r="D236" s="29" t="s">
        <v>11</v>
      </c>
      <c r="E236" s="29">
        <f>55-26</f>
        <v>29</v>
      </c>
      <c r="F236" s="38">
        <f>E236*1800</f>
        <v>52200</v>
      </c>
      <c r="G236" s="38">
        <f>E236*500</f>
        <v>14500</v>
      </c>
      <c r="H236" s="38">
        <f>E236*1300</f>
        <v>37700</v>
      </c>
    </row>
    <row r="237" spans="1:8" x14ac:dyDescent="0.25">
      <c r="A237" s="29"/>
      <c r="B237" s="29"/>
      <c r="C237" s="29" t="s">
        <v>106</v>
      </c>
      <c r="D237" s="29" t="s">
        <v>11</v>
      </c>
      <c r="E237" s="29">
        <v>14</v>
      </c>
      <c r="F237" s="38">
        <f>E237*1500</f>
        <v>21000</v>
      </c>
      <c r="G237" s="38">
        <f>E237*500</f>
        <v>7000</v>
      </c>
      <c r="H237" s="38">
        <v>14000</v>
      </c>
    </row>
    <row r="238" spans="1:8" x14ac:dyDescent="0.25">
      <c r="A238" s="29"/>
      <c r="B238" s="29"/>
      <c r="C238" s="29" t="s">
        <v>108</v>
      </c>
      <c r="D238" s="29" t="s">
        <v>11</v>
      </c>
      <c r="E238" s="29">
        <v>34</v>
      </c>
      <c r="F238" s="38">
        <f>E238*1500</f>
        <v>51000</v>
      </c>
      <c r="G238" s="38">
        <f>E238*500</f>
        <v>17000</v>
      </c>
      <c r="H238" s="38">
        <f>E238*1000</f>
        <v>34000</v>
      </c>
    </row>
    <row r="239" spans="1:8" x14ac:dyDescent="0.25">
      <c r="A239" s="29"/>
      <c r="B239" s="29"/>
      <c r="C239" s="29" t="s">
        <v>478</v>
      </c>
      <c r="D239" s="29" t="s">
        <v>11</v>
      </c>
      <c r="E239" s="29">
        <v>50</v>
      </c>
      <c r="F239" s="38">
        <f>E239*1700</f>
        <v>85000</v>
      </c>
      <c r="G239" s="38">
        <f>E239*500</f>
        <v>25000</v>
      </c>
      <c r="H239" s="38">
        <f>E239*1200</f>
        <v>60000</v>
      </c>
    </row>
    <row r="240" spans="1:8" x14ac:dyDescent="0.25">
      <c r="A240" s="29"/>
      <c r="B240" s="29"/>
      <c r="C240" s="29" t="s">
        <v>481</v>
      </c>
      <c r="D240" s="29" t="s">
        <v>13</v>
      </c>
      <c r="E240" s="29">
        <v>2</v>
      </c>
      <c r="F240" s="38">
        <f>E240*6500</f>
        <v>13000</v>
      </c>
      <c r="G240" s="38">
        <f>E240*4500</f>
        <v>9000</v>
      </c>
      <c r="H240" s="38">
        <f>E240*2000</f>
        <v>4000</v>
      </c>
    </row>
    <row r="241" spans="1:8" x14ac:dyDescent="0.25">
      <c r="A241" s="29"/>
      <c r="B241" s="29"/>
      <c r="C241" s="29"/>
      <c r="D241" s="29" t="s">
        <v>14</v>
      </c>
      <c r="E241" s="29">
        <v>2</v>
      </c>
      <c r="F241" s="38">
        <f>E241*10000</f>
        <v>20000</v>
      </c>
      <c r="G241" s="38">
        <f>E241*5500</f>
        <v>11000</v>
      </c>
      <c r="H241" s="38">
        <f>E241*4500</f>
        <v>9000</v>
      </c>
    </row>
    <row r="242" spans="1:8" x14ac:dyDescent="0.25">
      <c r="A242" s="29"/>
      <c r="B242" s="29"/>
      <c r="C242" s="29"/>
      <c r="D242" s="29" t="s">
        <v>489</v>
      </c>
      <c r="E242" s="29">
        <v>3</v>
      </c>
      <c r="F242" s="38">
        <f>E242*2000</f>
        <v>6000</v>
      </c>
      <c r="G242" s="38">
        <v>3000</v>
      </c>
      <c r="H242" s="38">
        <v>3000</v>
      </c>
    </row>
    <row r="243" spans="1:8" x14ac:dyDescent="0.25">
      <c r="A243" s="29"/>
      <c r="B243" s="29"/>
      <c r="C243" s="29"/>
      <c r="D243" s="29" t="s">
        <v>415</v>
      </c>
      <c r="E243" s="29">
        <v>3</v>
      </c>
      <c r="F243" s="38">
        <f>E243*3500</f>
        <v>10500</v>
      </c>
      <c r="G243" s="38">
        <f>E243*1500</f>
        <v>4500</v>
      </c>
      <c r="H243" s="38">
        <f>E243*2000</f>
        <v>6000</v>
      </c>
    </row>
    <row r="244" spans="1:8" x14ac:dyDescent="0.25">
      <c r="A244" s="29"/>
      <c r="B244" s="29"/>
      <c r="C244" s="29" t="s">
        <v>495</v>
      </c>
      <c r="D244" s="29" t="s">
        <v>243</v>
      </c>
      <c r="E244" s="29">
        <v>2</v>
      </c>
      <c r="F244" s="38">
        <f>E244*15000</f>
        <v>30000</v>
      </c>
      <c r="G244" s="38">
        <f>E244*10000</f>
        <v>20000</v>
      </c>
      <c r="H244" s="38">
        <f>E244*5000</f>
        <v>10000</v>
      </c>
    </row>
    <row r="245" spans="1:8" x14ac:dyDescent="0.25">
      <c r="A245" s="125" t="s">
        <v>17</v>
      </c>
      <c r="B245" s="125"/>
      <c r="C245" s="125"/>
      <c r="D245" s="125"/>
      <c r="E245" s="17">
        <f>SUM(E236:E244)</f>
        <v>139</v>
      </c>
      <c r="F245" s="17">
        <f>SUM(F236:F244)</f>
        <v>288700</v>
      </c>
      <c r="G245" s="17">
        <f>SUM(G236:G244)</f>
        <v>111000</v>
      </c>
      <c r="H245" s="17">
        <f>SUM(H236:H244)</f>
        <v>177700</v>
      </c>
    </row>
    <row r="246" spans="1:8" x14ac:dyDescent="0.25">
      <c r="A246" s="29" t="s">
        <v>8</v>
      </c>
      <c r="B246" s="29" t="s">
        <v>496</v>
      </c>
      <c r="C246" s="29" t="s">
        <v>288</v>
      </c>
      <c r="D246" s="29" t="s">
        <v>11</v>
      </c>
      <c r="E246" s="29">
        <f>55-9</f>
        <v>46</v>
      </c>
      <c r="F246" s="38">
        <f>E246*1800</f>
        <v>82800</v>
      </c>
      <c r="G246" s="38">
        <f>E246*500</f>
        <v>23000</v>
      </c>
      <c r="H246" s="38">
        <f>E246*1300</f>
        <v>59800</v>
      </c>
    </row>
    <row r="247" spans="1:8" x14ac:dyDescent="0.25">
      <c r="A247" s="29"/>
      <c r="B247" s="29"/>
      <c r="C247" s="29" t="s">
        <v>108</v>
      </c>
      <c r="D247" s="29" t="s">
        <v>11</v>
      </c>
      <c r="E247" s="29">
        <v>46</v>
      </c>
      <c r="F247" s="38">
        <f>E247*1500</f>
        <v>69000</v>
      </c>
      <c r="G247" s="38">
        <f>E247*500</f>
        <v>23000</v>
      </c>
      <c r="H247" s="38">
        <f>E247*1000</f>
        <v>46000</v>
      </c>
    </row>
    <row r="248" spans="1:8" x14ac:dyDescent="0.25">
      <c r="A248" s="29"/>
      <c r="B248" s="29"/>
      <c r="C248" s="29" t="s">
        <v>478</v>
      </c>
      <c r="D248" s="29" t="s">
        <v>11</v>
      </c>
      <c r="E248" s="29">
        <v>50</v>
      </c>
      <c r="F248" s="38">
        <f>E248*1700</f>
        <v>85000</v>
      </c>
      <c r="G248" s="38">
        <f>E248*500</f>
        <v>25000</v>
      </c>
      <c r="H248" s="38">
        <f>E248*1200</f>
        <v>60000</v>
      </c>
    </row>
    <row r="249" spans="1:8" x14ac:dyDescent="0.25">
      <c r="A249" s="29"/>
      <c r="B249" s="29"/>
      <c r="C249" s="29" t="s">
        <v>497</v>
      </c>
      <c r="D249" s="29" t="s">
        <v>11</v>
      </c>
      <c r="E249" s="29">
        <v>50</v>
      </c>
      <c r="F249" s="38">
        <f>E249*1700</f>
        <v>85000</v>
      </c>
      <c r="G249" s="38">
        <f>E249*500</f>
        <v>25000</v>
      </c>
      <c r="H249" s="38">
        <f>E249*1200</f>
        <v>60000</v>
      </c>
    </row>
    <row r="250" spans="1:8" x14ac:dyDescent="0.25">
      <c r="A250" s="29"/>
      <c r="B250" s="29"/>
      <c r="C250" s="29" t="s">
        <v>498</v>
      </c>
      <c r="D250" s="29" t="s">
        <v>11</v>
      </c>
      <c r="E250" s="29">
        <v>17</v>
      </c>
      <c r="F250" s="38">
        <f>E250*1500</f>
        <v>25500</v>
      </c>
      <c r="G250" s="38">
        <f>E250*500</f>
        <v>8500</v>
      </c>
      <c r="H250" s="38">
        <v>17000</v>
      </c>
    </row>
    <row r="251" spans="1:8" x14ac:dyDescent="0.25">
      <c r="A251" s="29"/>
      <c r="B251" s="29"/>
      <c r="C251" s="29"/>
      <c r="D251" s="29" t="s">
        <v>12</v>
      </c>
      <c r="E251" s="29">
        <v>1</v>
      </c>
      <c r="F251" s="38">
        <v>3000</v>
      </c>
      <c r="G251" s="38">
        <v>2000</v>
      </c>
      <c r="H251" s="38">
        <v>1000</v>
      </c>
    </row>
    <row r="252" spans="1:8" x14ac:dyDescent="0.25">
      <c r="A252" s="29"/>
      <c r="B252" s="29"/>
      <c r="C252" s="29"/>
      <c r="D252" s="29" t="s">
        <v>13</v>
      </c>
      <c r="E252" s="29">
        <v>1</v>
      </c>
      <c r="F252" s="38">
        <v>6500</v>
      </c>
      <c r="G252" s="38">
        <v>4500</v>
      </c>
      <c r="H252" s="38">
        <v>2000</v>
      </c>
    </row>
    <row r="253" spans="1:8" x14ac:dyDescent="0.25">
      <c r="A253" s="29"/>
      <c r="B253" s="29"/>
      <c r="C253" s="29" t="s">
        <v>24</v>
      </c>
      <c r="D253" s="29" t="s">
        <v>14</v>
      </c>
      <c r="E253" s="29">
        <v>1</v>
      </c>
      <c r="F253" s="38">
        <v>10000</v>
      </c>
      <c r="G253" s="38">
        <v>5500</v>
      </c>
      <c r="H253" s="38">
        <v>4500</v>
      </c>
    </row>
    <row r="254" spans="1:8" x14ac:dyDescent="0.25">
      <c r="A254" s="125" t="s">
        <v>17</v>
      </c>
      <c r="B254" s="125"/>
      <c r="C254" s="125"/>
      <c r="D254" s="125"/>
      <c r="E254" s="17">
        <f>SUM(E246:E253)</f>
        <v>212</v>
      </c>
      <c r="F254" s="17">
        <f>SUM(F246:F253)</f>
        <v>366800</v>
      </c>
      <c r="G254" s="17">
        <f>SUM(G246:G253)</f>
        <v>116500</v>
      </c>
      <c r="H254" s="17">
        <f>SUM(H246:H253)</f>
        <v>250300</v>
      </c>
    </row>
    <row r="255" spans="1:8" x14ac:dyDescent="0.25">
      <c r="A255" s="40" t="s">
        <v>18</v>
      </c>
      <c r="B255" s="40" t="s">
        <v>499</v>
      </c>
      <c r="C255" s="38" t="s">
        <v>288</v>
      </c>
      <c r="D255" s="38" t="s">
        <v>11</v>
      </c>
      <c r="E255" s="40">
        <v>39</v>
      </c>
      <c r="F255" s="40">
        <f>E255*1800</f>
        <v>70200</v>
      </c>
      <c r="G255" s="40">
        <f t="shared" ref="G255:G261" si="13">E255*500</f>
        <v>19500</v>
      </c>
      <c r="H255" s="40">
        <f>E255*1300</f>
        <v>50700</v>
      </c>
    </row>
    <row r="256" spans="1:8" x14ac:dyDescent="0.25">
      <c r="A256" s="29"/>
      <c r="B256" s="29"/>
      <c r="C256" s="29" t="s">
        <v>106</v>
      </c>
      <c r="D256" s="29" t="s">
        <v>11</v>
      </c>
      <c r="E256" s="29">
        <v>15</v>
      </c>
      <c r="F256" s="40">
        <f>E256*1500</f>
        <v>22500</v>
      </c>
      <c r="G256" s="38">
        <f t="shared" si="13"/>
        <v>7500</v>
      </c>
      <c r="H256" s="38">
        <f>E256*1000</f>
        <v>15000</v>
      </c>
    </row>
    <row r="257" spans="1:8" x14ac:dyDescent="0.25">
      <c r="A257" s="29"/>
      <c r="B257" s="29"/>
      <c r="C257" s="29" t="s">
        <v>108</v>
      </c>
      <c r="D257" s="29" t="s">
        <v>11</v>
      </c>
      <c r="E257" s="29">
        <v>35</v>
      </c>
      <c r="F257" s="40">
        <f>E257*1500</f>
        <v>52500</v>
      </c>
      <c r="G257" s="38">
        <f t="shared" si="13"/>
        <v>17500</v>
      </c>
      <c r="H257" s="38">
        <v>35000</v>
      </c>
    </row>
    <row r="258" spans="1:8" x14ac:dyDescent="0.25">
      <c r="A258" s="29"/>
      <c r="B258" s="29"/>
      <c r="C258" s="29" t="s">
        <v>478</v>
      </c>
      <c r="D258" s="29" t="s">
        <v>11</v>
      </c>
      <c r="E258" s="29">
        <v>50</v>
      </c>
      <c r="F258" s="38">
        <f>E258*1700</f>
        <v>85000</v>
      </c>
      <c r="G258" s="38">
        <f t="shared" si="13"/>
        <v>25000</v>
      </c>
      <c r="H258" s="38">
        <f>E258*1200</f>
        <v>60000</v>
      </c>
    </row>
    <row r="259" spans="1:8" x14ac:dyDescent="0.25">
      <c r="A259" s="29"/>
      <c r="B259" s="29"/>
      <c r="C259" s="29" t="s">
        <v>497</v>
      </c>
      <c r="D259" s="29" t="s">
        <v>11</v>
      </c>
      <c r="E259" s="29">
        <v>60</v>
      </c>
      <c r="F259" s="38">
        <f>E259*1700</f>
        <v>102000</v>
      </c>
      <c r="G259" s="38">
        <f t="shared" si="13"/>
        <v>30000</v>
      </c>
      <c r="H259" s="38">
        <f>E259*1200</f>
        <v>72000</v>
      </c>
    </row>
    <row r="260" spans="1:8" x14ac:dyDescent="0.25">
      <c r="A260" s="29"/>
      <c r="B260" s="29"/>
      <c r="C260" s="29" t="s">
        <v>79</v>
      </c>
      <c r="D260" s="29" t="s">
        <v>11</v>
      </c>
      <c r="E260" s="29">
        <v>10</v>
      </c>
      <c r="F260" s="38">
        <f>E260*1500</f>
        <v>15000</v>
      </c>
      <c r="G260" s="38">
        <f t="shared" si="13"/>
        <v>5000</v>
      </c>
      <c r="H260" s="38">
        <f>E260*1000</f>
        <v>10000</v>
      </c>
    </row>
    <row r="261" spans="1:8" x14ac:dyDescent="0.25">
      <c r="A261" s="29"/>
      <c r="B261" s="29"/>
      <c r="C261" s="29" t="s">
        <v>16</v>
      </c>
      <c r="D261" s="29" t="s">
        <v>11</v>
      </c>
      <c r="E261" s="29">
        <v>75</v>
      </c>
      <c r="F261" s="38">
        <f>E261*1500</f>
        <v>112500</v>
      </c>
      <c r="G261" s="38">
        <f t="shared" si="13"/>
        <v>37500</v>
      </c>
      <c r="H261" s="38">
        <f>E261*1000</f>
        <v>75000</v>
      </c>
    </row>
    <row r="262" spans="1:8" x14ac:dyDescent="0.25">
      <c r="A262" s="29"/>
      <c r="B262" s="29"/>
      <c r="C262" s="29"/>
      <c r="D262" s="29" t="s">
        <v>12</v>
      </c>
      <c r="E262" s="29">
        <v>2</v>
      </c>
      <c r="F262" s="38">
        <f>E262*3000</f>
        <v>6000</v>
      </c>
      <c r="G262" s="38">
        <f>E262*2000</f>
        <v>4000</v>
      </c>
      <c r="H262" s="38">
        <v>2000</v>
      </c>
    </row>
    <row r="263" spans="1:8" x14ac:dyDescent="0.25">
      <c r="A263" s="126" t="s">
        <v>17</v>
      </c>
      <c r="B263" s="126"/>
      <c r="C263" s="126"/>
      <c r="D263" s="126"/>
      <c r="E263" s="41">
        <f>SUM(E255:E262)</f>
        <v>286</v>
      </c>
      <c r="F263" s="41">
        <f>SUM(F255:F262)</f>
        <v>465700</v>
      </c>
      <c r="G263" s="41">
        <f>SUM(G255:G262)</f>
        <v>146000</v>
      </c>
      <c r="H263" s="41">
        <f>SUM(H255:H262)</f>
        <v>319700</v>
      </c>
    </row>
    <row r="264" spans="1:8" x14ac:dyDescent="0.25">
      <c r="A264" s="29" t="s">
        <v>22</v>
      </c>
      <c r="B264" s="29" t="s">
        <v>500</v>
      </c>
      <c r="C264" s="29" t="s">
        <v>288</v>
      </c>
      <c r="D264" s="29" t="s">
        <v>11</v>
      </c>
      <c r="E264" s="29">
        <v>39</v>
      </c>
      <c r="F264" s="38">
        <f>E264*1800</f>
        <v>70200</v>
      </c>
      <c r="G264" s="38">
        <f t="shared" ref="G264:G269" si="14">E264*500</f>
        <v>19500</v>
      </c>
      <c r="H264" s="38">
        <f>E264*1300</f>
        <v>50700</v>
      </c>
    </row>
    <row r="265" spans="1:8" x14ac:dyDescent="0.25">
      <c r="A265" s="29"/>
      <c r="B265" s="29"/>
      <c r="C265" s="29" t="s">
        <v>106</v>
      </c>
      <c r="D265" s="29" t="s">
        <v>11</v>
      </c>
      <c r="E265" s="29">
        <v>20</v>
      </c>
      <c r="F265" s="38">
        <f>E265*1500</f>
        <v>30000</v>
      </c>
      <c r="G265" s="38">
        <f t="shared" si="14"/>
        <v>10000</v>
      </c>
      <c r="H265" s="38">
        <v>20000</v>
      </c>
    </row>
    <row r="266" spans="1:8" x14ac:dyDescent="0.25">
      <c r="A266" s="29"/>
      <c r="B266" s="29"/>
      <c r="C266" s="29" t="s">
        <v>108</v>
      </c>
      <c r="D266" s="29" t="s">
        <v>11</v>
      </c>
      <c r="E266" s="29">
        <v>49</v>
      </c>
      <c r="F266" s="38">
        <f>E266*1500</f>
        <v>73500</v>
      </c>
      <c r="G266" s="38">
        <f t="shared" si="14"/>
        <v>24500</v>
      </c>
      <c r="H266" s="38">
        <f>E266*1000</f>
        <v>49000</v>
      </c>
    </row>
    <row r="267" spans="1:8" x14ac:dyDescent="0.25">
      <c r="A267" s="29"/>
      <c r="B267" s="29"/>
      <c r="C267" s="29" t="s">
        <v>497</v>
      </c>
      <c r="D267" s="29" t="s">
        <v>11</v>
      </c>
      <c r="E267" s="29">
        <v>70</v>
      </c>
      <c r="F267" s="38">
        <f>E267*1700</f>
        <v>119000</v>
      </c>
      <c r="G267" s="38">
        <f t="shared" si="14"/>
        <v>35000</v>
      </c>
      <c r="H267" s="38">
        <f>E267*1200</f>
        <v>84000</v>
      </c>
    </row>
    <row r="268" spans="1:8" x14ac:dyDescent="0.25">
      <c r="A268" s="29"/>
      <c r="B268" s="29"/>
      <c r="C268" s="29" t="s">
        <v>478</v>
      </c>
      <c r="D268" s="29" t="s">
        <v>11</v>
      </c>
      <c r="E268" s="29">
        <v>100</v>
      </c>
      <c r="F268" s="38">
        <f>E268*1700</f>
        <v>170000</v>
      </c>
      <c r="G268" s="38">
        <f t="shared" si="14"/>
        <v>50000</v>
      </c>
      <c r="H268" s="38">
        <f>E268*1200</f>
        <v>120000</v>
      </c>
    </row>
    <row r="269" spans="1:8" x14ac:dyDescent="0.25">
      <c r="A269" s="29"/>
      <c r="B269" s="29"/>
      <c r="C269" s="29" t="s">
        <v>16</v>
      </c>
      <c r="D269" s="29" t="s">
        <v>11</v>
      </c>
      <c r="E269" s="29">
        <v>37</v>
      </c>
      <c r="F269" s="38">
        <f>E269*1500</f>
        <v>55500</v>
      </c>
      <c r="G269" s="38">
        <f t="shared" si="14"/>
        <v>18500</v>
      </c>
      <c r="H269" s="38">
        <v>37000</v>
      </c>
    </row>
    <row r="270" spans="1:8" x14ac:dyDescent="0.25">
      <c r="A270" s="29"/>
      <c r="B270" s="29"/>
      <c r="C270" s="29"/>
      <c r="D270" s="29" t="s">
        <v>13</v>
      </c>
      <c r="E270" s="29">
        <v>1</v>
      </c>
      <c r="F270" s="38">
        <v>6500</v>
      </c>
      <c r="G270" s="38">
        <v>4500</v>
      </c>
      <c r="H270" s="38">
        <v>2000</v>
      </c>
    </row>
    <row r="271" spans="1:8" x14ac:dyDescent="0.25">
      <c r="A271" s="125" t="s">
        <v>17</v>
      </c>
      <c r="B271" s="125"/>
      <c r="C271" s="125"/>
      <c r="D271" s="125"/>
      <c r="E271" s="17">
        <f>SUM(E264:E270)</f>
        <v>316</v>
      </c>
      <c r="F271" s="17">
        <f>SUM(F264:F270)</f>
        <v>524700</v>
      </c>
      <c r="G271" s="17">
        <f>SUM(G264:G270)</f>
        <v>162000</v>
      </c>
      <c r="H271" s="17">
        <f>SUM(H264:H270)</f>
        <v>362700</v>
      </c>
    </row>
    <row r="272" spans="1:8" x14ac:dyDescent="0.25">
      <c r="A272" s="29" t="s">
        <v>26</v>
      </c>
      <c r="B272" s="29" t="s">
        <v>501</v>
      </c>
      <c r="C272" s="29" t="s">
        <v>106</v>
      </c>
      <c r="D272" s="29" t="s">
        <v>11</v>
      </c>
      <c r="E272" s="29">
        <v>15</v>
      </c>
      <c r="F272" s="38">
        <f>E272*1500</f>
        <v>22500</v>
      </c>
      <c r="G272" s="38">
        <f>E272*500</f>
        <v>7500</v>
      </c>
      <c r="H272" s="38">
        <v>15000</v>
      </c>
    </row>
    <row r="273" spans="1:8" x14ac:dyDescent="0.25">
      <c r="A273" s="29"/>
      <c r="B273" s="29"/>
      <c r="C273" s="29" t="s">
        <v>108</v>
      </c>
      <c r="D273" s="29" t="s">
        <v>11</v>
      </c>
      <c r="E273" s="29">
        <f>50-18</f>
        <v>32</v>
      </c>
      <c r="F273" s="38">
        <f>E273*1500</f>
        <v>48000</v>
      </c>
      <c r="G273" s="38">
        <f>E273*500</f>
        <v>16000</v>
      </c>
      <c r="H273" s="38">
        <v>32000</v>
      </c>
    </row>
    <row r="274" spans="1:8" x14ac:dyDescent="0.25">
      <c r="A274" s="29"/>
      <c r="B274" s="29"/>
      <c r="C274" s="29" t="s">
        <v>502</v>
      </c>
      <c r="D274" s="29" t="s">
        <v>11</v>
      </c>
      <c r="E274" s="29">
        <v>22</v>
      </c>
      <c r="F274" s="38">
        <f>E274*1700</f>
        <v>37400</v>
      </c>
      <c r="G274" s="38">
        <f>E274*500</f>
        <v>11000</v>
      </c>
      <c r="H274" s="38">
        <f>E274*1200</f>
        <v>26400</v>
      </c>
    </row>
    <row r="275" spans="1:8" x14ac:dyDescent="0.25">
      <c r="A275" s="29"/>
      <c r="B275" s="29"/>
      <c r="C275" s="29" t="s">
        <v>16</v>
      </c>
      <c r="D275" s="29" t="s">
        <v>11</v>
      </c>
      <c r="E275" s="29">
        <v>24</v>
      </c>
      <c r="F275" s="38">
        <f>E275*1500</f>
        <v>36000</v>
      </c>
      <c r="G275" s="38">
        <f>E275*500</f>
        <v>12000</v>
      </c>
      <c r="H275" s="38">
        <v>24000</v>
      </c>
    </row>
    <row r="276" spans="1:8" x14ac:dyDescent="0.25">
      <c r="A276" s="29"/>
      <c r="B276" s="29"/>
      <c r="C276" s="29"/>
      <c r="D276" s="29" t="s">
        <v>12</v>
      </c>
      <c r="E276" s="29">
        <v>1</v>
      </c>
      <c r="F276" s="38">
        <v>3000</v>
      </c>
      <c r="G276" s="38">
        <v>2000</v>
      </c>
      <c r="H276" s="38">
        <v>1000</v>
      </c>
    </row>
    <row r="277" spans="1:8" x14ac:dyDescent="0.25">
      <c r="A277" s="29"/>
      <c r="B277" s="29"/>
      <c r="C277" s="29"/>
      <c r="D277" s="29" t="s">
        <v>13</v>
      </c>
      <c r="E277" s="29">
        <v>1</v>
      </c>
      <c r="F277" s="38">
        <v>6500</v>
      </c>
      <c r="G277" s="38">
        <v>4500</v>
      </c>
      <c r="H277" s="38">
        <v>2000</v>
      </c>
    </row>
    <row r="278" spans="1:8" x14ac:dyDescent="0.25">
      <c r="A278" s="29"/>
      <c r="B278" s="29"/>
      <c r="C278" s="29"/>
      <c r="D278" s="29" t="s">
        <v>14</v>
      </c>
      <c r="E278" s="29">
        <v>1</v>
      </c>
      <c r="F278" s="38">
        <v>10000</v>
      </c>
      <c r="G278" s="38">
        <v>5500</v>
      </c>
      <c r="H278" s="38">
        <v>4500</v>
      </c>
    </row>
    <row r="279" spans="1:8" x14ac:dyDescent="0.25">
      <c r="A279" s="29"/>
      <c r="B279" s="29"/>
      <c r="C279" s="29" t="s">
        <v>503</v>
      </c>
      <c r="D279" s="29" t="s">
        <v>13</v>
      </c>
      <c r="E279" s="29">
        <v>75</v>
      </c>
      <c r="F279" s="38">
        <f>E279*6500</f>
        <v>487500</v>
      </c>
      <c r="G279" s="38">
        <f>E279*500</f>
        <v>37500</v>
      </c>
      <c r="H279" s="38">
        <f>E279*2000</f>
        <v>150000</v>
      </c>
    </row>
    <row r="280" spans="1:8" x14ac:dyDescent="0.25">
      <c r="A280" s="125" t="s">
        <v>17</v>
      </c>
      <c r="B280" s="125"/>
      <c r="C280" s="125"/>
      <c r="D280" s="125"/>
      <c r="E280" s="17">
        <f>SUM(E272:E279)</f>
        <v>171</v>
      </c>
      <c r="F280" s="17">
        <f>SUM(F272:F279)</f>
        <v>650900</v>
      </c>
      <c r="G280" s="17">
        <f>SUM(G272:G279)</f>
        <v>96000</v>
      </c>
      <c r="H280" s="17">
        <f>SUM(H272:H279)</f>
        <v>254900</v>
      </c>
    </row>
    <row r="281" spans="1:8" x14ac:dyDescent="0.25">
      <c r="A281" s="29" t="s">
        <v>28</v>
      </c>
      <c r="B281" s="29" t="s">
        <v>504</v>
      </c>
      <c r="C281" s="29" t="s">
        <v>376</v>
      </c>
      <c r="D281" s="29" t="s">
        <v>11</v>
      </c>
      <c r="E281" s="29">
        <v>63</v>
      </c>
      <c r="F281" s="38">
        <f t="shared" ref="F281:F286" si="15">E281*1500</f>
        <v>94500</v>
      </c>
      <c r="G281" s="38">
        <f t="shared" ref="G281:G286" si="16">E281*500</f>
        <v>31500</v>
      </c>
      <c r="H281" s="38">
        <f t="shared" ref="H281:H286" si="17">E281*1000</f>
        <v>63000</v>
      </c>
    </row>
    <row r="282" spans="1:8" x14ac:dyDescent="0.25">
      <c r="A282" s="29"/>
      <c r="B282" s="29"/>
      <c r="C282" s="29"/>
      <c r="D282" s="29" t="s">
        <v>11</v>
      </c>
      <c r="E282" s="29">
        <v>62</v>
      </c>
      <c r="F282" s="38">
        <f t="shared" si="15"/>
        <v>93000</v>
      </c>
      <c r="G282" s="38">
        <f t="shared" si="16"/>
        <v>31000</v>
      </c>
      <c r="H282" s="38">
        <f t="shared" si="17"/>
        <v>62000</v>
      </c>
    </row>
    <row r="283" spans="1:8" x14ac:dyDescent="0.25">
      <c r="A283" s="29"/>
      <c r="B283" s="29"/>
      <c r="C283" s="29"/>
      <c r="D283" s="29" t="s">
        <v>11</v>
      </c>
      <c r="E283" s="29">
        <v>75</v>
      </c>
      <c r="F283" s="38">
        <f t="shared" si="15"/>
        <v>112500</v>
      </c>
      <c r="G283" s="38">
        <f t="shared" si="16"/>
        <v>37500</v>
      </c>
      <c r="H283" s="38">
        <f t="shared" si="17"/>
        <v>75000</v>
      </c>
    </row>
    <row r="284" spans="1:8" x14ac:dyDescent="0.25">
      <c r="A284" s="29"/>
      <c r="B284" s="29"/>
      <c r="C284" s="29"/>
      <c r="D284" s="29" t="s">
        <v>11</v>
      </c>
      <c r="E284" s="29">
        <v>55</v>
      </c>
      <c r="F284" s="38">
        <f t="shared" si="15"/>
        <v>82500</v>
      </c>
      <c r="G284" s="38">
        <f t="shared" si="16"/>
        <v>27500</v>
      </c>
      <c r="H284" s="38">
        <f t="shared" si="17"/>
        <v>55000</v>
      </c>
    </row>
    <row r="285" spans="1:8" x14ac:dyDescent="0.25">
      <c r="A285" s="29"/>
      <c r="B285" s="29"/>
      <c r="C285" s="29"/>
      <c r="D285" s="29" t="s">
        <v>11</v>
      </c>
      <c r="E285" s="29">
        <v>66</v>
      </c>
      <c r="F285" s="38">
        <f t="shared" si="15"/>
        <v>99000</v>
      </c>
      <c r="G285" s="38">
        <f t="shared" si="16"/>
        <v>33000</v>
      </c>
      <c r="H285" s="38">
        <f t="shared" si="17"/>
        <v>66000</v>
      </c>
    </row>
    <row r="286" spans="1:8" x14ac:dyDescent="0.25">
      <c r="A286" s="29"/>
      <c r="B286" s="29"/>
      <c r="C286" s="29"/>
      <c r="D286" s="29" t="s">
        <v>11</v>
      </c>
      <c r="E286" s="29">
        <v>33</v>
      </c>
      <c r="F286" s="38">
        <f t="shared" si="15"/>
        <v>49500</v>
      </c>
      <c r="G286" s="38">
        <f t="shared" si="16"/>
        <v>16500</v>
      </c>
      <c r="H286" s="38">
        <f t="shared" si="17"/>
        <v>33000</v>
      </c>
    </row>
    <row r="287" spans="1:8" x14ac:dyDescent="0.25">
      <c r="A287" s="29"/>
      <c r="B287" s="29"/>
      <c r="C287" s="29" t="s">
        <v>481</v>
      </c>
      <c r="D287" s="29" t="s">
        <v>13</v>
      </c>
      <c r="E287" s="29">
        <v>5</v>
      </c>
      <c r="F287" s="38">
        <f>E287*6500</f>
        <v>32500</v>
      </c>
      <c r="G287" s="38">
        <f>E287*4500</f>
        <v>22500</v>
      </c>
      <c r="H287" s="38">
        <f>E287*2000</f>
        <v>10000</v>
      </c>
    </row>
    <row r="288" spans="1:8" x14ac:dyDescent="0.25">
      <c r="A288" s="29"/>
      <c r="B288" s="29"/>
      <c r="C288" s="29"/>
      <c r="D288" s="29" t="s">
        <v>14</v>
      </c>
      <c r="E288" s="29">
        <v>2</v>
      </c>
      <c r="F288" s="38">
        <f>E288*10000</f>
        <v>20000</v>
      </c>
      <c r="G288" s="38">
        <f>E288*5500</f>
        <v>11000</v>
      </c>
      <c r="H288" s="38">
        <f>E288*4500</f>
        <v>9000</v>
      </c>
    </row>
    <row r="289" spans="1:8" x14ac:dyDescent="0.25">
      <c r="A289" s="29"/>
      <c r="B289" s="29"/>
      <c r="C289" s="29" t="s">
        <v>20</v>
      </c>
      <c r="D289" s="29" t="s">
        <v>13</v>
      </c>
      <c r="E289" s="29">
        <v>21</v>
      </c>
      <c r="F289" s="38">
        <f>E289*6500</f>
        <v>136500</v>
      </c>
      <c r="G289" s="38">
        <f>E289*4500</f>
        <v>94500</v>
      </c>
      <c r="H289" s="38">
        <f>E289*2000</f>
        <v>42000</v>
      </c>
    </row>
    <row r="290" spans="1:8" x14ac:dyDescent="0.25">
      <c r="A290" s="29"/>
      <c r="B290" s="29"/>
      <c r="C290" s="29"/>
      <c r="D290" s="29" t="s">
        <v>14</v>
      </c>
      <c r="E290" s="29">
        <v>19</v>
      </c>
      <c r="F290" s="38">
        <f>E290*10000</f>
        <v>190000</v>
      </c>
      <c r="G290" s="38">
        <f>E290*5500</f>
        <v>104500</v>
      </c>
      <c r="H290" s="38">
        <f>E290*4500</f>
        <v>85500</v>
      </c>
    </row>
    <row r="291" spans="1:8" x14ac:dyDescent="0.25">
      <c r="A291" s="29"/>
      <c r="B291" s="29"/>
      <c r="C291" s="29"/>
      <c r="D291" s="29" t="s">
        <v>404</v>
      </c>
      <c r="E291" s="29">
        <v>4</v>
      </c>
      <c r="F291" s="38">
        <f>E291*2000</f>
        <v>8000</v>
      </c>
      <c r="G291" s="38">
        <v>4000</v>
      </c>
      <c r="H291" s="38">
        <v>4000</v>
      </c>
    </row>
    <row r="292" spans="1:8" x14ac:dyDescent="0.25">
      <c r="A292" s="29"/>
      <c r="B292" s="29"/>
      <c r="C292" s="29"/>
      <c r="D292" s="29" t="s">
        <v>415</v>
      </c>
      <c r="E292" s="29">
        <v>7</v>
      </c>
      <c r="F292" s="38">
        <f>E292*3500</f>
        <v>24500</v>
      </c>
      <c r="G292" s="38">
        <f>E292*1500</f>
        <v>10500</v>
      </c>
      <c r="H292" s="38">
        <f>E292*2000</f>
        <v>14000</v>
      </c>
    </row>
    <row r="293" spans="1:8" x14ac:dyDescent="0.25">
      <c r="A293" s="29"/>
      <c r="B293" s="29"/>
      <c r="C293" s="29"/>
      <c r="D293" s="29" t="s">
        <v>432</v>
      </c>
      <c r="E293" s="29">
        <v>4</v>
      </c>
      <c r="F293" s="38">
        <f>E293*5000</f>
        <v>20000</v>
      </c>
      <c r="G293" s="38">
        <f>E293*2500</f>
        <v>10000</v>
      </c>
      <c r="H293" s="38">
        <v>5000</v>
      </c>
    </row>
    <row r="294" spans="1:8" x14ac:dyDescent="0.25">
      <c r="A294" s="29"/>
      <c r="B294" s="29"/>
      <c r="C294" s="29"/>
      <c r="D294" s="29" t="s">
        <v>505</v>
      </c>
      <c r="E294" s="29">
        <v>2</v>
      </c>
      <c r="F294" s="38">
        <v>10000</v>
      </c>
      <c r="G294" s="38">
        <v>5000</v>
      </c>
      <c r="H294" s="38">
        <v>5000</v>
      </c>
    </row>
    <row r="295" spans="1:8" x14ac:dyDescent="0.25">
      <c r="A295" s="126" t="s">
        <v>17</v>
      </c>
      <c r="B295" s="126"/>
      <c r="C295" s="126"/>
      <c r="D295" s="126"/>
      <c r="E295" s="17">
        <f>SUM(E281:E294)</f>
        <v>418</v>
      </c>
      <c r="F295" s="17">
        <f>SUM(F281:F294)</f>
        <v>972500</v>
      </c>
      <c r="G295" s="17">
        <f>SUM(G281:G294)</f>
        <v>439000</v>
      </c>
      <c r="H295" s="17">
        <f>SUM(H281:H294)</f>
        <v>528500</v>
      </c>
    </row>
    <row r="296" spans="1:8" x14ac:dyDescent="0.25">
      <c r="A296" s="29"/>
      <c r="B296" s="29"/>
      <c r="C296" s="29" t="s">
        <v>16</v>
      </c>
      <c r="D296" s="29" t="s">
        <v>11</v>
      </c>
      <c r="E296" s="29">
        <v>63</v>
      </c>
      <c r="F296" s="38">
        <f>E296*1500</f>
        <v>94500</v>
      </c>
      <c r="G296" s="38">
        <f>E296*500</f>
        <v>31500</v>
      </c>
      <c r="H296" s="38">
        <v>63000</v>
      </c>
    </row>
    <row r="297" spans="1:8" x14ac:dyDescent="0.25">
      <c r="A297" s="29"/>
      <c r="B297" s="29"/>
      <c r="C297" s="29"/>
      <c r="D297" s="29" t="s">
        <v>13</v>
      </c>
      <c r="E297" s="29">
        <v>2</v>
      </c>
      <c r="F297" s="38">
        <f>E297*6500</f>
        <v>13000</v>
      </c>
      <c r="G297" s="38">
        <f>E297*4500</f>
        <v>9000</v>
      </c>
      <c r="H297" s="38">
        <f>E297*2000</f>
        <v>4000</v>
      </c>
    </row>
    <row r="298" spans="1:8" x14ac:dyDescent="0.25">
      <c r="A298" s="29"/>
      <c r="B298" s="29"/>
      <c r="C298" s="29"/>
      <c r="D298" s="29" t="s">
        <v>14</v>
      </c>
      <c r="E298" s="29">
        <v>1</v>
      </c>
      <c r="F298" s="38">
        <v>10000</v>
      </c>
      <c r="G298" s="38">
        <v>5500</v>
      </c>
      <c r="H298" s="38">
        <v>4500</v>
      </c>
    </row>
    <row r="299" spans="1:8" x14ac:dyDescent="0.25">
      <c r="A299" s="128" t="s">
        <v>17</v>
      </c>
      <c r="B299" s="129"/>
      <c r="C299" s="129"/>
      <c r="D299" s="130"/>
      <c r="E299" s="17">
        <f>SUM(E296:E298)</f>
        <v>66</v>
      </c>
      <c r="F299" s="17">
        <f>SUM(F296:F298)</f>
        <v>117500</v>
      </c>
      <c r="G299" s="17">
        <f>SUM(G296:G298)</f>
        <v>46000</v>
      </c>
      <c r="H299" s="17">
        <f>SUM(H296:H298)</f>
        <v>71500</v>
      </c>
    </row>
    <row r="300" spans="1:8" x14ac:dyDescent="0.25">
      <c r="A300" s="29" t="s">
        <v>30</v>
      </c>
      <c r="B300" s="29" t="s">
        <v>506</v>
      </c>
      <c r="C300" s="29" t="s">
        <v>288</v>
      </c>
      <c r="D300" s="29" t="s">
        <v>11</v>
      </c>
      <c r="E300" s="29">
        <f>35-17</f>
        <v>18</v>
      </c>
      <c r="F300" s="38">
        <f>E300*1800</f>
        <v>32400</v>
      </c>
      <c r="G300" s="38">
        <f>E300*500</f>
        <v>9000</v>
      </c>
      <c r="H300" s="38">
        <f>E300*1300</f>
        <v>23400</v>
      </c>
    </row>
    <row r="301" spans="1:8" x14ac:dyDescent="0.25">
      <c r="A301" s="29"/>
      <c r="B301" s="29"/>
      <c r="C301" s="29" t="s">
        <v>108</v>
      </c>
      <c r="D301" s="29" t="s">
        <v>11</v>
      </c>
      <c r="E301" s="29">
        <f>50-18</f>
        <v>32</v>
      </c>
      <c r="F301" s="38">
        <f>E301*1500</f>
        <v>48000</v>
      </c>
      <c r="G301" s="38">
        <f>E301*500</f>
        <v>16000</v>
      </c>
      <c r="H301" s="38">
        <f>E301*1000</f>
        <v>32000</v>
      </c>
    </row>
    <row r="302" spans="1:8" x14ac:dyDescent="0.25">
      <c r="A302" s="29"/>
      <c r="B302" s="29"/>
      <c r="C302" s="29" t="s">
        <v>502</v>
      </c>
      <c r="D302" s="29" t="s">
        <v>11</v>
      </c>
      <c r="E302" s="29">
        <v>19</v>
      </c>
      <c r="F302" s="38">
        <f>E302*1700</f>
        <v>32300</v>
      </c>
      <c r="G302" s="38">
        <f>E302*500</f>
        <v>9500</v>
      </c>
      <c r="H302" s="38">
        <f>E302*1200</f>
        <v>22800</v>
      </c>
    </row>
    <row r="303" spans="1:8" x14ac:dyDescent="0.25">
      <c r="A303" s="29"/>
      <c r="B303" s="29"/>
      <c r="C303" s="29" t="s">
        <v>507</v>
      </c>
      <c r="D303" s="29" t="s">
        <v>11</v>
      </c>
      <c r="E303" s="29">
        <v>7</v>
      </c>
      <c r="F303" s="38">
        <f>E303*1700</f>
        <v>11900</v>
      </c>
      <c r="G303" s="38">
        <f>E303*500</f>
        <v>3500</v>
      </c>
      <c r="H303" s="38">
        <f>E303*1200</f>
        <v>8400</v>
      </c>
    </row>
    <row r="304" spans="1:8" x14ac:dyDescent="0.25">
      <c r="A304" s="29"/>
      <c r="B304" s="29"/>
      <c r="C304" s="29" t="s">
        <v>481</v>
      </c>
      <c r="D304" s="29" t="s">
        <v>13</v>
      </c>
      <c r="E304" s="29">
        <v>1</v>
      </c>
      <c r="F304" s="38">
        <v>6500</v>
      </c>
      <c r="G304" s="38">
        <v>4500</v>
      </c>
      <c r="H304" s="38">
        <v>2000</v>
      </c>
    </row>
    <row r="305" spans="1:8" x14ac:dyDescent="0.25">
      <c r="A305" s="29"/>
      <c r="B305" s="29"/>
      <c r="C305" s="29"/>
      <c r="D305" s="29" t="s">
        <v>14</v>
      </c>
      <c r="E305" s="29">
        <v>1</v>
      </c>
      <c r="F305" s="29">
        <v>10000</v>
      </c>
      <c r="G305" s="38">
        <v>5500</v>
      </c>
      <c r="H305" s="38">
        <v>4500</v>
      </c>
    </row>
    <row r="306" spans="1:8" x14ac:dyDescent="0.25">
      <c r="A306" s="29"/>
      <c r="B306" s="29"/>
      <c r="C306" s="29" t="s">
        <v>16</v>
      </c>
      <c r="D306" s="29" t="s">
        <v>11</v>
      </c>
      <c r="E306" s="29">
        <v>32</v>
      </c>
      <c r="F306" s="29">
        <f>E306*1500</f>
        <v>48000</v>
      </c>
      <c r="G306" s="38">
        <f>E306*500</f>
        <v>16000</v>
      </c>
      <c r="H306" s="38">
        <v>32000</v>
      </c>
    </row>
    <row r="307" spans="1:8" x14ac:dyDescent="0.25">
      <c r="A307" s="29"/>
      <c r="B307" s="29"/>
      <c r="C307" s="29"/>
      <c r="D307" s="29" t="s">
        <v>12</v>
      </c>
      <c r="E307" s="29">
        <v>2</v>
      </c>
      <c r="F307" s="29">
        <f>E307*3000</f>
        <v>6000</v>
      </c>
      <c r="G307" s="38">
        <f>E307*2000</f>
        <v>4000</v>
      </c>
      <c r="H307" s="38">
        <v>2000</v>
      </c>
    </row>
    <row r="308" spans="1:8" x14ac:dyDescent="0.25">
      <c r="A308" s="29"/>
      <c r="B308" s="29"/>
      <c r="C308" s="29"/>
      <c r="D308" s="29" t="s">
        <v>14</v>
      </c>
      <c r="E308" s="29">
        <v>1</v>
      </c>
      <c r="F308" s="29">
        <v>10000</v>
      </c>
      <c r="G308" s="38">
        <v>5500</v>
      </c>
      <c r="H308" s="38">
        <v>4500</v>
      </c>
    </row>
    <row r="309" spans="1:8" x14ac:dyDescent="0.25">
      <c r="A309" s="131" t="s">
        <v>17</v>
      </c>
      <c r="B309" s="132"/>
      <c r="C309" s="132"/>
      <c r="D309" s="133"/>
      <c r="E309" s="17">
        <f>SUM(E300:E308)</f>
        <v>113</v>
      </c>
      <c r="F309" s="17">
        <f>SUM(F300:F308)</f>
        <v>205100</v>
      </c>
      <c r="G309" s="17">
        <f>SUM(G300:G308)</f>
        <v>73500</v>
      </c>
      <c r="H309" s="17">
        <f>SUM(H300:H308)</f>
        <v>131600</v>
      </c>
    </row>
    <row r="310" spans="1:8" x14ac:dyDescent="0.25">
      <c r="A310" s="29" t="s">
        <v>32</v>
      </c>
      <c r="B310" s="29" t="s">
        <v>508</v>
      </c>
      <c r="C310" s="29" t="s">
        <v>288</v>
      </c>
      <c r="D310" s="29" t="s">
        <v>11</v>
      </c>
      <c r="E310" s="29">
        <f>42-22</f>
        <v>20</v>
      </c>
      <c r="F310" s="38">
        <f>E310*1800</f>
        <v>36000</v>
      </c>
      <c r="G310" s="38">
        <f>E310*500</f>
        <v>10000</v>
      </c>
      <c r="H310" s="38">
        <f>E310*1300</f>
        <v>26000</v>
      </c>
    </row>
    <row r="311" spans="1:8" x14ac:dyDescent="0.25">
      <c r="A311" s="29"/>
      <c r="B311" s="29"/>
      <c r="C311" s="29" t="s">
        <v>106</v>
      </c>
      <c r="D311" s="29" t="s">
        <v>11</v>
      </c>
      <c r="E311" s="29">
        <v>16</v>
      </c>
      <c r="F311" s="38">
        <f>E311*1500</f>
        <v>24000</v>
      </c>
      <c r="G311" s="38">
        <f>E311*500</f>
        <v>8000</v>
      </c>
      <c r="H311" s="38">
        <v>16000</v>
      </c>
    </row>
    <row r="312" spans="1:8" x14ac:dyDescent="0.25">
      <c r="A312" s="29"/>
      <c r="B312" s="29"/>
      <c r="C312" s="29" t="s">
        <v>108</v>
      </c>
      <c r="D312" s="29" t="s">
        <v>11</v>
      </c>
      <c r="E312" s="29">
        <f>56-15</f>
        <v>41</v>
      </c>
      <c r="F312" s="38">
        <f>E312*1500</f>
        <v>61500</v>
      </c>
      <c r="G312" s="38">
        <f>E312*1500</f>
        <v>61500</v>
      </c>
      <c r="H312" s="38">
        <v>41000</v>
      </c>
    </row>
    <row r="313" spans="1:8" x14ac:dyDescent="0.25">
      <c r="A313" s="29"/>
      <c r="B313" s="29"/>
      <c r="C313" s="29" t="s">
        <v>497</v>
      </c>
      <c r="D313" s="29" t="s">
        <v>11</v>
      </c>
      <c r="E313" s="29">
        <v>40</v>
      </c>
      <c r="F313" s="38">
        <f>E313*1700</f>
        <v>68000</v>
      </c>
      <c r="G313" s="38">
        <f t="shared" ref="G313:G321" si="18">E313*500</f>
        <v>20000</v>
      </c>
      <c r="H313" s="38">
        <f>E313*1200</f>
        <v>48000</v>
      </c>
    </row>
    <row r="314" spans="1:8" x14ac:dyDescent="0.25">
      <c r="A314" s="29"/>
      <c r="B314" s="29"/>
      <c r="C314" s="29"/>
      <c r="D314" s="29" t="s">
        <v>11</v>
      </c>
      <c r="E314" s="29">
        <v>50</v>
      </c>
      <c r="F314" s="38">
        <f>E314*1700</f>
        <v>85000</v>
      </c>
      <c r="G314" s="38">
        <f t="shared" si="18"/>
        <v>25000</v>
      </c>
      <c r="H314" s="38">
        <f>E314*1200</f>
        <v>60000</v>
      </c>
    </row>
    <row r="315" spans="1:8" x14ac:dyDescent="0.25">
      <c r="A315" s="29"/>
      <c r="B315" s="29"/>
      <c r="C315" s="29" t="s">
        <v>478</v>
      </c>
      <c r="D315" s="29" t="s">
        <v>11</v>
      </c>
      <c r="E315" s="29">
        <v>50</v>
      </c>
      <c r="F315" s="38">
        <f>E315*1700</f>
        <v>85000</v>
      </c>
      <c r="G315" s="38">
        <f t="shared" si="18"/>
        <v>25000</v>
      </c>
      <c r="H315" s="38">
        <f>E315*1200</f>
        <v>60000</v>
      </c>
    </row>
    <row r="316" spans="1:8" x14ac:dyDescent="0.25">
      <c r="A316" s="29"/>
      <c r="B316" s="29"/>
      <c r="C316" s="29" t="s">
        <v>507</v>
      </c>
      <c r="D316" s="29" t="s">
        <v>11</v>
      </c>
      <c r="E316" s="29">
        <v>10</v>
      </c>
      <c r="F316" s="38">
        <f>E316*1700</f>
        <v>17000</v>
      </c>
      <c r="G316" s="38">
        <f t="shared" si="18"/>
        <v>5000</v>
      </c>
      <c r="H316" s="38">
        <f>E316*1200</f>
        <v>12000</v>
      </c>
    </row>
    <row r="317" spans="1:8" x14ac:dyDescent="0.25">
      <c r="A317" s="29"/>
      <c r="B317" s="29"/>
      <c r="C317" s="29" t="s">
        <v>81</v>
      </c>
      <c r="D317" s="29" t="s">
        <v>11</v>
      </c>
      <c r="E317" s="29">
        <v>75</v>
      </c>
      <c r="F317" s="38">
        <f>E317*1800</f>
        <v>135000</v>
      </c>
      <c r="G317" s="38">
        <f t="shared" si="18"/>
        <v>37500</v>
      </c>
      <c r="H317" s="38">
        <f>E317*1300</f>
        <v>97500</v>
      </c>
    </row>
    <row r="318" spans="1:8" x14ac:dyDescent="0.25">
      <c r="A318" s="29"/>
      <c r="B318" s="29"/>
      <c r="C318" s="29"/>
      <c r="D318" s="29" t="s">
        <v>11</v>
      </c>
      <c r="E318" s="29">
        <v>75</v>
      </c>
      <c r="F318" s="38">
        <f>E318*1800</f>
        <v>135000</v>
      </c>
      <c r="G318" s="38">
        <f t="shared" si="18"/>
        <v>37500</v>
      </c>
      <c r="H318" s="38">
        <f>E318*1300</f>
        <v>97500</v>
      </c>
    </row>
    <row r="319" spans="1:8" x14ac:dyDescent="0.25">
      <c r="A319" s="29"/>
      <c r="B319" s="29"/>
      <c r="C319" s="29"/>
      <c r="D319" s="29" t="s">
        <v>11</v>
      </c>
      <c r="E319" s="29">
        <v>75</v>
      </c>
      <c r="F319" s="38">
        <f>E319*1800</f>
        <v>135000</v>
      </c>
      <c r="G319" s="38">
        <f t="shared" si="18"/>
        <v>37500</v>
      </c>
      <c r="H319" s="38">
        <f>E319*1300</f>
        <v>97500</v>
      </c>
    </row>
    <row r="320" spans="1:8" x14ac:dyDescent="0.25">
      <c r="A320" s="29"/>
      <c r="B320" s="29"/>
      <c r="C320" s="29"/>
      <c r="D320" s="29" t="s">
        <v>11</v>
      </c>
      <c r="E320" s="29">
        <v>75</v>
      </c>
      <c r="F320" s="38">
        <f>E320*1800</f>
        <v>135000</v>
      </c>
      <c r="G320" s="38">
        <f t="shared" si="18"/>
        <v>37500</v>
      </c>
      <c r="H320" s="38">
        <f>E320*1300</f>
        <v>97500</v>
      </c>
    </row>
    <row r="321" spans="1:8" x14ac:dyDescent="0.25">
      <c r="A321" s="29"/>
      <c r="B321" s="29"/>
      <c r="C321" s="29"/>
      <c r="D321" s="29" t="s">
        <v>11</v>
      </c>
      <c r="E321" s="29">
        <v>75</v>
      </c>
      <c r="F321" s="38">
        <f>E321*1800</f>
        <v>135000</v>
      </c>
      <c r="G321" s="38">
        <f t="shared" si="18"/>
        <v>37500</v>
      </c>
      <c r="H321" s="38">
        <f>E321*1300</f>
        <v>97500</v>
      </c>
    </row>
    <row r="322" spans="1:8" x14ac:dyDescent="0.25">
      <c r="A322" s="131" t="s">
        <v>17</v>
      </c>
      <c r="B322" s="132"/>
      <c r="C322" s="132"/>
      <c r="D322" s="133"/>
      <c r="E322" s="17">
        <f>SUM(E310:E321)</f>
        <v>602</v>
      </c>
      <c r="F322" s="17">
        <f>SUM(F310:F321)</f>
        <v>1051500</v>
      </c>
      <c r="G322" s="17">
        <f>SUM(G310:G321)</f>
        <v>342000</v>
      </c>
      <c r="H322" s="17">
        <f>SUM(H310:H321)</f>
        <v>750500</v>
      </c>
    </row>
    <row r="323" spans="1:8" x14ac:dyDescent="0.25">
      <c r="A323" s="29"/>
      <c r="B323" s="29"/>
      <c r="C323" s="29" t="s">
        <v>16</v>
      </c>
      <c r="D323" s="29" t="s">
        <v>11</v>
      </c>
      <c r="E323" s="29">
        <v>53</v>
      </c>
      <c r="F323" s="38">
        <f>E323*1500</f>
        <v>79500</v>
      </c>
      <c r="G323" s="38">
        <f>E323*500</f>
        <v>26500</v>
      </c>
      <c r="H323" s="38">
        <f>E323*1000</f>
        <v>53000</v>
      </c>
    </row>
    <row r="324" spans="1:8" x14ac:dyDescent="0.25">
      <c r="A324" s="29"/>
      <c r="B324" s="29"/>
      <c r="C324" s="29"/>
      <c r="D324" s="29" t="s">
        <v>12</v>
      </c>
      <c r="E324" s="29">
        <v>4</v>
      </c>
      <c r="F324" s="38">
        <f>E324*3000</f>
        <v>12000</v>
      </c>
      <c r="G324" s="38">
        <f>E324*2000</f>
        <v>8000</v>
      </c>
      <c r="H324" s="38">
        <v>4000</v>
      </c>
    </row>
    <row r="325" spans="1:8" x14ac:dyDescent="0.25">
      <c r="A325" s="29"/>
      <c r="B325" s="29"/>
      <c r="C325" s="29"/>
      <c r="D325" s="29" t="s">
        <v>13</v>
      </c>
      <c r="E325" s="29">
        <v>1</v>
      </c>
      <c r="F325" s="38">
        <v>6500</v>
      </c>
      <c r="G325" s="38">
        <v>4500</v>
      </c>
      <c r="H325" s="38">
        <v>2000</v>
      </c>
    </row>
    <row r="326" spans="1:8" x14ac:dyDescent="0.25">
      <c r="A326" s="128" t="s">
        <v>17</v>
      </c>
      <c r="B326" s="129"/>
      <c r="C326" s="129"/>
      <c r="D326" s="130"/>
      <c r="E326" s="16">
        <f>SUM(E323:E325)</f>
        <v>58</v>
      </c>
      <c r="F326" s="17">
        <f>SUM(F323:F325)</f>
        <v>98000</v>
      </c>
      <c r="G326" s="17">
        <f>SUM(G323:G325)</f>
        <v>39000</v>
      </c>
      <c r="H326" s="17">
        <f>SUM(H323:H325)</f>
        <v>59000</v>
      </c>
    </row>
    <row r="327" spans="1:8" x14ac:dyDescent="0.25">
      <c r="A327" s="29"/>
      <c r="B327" s="29"/>
      <c r="C327" s="29"/>
      <c r="D327" s="29"/>
      <c r="E327" s="29"/>
      <c r="F327" s="29"/>
      <c r="G327" s="38"/>
      <c r="H327" s="38"/>
    </row>
    <row r="328" spans="1:8" x14ac:dyDescent="0.25">
      <c r="A328" s="29"/>
      <c r="B328" s="29"/>
      <c r="C328" s="29"/>
      <c r="D328" s="29"/>
      <c r="E328" s="29"/>
      <c r="F328" s="29"/>
      <c r="G328" s="38"/>
      <c r="H328" s="38"/>
    </row>
    <row r="329" spans="1:8" x14ac:dyDescent="0.25">
      <c r="A329" s="29"/>
      <c r="B329" s="29"/>
      <c r="C329" s="29"/>
      <c r="D329" s="29"/>
      <c r="E329" s="29"/>
      <c r="F329" s="29"/>
      <c r="G329" s="38"/>
      <c r="H329" s="38"/>
    </row>
    <row r="330" spans="1:8" x14ac:dyDescent="0.25">
      <c r="A330" s="29"/>
      <c r="B330" s="29"/>
      <c r="C330" s="29"/>
      <c r="D330" s="29"/>
      <c r="E330" s="29"/>
      <c r="F330" s="29"/>
      <c r="G330" s="38"/>
      <c r="H330" s="38"/>
    </row>
    <row r="331" spans="1:8" x14ac:dyDescent="0.25">
      <c r="A331" s="29"/>
      <c r="B331" s="29"/>
      <c r="C331" s="29"/>
      <c r="D331" s="29"/>
      <c r="E331" s="29"/>
      <c r="F331" s="29"/>
      <c r="G331" s="38"/>
      <c r="H331" s="38"/>
    </row>
    <row r="332" spans="1:8" x14ac:dyDescent="0.25">
      <c r="A332" s="29"/>
      <c r="B332" s="29"/>
      <c r="C332" s="29"/>
      <c r="D332" s="29"/>
      <c r="E332" s="29"/>
      <c r="F332" s="29"/>
      <c r="G332" s="38"/>
      <c r="H332" s="29"/>
    </row>
    <row r="333" spans="1:8" x14ac:dyDescent="0.25">
      <c r="A333" s="29"/>
      <c r="B333" s="29"/>
      <c r="C333" s="29"/>
      <c r="D333" s="29"/>
      <c r="E333" s="29"/>
      <c r="F333" s="29"/>
      <c r="G333" s="38"/>
      <c r="H333" s="29"/>
    </row>
    <row r="334" spans="1:8" x14ac:dyDescent="0.25">
      <c r="A334" s="29"/>
      <c r="B334" s="29"/>
      <c r="C334" s="29"/>
      <c r="D334" s="29"/>
      <c r="E334" s="29"/>
      <c r="F334" s="29"/>
      <c r="G334" s="38"/>
      <c r="H334" s="29"/>
    </row>
    <row r="335" spans="1:8" x14ac:dyDescent="0.25">
      <c r="A335" s="29"/>
      <c r="B335" s="29"/>
      <c r="C335" s="29"/>
      <c r="D335" s="29"/>
      <c r="E335" s="29"/>
      <c r="F335" s="29"/>
      <c r="G335" s="38"/>
      <c r="H335" s="29"/>
    </row>
    <row r="336" spans="1:8" x14ac:dyDescent="0.25">
      <c r="A336" s="29"/>
      <c r="B336" s="29"/>
      <c r="C336" s="29"/>
      <c r="D336" s="29"/>
      <c r="E336" s="29"/>
      <c r="F336" s="29"/>
      <c r="G336" s="38"/>
      <c r="H336" s="29"/>
    </row>
    <row r="337" spans="1:8" x14ac:dyDescent="0.25">
      <c r="A337" s="29"/>
      <c r="B337" s="29"/>
      <c r="C337" s="29"/>
      <c r="D337" s="29"/>
      <c r="E337" s="29"/>
      <c r="F337" s="29"/>
      <c r="G337" s="38"/>
      <c r="H337" s="29"/>
    </row>
    <row r="338" spans="1:8" x14ac:dyDescent="0.25">
      <c r="A338" s="29"/>
      <c r="B338" s="29"/>
      <c r="C338" s="29"/>
      <c r="D338" s="29"/>
      <c r="E338" s="29"/>
      <c r="F338" s="29"/>
      <c r="G338" s="38"/>
      <c r="H338" s="29"/>
    </row>
    <row r="339" spans="1:8" x14ac:dyDescent="0.25">
      <c r="A339" s="29"/>
      <c r="B339" s="29"/>
      <c r="C339" s="29"/>
      <c r="D339" s="29"/>
      <c r="E339" s="29"/>
      <c r="F339" s="29"/>
      <c r="G339" s="38"/>
      <c r="H339" s="29"/>
    </row>
    <row r="340" spans="1:8" x14ac:dyDescent="0.25">
      <c r="A340" s="29"/>
      <c r="B340" s="29"/>
      <c r="C340" s="29"/>
      <c r="D340" s="29"/>
      <c r="E340" s="29"/>
      <c r="F340" s="29"/>
      <c r="G340" s="38"/>
      <c r="H340" s="29"/>
    </row>
    <row r="341" spans="1:8" x14ac:dyDescent="0.25">
      <c r="A341" s="29"/>
      <c r="B341" s="29"/>
      <c r="C341" s="29"/>
      <c r="D341" s="29"/>
      <c r="E341" s="29"/>
      <c r="F341" s="29"/>
      <c r="G341" s="38"/>
      <c r="H341" s="29"/>
    </row>
    <row r="342" spans="1:8" x14ac:dyDescent="0.25">
      <c r="A342" s="29"/>
      <c r="B342" s="29"/>
      <c r="C342" s="29"/>
      <c r="D342" s="29"/>
      <c r="E342" s="29"/>
      <c r="F342" s="29"/>
      <c r="G342" s="38"/>
      <c r="H342" s="29"/>
    </row>
    <row r="343" spans="1:8" x14ac:dyDescent="0.25">
      <c r="A343" s="29"/>
      <c r="B343" s="29"/>
      <c r="C343" s="29"/>
      <c r="D343" s="29"/>
      <c r="E343" s="29"/>
      <c r="F343" s="29"/>
      <c r="G343" s="38"/>
      <c r="H343" s="29"/>
    </row>
    <row r="344" spans="1:8" x14ac:dyDescent="0.25">
      <c r="A344" s="29"/>
      <c r="B344" s="29"/>
      <c r="C344" s="29"/>
      <c r="D344" s="29"/>
      <c r="E344" s="29"/>
      <c r="F344" s="29"/>
      <c r="G344" s="38"/>
      <c r="H344" s="29"/>
    </row>
    <row r="345" spans="1:8" x14ac:dyDescent="0.25">
      <c r="A345" s="29"/>
      <c r="B345" s="29"/>
      <c r="C345" s="29"/>
      <c r="D345" s="29"/>
      <c r="E345" s="29"/>
      <c r="F345" s="29"/>
      <c r="G345" s="38"/>
      <c r="H345" s="29"/>
    </row>
    <row r="346" spans="1:8" x14ac:dyDescent="0.25">
      <c r="A346" s="29"/>
      <c r="B346" s="29"/>
      <c r="C346" s="29"/>
      <c r="D346" s="29"/>
      <c r="E346" s="29"/>
      <c r="F346" s="29"/>
      <c r="G346" s="38"/>
      <c r="H346" s="29"/>
    </row>
    <row r="347" spans="1:8" x14ac:dyDescent="0.25">
      <c r="A347" s="29"/>
      <c r="B347" s="29"/>
      <c r="C347" s="29"/>
      <c r="D347" s="29"/>
      <c r="E347" s="29"/>
      <c r="F347" s="29"/>
      <c r="G347" s="38"/>
      <c r="H347" s="29"/>
    </row>
    <row r="348" spans="1:8" x14ac:dyDescent="0.25">
      <c r="A348" s="29"/>
      <c r="B348" s="29"/>
      <c r="C348" s="29"/>
      <c r="D348" s="29"/>
      <c r="E348" s="29"/>
      <c r="F348" s="29"/>
      <c r="G348" s="38"/>
      <c r="H348" s="29"/>
    </row>
    <row r="349" spans="1:8" x14ac:dyDescent="0.25">
      <c r="A349" s="29"/>
      <c r="B349" s="29"/>
      <c r="C349" s="29"/>
      <c r="D349" s="29"/>
      <c r="E349" s="29"/>
      <c r="F349" s="29"/>
      <c r="G349" s="38"/>
      <c r="H349" s="29"/>
    </row>
    <row r="350" spans="1:8" x14ac:dyDescent="0.25">
      <c r="A350" s="29"/>
      <c r="B350" s="29"/>
      <c r="C350" s="29"/>
      <c r="D350" s="29"/>
      <c r="E350" s="29"/>
      <c r="F350" s="29"/>
      <c r="G350" s="38"/>
      <c r="H350" s="29"/>
    </row>
    <row r="351" spans="1:8" x14ac:dyDescent="0.25">
      <c r="A351" s="29"/>
      <c r="B351" s="29"/>
      <c r="C351" s="29"/>
      <c r="D351" s="29"/>
      <c r="E351" s="29"/>
      <c r="F351" s="29"/>
      <c r="G351" s="38"/>
      <c r="H351" s="29"/>
    </row>
    <row r="352" spans="1:8" x14ac:dyDescent="0.25">
      <c r="A352" s="29"/>
      <c r="B352" s="29"/>
      <c r="C352" s="29"/>
      <c r="D352" s="29"/>
      <c r="E352" s="29"/>
      <c r="F352" s="29"/>
      <c r="G352" s="38"/>
      <c r="H352" s="29"/>
    </row>
    <row r="353" spans="1:8" x14ac:dyDescent="0.25">
      <c r="A353" s="29"/>
      <c r="B353" s="29"/>
      <c r="C353" s="29"/>
      <c r="D353" s="29"/>
      <c r="E353" s="29"/>
      <c r="F353" s="29"/>
      <c r="G353" s="38"/>
      <c r="H353" s="29"/>
    </row>
    <row r="354" spans="1:8" x14ac:dyDescent="0.25">
      <c r="A354" s="29"/>
      <c r="B354" s="29"/>
      <c r="C354" s="29"/>
      <c r="D354" s="29"/>
      <c r="E354" s="29"/>
      <c r="F354" s="29"/>
      <c r="G354" s="38"/>
      <c r="H354" s="29"/>
    </row>
    <row r="355" spans="1:8" x14ac:dyDescent="0.25">
      <c r="A355" s="29"/>
      <c r="B355" s="29"/>
      <c r="C355" s="29"/>
      <c r="D355" s="29"/>
      <c r="E355" s="29"/>
      <c r="F355" s="29"/>
      <c r="G355" s="38"/>
      <c r="H355" s="29"/>
    </row>
    <row r="356" spans="1:8" x14ac:dyDescent="0.25">
      <c r="A356" s="29"/>
      <c r="B356" s="29"/>
      <c r="C356" s="29"/>
      <c r="D356" s="29"/>
      <c r="E356" s="29"/>
      <c r="F356" s="29"/>
      <c r="G356" s="38"/>
      <c r="H356" s="29"/>
    </row>
    <row r="357" spans="1:8" x14ac:dyDescent="0.25">
      <c r="A357" s="29"/>
      <c r="B357" s="29"/>
      <c r="C357" s="29"/>
      <c r="D357" s="29"/>
      <c r="E357" s="29"/>
      <c r="F357" s="29"/>
      <c r="G357" s="38"/>
      <c r="H357" s="29"/>
    </row>
    <row r="358" spans="1:8" x14ac:dyDescent="0.25">
      <c r="A358" s="29"/>
      <c r="B358" s="29"/>
      <c r="C358" s="29"/>
      <c r="D358" s="29"/>
      <c r="E358" s="29"/>
      <c r="F358" s="29"/>
      <c r="G358" s="38"/>
      <c r="H358" s="29"/>
    </row>
    <row r="359" spans="1:8" x14ac:dyDescent="0.25">
      <c r="A359" s="29"/>
      <c r="B359" s="29"/>
      <c r="C359" s="29"/>
      <c r="D359" s="29"/>
      <c r="E359" s="29"/>
      <c r="F359" s="29"/>
      <c r="G359" s="38"/>
      <c r="H359" s="29"/>
    </row>
    <row r="360" spans="1:8" x14ac:dyDescent="0.25">
      <c r="A360" s="29"/>
      <c r="B360" s="29"/>
      <c r="C360" s="29"/>
      <c r="D360" s="29"/>
      <c r="E360" s="29"/>
      <c r="F360" s="29"/>
      <c r="G360" s="38"/>
      <c r="H360" s="29"/>
    </row>
    <row r="361" spans="1:8" x14ac:dyDescent="0.25">
      <c r="A361" s="29"/>
      <c r="B361" s="29"/>
      <c r="C361" s="29"/>
      <c r="D361" s="29"/>
      <c r="E361" s="29"/>
      <c r="F361" s="29"/>
      <c r="G361" s="38"/>
      <c r="H361" s="29"/>
    </row>
    <row r="362" spans="1:8" x14ac:dyDescent="0.25">
      <c r="A362" s="29"/>
      <c r="B362" s="29"/>
      <c r="C362" s="29"/>
      <c r="D362" s="29"/>
      <c r="E362" s="29"/>
      <c r="F362" s="29"/>
      <c r="G362" s="38"/>
      <c r="H362" s="29"/>
    </row>
    <row r="363" spans="1:8" x14ac:dyDescent="0.25">
      <c r="A363" s="29"/>
      <c r="B363" s="29"/>
      <c r="C363" s="29"/>
      <c r="D363" s="29"/>
      <c r="E363" s="29"/>
      <c r="F363" s="29"/>
      <c r="G363" s="38"/>
      <c r="H363" s="29"/>
    </row>
    <row r="364" spans="1:8" x14ac:dyDescent="0.25">
      <c r="A364" s="29"/>
      <c r="B364" s="29"/>
      <c r="C364" s="29"/>
      <c r="D364" s="29"/>
      <c r="E364" s="29"/>
      <c r="F364" s="29"/>
      <c r="G364" s="38"/>
      <c r="H364" s="29"/>
    </row>
    <row r="365" spans="1:8" x14ac:dyDescent="0.25">
      <c r="A365" s="29"/>
      <c r="B365" s="29"/>
      <c r="C365" s="29"/>
      <c r="D365" s="29"/>
      <c r="E365" s="29"/>
      <c r="F365" s="29"/>
      <c r="G365" s="38"/>
      <c r="H365" s="29"/>
    </row>
    <row r="366" spans="1:8" x14ac:dyDescent="0.25">
      <c r="A366" s="29"/>
      <c r="B366" s="29"/>
      <c r="C366" s="29"/>
      <c r="D366" s="29"/>
      <c r="E366" s="29"/>
      <c r="F366" s="29"/>
      <c r="G366" s="38"/>
      <c r="H366" s="29"/>
    </row>
    <row r="367" spans="1:8" x14ac:dyDescent="0.25">
      <c r="A367" s="29"/>
      <c r="B367" s="29"/>
      <c r="C367" s="29"/>
      <c r="D367" s="29"/>
      <c r="E367" s="29"/>
      <c r="F367" s="29"/>
      <c r="G367" s="38"/>
      <c r="H367" s="29"/>
    </row>
    <row r="368" spans="1:8" x14ac:dyDescent="0.25">
      <c r="A368" s="29"/>
      <c r="B368" s="29"/>
      <c r="C368" s="29"/>
      <c r="D368" s="29"/>
      <c r="E368" s="29"/>
      <c r="F368" s="29"/>
      <c r="G368" s="38"/>
      <c r="H368" s="29"/>
    </row>
    <row r="369" spans="7:7" x14ac:dyDescent="0.25">
      <c r="G369" s="4"/>
    </row>
    <row r="370" spans="7:7" x14ac:dyDescent="0.25">
      <c r="G370" s="4"/>
    </row>
  </sheetData>
  <autoFilter ref="A1:H326" xr:uid="{00000000-0009-0000-0000-00000F000000}"/>
  <mergeCells count="32">
    <mergeCell ref="A299:D299"/>
    <mergeCell ref="A280:D280"/>
    <mergeCell ref="A295:D295"/>
    <mergeCell ref="A195:D195"/>
    <mergeCell ref="A70:D70"/>
    <mergeCell ref="A136:D136"/>
    <mergeCell ref="A113:D113"/>
    <mergeCell ref="A131:D131"/>
    <mergeCell ref="A106:D106"/>
    <mergeCell ref="A96:D96"/>
    <mergeCell ref="A89:D89"/>
    <mergeCell ref="A8:D8"/>
    <mergeCell ref="A14:D14"/>
    <mergeCell ref="A21:D21"/>
    <mergeCell ref="A46:D46"/>
    <mergeCell ref="A63:D63"/>
    <mergeCell ref="A326:D326"/>
    <mergeCell ref="A82:D82"/>
    <mergeCell ref="A156:D156"/>
    <mergeCell ref="A145:D145"/>
    <mergeCell ref="A322:D322"/>
    <mergeCell ref="A271:D271"/>
    <mergeCell ref="A245:D245"/>
    <mergeCell ref="A206:D206"/>
    <mergeCell ref="A177:D177"/>
    <mergeCell ref="A172:D172"/>
    <mergeCell ref="A235:D235"/>
    <mergeCell ref="A223:D223"/>
    <mergeCell ref="A263:D263"/>
    <mergeCell ref="A254:D254"/>
    <mergeCell ref="A309:D309"/>
    <mergeCell ref="A218:D218"/>
  </mergeCells>
  <pageMargins left="0.7" right="0.7" top="0.75" bottom="0.75" header="0.3" footer="0.3"/>
  <pageSetup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L618"/>
  <sheetViews>
    <sheetView workbookViewId="0">
      <selection activeCell="D1" sqref="D1"/>
    </sheetView>
  </sheetViews>
  <sheetFormatPr defaultRowHeight="15" x14ac:dyDescent="0.25"/>
  <cols>
    <col min="1" max="1" width="5.85546875" bestFit="1" customWidth="1"/>
    <col min="2" max="2" width="9.7109375" bestFit="1" customWidth="1"/>
    <col min="3" max="3" width="16.85546875" bestFit="1" customWidth="1"/>
    <col min="4" max="5" width="8.5703125" bestFit="1" customWidth="1"/>
    <col min="6" max="6" width="13.28515625" bestFit="1" customWidth="1"/>
    <col min="7" max="7" width="13.85546875" customWidth="1"/>
    <col min="8" max="8" width="12.5703125" bestFit="1" customWidth="1"/>
  </cols>
  <sheetData>
    <row r="1" spans="1: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s="29" t="s">
        <v>8</v>
      </c>
      <c r="B2" s="37">
        <v>44929</v>
      </c>
      <c r="C2" s="29" t="s">
        <v>288</v>
      </c>
      <c r="D2" s="29" t="s">
        <v>11</v>
      </c>
      <c r="E2" s="29">
        <f>35-9</f>
        <v>26</v>
      </c>
      <c r="F2" s="38">
        <f>E2*1800</f>
        <v>46800</v>
      </c>
      <c r="G2" s="38">
        <f t="shared" ref="G2:G8" si="0">E2*500</f>
        <v>13000</v>
      </c>
      <c r="H2" s="38">
        <f>E2*1300</f>
        <v>33800</v>
      </c>
    </row>
    <row r="3" spans="1:8" hidden="1" x14ac:dyDescent="0.25">
      <c r="A3" s="29"/>
      <c r="B3" s="29"/>
      <c r="C3" s="29" t="s">
        <v>106</v>
      </c>
      <c r="D3" s="29" t="s">
        <v>11</v>
      </c>
      <c r="E3" s="29">
        <v>16</v>
      </c>
      <c r="F3" s="38">
        <f>E3*1500</f>
        <v>24000</v>
      </c>
      <c r="G3" s="38">
        <f t="shared" si="0"/>
        <v>8000</v>
      </c>
      <c r="H3" s="38">
        <v>16000</v>
      </c>
    </row>
    <row r="4" spans="1:8" hidden="1" x14ac:dyDescent="0.25">
      <c r="A4" s="29"/>
      <c r="B4" s="29"/>
      <c r="C4" s="29" t="s">
        <v>497</v>
      </c>
      <c r="D4" s="29" t="s">
        <v>11</v>
      </c>
      <c r="E4" s="29">
        <v>60</v>
      </c>
      <c r="F4" s="38">
        <f>E4*1700</f>
        <v>102000</v>
      </c>
      <c r="G4" s="38">
        <f t="shared" si="0"/>
        <v>30000</v>
      </c>
      <c r="H4" s="38">
        <f>E4*1200</f>
        <v>72000</v>
      </c>
    </row>
    <row r="5" spans="1:8" hidden="1" x14ac:dyDescent="0.25">
      <c r="A5" s="29"/>
      <c r="B5" s="29"/>
      <c r="C5" s="29" t="s">
        <v>478</v>
      </c>
      <c r="D5" s="29" t="s">
        <v>11</v>
      </c>
      <c r="E5" s="29">
        <v>50</v>
      </c>
      <c r="F5" s="38">
        <f>E5*1700</f>
        <v>85000</v>
      </c>
      <c r="G5" s="38">
        <f t="shared" si="0"/>
        <v>25000</v>
      </c>
      <c r="H5" s="38">
        <f>E5*1200</f>
        <v>60000</v>
      </c>
    </row>
    <row r="6" spans="1:8" hidden="1" x14ac:dyDescent="0.25">
      <c r="A6" s="29"/>
      <c r="B6" s="29"/>
      <c r="C6" s="29" t="s">
        <v>509</v>
      </c>
      <c r="D6" s="29" t="s">
        <v>11</v>
      </c>
      <c r="E6" s="29">
        <v>12</v>
      </c>
      <c r="F6" s="38">
        <f>E6*1700</f>
        <v>20400</v>
      </c>
      <c r="G6" s="38">
        <f t="shared" si="0"/>
        <v>6000</v>
      </c>
      <c r="H6" s="38">
        <f>E6*1200</f>
        <v>14400</v>
      </c>
    </row>
    <row r="7" spans="1:8" hidden="1" x14ac:dyDescent="0.25">
      <c r="A7" s="29"/>
      <c r="B7" s="29"/>
      <c r="C7" s="29" t="s">
        <v>510</v>
      </c>
      <c r="D7" s="29" t="s">
        <v>11</v>
      </c>
      <c r="E7" s="29">
        <v>25</v>
      </c>
      <c r="F7" s="38">
        <f>E7*1700</f>
        <v>42500</v>
      </c>
      <c r="G7" s="38">
        <f t="shared" si="0"/>
        <v>12500</v>
      </c>
      <c r="H7" s="38">
        <f>E7*1200</f>
        <v>30000</v>
      </c>
    </row>
    <row r="8" spans="1:8" hidden="1" x14ac:dyDescent="0.25">
      <c r="A8" s="29"/>
      <c r="B8" s="29"/>
      <c r="C8" s="29" t="s">
        <v>16</v>
      </c>
      <c r="D8" s="29" t="s">
        <v>11</v>
      </c>
      <c r="E8" s="29">
        <v>52</v>
      </c>
      <c r="F8" s="38">
        <f>E8*1500</f>
        <v>78000</v>
      </c>
      <c r="G8" s="38">
        <f t="shared" si="0"/>
        <v>26000</v>
      </c>
      <c r="H8" s="38">
        <f>E8*1000</f>
        <v>52000</v>
      </c>
    </row>
    <row r="9" spans="1:8" hidden="1" x14ac:dyDescent="0.25">
      <c r="A9" s="29"/>
      <c r="B9" s="29"/>
      <c r="C9" s="29"/>
      <c r="D9" s="29" t="s">
        <v>12</v>
      </c>
      <c r="E9" s="29">
        <v>7</v>
      </c>
      <c r="F9" s="38">
        <f>E9*3000</f>
        <v>21000</v>
      </c>
      <c r="G9" s="38">
        <f>E9*2000</f>
        <v>14000</v>
      </c>
      <c r="H9" s="38">
        <f>E9*1000</f>
        <v>7000</v>
      </c>
    </row>
    <row r="10" spans="1:8" hidden="1" x14ac:dyDescent="0.25">
      <c r="A10" s="29"/>
      <c r="B10" s="29"/>
      <c r="C10" s="29"/>
      <c r="D10" s="29" t="s">
        <v>13</v>
      </c>
      <c r="E10" s="29">
        <v>1</v>
      </c>
      <c r="F10" s="38">
        <v>6500</v>
      </c>
      <c r="G10" s="38">
        <v>4500</v>
      </c>
      <c r="H10" s="38">
        <v>2000</v>
      </c>
    </row>
    <row r="11" spans="1:8" hidden="1" x14ac:dyDescent="0.25">
      <c r="A11" s="29"/>
      <c r="B11" s="29"/>
      <c r="C11" s="29"/>
      <c r="D11" s="29" t="s">
        <v>14</v>
      </c>
      <c r="E11" s="29">
        <v>1</v>
      </c>
      <c r="F11" s="38">
        <v>10000</v>
      </c>
      <c r="G11" s="38">
        <v>5500</v>
      </c>
      <c r="H11" s="38">
        <v>4500</v>
      </c>
    </row>
    <row r="12" spans="1:8" hidden="1" x14ac:dyDescent="0.25">
      <c r="A12" s="29"/>
      <c r="B12" s="29"/>
      <c r="C12" s="29"/>
      <c r="D12" s="29" t="s">
        <v>243</v>
      </c>
      <c r="E12" s="29">
        <v>1</v>
      </c>
      <c r="F12" s="38">
        <v>13000</v>
      </c>
      <c r="G12" s="38">
        <v>10000</v>
      </c>
      <c r="H12" s="38">
        <v>3000</v>
      </c>
    </row>
    <row r="13" spans="1:8" hidden="1" x14ac:dyDescent="0.25">
      <c r="A13" s="131" t="s">
        <v>17</v>
      </c>
      <c r="B13" s="132"/>
      <c r="C13" s="132"/>
      <c r="D13" s="133"/>
      <c r="E13" s="17">
        <f>SUM(E2:E12)</f>
        <v>251</v>
      </c>
      <c r="F13" s="17">
        <f>SUM(F2:F12)</f>
        <v>449200</v>
      </c>
      <c r="G13" s="17">
        <f>SUM(G2:G12)</f>
        <v>154500</v>
      </c>
      <c r="H13" s="17">
        <f>SUM(H2:H12)</f>
        <v>294700</v>
      </c>
    </row>
    <row r="14" spans="1:8" hidden="1" x14ac:dyDescent="0.25">
      <c r="A14" s="29" t="s">
        <v>18</v>
      </c>
      <c r="B14" s="37">
        <v>44960</v>
      </c>
      <c r="C14" s="29" t="s">
        <v>288</v>
      </c>
      <c r="D14" s="29" t="s">
        <v>11</v>
      </c>
      <c r="E14" s="29">
        <f>39-15</f>
        <v>24</v>
      </c>
      <c r="F14" s="38">
        <f>E14*1800</f>
        <v>43200</v>
      </c>
      <c r="G14" s="38">
        <f t="shared" ref="G14:G21" si="1">E14*500</f>
        <v>12000</v>
      </c>
      <c r="H14" s="38">
        <f>E14*1300</f>
        <v>31200</v>
      </c>
    </row>
    <row r="15" spans="1:8" hidden="1" x14ac:dyDescent="0.25">
      <c r="A15" s="29"/>
      <c r="B15" s="29"/>
      <c r="C15" s="29" t="s">
        <v>106</v>
      </c>
      <c r="D15" s="29" t="s">
        <v>11</v>
      </c>
      <c r="E15" s="29">
        <v>18</v>
      </c>
      <c r="F15" s="38">
        <f>E15*1500</f>
        <v>27000</v>
      </c>
      <c r="G15" s="38">
        <f t="shared" si="1"/>
        <v>9000</v>
      </c>
      <c r="H15" s="38">
        <f>E15*1000</f>
        <v>18000</v>
      </c>
    </row>
    <row r="16" spans="1:8" hidden="1" x14ac:dyDescent="0.25">
      <c r="A16" s="29"/>
      <c r="B16" s="29"/>
      <c r="C16" s="29" t="s">
        <v>497</v>
      </c>
      <c r="D16" s="29" t="s">
        <v>11</v>
      </c>
      <c r="E16" s="29">
        <v>22</v>
      </c>
      <c r="F16" s="38">
        <f>E16*1700</f>
        <v>37400</v>
      </c>
      <c r="G16" s="38">
        <f t="shared" si="1"/>
        <v>11000</v>
      </c>
      <c r="H16" s="38">
        <f>E16*1200</f>
        <v>26400</v>
      </c>
    </row>
    <row r="17" spans="1:8" hidden="1" x14ac:dyDescent="0.25">
      <c r="A17" s="29"/>
      <c r="B17" s="29"/>
      <c r="C17" s="29" t="s">
        <v>478</v>
      </c>
      <c r="D17" s="29" t="s">
        <v>11</v>
      </c>
      <c r="E17" s="29">
        <v>50</v>
      </c>
      <c r="F17" s="38">
        <f>E17*1700</f>
        <v>85000</v>
      </c>
      <c r="G17" s="38">
        <f t="shared" si="1"/>
        <v>25000</v>
      </c>
      <c r="H17" s="38">
        <f>E17*1200</f>
        <v>60000</v>
      </c>
    </row>
    <row r="18" spans="1:8" hidden="1" x14ac:dyDescent="0.25">
      <c r="A18" s="29"/>
      <c r="B18" s="29"/>
      <c r="C18" s="29" t="s">
        <v>108</v>
      </c>
      <c r="D18" s="29" t="s">
        <v>11</v>
      </c>
      <c r="E18" s="29">
        <f>60-9</f>
        <v>51</v>
      </c>
      <c r="F18" s="38">
        <f>E18*1500</f>
        <v>76500</v>
      </c>
      <c r="G18" s="38">
        <f t="shared" si="1"/>
        <v>25500</v>
      </c>
      <c r="H18" s="38">
        <v>51000</v>
      </c>
    </row>
    <row r="19" spans="1:8" hidden="1" x14ac:dyDescent="0.25">
      <c r="A19" s="29"/>
      <c r="B19" s="29"/>
      <c r="C19" s="29" t="s">
        <v>509</v>
      </c>
      <c r="D19" s="29" t="s">
        <v>11</v>
      </c>
      <c r="E19" s="29">
        <v>15</v>
      </c>
      <c r="F19" s="38">
        <f>E19*1700</f>
        <v>25500</v>
      </c>
      <c r="G19" s="38">
        <f t="shared" si="1"/>
        <v>7500</v>
      </c>
      <c r="H19" s="38">
        <f>E19*1200</f>
        <v>18000</v>
      </c>
    </row>
    <row r="20" spans="1:8" hidden="1" x14ac:dyDescent="0.25">
      <c r="A20" s="29"/>
      <c r="B20" s="29"/>
      <c r="C20" s="29" t="s">
        <v>510</v>
      </c>
      <c r="D20" s="29" t="s">
        <v>11</v>
      </c>
      <c r="E20" s="29">
        <v>25</v>
      </c>
      <c r="F20" s="38">
        <f>E20*1700</f>
        <v>42500</v>
      </c>
      <c r="G20" s="38">
        <f t="shared" si="1"/>
        <v>12500</v>
      </c>
      <c r="H20" s="38">
        <f>E20*1200</f>
        <v>30000</v>
      </c>
    </row>
    <row r="21" spans="1:8" hidden="1" x14ac:dyDescent="0.25">
      <c r="A21" s="29"/>
      <c r="B21" s="29"/>
      <c r="C21" s="29" t="s">
        <v>16</v>
      </c>
      <c r="D21" s="29" t="s">
        <v>11</v>
      </c>
      <c r="E21" s="29">
        <v>31</v>
      </c>
      <c r="F21" s="38">
        <f>E21*1500</f>
        <v>46500</v>
      </c>
      <c r="G21" s="38">
        <f t="shared" si="1"/>
        <v>15500</v>
      </c>
      <c r="H21" s="38">
        <f>E21*1000</f>
        <v>31000</v>
      </c>
    </row>
    <row r="22" spans="1:8" hidden="1" x14ac:dyDescent="0.25">
      <c r="A22" s="29"/>
      <c r="B22" s="29"/>
      <c r="C22" s="29"/>
      <c r="D22" s="29" t="s">
        <v>12</v>
      </c>
      <c r="E22" s="29">
        <v>1</v>
      </c>
      <c r="F22" s="38">
        <v>3000</v>
      </c>
      <c r="G22" s="38">
        <v>2000</v>
      </c>
      <c r="H22" s="38">
        <v>1000</v>
      </c>
    </row>
    <row r="23" spans="1:8" hidden="1" x14ac:dyDescent="0.25">
      <c r="A23" s="29"/>
      <c r="B23" s="29"/>
      <c r="C23" s="29"/>
      <c r="D23" s="29" t="s">
        <v>13</v>
      </c>
      <c r="E23" s="29">
        <v>2</v>
      </c>
      <c r="F23" s="38">
        <f>E23*6500</f>
        <v>13000</v>
      </c>
      <c r="G23" s="38">
        <f>E23*4500</f>
        <v>9000</v>
      </c>
      <c r="H23" s="38">
        <f>E23*2000</f>
        <v>4000</v>
      </c>
    </row>
    <row r="24" spans="1:8" hidden="1" x14ac:dyDescent="0.25">
      <c r="A24" s="29"/>
      <c r="B24" s="29"/>
      <c r="C24" s="29"/>
      <c r="D24" s="29" t="s">
        <v>14</v>
      </c>
      <c r="E24" s="29">
        <v>2</v>
      </c>
      <c r="F24" s="38">
        <f>E24*10000</f>
        <v>20000</v>
      </c>
      <c r="G24" s="38">
        <f>E24*5500</f>
        <v>11000</v>
      </c>
      <c r="H24" s="38">
        <f>E24*4500</f>
        <v>9000</v>
      </c>
    </row>
    <row r="25" spans="1:8" hidden="1" x14ac:dyDescent="0.25">
      <c r="A25" s="131" t="s">
        <v>17</v>
      </c>
      <c r="B25" s="132"/>
      <c r="C25" s="132"/>
      <c r="D25" s="133"/>
      <c r="E25" s="17">
        <f>SUM(E14:E24)</f>
        <v>241</v>
      </c>
      <c r="F25" s="17">
        <f>SUM(F14:F24)</f>
        <v>419600</v>
      </c>
      <c r="G25" s="17">
        <f>SUM(G14:G24)</f>
        <v>140000</v>
      </c>
      <c r="H25" s="17">
        <f>SUM(H14:H24)</f>
        <v>279600</v>
      </c>
    </row>
    <row r="26" spans="1:8" hidden="1" x14ac:dyDescent="0.25">
      <c r="A26" s="29" t="s">
        <v>22</v>
      </c>
      <c r="B26" s="37">
        <v>44988</v>
      </c>
      <c r="C26" s="29" t="s">
        <v>288</v>
      </c>
      <c r="D26" s="29" t="s">
        <v>11</v>
      </c>
      <c r="E26" s="29">
        <f>35-19</f>
        <v>16</v>
      </c>
      <c r="F26" s="38">
        <f>E26*1800</f>
        <v>28800</v>
      </c>
      <c r="G26" s="38">
        <f t="shared" ref="G26:G32" si="2">E26*500</f>
        <v>8000</v>
      </c>
      <c r="H26" s="38">
        <f>E26*1300</f>
        <v>20800</v>
      </c>
    </row>
    <row r="27" spans="1:8" hidden="1" x14ac:dyDescent="0.25">
      <c r="A27" s="29"/>
      <c r="B27" s="29"/>
      <c r="C27" s="29" t="s">
        <v>106</v>
      </c>
      <c r="D27" s="29" t="s">
        <v>11</v>
      </c>
      <c r="E27" s="29">
        <v>18</v>
      </c>
      <c r="F27" s="38">
        <f>E27*1500</f>
        <v>27000</v>
      </c>
      <c r="G27" s="38">
        <f t="shared" si="2"/>
        <v>9000</v>
      </c>
      <c r="H27" s="38">
        <f>E27*1000</f>
        <v>18000</v>
      </c>
    </row>
    <row r="28" spans="1:8" hidden="1" x14ac:dyDescent="0.25">
      <c r="A28" s="29"/>
      <c r="B28" s="29"/>
      <c r="C28" s="29" t="s">
        <v>108</v>
      </c>
      <c r="D28" s="29" t="s">
        <v>11</v>
      </c>
      <c r="E28" s="29">
        <v>31</v>
      </c>
      <c r="F28" s="38">
        <f>E28*1500</f>
        <v>46500</v>
      </c>
      <c r="G28" s="38">
        <f t="shared" si="2"/>
        <v>15500</v>
      </c>
      <c r="H28" s="38">
        <v>31000</v>
      </c>
    </row>
    <row r="29" spans="1:8" hidden="1" x14ac:dyDescent="0.25">
      <c r="A29" s="29"/>
      <c r="B29" s="29"/>
      <c r="C29" s="29" t="s">
        <v>497</v>
      </c>
      <c r="D29" s="29" t="s">
        <v>11</v>
      </c>
      <c r="E29" s="29">
        <f>22+35</f>
        <v>57</v>
      </c>
      <c r="F29" s="38">
        <f>E29*1700</f>
        <v>96900</v>
      </c>
      <c r="G29" s="38">
        <f t="shared" si="2"/>
        <v>28500</v>
      </c>
      <c r="H29" s="38">
        <f>E29*1200</f>
        <v>68400</v>
      </c>
    </row>
    <row r="30" spans="1:8" hidden="1" x14ac:dyDescent="0.25">
      <c r="A30" s="29"/>
      <c r="B30" s="29"/>
      <c r="C30" s="29" t="s">
        <v>478</v>
      </c>
      <c r="D30" s="29" t="s">
        <v>11</v>
      </c>
      <c r="E30" s="29">
        <v>50</v>
      </c>
      <c r="F30" s="38">
        <f>E30*1700</f>
        <v>85000</v>
      </c>
      <c r="G30" s="38">
        <f t="shared" si="2"/>
        <v>25000</v>
      </c>
      <c r="H30" s="38">
        <f>E30*1200</f>
        <v>60000</v>
      </c>
    </row>
    <row r="31" spans="1:8" hidden="1" x14ac:dyDescent="0.25">
      <c r="A31" s="29"/>
      <c r="B31" s="29"/>
      <c r="C31" s="29" t="s">
        <v>79</v>
      </c>
      <c r="D31" s="29" t="s">
        <v>11</v>
      </c>
      <c r="E31" s="29">
        <v>40</v>
      </c>
      <c r="F31" s="38">
        <f>E31*1500</f>
        <v>60000</v>
      </c>
      <c r="G31" s="38">
        <f t="shared" si="2"/>
        <v>20000</v>
      </c>
      <c r="H31" s="38">
        <v>40000</v>
      </c>
    </row>
    <row r="32" spans="1:8" hidden="1" x14ac:dyDescent="0.25">
      <c r="A32" s="29"/>
      <c r="B32" s="29"/>
      <c r="C32" s="29" t="s">
        <v>16</v>
      </c>
      <c r="D32" s="29" t="s">
        <v>11</v>
      </c>
      <c r="E32" s="29">
        <v>70</v>
      </c>
      <c r="F32" s="38">
        <f>E32*1500</f>
        <v>105000</v>
      </c>
      <c r="G32" s="38">
        <f t="shared" si="2"/>
        <v>35000</v>
      </c>
      <c r="H32" s="38">
        <v>70000</v>
      </c>
    </row>
    <row r="33" spans="1:8" hidden="1" x14ac:dyDescent="0.25">
      <c r="A33" s="29"/>
      <c r="B33" s="29"/>
      <c r="C33" s="29"/>
      <c r="D33" s="29" t="s">
        <v>12</v>
      </c>
      <c r="E33" s="29">
        <v>3</v>
      </c>
      <c r="F33" s="38">
        <f>E33*3000</f>
        <v>9000</v>
      </c>
      <c r="G33" s="38">
        <f>E33*2000</f>
        <v>6000</v>
      </c>
      <c r="H33" s="38">
        <v>3000</v>
      </c>
    </row>
    <row r="34" spans="1:8" hidden="1" x14ac:dyDescent="0.25">
      <c r="A34" s="29"/>
      <c r="B34" s="29"/>
      <c r="C34" s="29"/>
      <c r="D34" s="29" t="s">
        <v>13</v>
      </c>
      <c r="E34" s="29">
        <v>1</v>
      </c>
      <c r="F34" s="38">
        <v>6500</v>
      </c>
      <c r="G34" s="38">
        <v>4500</v>
      </c>
      <c r="H34" s="38">
        <v>2000</v>
      </c>
    </row>
    <row r="35" spans="1:8" hidden="1" x14ac:dyDescent="0.25">
      <c r="A35" s="29"/>
      <c r="B35" s="29"/>
      <c r="C35" s="29"/>
      <c r="D35" s="29" t="s">
        <v>14</v>
      </c>
      <c r="E35" s="29">
        <v>1</v>
      </c>
      <c r="F35" s="38">
        <v>10000</v>
      </c>
      <c r="G35" s="38">
        <v>5500</v>
      </c>
      <c r="H35" s="38">
        <v>4500</v>
      </c>
    </row>
    <row r="36" spans="1:8" hidden="1" x14ac:dyDescent="0.25">
      <c r="A36" s="29"/>
      <c r="B36" s="29"/>
      <c r="C36" s="29" t="s">
        <v>24</v>
      </c>
      <c r="D36" s="29" t="s">
        <v>243</v>
      </c>
      <c r="E36" s="29">
        <v>2</v>
      </c>
      <c r="F36" s="38">
        <v>30000</v>
      </c>
      <c r="G36" s="38">
        <v>20000</v>
      </c>
      <c r="H36" s="38">
        <v>10000</v>
      </c>
    </row>
    <row r="37" spans="1:8" hidden="1" x14ac:dyDescent="0.25">
      <c r="A37" s="29"/>
      <c r="B37" s="29"/>
      <c r="C37" s="29" t="s">
        <v>442</v>
      </c>
      <c r="D37" s="29" t="s">
        <v>13</v>
      </c>
      <c r="E37" s="29">
        <v>1</v>
      </c>
      <c r="F37" s="29">
        <v>6500</v>
      </c>
      <c r="G37" s="29">
        <v>4500</v>
      </c>
      <c r="H37" s="29">
        <v>2000</v>
      </c>
    </row>
    <row r="38" spans="1:8" hidden="1" x14ac:dyDescent="0.25">
      <c r="A38" s="29"/>
      <c r="B38" s="29"/>
      <c r="C38" s="29"/>
      <c r="D38" s="29" t="s">
        <v>14</v>
      </c>
      <c r="E38" s="29">
        <v>2</v>
      </c>
      <c r="F38" s="29">
        <f>E38*10000</f>
        <v>20000</v>
      </c>
      <c r="G38" s="29">
        <f>E38*5500</f>
        <v>11000</v>
      </c>
      <c r="H38" s="29">
        <f>E38*4500</f>
        <v>9000</v>
      </c>
    </row>
    <row r="39" spans="1:8" hidden="1" x14ac:dyDescent="0.25">
      <c r="A39" s="29"/>
      <c r="B39" s="29"/>
      <c r="C39" s="29"/>
      <c r="D39" s="29" t="s">
        <v>404</v>
      </c>
      <c r="E39" s="29">
        <v>1</v>
      </c>
      <c r="F39" s="29">
        <v>2000</v>
      </c>
      <c r="G39" s="29">
        <v>1000</v>
      </c>
      <c r="H39" s="29">
        <v>1000</v>
      </c>
    </row>
    <row r="40" spans="1:8" hidden="1" x14ac:dyDescent="0.25">
      <c r="A40" s="131" t="s">
        <v>17</v>
      </c>
      <c r="B40" s="132"/>
      <c r="C40" s="132"/>
      <c r="D40" s="133"/>
      <c r="E40" s="17">
        <f>SUM(E26:E39)</f>
        <v>293</v>
      </c>
      <c r="F40" s="17">
        <f>SUM(F26:F39)</f>
        <v>533200</v>
      </c>
      <c r="G40" s="17">
        <f>SUM(G26:G39)</f>
        <v>193500</v>
      </c>
      <c r="H40" s="17">
        <f>SUM(H26:H39)</f>
        <v>339700</v>
      </c>
    </row>
    <row r="41" spans="1:8" hidden="1" x14ac:dyDescent="0.25">
      <c r="A41" s="29" t="s">
        <v>26</v>
      </c>
      <c r="B41" s="37">
        <v>45019</v>
      </c>
      <c r="C41" s="29" t="s">
        <v>81</v>
      </c>
      <c r="D41" s="29" t="s">
        <v>11</v>
      </c>
      <c r="E41" s="29">
        <v>75</v>
      </c>
      <c r="F41" s="38">
        <f>E41*1800</f>
        <v>135000</v>
      </c>
      <c r="G41" s="38">
        <f>E41*500</f>
        <v>37500</v>
      </c>
      <c r="H41" s="38">
        <f>E41*1300</f>
        <v>97500</v>
      </c>
    </row>
    <row r="42" spans="1:8" hidden="1" x14ac:dyDescent="0.25">
      <c r="A42" s="29"/>
      <c r="B42" s="29"/>
      <c r="C42" s="29"/>
      <c r="D42" s="29" t="s">
        <v>11</v>
      </c>
      <c r="E42" s="29">
        <v>75</v>
      </c>
      <c r="F42" s="38">
        <f>E42*1800</f>
        <v>135000</v>
      </c>
      <c r="G42" s="38">
        <f>E42*500</f>
        <v>37500</v>
      </c>
      <c r="H42" s="38">
        <f>E42*1300</f>
        <v>97500</v>
      </c>
    </row>
    <row r="43" spans="1:8" hidden="1" x14ac:dyDescent="0.25">
      <c r="A43" s="29"/>
      <c r="B43" s="29"/>
      <c r="C43" s="29"/>
      <c r="D43" s="29" t="s">
        <v>11</v>
      </c>
      <c r="E43" s="29">
        <v>75</v>
      </c>
      <c r="F43" s="38">
        <f>E43*1800</f>
        <v>135000</v>
      </c>
      <c r="G43" s="38">
        <f>E43*500</f>
        <v>37500</v>
      </c>
      <c r="H43" s="38">
        <f>E43*1300</f>
        <v>97500</v>
      </c>
    </row>
    <row r="44" spans="1:8" hidden="1" x14ac:dyDescent="0.25">
      <c r="A44" s="29"/>
      <c r="B44" s="29"/>
      <c r="C44" s="29"/>
      <c r="D44" s="29" t="s">
        <v>11</v>
      </c>
      <c r="E44" s="29">
        <v>75</v>
      </c>
      <c r="F44" s="38">
        <f>E44*1800</f>
        <v>135000</v>
      </c>
      <c r="G44" s="38">
        <f>E44*500</f>
        <v>37500</v>
      </c>
      <c r="H44" s="38">
        <f>E44*1300</f>
        <v>97500</v>
      </c>
    </row>
    <row r="45" spans="1:8" hidden="1" x14ac:dyDescent="0.25">
      <c r="A45" s="38"/>
      <c r="B45" s="38"/>
      <c r="C45" s="38"/>
      <c r="D45" s="38" t="s">
        <v>11</v>
      </c>
      <c r="E45" s="29">
        <v>75</v>
      </c>
      <c r="F45" s="38">
        <f>E45*1800</f>
        <v>135000</v>
      </c>
      <c r="G45" s="38">
        <f>E45*500</f>
        <v>37500</v>
      </c>
      <c r="H45" s="38">
        <f>E45*1300</f>
        <v>97500</v>
      </c>
    </row>
    <row r="46" spans="1:8" hidden="1" x14ac:dyDescent="0.25">
      <c r="A46" s="38"/>
      <c r="B46" s="38"/>
      <c r="C46" s="38" t="s">
        <v>20</v>
      </c>
      <c r="D46" s="38" t="s">
        <v>14</v>
      </c>
      <c r="E46" s="38">
        <v>2</v>
      </c>
      <c r="F46" s="38">
        <f>E46*10000</f>
        <v>20000</v>
      </c>
      <c r="G46" s="38">
        <f>E46*5500</f>
        <v>11000</v>
      </c>
      <c r="H46" s="38">
        <f>E46*4500</f>
        <v>9000</v>
      </c>
    </row>
    <row r="47" spans="1:8" hidden="1" x14ac:dyDescent="0.25">
      <c r="A47" s="38"/>
      <c r="B47" s="38"/>
      <c r="C47" s="38"/>
      <c r="D47" s="38" t="s">
        <v>404</v>
      </c>
      <c r="E47" s="38">
        <v>4</v>
      </c>
      <c r="F47" s="38">
        <f>E47*2000</f>
        <v>8000</v>
      </c>
      <c r="G47" s="38">
        <v>4000</v>
      </c>
      <c r="H47" s="38">
        <v>4000</v>
      </c>
    </row>
    <row r="48" spans="1:8" hidden="1" x14ac:dyDescent="0.25">
      <c r="A48" s="38"/>
      <c r="B48" s="38"/>
      <c r="C48" s="38"/>
      <c r="D48" s="38" t="s">
        <v>511</v>
      </c>
      <c r="E48" s="38">
        <v>3</v>
      </c>
      <c r="F48" s="38">
        <f>E48*3500</f>
        <v>10500</v>
      </c>
      <c r="G48" s="38">
        <f>E48*1500</f>
        <v>4500</v>
      </c>
      <c r="H48" s="38">
        <f>E48*2000</f>
        <v>6000</v>
      </c>
    </row>
    <row r="49" spans="1:8" hidden="1" x14ac:dyDescent="0.25">
      <c r="A49" s="38"/>
      <c r="B49" s="38"/>
      <c r="C49" s="38" t="s">
        <v>217</v>
      </c>
      <c r="D49" s="38" t="s">
        <v>13</v>
      </c>
      <c r="E49" s="38">
        <v>13</v>
      </c>
      <c r="F49" s="38">
        <f>E49*6500</f>
        <v>84500</v>
      </c>
      <c r="G49" s="38">
        <f>E49*4500</f>
        <v>58500</v>
      </c>
      <c r="H49" s="38">
        <f>E49*2000</f>
        <v>26000</v>
      </c>
    </row>
    <row r="50" spans="1:8" hidden="1" x14ac:dyDescent="0.25">
      <c r="A50" s="38"/>
      <c r="B50" s="38"/>
      <c r="C50" s="38"/>
      <c r="D50" s="38" t="s">
        <v>14</v>
      </c>
      <c r="E50" s="38">
        <v>1</v>
      </c>
      <c r="F50" s="38">
        <v>8000</v>
      </c>
      <c r="G50" s="38">
        <v>5500</v>
      </c>
      <c r="H50" s="38">
        <v>2500</v>
      </c>
    </row>
    <row r="51" spans="1:8" hidden="1" x14ac:dyDescent="0.25">
      <c r="A51" s="38"/>
      <c r="B51" s="38"/>
      <c r="C51" s="38"/>
      <c r="D51" s="38" t="s">
        <v>14</v>
      </c>
      <c r="E51" s="38">
        <v>6</v>
      </c>
      <c r="F51" s="38">
        <f>E51*10000</f>
        <v>60000</v>
      </c>
      <c r="G51" s="38">
        <f>E51*5500</f>
        <v>33000</v>
      </c>
      <c r="H51" s="38">
        <f>E51*4500</f>
        <v>27000</v>
      </c>
    </row>
    <row r="52" spans="1:8" hidden="1" x14ac:dyDescent="0.25">
      <c r="A52" s="38"/>
      <c r="B52" s="38"/>
      <c r="C52" s="38"/>
      <c r="D52" s="38" t="s">
        <v>404</v>
      </c>
      <c r="E52" s="38">
        <v>9</v>
      </c>
      <c r="F52" s="38">
        <f>E52*2000</f>
        <v>18000</v>
      </c>
      <c r="G52" s="38">
        <v>9000</v>
      </c>
      <c r="H52" s="38">
        <v>9000</v>
      </c>
    </row>
    <row r="53" spans="1:8" hidden="1" x14ac:dyDescent="0.25">
      <c r="A53" s="38"/>
      <c r="B53" s="38"/>
      <c r="C53" s="38"/>
      <c r="D53" s="38" t="s">
        <v>441</v>
      </c>
      <c r="E53" s="38">
        <v>2</v>
      </c>
      <c r="F53" s="38">
        <f>E53*2000</f>
        <v>4000</v>
      </c>
      <c r="G53" s="38">
        <v>2000</v>
      </c>
      <c r="H53" s="38">
        <v>2000</v>
      </c>
    </row>
    <row r="54" spans="1:8" hidden="1" x14ac:dyDescent="0.25">
      <c r="A54" s="38"/>
      <c r="B54" s="38"/>
      <c r="C54" s="38" t="s">
        <v>16</v>
      </c>
      <c r="D54" s="38" t="s">
        <v>11</v>
      </c>
      <c r="E54" s="38">
        <v>51</v>
      </c>
      <c r="F54" s="38">
        <f>E54*1500</f>
        <v>76500</v>
      </c>
      <c r="G54" s="38">
        <f>E54*500</f>
        <v>25500</v>
      </c>
      <c r="H54" s="38">
        <v>51000</v>
      </c>
    </row>
    <row r="55" spans="1:8" hidden="1" x14ac:dyDescent="0.25">
      <c r="A55" s="38"/>
      <c r="B55" s="38"/>
      <c r="C55" s="38"/>
      <c r="D55" s="38" t="s">
        <v>12</v>
      </c>
      <c r="E55" s="38">
        <v>4</v>
      </c>
      <c r="F55" s="38">
        <f>E55*3000</f>
        <v>12000</v>
      </c>
      <c r="G55" s="38">
        <f>E55*2000</f>
        <v>8000</v>
      </c>
      <c r="H55" s="38">
        <v>4000</v>
      </c>
    </row>
    <row r="56" spans="1:8" hidden="1" x14ac:dyDescent="0.25">
      <c r="A56" s="38"/>
      <c r="B56" s="38"/>
      <c r="C56" s="38" t="s">
        <v>24</v>
      </c>
      <c r="D56" s="38" t="s">
        <v>243</v>
      </c>
      <c r="E56" s="38">
        <v>2</v>
      </c>
      <c r="F56" s="38">
        <f>E56*15000</f>
        <v>30000</v>
      </c>
      <c r="G56" s="38">
        <f>E56*10000</f>
        <v>20000</v>
      </c>
      <c r="H56" s="38">
        <f>E56*5000</f>
        <v>10000</v>
      </c>
    </row>
    <row r="57" spans="1:8" hidden="1" x14ac:dyDescent="0.25">
      <c r="A57" s="131" t="s">
        <v>17</v>
      </c>
      <c r="B57" s="132"/>
      <c r="C57" s="132"/>
      <c r="D57" s="133"/>
      <c r="E57" s="17">
        <f>SUM(E41:E56)</f>
        <v>472</v>
      </c>
      <c r="F57" s="17">
        <f>SUM(F41:F56)</f>
        <v>1006500</v>
      </c>
      <c r="G57" s="17">
        <f>SUM(G41:G56)</f>
        <v>368500</v>
      </c>
      <c r="H57" s="17">
        <f>SUM(H41:H56)</f>
        <v>638000</v>
      </c>
    </row>
    <row r="58" spans="1:8" hidden="1" x14ac:dyDescent="0.25">
      <c r="A58" s="38" t="s">
        <v>28</v>
      </c>
      <c r="B58" s="49">
        <v>45049</v>
      </c>
      <c r="C58" s="38" t="s">
        <v>217</v>
      </c>
      <c r="D58" s="38" t="s">
        <v>13</v>
      </c>
      <c r="E58" s="38">
        <v>6</v>
      </c>
      <c r="F58" s="38">
        <f>E58*6500</f>
        <v>39000</v>
      </c>
      <c r="G58" s="38">
        <f>E58*4500</f>
        <v>27000</v>
      </c>
      <c r="H58" s="38">
        <f>E58*2000</f>
        <v>12000</v>
      </c>
    </row>
    <row r="59" spans="1:8" hidden="1" x14ac:dyDescent="0.25">
      <c r="A59" s="38"/>
      <c r="B59" s="38"/>
      <c r="C59" s="38"/>
      <c r="D59" s="38" t="s">
        <v>14</v>
      </c>
      <c r="E59" s="38">
        <v>7</v>
      </c>
      <c r="F59" s="38">
        <f>E59*10000</f>
        <v>70000</v>
      </c>
      <c r="G59" s="38">
        <f>E59*5500</f>
        <v>38500</v>
      </c>
      <c r="H59" s="38">
        <f>E59*4500</f>
        <v>31500</v>
      </c>
    </row>
    <row r="60" spans="1:8" hidden="1" x14ac:dyDescent="0.25">
      <c r="A60" s="38"/>
      <c r="B60" s="38"/>
      <c r="C60" s="38"/>
      <c r="D60" s="38" t="s">
        <v>404</v>
      </c>
      <c r="E60" s="38">
        <v>6</v>
      </c>
      <c r="F60" s="38">
        <f>E60*2000</f>
        <v>12000</v>
      </c>
      <c r="G60" s="38">
        <v>6000</v>
      </c>
      <c r="H60" s="38">
        <v>6000</v>
      </c>
    </row>
    <row r="61" spans="1:8" hidden="1" x14ac:dyDescent="0.25">
      <c r="A61" s="38"/>
      <c r="B61" s="38"/>
      <c r="C61" s="38"/>
      <c r="D61" s="38" t="s">
        <v>441</v>
      </c>
      <c r="E61" s="38">
        <v>2</v>
      </c>
      <c r="F61" s="38">
        <f>E61*2000</f>
        <v>4000</v>
      </c>
      <c r="G61" s="38">
        <v>2000</v>
      </c>
      <c r="H61" s="38">
        <v>2000</v>
      </c>
    </row>
    <row r="62" spans="1:8" hidden="1" x14ac:dyDescent="0.25">
      <c r="A62" s="38"/>
      <c r="B62" s="38"/>
      <c r="C62" s="38" t="s">
        <v>20</v>
      </c>
      <c r="D62" s="38" t="s">
        <v>13</v>
      </c>
      <c r="E62" s="38">
        <v>25</v>
      </c>
      <c r="F62" s="38">
        <f>E62*6500</f>
        <v>162500</v>
      </c>
      <c r="G62" s="38">
        <f>E62*4500</f>
        <v>112500</v>
      </c>
      <c r="H62" s="38">
        <f>E62*2000</f>
        <v>50000</v>
      </c>
    </row>
    <row r="63" spans="1:8" hidden="1" x14ac:dyDescent="0.25">
      <c r="A63" s="38"/>
      <c r="B63" s="38"/>
      <c r="C63" s="38"/>
      <c r="D63" s="38" t="s">
        <v>14</v>
      </c>
      <c r="E63" s="38">
        <v>30</v>
      </c>
      <c r="F63" s="38">
        <f>E63*10000</f>
        <v>300000</v>
      </c>
      <c r="G63" s="38">
        <f>E63*5500</f>
        <v>165000</v>
      </c>
      <c r="H63" s="38">
        <f>E63*4500</f>
        <v>135000</v>
      </c>
    </row>
    <row r="64" spans="1:8" hidden="1" x14ac:dyDescent="0.25">
      <c r="A64" s="38"/>
      <c r="B64" s="38"/>
      <c r="C64" s="38"/>
      <c r="D64" s="38" t="s">
        <v>404</v>
      </c>
      <c r="E64" s="38">
        <v>10</v>
      </c>
      <c r="F64" s="38">
        <f>E64*2000</f>
        <v>20000</v>
      </c>
      <c r="G64" s="38">
        <v>10000</v>
      </c>
      <c r="H64" s="38">
        <v>10000</v>
      </c>
    </row>
    <row r="65" spans="1:8" hidden="1" x14ac:dyDescent="0.25">
      <c r="A65" s="38"/>
      <c r="B65" s="38"/>
      <c r="C65" s="38"/>
      <c r="D65" s="38" t="s">
        <v>415</v>
      </c>
      <c r="E65" s="38">
        <v>5</v>
      </c>
      <c r="F65" s="38">
        <f>E65*3500</f>
        <v>17500</v>
      </c>
      <c r="G65" s="38">
        <f>E65*1500</f>
        <v>7500</v>
      </c>
      <c r="H65" s="38">
        <v>10000</v>
      </c>
    </row>
    <row r="66" spans="1:8" x14ac:dyDescent="0.25">
      <c r="A66" s="38"/>
      <c r="B66" s="38"/>
      <c r="C66" s="38"/>
      <c r="D66" s="38" t="s">
        <v>432</v>
      </c>
      <c r="E66" s="38">
        <v>3</v>
      </c>
      <c r="F66" s="38">
        <f>E66*5000</f>
        <v>15000</v>
      </c>
      <c r="G66" s="38">
        <f>E66*2500</f>
        <v>7500</v>
      </c>
      <c r="H66" s="38">
        <v>7500</v>
      </c>
    </row>
    <row r="67" spans="1:8" hidden="1" x14ac:dyDescent="0.25">
      <c r="A67" s="38"/>
      <c r="B67" s="38"/>
      <c r="C67" s="38" t="s">
        <v>442</v>
      </c>
      <c r="D67" s="38" t="s">
        <v>13</v>
      </c>
      <c r="E67" s="38">
        <v>7</v>
      </c>
      <c r="F67" s="38">
        <f>E67*6500</f>
        <v>45500</v>
      </c>
      <c r="G67" s="38">
        <f>E67*4500</f>
        <v>31500</v>
      </c>
      <c r="H67" s="38">
        <f>E67*2000</f>
        <v>14000</v>
      </c>
    </row>
    <row r="68" spans="1:8" hidden="1" x14ac:dyDescent="0.25">
      <c r="A68" s="131" t="s">
        <v>17</v>
      </c>
      <c r="B68" s="132"/>
      <c r="C68" s="132"/>
      <c r="D68" s="133"/>
      <c r="E68" s="17">
        <f>SUM(E58:E67)</f>
        <v>101</v>
      </c>
      <c r="F68" s="17">
        <f>SUM(F58:F67)</f>
        <v>685500</v>
      </c>
      <c r="G68" s="17">
        <f>SUM(G58:G67)</f>
        <v>407500</v>
      </c>
      <c r="H68" s="17">
        <f>SUM(H58:H67)</f>
        <v>278000</v>
      </c>
    </row>
    <row r="69" spans="1:8" hidden="1" x14ac:dyDescent="0.25">
      <c r="A69" s="38"/>
      <c r="B69" s="38"/>
      <c r="C69" s="38" t="s">
        <v>16</v>
      </c>
      <c r="D69" s="38" t="s">
        <v>11</v>
      </c>
      <c r="E69" s="38">
        <v>81</v>
      </c>
      <c r="F69" s="38">
        <f>E69*1500</f>
        <v>121500</v>
      </c>
      <c r="G69" s="38">
        <f>E69*500</f>
        <v>40500</v>
      </c>
      <c r="H69" s="38">
        <f>E69*1000</f>
        <v>81000</v>
      </c>
    </row>
    <row r="70" spans="1:8" hidden="1" x14ac:dyDescent="0.25">
      <c r="A70" s="38"/>
      <c r="B70" s="38"/>
      <c r="C70" s="38"/>
      <c r="D70" s="38" t="s">
        <v>12</v>
      </c>
      <c r="E70" s="38">
        <v>5</v>
      </c>
      <c r="F70" s="38">
        <f>E70*3000</f>
        <v>15000</v>
      </c>
      <c r="G70" s="38">
        <f>E70*2000</f>
        <v>10000</v>
      </c>
      <c r="H70" s="38">
        <v>5000</v>
      </c>
    </row>
    <row r="71" spans="1:8" hidden="1" x14ac:dyDescent="0.25">
      <c r="A71" s="38"/>
      <c r="B71" s="38"/>
      <c r="C71" s="38"/>
      <c r="D71" s="38" t="s">
        <v>14</v>
      </c>
      <c r="E71" s="38">
        <v>1</v>
      </c>
      <c r="F71" s="38">
        <v>10000</v>
      </c>
      <c r="G71" s="38">
        <v>5500</v>
      </c>
      <c r="H71" s="38">
        <v>4500</v>
      </c>
    </row>
    <row r="72" spans="1:8" hidden="1" x14ac:dyDescent="0.25">
      <c r="A72" s="38"/>
      <c r="B72" s="38"/>
      <c r="C72" s="38" t="s">
        <v>442</v>
      </c>
      <c r="D72" s="38" t="s">
        <v>13</v>
      </c>
      <c r="E72" s="38">
        <v>1</v>
      </c>
      <c r="F72" s="38">
        <v>6500</v>
      </c>
      <c r="G72" s="38">
        <v>4500</v>
      </c>
      <c r="H72" s="38">
        <v>2000</v>
      </c>
    </row>
    <row r="73" spans="1:8" hidden="1" x14ac:dyDescent="0.25">
      <c r="A73" s="38"/>
      <c r="B73" s="38"/>
      <c r="C73" s="38"/>
      <c r="D73" s="38" t="s">
        <v>489</v>
      </c>
      <c r="E73" s="38">
        <v>2</v>
      </c>
      <c r="F73" s="38">
        <f>E73*2000</f>
        <v>4000</v>
      </c>
      <c r="G73" s="38">
        <v>2000</v>
      </c>
      <c r="H73" s="38">
        <v>2000</v>
      </c>
    </row>
    <row r="74" spans="1:8" hidden="1" x14ac:dyDescent="0.25">
      <c r="A74" s="38"/>
      <c r="B74" s="38"/>
      <c r="C74" s="38" t="s">
        <v>217</v>
      </c>
      <c r="D74" s="38" t="s">
        <v>13</v>
      </c>
      <c r="E74" s="38">
        <v>4</v>
      </c>
      <c r="F74" s="38">
        <f>E74*6500</f>
        <v>26000</v>
      </c>
      <c r="G74" s="38">
        <f>E74*4500</f>
        <v>18000</v>
      </c>
      <c r="H74" s="38">
        <f>E74*2000</f>
        <v>8000</v>
      </c>
    </row>
    <row r="75" spans="1:8" hidden="1" x14ac:dyDescent="0.25">
      <c r="A75" s="38"/>
      <c r="B75" s="38"/>
      <c r="C75" s="38"/>
      <c r="D75" s="38" t="s">
        <v>14</v>
      </c>
      <c r="E75" s="38">
        <v>1</v>
      </c>
      <c r="F75" s="38">
        <v>8000</v>
      </c>
      <c r="G75" s="38">
        <v>5500</v>
      </c>
      <c r="H75" s="38">
        <v>2500</v>
      </c>
    </row>
    <row r="76" spans="1:8" hidden="1" x14ac:dyDescent="0.25">
      <c r="A76" s="38"/>
      <c r="B76" s="38"/>
      <c r="C76" s="38"/>
      <c r="D76" s="38" t="s">
        <v>14</v>
      </c>
      <c r="E76" s="38">
        <v>2</v>
      </c>
      <c r="F76" s="38">
        <f>E76*10000</f>
        <v>20000</v>
      </c>
      <c r="G76" s="38">
        <f>E76*5500</f>
        <v>11000</v>
      </c>
      <c r="H76" s="38">
        <f>E76*4500</f>
        <v>9000</v>
      </c>
    </row>
    <row r="77" spans="1:8" hidden="1" x14ac:dyDescent="0.25">
      <c r="A77" s="38"/>
      <c r="B77" s="38"/>
      <c r="C77" s="38"/>
      <c r="D77" s="38" t="s">
        <v>404</v>
      </c>
      <c r="E77" s="38">
        <v>5</v>
      </c>
      <c r="F77" s="38">
        <f>E77*2000</f>
        <v>10000</v>
      </c>
      <c r="G77" s="38">
        <v>5000</v>
      </c>
      <c r="H77" s="38">
        <v>5000</v>
      </c>
    </row>
    <row r="78" spans="1:8" hidden="1" x14ac:dyDescent="0.25">
      <c r="A78" s="38"/>
      <c r="B78" s="38"/>
      <c r="C78" s="38"/>
      <c r="D78" s="38" t="s">
        <v>415</v>
      </c>
      <c r="E78" s="38">
        <v>4</v>
      </c>
      <c r="F78" s="38">
        <f>E78*3500</f>
        <v>14000</v>
      </c>
      <c r="G78" s="38">
        <f>E78*1500</f>
        <v>6000</v>
      </c>
      <c r="H78" s="38">
        <f>E78*2000</f>
        <v>8000</v>
      </c>
    </row>
    <row r="79" spans="1:8" hidden="1" x14ac:dyDescent="0.25">
      <c r="A79" s="38"/>
      <c r="B79" s="38"/>
      <c r="C79" s="38"/>
      <c r="D79" s="38" t="s">
        <v>441</v>
      </c>
      <c r="E79" s="38">
        <v>3</v>
      </c>
      <c r="F79" s="38">
        <f>E79*2000</f>
        <v>6000</v>
      </c>
      <c r="G79" s="38">
        <v>3000</v>
      </c>
      <c r="H79" s="38">
        <v>3000</v>
      </c>
    </row>
    <row r="80" spans="1:8" hidden="1" x14ac:dyDescent="0.25">
      <c r="A80" s="131" t="s">
        <v>17</v>
      </c>
      <c r="B80" s="132"/>
      <c r="C80" s="132"/>
      <c r="D80" s="133"/>
      <c r="E80" s="17">
        <f>SUM(E69:E79)</f>
        <v>109</v>
      </c>
      <c r="F80" s="17">
        <f>SUM(F69:F79)</f>
        <v>241000</v>
      </c>
      <c r="G80" s="17">
        <f>SUM(G69:G79)</f>
        <v>111000</v>
      </c>
      <c r="H80" s="17">
        <f>SUM(H69:H79)</f>
        <v>130000</v>
      </c>
    </row>
    <row r="81" spans="1:8" hidden="1" x14ac:dyDescent="0.25">
      <c r="A81" s="38" t="s">
        <v>30</v>
      </c>
      <c r="B81" s="49">
        <v>45080</v>
      </c>
      <c r="C81" s="38" t="s">
        <v>288</v>
      </c>
      <c r="D81" s="38" t="s">
        <v>11</v>
      </c>
      <c r="E81" s="38">
        <v>10</v>
      </c>
      <c r="F81" s="38">
        <f>E81*1800</f>
        <v>18000</v>
      </c>
      <c r="G81" s="38">
        <f t="shared" ref="G81:G92" si="3">E81*500</f>
        <v>5000</v>
      </c>
      <c r="H81" s="38">
        <f>E81*1300</f>
        <v>13000</v>
      </c>
    </row>
    <row r="82" spans="1:8" hidden="1" x14ac:dyDescent="0.25">
      <c r="A82" s="38"/>
      <c r="B82" s="38"/>
      <c r="C82" s="38" t="s">
        <v>106</v>
      </c>
      <c r="D82" s="38" t="s">
        <v>11</v>
      </c>
      <c r="E82" s="38">
        <v>15</v>
      </c>
      <c r="F82" s="38">
        <f>E82*1500</f>
        <v>22500</v>
      </c>
      <c r="G82" s="38">
        <f t="shared" si="3"/>
        <v>7500</v>
      </c>
      <c r="H82" s="38">
        <f>E82*1000</f>
        <v>15000</v>
      </c>
    </row>
    <row r="83" spans="1:8" hidden="1" x14ac:dyDescent="0.25">
      <c r="A83" s="38"/>
      <c r="B83" s="38"/>
      <c r="C83" s="38" t="s">
        <v>108</v>
      </c>
      <c r="D83" s="38" t="s">
        <v>11</v>
      </c>
      <c r="E83" s="38">
        <v>26</v>
      </c>
      <c r="F83" s="38">
        <f>E83*1500</f>
        <v>39000</v>
      </c>
      <c r="G83" s="38">
        <f t="shared" si="3"/>
        <v>13000</v>
      </c>
      <c r="H83" s="38">
        <v>26000</v>
      </c>
    </row>
    <row r="84" spans="1:8" hidden="1" x14ac:dyDescent="0.25">
      <c r="A84" s="38"/>
      <c r="B84" s="38"/>
      <c r="C84" s="38" t="s">
        <v>478</v>
      </c>
      <c r="D84" s="38" t="s">
        <v>11</v>
      </c>
      <c r="E84" s="38">
        <v>50</v>
      </c>
      <c r="F84" s="38">
        <f>E84*1700</f>
        <v>85000</v>
      </c>
      <c r="G84" s="38">
        <f t="shared" si="3"/>
        <v>25000</v>
      </c>
      <c r="H84" s="38">
        <f>E84*1200</f>
        <v>60000</v>
      </c>
    </row>
    <row r="85" spans="1:8" hidden="1" x14ac:dyDescent="0.25">
      <c r="A85" s="38"/>
      <c r="B85" s="38"/>
      <c r="C85" s="38" t="s">
        <v>509</v>
      </c>
      <c r="D85" s="38" t="s">
        <v>11</v>
      </c>
      <c r="E85" s="38">
        <v>13</v>
      </c>
      <c r="F85" s="38">
        <f>E85*1700</f>
        <v>22100</v>
      </c>
      <c r="G85" s="38">
        <f t="shared" si="3"/>
        <v>6500</v>
      </c>
      <c r="H85" s="38">
        <f>E85*1200</f>
        <v>15600</v>
      </c>
    </row>
    <row r="86" spans="1:8" hidden="1" x14ac:dyDescent="0.25">
      <c r="A86" s="38"/>
      <c r="B86" s="38"/>
      <c r="C86" s="38" t="s">
        <v>510</v>
      </c>
      <c r="D86" s="38" t="s">
        <v>11</v>
      </c>
      <c r="E86" s="38">
        <v>25</v>
      </c>
      <c r="F86" s="38">
        <f>E86*1700</f>
        <v>42500</v>
      </c>
      <c r="G86" s="38">
        <f t="shared" si="3"/>
        <v>12500</v>
      </c>
      <c r="H86" s="38">
        <f>E86*1200</f>
        <v>30000</v>
      </c>
    </row>
    <row r="87" spans="1:8" hidden="1" x14ac:dyDescent="0.25">
      <c r="A87" s="38"/>
      <c r="B87" s="38"/>
      <c r="C87" s="38" t="s">
        <v>376</v>
      </c>
      <c r="D87" s="38" t="s">
        <v>11</v>
      </c>
      <c r="E87" s="38">
        <v>55</v>
      </c>
      <c r="F87" s="38">
        <f t="shared" ref="F87:F92" si="4">E87*1500</f>
        <v>82500</v>
      </c>
      <c r="G87" s="38">
        <f t="shared" si="3"/>
        <v>27500</v>
      </c>
      <c r="H87" s="38">
        <f>E87*1000</f>
        <v>55000</v>
      </c>
    </row>
    <row r="88" spans="1:8" hidden="1" x14ac:dyDescent="0.25">
      <c r="A88" s="38"/>
      <c r="B88" s="38"/>
      <c r="C88" s="38" t="s">
        <v>376</v>
      </c>
      <c r="D88" s="38" t="s">
        <v>11</v>
      </c>
      <c r="E88" s="38">
        <v>50</v>
      </c>
      <c r="F88" s="38">
        <f t="shared" si="4"/>
        <v>75000</v>
      </c>
      <c r="G88" s="38">
        <f t="shared" si="3"/>
        <v>25000</v>
      </c>
      <c r="H88" s="38">
        <f t="shared" ref="H88:H93" si="5">E88*1000</f>
        <v>50000</v>
      </c>
    </row>
    <row r="89" spans="1:8" hidden="1" x14ac:dyDescent="0.25">
      <c r="A89" s="38"/>
      <c r="B89" s="38"/>
      <c r="C89" s="38" t="s">
        <v>376</v>
      </c>
      <c r="D89" s="38" t="s">
        <v>11</v>
      </c>
      <c r="E89" s="38">
        <v>52</v>
      </c>
      <c r="F89" s="38">
        <f t="shared" si="4"/>
        <v>78000</v>
      </c>
      <c r="G89" s="38">
        <f t="shared" si="3"/>
        <v>26000</v>
      </c>
      <c r="H89" s="38">
        <f t="shared" si="5"/>
        <v>52000</v>
      </c>
    </row>
    <row r="90" spans="1:8" hidden="1" x14ac:dyDescent="0.25">
      <c r="A90" s="38"/>
      <c r="B90" s="38"/>
      <c r="C90" s="38" t="s">
        <v>376</v>
      </c>
      <c r="D90" s="38" t="s">
        <v>11</v>
      </c>
      <c r="E90" s="38">
        <v>48</v>
      </c>
      <c r="F90" s="38">
        <f t="shared" si="4"/>
        <v>72000</v>
      </c>
      <c r="G90" s="38">
        <f t="shared" si="3"/>
        <v>24000</v>
      </c>
      <c r="H90" s="38">
        <f t="shared" si="5"/>
        <v>48000</v>
      </c>
    </row>
    <row r="91" spans="1:8" hidden="1" x14ac:dyDescent="0.25">
      <c r="A91" s="38"/>
      <c r="B91" s="38"/>
      <c r="C91" s="38" t="s">
        <v>376</v>
      </c>
      <c r="D91" s="38" t="s">
        <v>11</v>
      </c>
      <c r="E91" s="38">
        <v>37</v>
      </c>
      <c r="F91" s="38">
        <f t="shared" si="4"/>
        <v>55500</v>
      </c>
      <c r="G91" s="38">
        <f t="shared" si="3"/>
        <v>18500</v>
      </c>
      <c r="H91" s="38">
        <f t="shared" si="5"/>
        <v>37000</v>
      </c>
    </row>
    <row r="92" spans="1:8" hidden="1" x14ac:dyDescent="0.25">
      <c r="A92" s="38"/>
      <c r="B92" s="38"/>
      <c r="C92" s="38" t="s">
        <v>16</v>
      </c>
      <c r="D92" s="38" t="s">
        <v>11</v>
      </c>
      <c r="E92" s="38">
        <v>47</v>
      </c>
      <c r="F92" s="38">
        <f t="shared" si="4"/>
        <v>70500</v>
      </c>
      <c r="G92" s="38">
        <f t="shared" si="3"/>
        <v>23500</v>
      </c>
      <c r="H92" s="38">
        <f t="shared" si="5"/>
        <v>47000</v>
      </c>
    </row>
    <row r="93" spans="1:8" hidden="1" x14ac:dyDescent="0.25">
      <c r="A93" s="38"/>
      <c r="B93" s="38"/>
      <c r="C93" s="38"/>
      <c r="D93" s="38" t="s">
        <v>12</v>
      </c>
      <c r="E93" s="38">
        <v>1</v>
      </c>
      <c r="F93" s="38">
        <v>3000</v>
      </c>
      <c r="G93" s="38">
        <v>2000</v>
      </c>
      <c r="H93" s="38">
        <f t="shared" si="5"/>
        <v>1000</v>
      </c>
    </row>
    <row r="94" spans="1:8" hidden="1" x14ac:dyDescent="0.25">
      <c r="A94" s="38"/>
      <c r="B94" s="38"/>
      <c r="C94" s="38"/>
      <c r="D94" s="38" t="s">
        <v>13</v>
      </c>
      <c r="E94" s="38">
        <v>1</v>
      </c>
      <c r="F94" s="38">
        <v>6500</v>
      </c>
      <c r="G94" s="38">
        <v>4500</v>
      </c>
      <c r="H94" s="38">
        <v>2000</v>
      </c>
    </row>
    <row r="95" spans="1:8" hidden="1" x14ac:dyDescent="0.25">
      <c r="A95" s="38"/>
      <c r="B95" s="38"/>
      <c r="C95" s="38" t="s">
        <v>217</v>
      </c>
      <c r="D95" s="38" t="s">
        <v>11</v>
      </c>
      <c r="E95" s="38">
        <v>17</v>
      </c>
      <c r="F95" s="38">
        <f>E95*1500</f>
        <v>25500</v>
      </c>
      <c r="G95" s="38">
        <f>E95*500</f>
        <v>8500</v>
      </c>
      <c r="H95" s="38">
        <v>17000</v>
      </c>
    </row>
    <row r="96" spans="1:8" hidden="1" x14ac:dyDescent="0.25">
      <c r="A96" s="38"/>
      <c r="B96" s="38"/>
      <c r="C96" s="38"/>
      <c r="D96" s="38" t="s">
        <v>13</v>
      </c>
      <c r="E96" s="38">
        <v>2</v>
      </c>
      <c r="F96" s="38">
        <f>E96*6500</f>
        <v>13000</v>
      </c>
      <c r="G96" s="38">
        <f>E96*4500</f>
        <v>9000</v>
      </c>
      <c r="H96" s="38">
        <f>E96*2000</f>
        <v>4000</v>
      </c>
    </row>
    <row r="97" spans="1:8" hidden="1" x14ac:dyDescent="0.25">
      <c r="A97" s="38"/>
      <c r="B97" s="38"/>
      <c r="C97" s="38"/>
      <c r="D97" s="38" t="s">
        <v>14</v>
      </c>
      <c r="E97" s="38">
        <v>2</v>
      </c>
      <c r="F97" s="38">
        <f>E97*10000</f>
        <v>20000</v>
      </c>
      <c r="G97" s="38">
        <f>E97*5500</f>
        <v>11000</v>
      </c>
      <c r="H97" s="38">
        <f>E97*4500</f>
        <v>9000</v>
      </c>
    </row>
    <row r="98" spans="1:8" hidden="1" x14ac:dyDescent="0.25">
      <c r="A98" s="38"/>
      <c r="B98" s="38"/>
      <c r="C98" s="38"/>
      <c r="D98" s="38" t="s">
        <v>415</v>
      </c>
      <c r="E98" s="38">
        <v>2</v>
      </c>
      <c r="F98" s="38">
        <f>E98*3500</f>
        <v>7000</v>
      </c>
      <c r="G98" s="38">
        <f>E98*1500</f>
        <v>3000</v>
      </c>
      <c r="H98" s="38">
        <f>E98*2000</f>
        <v>4000</v>
      </c>
    </row>
    <row r="99" spans="1:8" x14ac:dyDescent="0.25">
      <c r="A99" s="38"/>
      <c r="B99" s="38"/>
      <c r="C99" s="38"/>
      <c r="D99" s="38" t="s">
        <v>432</v>
      </c>
      <c r="E99" s="38">
        <v>1</v>
      </c>
      <c r="F99" s="38">
        <v>5000</v>
      </c>
      <c r="G99" s="38">
        <v>2500</v>
      </c>
      <c r="H99" s="38">
        <v>2500</v>
      </c>
    </row>
    <row r="100" spans="1:8" hidden="1" x14ac:dyDescent="0.25">
      <c r="A100" s="38"/>
      <c r="B100" s="38"/>
      <c r="C100" s="38"/>
      <c r="D100" s="38" t="s">
        <v>404</v>
      </c>
      <c r="E100" s="38">
        <v>1</v>
      </c>
      <c r="F100" s="38">
        <v>2000</v>
      </c>
      <c r="G100" s="38">
        <v>1000</v>
      </c>
      <c r="H100" s="38">
        <v>1000</v>
      </c>
    </row>
    <row r="101" spans="1:8" hidden="1" x14ac:dyDescent="0.25">
      <c r="A101" s="38"/>
      <c r="B101" s="38"/>
      <c r="C101" s="38" t="s">
        <v>442</v>
      </c>
      <c r="D101" s="38" t="s">
        <v>13</v>
      </c>
      <c r="E101" s="38">
        <v>1</v>
      </c>
      <c r="F101" s="38">
        <v>6500</v>
      </c>
      <c r="G101" s="38">
        <v>4500</v>
      </c>
      <c r="H101" s="38">
        <v>2000</v>
      </c>
    </row>
    <row r="102" spans="1:8" hidden="1" x14ac:dyDescent="0.25">
      <c r="A102" s="38"/>
      <c r="B102" s="38"/>
      <c r="C102" s="38"/>
      <c r="D102" s="38" t="s">
        <v>14</v>
      </c>
      <c r="E102" s="38">
        <v>2</v>
      </c>
      <c r="F102" s="38">
        <f>E102*10000</f>
        <v>20000</v>
      </c>
      <c r="G102" s="38">
        <f>E102*5500</f>
        <v>11000</v>
      </c>
      <c r="H102" s="38">
        <f>E102*4500</f>
        <v>9000</v>
      </c>
    </row>
    <row r="103" spans="1:8" hidden="1" x14ac:dyDescent="0.25">
      <c r="A103" s="38"/>
      <c r="B103" s="38"/>
      <c r="C103" s="38"/>
      <c r="D103" s="38" t="s">
        <v>489</v>
      </c>
      <c r="E103" s="38">
        <v>3</v>
      </c>
      <c r="F103" s="38">
        <f>E103*2000</f>
        <v>6000</v>
      </c>
      <c r="G103" s="38">
        <v>3000</v>
      </c>
      <c r="H103" s="38">
        <v>3000</v>
      </c>
    </row>
    <row r="104" spans="1:8" hidden="1" x14ac:dyDescent="0.25">
      <c r="A104" s="38"/>
      <c r="B104" s="38"/>
      <c r="C104" s="38"/>
      <c r="D104" s="38" t="s">
        <v>436</v>
      </c>
      <c r="E104" s="38">
        <v>4</v>
      </c>
      <c r="F104" s="38">
        <f>E104*3000</f>
        <v>12000</v>
      </c>
      <c r="G104" s="38">
        <f>E104*1500</f>
        <v>6000</v>
      </c>
      <c r="H104" s="38">
        <v>6000</v>
      </c>
    </row>
    <row r="105" spans="1:8" hidden="1" x14ac:dyDescent="0.25">
      <c r="A105" s="38"/>
      <c r="B105" s="38"/>
      <c r="C105" s="38" t="s">
        <v>24</v>
      </c>
      <c r="D105" s="38" t="s">
        <v>243</v>
      </c>
      <c r="E105" s="38">
        <v>4</v>
      </c>
      <c r="F105" s="38">
        <f>E105*15000</f>
        <v>60000</v>
      </c>
      <c r="G105" s="38">
        <f>E105*10000</f>
        <v>40000</v>
      </c>
      <c r="H105" s="38">
        <f>E105*5000</f>
        <v>20000</v>
      </c>
    </row>
    <row r="106" spans="1:8" hidden="1" x14ac:dyDescent="0.25">
      <c r="A106" s="131" t="s">
        <v>17</v>
      </c>
      <c r="B106" s="132"/>
      <c r="C106" s="132"/>
      <c r="D106" s="133"/>
      <c r="E106" s="17">
        <f>SUM(E81:E105)</f>
        <v>469</v>
      </c>
      <c r="F106" s="17">
        <f>SUM(F81:F105)</f>
        <v>849100</v>
      </c>
      <c r="G106" s="17">
        <f>SUM(G81:G105)</f>
        <v>320000</v>
      </c>
      <c r="H106" s="17">
        <f>SUM(H81:H105)</f>
        <v>529100</v>
      </c>
    </row>
    <row r="107" spans="1:8" hidden="1" x14ac:dyDescent="0.25">
      <c r="A107" s="38" t="s">
        <v>32</v>
      </c>
      <c r="B107" s="49">
        <v>45110</v>
      </c>
      <c r="C107" s="38" t="s">
        <v>288</v>
      </c>
      <c r="D107" s="38" t="s">
        <v>11</v>
      </c>
      <c r="E107" s="38">
        <v>32</v>
      </c>
      <c r="F107" s="38">
        <f>E107*1800</f>
        <v>57600</v>
      </c>
      <c r="G107" s="38">
        <f t="shared" ref="G107:G115" si="6">E107*500</f>
        <v>16000</v>
      </c>
      <c r="H107" s="38">
        <f>E107*1300</f>
        <v>41600</v>
      </c>
    </row>
    <row r="108" spans="1:8" hidden="1" x14ac:dyDescent="0.25">
      <c r="A108" s="38"/>
      <c r="B108" s="38"/>
      <c r="C108" s="38" t="s">
        <v>106</v>
      </c>
      <c r="D108" s="38" t="s">
        <v>11</v>
      </c>
      <c r="E108" s="38">
        <v>9</v>
      </c>
      <c r="F108" s="38">
        <f>E108*1500</f>
        <v>13500</v>
      </c>
      <c r="G108" s="38">
        <f t="shared" si="6"/>
        <v>4500</v>
      </c>
      <c r="H108" s="38">
        <f>E108*1000</f>
        <v>9000</v>
      </c>
    </row>
    <row r="109" spans="1:8" hidden="1" x14ac:dyDescent="0.25">
      <c r="A109" s="38"/>
      <c r="B109" s="38"/>
      <c r="C109" s="38" t="s">
        <v>108</v>
      </c>
      <c r="D109" s="38" t="s">
        <v>11</v>
      </c>
      <c r="E109" s="38">
        <v>28</v>
      </c>
      <c r="F109" s="38">
        <f>E109*1500</f>
        <v>42000</v>
      </c>
      <c r="G109" s="38">
        <f t="shared" si="6"/>
        <v>14000</v>
      </c>
      <c r="H109" s="38">
        <v>28000</v>
      </c>
    </row>
    <row r="110" spans="1:8" hidden="1" x14ac:dyDescent="0.25">
      <c r="A110" s="38"/>
      <c r="B110" s="38"/>
      <c r="C110" s="38" t="s">
        <v>497</v>
      </c>
      <c r="D110" s="38" t="s">
        <v>11</v>
      </c>
      <c r="E110" s="38">
        <v>35</v>
      </c>
      <c r="F110" s="38">
        <f>E110*1700</f>
        <v>59500</v>
      </c>
      <c r="G110" s="38">
        <f t="shared" si="6"/>
        <v>17500</v>
      </c>
      <c r="H110" s="38">
        <f>E110*1200</f>
        <v>42000</v>
      </c>
    </row>
    <row r="111" spans="1:8" hidden="1" x14ac:dyDescent="0.25">
      <c r="A111" s="38"/>
      <c r="B111" s="38"/>
      <c r="C111" s="38"/>
      <c r="D111" s="38" t="s">
        <v>11</v>
      </c>
      <c r="E111" s="38">
        <v>50</v>
      </c>
      <c r="F111" s="38">
        <f>E111*1700</f>
        <v>85000</v>
      </c>
      <c r="G111" s="38">
        <f t="shared" si="6"/>
        <v>25000</v>
      </c>
      <c r="H111" s="38">
        <f>E111*1200</f>
        <v>60000</v>
      </c>
    </row>
    <row r="112" spans="1:8" hidden="1" x14ac:dyDescent="0.25">
      <c r="A112" s="38"/>
      <c r="B112" s="38"/>
      <c r="C112" s="38" t="s">
        <v>478</v>
      </c>
      <c r="D112" s="38" t="s">
        <v>11</v>
      </c>
      <c r="E112" s="38">
        <v>49</v>
      </c>
      <c r="F112" s="38">
        <f>E112*1700</f>
        <v>83300</v>
      </c>
      <c r="G112" s="38">
        <f t="shared" si="6"/>
        <v>24500</v>
      </c>
      <c r="H112" s="38">
        <f>E112*1200</f>
        <v>58800</v>
      </c>
    </row>
    <row r="113" spans="1:8" hidden="1" x14ac:dyDescent="0.25">
      <c r="A113" s="38"/>
      <c r="B113" s="38"/>
      <c r="C113" s="38" t="s">
        <v>512</v>
      </c>
      <c r="D113" s="38" t="s">
        <v>11</v>
      </c>
      <c r="E113" s="38">
        <v>10</v>
      </c>
      <c r="F113" s="38">
        <f>E113*1700</f>
        <v>17000</v>
      </c>
      <c r="G113" s="38">
        <f t="shared" si="6"/>
        <v>5000</v>
      </c>
      <c r="H113" s="38">
        <f>E113*1200</f>
        <v>12000</v>
      </c>
    </row>
    <row r="114" spans="1:8" hidden="1" x14ac:dyDescent="0.25">
      <c r="A114" s="38"/>
      <c r="B114" s="38"/>
      <c r="C114" s="38" t="s">
        <v>513</v>
      </c>
      <c r="D114" s="38" t="s">
        <v>11</v>
      </c>
      <c r="E114" s="38">
        <v>25</v>
      </c>
      <c r="F114" s="38">
        <f>E114*1700</f>
        <v>42500</v>
      </c>
      <c r="G114" s="38">
        <f t="shared" si="6"/>
        <v>12500</v>
      </c>
      <c r="H114" s="38">
        <f>E114*1200</f>
        <v>30000</v>
      </c>
    </row>
    <row r="115" spans="1:8" hidden="1" x14ac:dyDescent="0.25">
      <c r="A115" s="38"/>
      <c r="B115" s="38"/>
      <c r="C115" s="38" t="s">
        <v>16</v>
      </c>
      <c r="D115" s="38" t="s">
        <v>11</v>
      </c>
      <c r="E115" s="38">
        <v>72</v>
      </c>
      <c r="F115" s="38">
        <f>E115*1500</f>
        <v>108000</v>
      </c>
      <c r="G115" s="38">
        <f t="shared" si="6"/>
        <v>36000</v>
      </c>
      <c r="H115" s="38">
        <v>72000</v>
      </c>
    </row>
    <row r="116" spans="1:8" hidden="1" x14ac:dyDescent="0.25">
      <c r="A116" s="38"/>
      <c r="B116" s="38"/>
      <c r="C116" s="38"/>
      <c r="D116" s="38" t="s">
        <v>12</v>
      </c>
      <c r="E116" s="38">
        <v>9</v>
      </c>
      <c r="F116" s="38">
        <f>E116*3000</f>
        <v>27000</v>
      </c>
      <c r="G116" s="38">
        <f>E116*2000</f>
        <v>18000</v>
      </c>
      <c r="H116" s="38">
        <v>9000</v>
      </c>
    </row>
    <row r="117" spans="1:8" hidden="1" x14ac:dyDescent="0.25">
      <c r="A117" s="38"/>
      <c r="B117" s="38"/>
      <c r="C117" s="38"/>
      <c r="D117" s="38" t="s">
        <v>13</v>
      </c>
      <c r="E117" s="38">
        <v>2</v>
      </c>
      <c r="F117" s="38">
        <f>E117*6500</f>
        <v>13000</v>
      </c>
      <c r="G117" s="38">
        <f>E117*4500</f>
        <v>9000</v>
      </c>
      <c r="H117" s="38">
        <f>E117*2000</f>
        <v>4000</v>
      </c>
    </row>
    <row r="118" spans="1:8" hidden="1" x14ac:dyDescent="0.25">
      <c r="A118" s="38"/>
      <c r="B118" s="38"/>
      <c r="C118" s="38"/>
      <c r="D118" s="38" t="s">
        <v>14</v>
      </c>
      <c r="E118" s="38">
        <v>2</v>
      </c>
      <c r="F118" s="38">
        <f>E118*10000</f>
        <v>20000</v>
      </c>
      <c r="G118" s="38">
        <f>E118*5500</f>
        <v>11000</v>
      </c>
      <c r="H118" s="38">
        <f>E118*4500</f>
        <v>9000</v>
      </c>
    </row>
    <row r="119" spans="1:8" hidden="1" x14ac:dyDescent="0.25">
      <c r="A119" s="38"/>
      <c r="B119" s="38"/>
      <c r="C119" s="38" t="s">
        <v>217</v>
      </c>
      <c r="D119" s="38" t="s">
        <v>11</v>
      </c>
      <c r="E119" s="38">
        <v>20</v>
      </c>
      <c r="F119" s="38">
        <f>E119*1500</f>
        <v>30000</v>
      </c>
      <c r="G119" s="38">
        <f>E119*500</f>
        <v>10000</v>
      </c>
      <c r="H119" s="38">
        <v>20000</v>
      </c>
    </row>
    <row r="120" spans="1:8" hidden="1" x14ac:dyDescent="0.25">
      <c r="A120" s="38"/>
      <c r="B120" s="38"/>
      <c r="C120" s="38"/>
      <c r="D120" s="38" t="s">
        <v>13</v>
      </c>
      <c r="E120" s="38">
        <v>2</v>
      </c>
      <c r="F120" s="38">
        <f>E120*6500</f>
        <v>13000</v>
      </c>
      <c r="G120" s="38">
        <f>E120*4500</f>
        <v>9000</v>
      </c>
      <c r="H120" s="38">
        <f>E120*2000</f>
        <v>4000</v>
      </c>
    </row>
    <row r="121" spans="1:8" hidden="1" x14ac:dyDescent="0.25">
      <c r="A121" s="38"/>
      <c r="B121" s="38"/>
      <c r="C121" s="38"/>
      <c r="D121" s="38" t="s">
        <v>14</v>
      </c>
      <c r="E121" s="38">
        <v>1</v>
      </c>
      <c r="F121" s="38">
        <v>8000</v>
      </c>
      <c r="G121" s="38">
        <v>5500</v>
      </c>
      <c r="H121" s="38">
        <v>2500</v>
      </c>
    </row>
    <row r="122" spans="1:8" hidden="1" x14ac:dyDescent="0.25">
      <c r="A122" s="38"/>
      <c r="B122" s="38"/>
      <c r="C122" s="38" t="s">
        <v>24</v>
      </c>
      <c r="D122" s="38" t="s">
        <v>243</v>
      </c>
      <c r="E122" s="38">
        <v>1</v>
      </c>
      <c r="F122" s="38">
        <v>15000</v>
      </c>
      <c r="G122" s="38">
        <v>10000</v>
      </c>
      <c r="H122" s="38">
        <v>5000</v>
      </c>
    </row>
    <row r="123" spans="1:8" hidden="1" x14ac:dyDescent="0.25">
      <c r="A123" s="131" t="s">
        <v>17</v>
      </c>
      <c r="B123" s="132"/>
      <c r="C123" s="132"/>
      <c r="D123" s="133"/>
      <c r="E123" s="17">
        <f>SUM(E107:E122)</f>
        <v>347</v>
      </c>
      <c r="F123" s="17">
        <f>SUM(F107:F122)</f>
        <v>634400</v>
      </c>
      <c r="G123" s="17">
        <f>SUM(G107:G122)</f>
        <v>227500</v>
      </c>
      <c r="H123" s="17">
        <f>SUM(H107:H122)</f>
        <v>406900</v>
      </c>
    </row>
    <row r="124" spans="1:8" hidden="1" x14ac:dyDescent="0.25">
      <c r="A124" s="38" t="s">
        <v>8</v>
      </c>
      <c r="B124" s="49">
        <v>45141</v>
      </c>
      <c r="C124" s="38" t="s">
        <v>288</v>
      </c>
      <c r="D124" s="38" t="s">
        <v>11</v>
      </c>
      <c r="E124" s="38">
        <f>35-13</f>
        <v>22</v>
      </c>
      <c r="F124" s="38">
        <f>E124*1800</f>
        <v>39600</v>
      </c>
      <c r="G124" s="38">
        <f>E124*500</f>
        <v>11000</v>
      </c>
      <c r="H124" s="38">
        <f>E124*1300</f>
        <v>28600</v>
      </c>
    </row>
    <row r="125" spans="1:8" hidden="1" x14ac:dyDescent="0.25">
      <c r="A125" s="38"/>
      <c r="B125" s="38"/>
      <c r="C125" s="38" t="s">
        <v>106</v>
      </c>
      <c r="D125" s="38" t="s">
        <v>11</v>
      </c>
      <c r="E125" s="38">
        <v>9</v>
      </c>
      <c r="F125" s="38">
        <f>E125*1500</f>
        <v>13500</v>
      </c>
      <c r="G125" s="38">
        <f>E125*500</f>
        <v>4500</v>
      </c>
      <c r="H125" s="38">
        <v>9000</v>
      </c>
    </row>
    <row r="126" spans="1:8" hidden="1" x14ac:dyDescent="0.25">
      <c r="A126" s="38"/>
      <c r="B126" s="38"/>
      <c r="C126" s="38" t="s">
        <v>108</v>
      </c>
      <c r="D126" s="38" t="s">
        <v>11</v>
      </c>
      <c r="E126" s="38">
        <f>35-9</f>
        <v>26</v>
      </c>
      <c r="F126" s="38">
        <f>E126*1500</f>
        <v>39000</v>
      </c>
      <c r="G126" s="38">
        <f>E126*500</f>
        <v>13000</v>
      </c>
      <c r="H126" s="38">
        <v>26000</v>
      </c>
    </row>
    <row r="127" spans="1:8" hidden="1" x14ac:dyDescent="0.25">
      <c r="A127" s="38"/>
      <c r="B127" s="38"/>
      <c r="C127" s="38" t="s">
        <v>478</v>
      </c>
      <c r="D127" s="38" t="s">
        <v>11</v>
      </c>
      <c r="E127" s="38">
        <v>40</v>
      </c>
      <c r="F127" s="38">
        <f>E127*1700</f>
        <v>68000</v>
      </c>
      <c r="G127" s="38">
        <f>E127*500</f>
        <v>20000</v>
      </c>
      <c r="H127" s="38">
        <f>E127*1200</f>
        <v>48000</v>
      </c>
    </row>
    <row r="128" spans="1:8" hidden="1" x14ac:dyDescent="0.25">
      <c r="A128" s="38"/>
      <c r="B128" s="38"/>
      <c r="C128" s="38" t="s">
        <v>16</v>
      </c>
      <c r="D128" s="38" t="s">
        <v>11</v>
      </c>
      <c r="E128" s="38">
        <v>33</v>
      </c>
      <c r="F128" s="38">
        <f>E128*1500</f>
        <v>49500</v>
      </c>
      <c r="G128" s="38">
        <f>E128*500</f>
        <v>16500</v>
      </c>
      <c r="H128" s="38">
        <v>33000</v>
      </c>
    </row>
    <row r="129" spans="1:8" hidden="1" x14ac:dyDescent="0.25">
      <c r="A129" s="38"/>
      <c r="B129" s="38"/>
      <c r="C129" s="38"/>
      <c r="D129" s="38" t="s">
        <v>12</v>
      </c>
      <c r="E129" s="38">
        <v>1</v>
      </c>
      <c r="F129" s="38">
        <v>3000</v>
      </c>
      <c r="G129" s="38">
        <v>2000</v>
      </c>
      <c r="H129" s="38">
        <v>1000</v>
      </c>
    </row>
    <row r="130" spans="1:8" hidden="1" x14ac:dyDescent="0.25">
      <c r="A130" s="38"/>
      <c r="B130" s="38"/>
      <c r="C130" s="38"/>
      <c r="D130" s="38" t="s">
        <v>13</v>
      </c>
      <c r="E130" s="38">
        <v>1</v>
      </c>
      <c r="F130" s="38">
        <v>6500</v>
      </c>
      <c r="G130" s="38">
        <v>4500</v>
      </c>
      <c r="H130" s="38">
        <v>2000</v>
      </c>
    </row>
    <row r="131" spans="1:8" hidden="1" x14ac:dyDescent="0.25">
      <c r="A131" s="38"/>
      <c r="B131" s="38"/>
      <c r="C131" s="38" t="s">
        <v>217</v>
      </c>
      <c r="D131" s="38" t="s">
        <v>11</v>
      </c>
      <c r="E131" s="38">
        <v>47</v>
      </c>
      <c r="F131" s="38">
        <f>E131*1500</f>
        <v>70500</v>
      </c>
      <c r="G131" s="38">
        <f>E131*500</f>
        <v>23500</v>
      </c>
      <c r="H131" s="38">
        <v>47000</v>
      </c>
    </row>
    <row r="132" spans="1:8" hidden="1" x14ac:dyDescent="0.25">
      <c r="A132" s="38"/>
      <c r="B132" s="38"/>
      <c r="C132" s="38"/>
      <c r="D132" s="38" t="s">
        <v>13</v>
      </c>
      <c r="E132" s="38">
        <v>7</v>
      </c>
      <c r="F132" s="38">
        <f>E132*6500</f>
        <v>45500</v>
      </c>
      <c r="G132" s="38">
        <f>E132*4500</f>
        <v>31500</v>
      </c>
      <c r="H132" s="38">
        <f>E132*2000</f>
        <v>14000</v>
      </c>
    </row>
    <row r="133" spans="1:8" hidden="1" x14ac:dyDescent="0.25">
      <c r="A133" s="38"/>
      <c r="B133" s="38"/>
      <c r="C133" s="38"/>
      <c r="D133" s="38" t="s">
        <v>14</v>
      </c>
      <c r="E133" s="38">
        <v>1</v>
      </c>
      <c r="F133" s="38">
        <v>8000</v>
      </c>
      <c r="G133" s="38">
        <v>5500</v>
      </c>
      <c r="H133" s="38">
        <v>2500</v>
      </c>
    </row>
    <row r="134" spans="1:8" hidden="1" x14ac:dyDescent="0.25">
      <c r="A134" s="38"/>
      <c r="B134" s="38"/>
      <c r="C134" s="38"/>
      <c r="D134" s="38" t="s">
        <v>404</v>
      </c>
      <c r="E134" s="38">
        <v>5</v>
      </c>
      <c r="F134" s="38">
        <f>E134*2000</f>
        <v>10000</v>
      </c>
      <c r="G134" s="38">
        <v>5000</v>
      </c>
      <c r="H134" s="38">
        <v>5000</v>
      </c>
    </row>
    <row r="135" spans="1:8" hidden="1" x14ac:dyDescent="0.25">
      <c r="A135" s="38"/>
      <c r="B135" s="38"/>
      <c r="C135" s="38"/>
      <c r="D135" s="38" t="s">
        <v>415</v>
      </c>
      <c r="E135" s="38">
        <v>1</v>
      </c>
      <c r="F135" s="38">
        <v>3500</v>
      </c>
      <c r="G135" s="38">
        <v>1500</v>
      </c>
      <c r="H135" s="38">
        <v>2000</v>
      </c>
    </row>
    <row r="136" spans="1:8" hidden="1" x14ac:dyDescent="0.25">
      <c r="A136" s="38"/>
      <c r="B136" s="38"/>
      <c r="C136" s="38"/>
      <c r="D136" s="38" t="s">
        <v>441</v>
      </c>
      <c r="E136" s="38">
        <v>1</v>
      </c>
      <c r="F136" s="38">
        <v>2000</v>
      </c>
      <c r="G136" s="38">
        <v>1000</v>
      </c>
      <c r="H136" s="38">
        <v>1000</v>
      </c>
    </row>
    <row r="137" spans="1:8" hidden="1" x14ac:dyDescent="0.25">
      <c r="A137" s="131" t="s">
        <v>17</v>
      </c>
      <c r="B137" s="132"/>
      <c r="C137" s="132"/>
      <c r="D137" s="133"/>
      <c r="E137" s="17">
        <f>SUM(E124:E136)</f>
        <v>194</v>
      </c>
      <c r="F137" s="17">
        <f>SUM(F124:F136)</f>
        <v>358600</v>
      </c>
      <c r="G137" s="17">
        <f>SUM(G124:G136)</f>
        <v>139500</v>
      </c>
      <c r="H137" s="17">
        <f>SUM(H124:H136)</f>
        <v>219100</v>
      </c>
    </row>
    <row r="138" spans="1:8" hidden="1" x14ac:dyDescent="0.25">
      <c r="A138" s="38" t="s">
        <v>18</v>
      </c>
      <c r="B138" s="49">
        <v>45172</v>
      </c>
      <c r="C138" s="38" t="s">
        <v>288</v>
      </c>
      <c r="D138" s="38" t="s">
        <v>11</v>
      </c>
      <c r="E138" s="38">
        <v>24</v>
      </c>
      <c r="F138" s="38">
        <f>E138*1800</f>
        <v>43200</v>
      </c>
      <c r="G138" s="38">
        <f t="shared" ref="G138:G145" si="7">E138*500</f>
        <v>12000</v>
      </c>
      <c r="H138" s="38">
        <f>E138*1300</f>
        <v>31200</v>
      </c>
    </row>
    <row r="139" spans="1:8" hidden="1" x14ac:dyDescent="0.25">
      <c r="A139" s="38"/>
      <c r="B139" s="38"/>
      <c r="C139" s="38" t="s">
        <v>106</v>
      </c>
      <c r="D139" s="38" t="s">
        <v>11</v>
      </c>
      <c r="E139" s="38">
        <v>15</v>
      </c>
      <c r="F139" s="38">
        <f>E139*1500</f>
        <v>22500</v>
      </c>
      <c r="G139" s="38">
        <f t="shared" si="7"/>
        <v>7500</v>
      </c>
      <c r="H139" s="38">
        <v>15000</v>
      </c>
    </row>
    <row r="140" spans="1:8" hidden="1" x14ac:dyDescent="0.25">
      <c r="A140" s="38"/>
      <c r="B140" s="38"/>
      <c r="C140" s="38" t="s">
        <v>108</v>
      </c>
      <c r="D140" s="38" t="s">
        <v>11</v>
      </c>
      <c r="E140" s="38">
        <v>16</v>
      </c>
      <c r="F140" s="38">
        <f>E140*1500</f>
        <v>24000</v>
      </c>
      <c r="G140" s="38">
        <f t="shared" si="7"/>
        <v>8000</v>
      </c>
      <c r="H140" s="38">
        <v>16000</v>
      </c>
    </row>
    <row r="141" spans="1:8" hidden="1" x14ac:dyDescent="0.25">
      <c r="A141" s="38"/>
      <c r="B141" s="38"/>
      <c r="C141" s="38" t="s">
        <v>497</v>
      </c>
      <c r="D141" s="38" t="s">
        <v>11</v>
      </c>
      <c r="E141" s="38">
        <v>70</v>
      </c>
      <c r="F141" s="38">
        <f>E141*1700</f>
        <v>119000</v>
      </c>
      <c r="G141" s="38">
        <f t="shared" si="7"/>
        <v>35000</v>
      </c>
      <c r="H141" s="38">
        <f>E141*1200</f>
        <v>84000</v>
      </c>
    </row>
    <row r="142" spans="1:8" hidden="1" x14ac:dyDescent="0.25">
      <c r="A142" s="38"/>
      <c r="B142" s="38"/>
      <c r="C142" s="38" t="s">
        <v>478</v>
      </c>
      <c r="D142" s="38" t="s">
        <v>11</v>
      </c>
      <c r="E142" s="38">
        <v>50</v>
      </c>
      <c r="F142" s="38">
        <f>E142*1700</f>
        <v>85000</v>
      </c>
      <c r="G142" s="38">
        <f t="shared" si="7"/>
        <v>25000</v>
      </c>
      <c r="H142" s="38">
        <f>E142*1200</f>
        <v>60000</v>
      </c>
    </row>
    <row r="143" spans="1:8" hidden="1" x14ac:dyDescent="0.25">
      <c r="A143" s="38"/>
      <c r="B143" s="38"/>
      <c r="C143" s="38" t="s">
        <v>509</v>
      </c>
      <c r="D143" s="38" t="s">
        <v>11</v>
      </c>
      <c r="E143" s="38">
        <v>7</v>
      </c>
      <c r="F143" s="38">
        <f>E143*1700</f>
        <v>11900</v>
      </c>
      <c r="G143" s="38">
        <f t="shared" si="7"/>
        <v>3500</v>
      </c>
      <c r="H143" s="38">
        <f>E143*1200</f>
        <v>8400</v>
      </c>
    </row>
    <row r="144" spans="1:8" hidden="1" x14ac:dyDescent="0.25">
      <c r="A144" s="38"/>
      <c r="B144" s="38"/>
      <c r="C144" s="38" t="s">
        <v>510</v>
      </c>
      <c r="D144" s="38" t="s">
        <v>11</v>
      </c>
      <c r="E144" s="38">
        <v>25</v>
      </c>
      <c r="F144" s="38">
        <f>E144*1700</f>
        <v>42500</v>
      </c>
      <c r="G144" s="38">
        <f t="shared" si="7"/>
        <v>12500</v>
      </c>
      <c r="H144" s="38">
        <f>E144*1200</f>
        <v>30000</v>
      </c>
    </row>
    <row r="145" spans="1:8" hidden="1" x14ac:dyDescent="0.25">
      <c r="A145" s="38"/>
      <c r="B145" s="38"/>
      <c r="C145" s="38" t="s">
        <v>217</v>
      </c>
      <c r="D145" s="38" t="s">
        <v>11</v>
      </c>
      <c r="E145" s="38">
        <v>23</v>
      </c>
      <c r="F145" s="38">
        <f>E145*1700</f>
        <v>39100</v>
      </c>
      <c r="G145" s="38">
        <f t="shared" si="7"/>
        <v>11500</v>
      </c>
      <c r="H145" s="38">
        <f>E145*1200</f>
        <v>27600</v>
      </c>
    </row>
    <row r="146" spans="1:8" hidden="1" x14ac:dyDescent="0.25">
      <c r="A146" s="38"/>
      <c r="B146" s="38"/>
      <c r="C146" s="38"/>
      <c r="D146" s="38" t="s">
        <v>13</v>
      </c>
      <c r="E146" s="38">
        <v>2</v>
      </c>
      <c r="F146" s="38">
        <f>E146*6500</f>
        <v>13000</v>
      </c>
      <c r="G146" s="38">
        <f>E146*4500</f>
        <v>9000</v>
      </c>
      <c r="H146" s="38">
        <f>E146*2000</f>
        <v>4000</v>
      </c>
    </row>
    <row r="147" spans="1:8" hidden="1" x14ac:dyDescent="0.25">
      <c r="A147" s="38"/>
      <c r="B147" s="38"/>
      <c r="C147" s="38"/>
      <c r="D147" s="38" t="s">
        <v>404</v>
      </c>
      <c r="E147" s="38">
        <v>1</v>
      </c>
      <c r="F147" s="38">
        <v>2000</v>
      </c>
      <c r="G147" s="38">
        <v>1000</v>
      </c>
      <c r="H147" s="38">
        <v>1000</v>
      </c>
    </row>
    <row r="148" spans="1:8" hidden="1" x14ac:dyDescent="0.25">
      <c r="A148" s="38"/>
      <c r="B148" s="38"/>
      <c r="C148" s="38" t="s">
        <v>16</v>
      </c>
      <c r="D148" s="38" t="s">
        <v>11</v>
      </c>
      <c r="E148" s="38">
        <v>80</v>
      </c>
      <c r="F148" s="38">
        <f>E148*1500</f>
        <v>120000</v>
      </c>
      <c r="G148" s="38">
        <f>E148*500</f>
        <v>40000</v>
      </c>
      <c r="H148" s="38">
        <v>80000</v>
      </c>
    </row>
    <row r="149" spans="1:8" hidden="1" x14ac:dyDescent="0.25">
      <c r="A149" s="38"/>
      <c r="B149" s="38"/>
      <c r="C149" s="38"/>
      <c r="D149" s="38" t="s">
        <v>12</v>
      </c>
      <c r="E149" s="38">
        <v>4</v>
      </c>
      <c r="F149" s="38">
        <f>E149*3000</f>
        <v>12000</v>
      </c>
      <c r="G149" s="38">
        <f>E149*2000</f>
        <v>8000</v>
      </c>
      <c r="H149" s="38">
        <v>4000</v>
      </c>
    </row>
    <row r="150" spans="1:8" hidden="1" x14ac:dyDescent="0.25">
      <c r="A150" s="38"/>
      <c r="B150" s="38"/>
      <c r="C150" s="38"/>
      <c r="D150" s="38" t="s">
        <v>14</v>
      </c>
      <c r="E150" s="38">
        <v>1</v>
      </c>
      <c r="F150" s="38">
        <v>10000</v>
      </c>
      <c r="G150" s="38">
        <v>5500</v>
      </c>
      <c r="H150" s="38">
        <v>4500</v>
      </c>
    </row>
    <row r="151" spans="1:8" hidden="1" x14ac:dyDescent="0.25">
      <c r="A151" s="131" t="s">
        <v>17</v>
      </c>
      <c r="B151" s="132"/>
      <c r="C151" s="132"/>
      <c r="D151" s="133"/>
      <c r="E151" s="17">
        <f>SUM(E138:E150)</f>
        <v>318</v>
      </c>
      <c r="F151" s="17">
        <f>SUM(F138:F150)</f>
        <v>544200</v>
      </c>
      <c r="G151" s="17">
        <f>SUM(G138:G150)</f>
        <v>178500</v>
      </c>
      <c r="H151" s="17">
        <f>SUM(H138:H150)</f>
        <v>365700</v>
      </c>
    </row>
    <row r="152" spans="1:8" hidden="1" x14ac:dyDescent="0.25">
      <c r="A152" s="38" t="s">
        <v>22</v>
      </c>
      <c r="B152" s="49">
        <v>45202</v>
      </c>
      <c r="C152" s="38" t="s">
        <v>288</v>
      </c>
      <c r="D152" s="38" t="s">
        <v>11</v>
      </c>
      <c r="E152" s="38">
        <v>17</v>
      </c>
      <c r="F152" s="38">
        <f>E152*1800</f>
        <v>30600</v>
      </c>
      <c r="G152" s="38">
        <f t="shared" ref="G152:G157" si="8">E152*500</f>
        <v>8500</v>
      </c>
      <c r="H152" s="38">
        <f>E152*1300</f>
        <v>22100</v>
      </c>
    </row>
    <row r="153" spans="1:8" hidden="1" x14ac:dyDescent="0.25">
      <c r="A153" s="38"/>
      <c r="B153" s="38"/>
      <c r="C153" s="38" t="s">
        <v>106</v>
      </c>
      <c r="D153" s="38" t="s">
        <v>11</v>
      </c>
      <c r="E153" s="38">
        <v>14</v>
      </c>
      <c r="F153" s="38">
        <f>E153*1500</f>
        <v>21000</v>
      </c>
      <c r="G153" s="38">
        <f t="shared" si="8"/>
        <v>7000</v>
      </c>
      <c r="H153" s="38">
        <v>14000</v>
      </c>
    </row>
    <row r="154" spans="1:8" hidden="1" x14ac:dyDescent="0.25">
      <c r="A154" s="38"/>
      <c r="B154" s="38"/>
      <c r="C154" s="38" t="s">
        <v>497</v>
      </c>
      <c r="D154" s="38" t="s">
        <v>11</v>
      </c>
      <c r="E154" s="38">
        <v>44</v>
      </c>
      <c r="F154" s="38">
        <f>E154*1700</f>
        <v>74800</v>
      </c>
      <c r="G154" s="38">
        <f t="shared" si="8"/>
        <v>22000</v>
      </c>
      <c r="H154" s="38">
        <f>E154*1200</f>
        <v>52800</v>
      </c>
    </row>
    <row r="155" spans="1:8" hidden="1" x14ac:dyDescent="0.25">
      <c r="A155" s="38"/>
      <c r="B155" s="38"/>
      <c r="C155" s="38" t="s">
        <v>478</v>
      </c>
      <c r="D155" s="38" t="s">
        <v>11</v>
      </c>
      <c r="E155" s="38">
        <v>36</v>
      </c>
      <c r="F155" s="38">
        <f>E155*1700</f>
        <v>61200</v>
      </c>
      <c r="G155" s="38">
        <f t="shared" si="8"/>
        <v>18000</v>
      </c>
      <c r="H155" s="38">
        <f>E155*1200</f>
        <v>43200</v>
      </c>
    </row>
    <row r="156" spans="1:8" hidden="1" x14ac:dyDescent="0.25">
      <c r="A156" s="38"/>
      <c r="B156" s="38"/>
      <c r="C156" s="38" t="s">
        <v>108</v>
      </c>
      <c r="D156" s="38" t="s">
        <v>11</v>
      </c>
      <c r="E156" s="38">
        <v>22</v>
      </c>
      <c r="F156" s="38">
        <f>E156*1500</f>
        <v>33000</v>
      </c>
      <c r="G156" s="38">
        <f t="shared" si="8"/>
        <v>11000</v>
      </c>
      <c r="H156" s="38">
        <v>22000</v>
      </c>
    </row>
    <row r="157" spans="1:8" hidden="1" x14ac:dyDescent="0.25">
      <c r="A157" s="38"/>
      <c r="B157" s="38"/>
      <c r="C157" s="38" t="s">
        <v>16</v>
      </c>
      <c r="D157" s="38" t="s">
        <v>11</v>
      </c>
      <c r="E157" s="38">
        <v>51</v>
      </c>
      <c r="F157" s="38">
        <f>E157*1500</f>
        <v>76500</v>
      </c>
      <c r="G157" s="38">
        <f t="shared" si="8"/>
        <v>25500</v>
      </c>
      <c r="H157" s="38">
        <v>51000</v>
      </c>
    </row>
    <row r="158" spans="1:8" hidden="1" x14ac:dyDescent="0.25">
      <c r="A158" s="38"/>
      <c r="B158" s="38"/>
      <c r="C158" s="38"/>
      <c r="D158" s="38" t="s">
        <v>12</v>
      </c>
      <c r="E158" s="38">
        <v>1</v>
      </c>
      <c r="F158" s="38">
        <v>3000</v>
      </c>
      <c r="G158" s="38">
        <v>2000</v>
      </c>
      <c r="H158" s="38">
        <v>1000</v>
      </c>
    </row>
    <row r="159" spans="1:8" hidden="1" x14ac:dyDescent="0.25">
      <c r="A159" s="38"/>
      <c r="B159" s="38"/>
      <c r="C159" s="38"/>
      <c r="D159" s="38" t="s">
        <v>13</v>
      </c>
      <c r="E159" s="38">
        <v>2</v>
      </c>
      <c r="F159" s="38">
        <f>E159*6500</f>
        <v>13000</v>
      </c>
      <c r="G159" s="38">
        <f>E159*4500</f>
        <v>9000</v>
      </c>
      <c r="H159" s="38">
        <f>E159*2000</f>
        <v>4000</v>
      </c>
    </row>
    <row r="160" spans="1:8" hidden="1" x14ac:dyDescent="0.25">
      <c r="A160" s="38"/>
      <c r="B160" s="38"/>
      <c r="C160" s="38" t="s">
        <v>20</v>
      </c>
      <c r="D160" s="38" t="s">
        <v>14</v>
      </c>
      <c r="E160" s="38">
        <v>1</v>
      </c>
      <c r="F160" s="38">
        <v>10000</v>
      </c>
      <c r="G160" s="38">
        <v>5500</v>
      </c>
      <c r="H160" s="38">
        <v>4500</v>
      </c>
    </row>
    <row r="161" spans="1:8" hidden="1" x14ac:dyDescent="0.25">
      <c r="A161" s="131" t="s">
        <v>17</v>
      </c>
      <c r="B161" s="132"/>
      <c r="C161" s="132"/>
      <c r="D161" s="133"/>
      <c r="E161" s="17">
        <f>SUM(E152:E160)</f>
        <v>188</v>
      </c>
      <c r="F161" s="17">
        <f>SUM(F152:F160)</f>
        <v>323100</v>
      </c>
      <c r="G161" s="17">
        <f>SUM(G152:G160)</f>
        <v>108500</v>
      </c>
      <c r="H161" s="17">
        <f>SUM(H152:H160)</f>
        <v>214600</v>
      </c>
    </row>
    <row r="162" spans="1:8" hidden="1" x14ac:dyDescent="0.25">
      <c r="A162" s="38" t="s">
        <v>26</v>
      </c>
      <c r="B162" s="49">
        <v>45233</v>
      </c>
      <c r="C162" s="38" t="s">
        <v>81</v>
      </c>
      <c r="D162" s="38" t="s">
        <v>11</v>
      </c>
      <c r="E162" s="38">
        <v>75</v>
      </c>
      <c r="F162" s="38">
        <f t="shared" ref="F162:F167" si="9">E162*1800</f>
        <v>135000</v>
      </c>
      <c r="G162" s="38">
        <f>E162*500</f>
        <v>37500</v>
      </c>
      <c r="H162" s="38">
        <f t="shared" ref="H162:H167" si="10">E162*1300</f>
        <v>97500</v>
      </c>
    </row>
    <row r="163" spans="1:8" hidden="1" x14ac:dyDescent="0.25">
      <c r="A163" s="38"/>
      <c r="B163" s="38"/>
      <c r="C163" s="38"/>
      <c r="D163" s="38" t="s">
        <v>11</v>
      </c>
      <c r="E163" s="38">
        <v>75</v>
      </c>
      <c r="F163" s="38">
        <f t="shared" si="9"/>
        <v>135000</v>
      </c>
      <c r="G163" s="38">
        <f t="shared" ref="G163:G168" si="11">E163*500</f>
        <v>37500</v>
      </c>
      <c r="H163" s="38">
        <f t="shared" si="10"/>
        <v>97500</v>
      </c>
    </row>
    <row r="164" spans="1:8" hidden="1" x14ac:dyDescent="0.25">
      <c r="A164" s="38"/>
      <c r="B164" s="38"/>
      <c r="C164" s="38"/>
      <c r="D164" s="38" t="s">
        <v>11</v>
      </c>
      <c r="E164" s="38">
        <v>75</v>
      </c>
      <c r="F164" s="38">
        <f t="shared" si="9"/>
        <v>135000</v>
      </c>
      <c r="G164" s="38">
        <f t="shared" si="11"/>
        <v>37500</v>
      </c>
      <c r="H164" s="38">
        <f t="shared" si="10"/>
        <v>97500</v>
      </c>
    </row>
    <row r="165" spans="1:8" hidden="1" x14ac:dyDescent="0.25">
      <c r="A165" s="38"/>
      <c r="B165" s="38"/>
      <c r="C165" s="38"/>
      <c r="D165" s="38" t="s">
        <v>11</v>
      </c>
      <c r="E165" s="38">
        <v>75</v>
      </c>
      <c r="F165" s="38">
        <f t="shared" si="9"/>
        <v>135000</v>
      </c>
      <c r="G165" s="38">
        <f t="shared" si="11"/>
        <v>37500</v>
      </c>
      <c r="H165" s="38">
        <f t="shared" si="10"/>
        <v>97500</v>
      </c>
    </row>
    <row r="166" spans="1:8" hidden="1" x14ac:dyDescent="0.25">
      <c r="A166" s="38"/>
      <c r="B166" s="38"/>
      <c r="C166" s="38"/>
      <c r="D166" s="38" t="s">
        <v>11</v>
      </c>
      <c r="E166" s="38">
        <v>75</v>
      </c>
      <c r="F166" s="38">
        <f t="shared" si="9"/>
        <v>135000</v>
      </c>
      <c r="G166" s="38">
        <f t="shared" si="11"/>
        <v>37500</v>
      </c>
      <c r="H166" s="38">
        <f t="shared" si="10"/>
        <v>97500</v>
      </c>
    </row>
    <row r="167" spans="1:8" hidden="1" x14ac:dyDescent="0.25">
      <c r="A167" s="38"/>
      <c r="B167" s="38"/>
      <c r="C167" s="38"/>
      <c r="D167" s="38" t="s">
        <v>11</v>
      </c>
      <c r="E167" s="38">
        <v>73</v>
      </c>
      <c r="F167" s="38">
        <f t="shared" si="9"/>
        <v>131400</v>
      </c>
      <c r="G167" s="38">
        <f t="shared" si="11"/>
        <v>36500</v>
      </c>
      <c r="H167" s="38">
        <f t="shared" si="10"/>
        <v>94900</v>
      </c>
    </row>
    <row r="168" spans="1:8" hidden="1" x14ac:dyDescent="0.25">
      <c r="A168" s="38"/>
      <c r="B168" s="38"/>
      <c r="C168" s="38" t="s">
        <v>16</v>
      </c>
      <c r="D168" s="38" t="s">
        <v>11</v>
      </c>
      <c r="E168" s="38">
        <v>53</v>
      </c>
      <c r="F168" s="38">
        <f>E168*1500</f>
        <v>79500</v>
      </c>
      <c r="G168" s="38">
        <f t="shared" si="11"/>
        <v>26500</v>
      </c>
      <c r="H168" s="38">
        <f>E168*1000</f>
        <v>53000</v>
      </c>
    </row>
    <row r="169" spans="1:8" hidden="1" x14ac:dyDescent="0.25">
      <c r="A169" s="38"/>
      <c r="B169" s="38"/>
      <c r="C169" s="38"/>
      <c r="D169" s="38" t="s">
        <v>12</v>
      </c>
      <c r="E169" s="38">
        <v>7</v>
      </c>
      <c r="F169" s="38">
        <f>E169*3000</f>
        <v>21000</v>
      </c>
      <c r="G169" s="38">
        <f>E169*2000</f>
        <v>14000</v>
      </c>
      <c r="H169" s="38">
        <v>7000</v>
      </c>
    </row>
    <row r="170" spans="1:8" hidden="1" x14ac:dyDescent="0.25">
      <c r="A170" s="38"/>
      <c r="B170" s="38"/>
      <c r="C170" s="38" t="s">
        <v>217</v>
      </c>
      <c r="D170" s="38" t="s">
        <v>11</v>
      </c>
      <c r="E170" s="38">
        <v>21</v>
      </c>
      <c r="F170" s="38">
        <f>E170*1500</f>
        <v>31500</v>
      </c>
      <c r="G170" s="38">
        <f>E170*500</f>
        <v>10500</v>
      </c>
      <c r="H170" s="38">
        <f>E170*1000</f>
        <v>21000</v>
      </c>
    </row>
    <row r="171" spans="1:8" hidden="1" x14ac:dyDescent="0.25">
      <c r="A171" s="38"/>
      <c r="B171" s="38"/>
      <c r="C171" s="38"/>
      <c r="D171" s="38" t="s">
        <v>13</v>
      </c>
      <c r="E171" s="38">
        <v>6</v>
      </c>
      <c r="F171" s="38">
        <f>E171*6500</f>
        <v>39000</v>
      </c>
      <c r="G171" s="38">
        <f>E171*4500</f>
        <v>27000</v>
      </c>
      <c r="H171" s="38">
        <f>E171*2000</f>
        <v>12000</v>
      </c>
    </row>
    <row r="172" spans="1:8" hidden="1" x14ac:dyDescent="0.25">
      <c r="A172" s="38"/>
      <c r="B172" s="38"/>
      <c r="C172" s="38"/>
      <c r="D172" s="38" t="s">
        <v>14</v>
      </c>
      <c r="E172" s="38">
        <v>4</v>
      </c>
      <c r="F172" s="38">
        <f>E172*10000</f>
        <v>40000</v>
      </c>
      <c r="G172" s="38">
        <f>E172*5500</f>
        <v>22000</v>
      </c>
      <c r="H172" s="38">
        <f>E172*4500</f>
        <v>18000</v>
      </c>
    </row>
    <row r="173" spans="1:8" hidden="1" x14ac:dyDescent="0.25">
      <c r="A173" s="38"/>
      <c r="B173" s="38"/>
      <c r="C173" s="38"/>
      <c r="D173" s="38" t="s">
        <v>441</v>
      </c>
      <c r="E173" s="38">
        <v>3</v>
      </c>
      <c r="F173" s="38">
        <f>E173*2000</f>
        <v>6000</v>
      </c>
      <c r="G173" s="38">
        <f>E173*1000</f>
        <v>3000</v>
      </c>
      <c r="H173" s="38">
        <v>3000</v>
      </c>
    </row>
    <row r="174" spans="1:8" hidden="1" x14ac:dyDescent="0.25">
      <c r="A174" s="38"/>
      <c r="B174" s="38"/>
      <c r="C174" s="38"/>
      <c r="D174" s="38" t="s">
        <v>425</v>
      </c>
      <c r="E174" s="38">
        <v>2</v>
      </c>
      <c r="F174" s="38">
        <f>E174*2000</f>
        <v>4000</v>
      </c>
      <c r="G174" s="38">
        <f>E174*1000</f>
        <v>2000</v>
      </c>
      <c r="H174" s="38">
        <v>2000</v>
      </c>
    </row>
    <row r="175" spans="1:8" hidden="1" x14ac:dyDescent="0.25">
      <c r="A175" s="38"/>
      <c r="B175" s="38"/>
      <c r="C175" s="38"/>
      <c r="D175" s="38" t="s">
        <v>415</v>
      </c>
      <c r="E175" s="38">
        <v>5</v>
      </c>
      <c r="F175" s="38">
        <f>E175*3500</f>
        <v>17500</v>
      </c>
      <c r="G175" s="38">
        <f>E175*1500</f>
        <v>7500</v>
      </c>
      <c r="H175" s="38">
        <f>E175*2000</f>
        <v>10000</v>
      </c>
    </row>
    <row r="176" spans="1:8" hidden="1" x14ac:dyDescent="0.25">
      <c r="A176" s="38"/>
      <c r="B176" s="38"/>
      <c r="C176" s="38" t="s">
        <v>442</v>
      </c>
      <c r="D176" s="38" t="s">
        <v>13</v>
      </c>
      <c r="E176" s="38">
        <v>9</v>
      </c>
      <c r="F176" s="38">
        <f>E176*6500</f>
        <v>58500</v>
      </c>
      <c r="G176" s="38">
        <f>E176*4500</f>
        <v>40500</v>
      </c>
      <c r="H176" s="38">
        <f>E176*2000</f>
        <v>18000</v>
      </c>
    </row>
    <row r="177" spans="1:8" hidden="1" x14ac:dyDescent="0.25">
      <c r="A177" s="38"/>
      <c r="B177" s="38"/>
      <c r="C177" s="38"/>
      <c r="D177" s="38" t="s">
        <v>14</v>
      </c>
      <c r="E177" s="38">
        <v>2</v>
      </c>
      <c r="F177" s="38">
        <f>E177*10000</f>
        <v>20000</v>
      </c>
      <c r="G177" s="38">
        <f>E177*5500</f>
        <v>11000</v>
      </c>
      <c r="H177" s="38">
        <f>E177*4500</f>
        <v>9000</v>
      </c>
    </row>
    <row r="178" spans="1:8" hidden="1" x14ac:dyDescent="0.25">
      <c r="A178" s="38"/>
      <c r="B178" s="38"/>
      <c r="C178" s="38"/>
      <c r="D178" s="38" t="s">
        <v>441</v>
      </c>
      <c r="E178" s="38">
        <v>1</v>
      </c>
      <c r="F178" s="38">
        <v>3000</v>
      </c>
      <c r="G178" s="38">
        <v>2000</v>
      </c>
      <c r="H178" s="38">
        <v>1000</v>
      </c>
    </row>
    <row r="179" spans="1:8" hidden="1" x14ac:dyDescent="0.25">
      <c r="A179" s="131" t="s">
        <v>17</v>
      </c>
      <c r="B179" s="132"/>
      <c r="C179" s="132"/>
      <c r="D179" s="133"/>
      <c r="E179" s="17">
        <f>SUM(E162:E178)</f>
        <v>561</v>
      </c>
      <c r="F179" s="17">
        <f>SUM(F162:F178)</f>
        <v>1126400</v>
      </c>
      <c r="G179" s="17">
        <f>SUM(G162:G178)</f>
        <v>390000</v>
      </c>
      <c r="H179" s="17">
        <f>SUM(H162:H178)</f>
        <v>736400</v>
      </c>
    </row>
    <row r="180" spans="1:8" hidden="1" x14ac:dyDescent="0.25">
      <c r="A180" s="38" t="s">
        <v>28</v>
      </c>
      <c r="B180" s="49">
        <v>45263</v>
      </c>
      <c r="C180" s="38" t="s">
        <v>217</v>
      </c>
      <c r="D180" s="38" t="s">
        <v>11</v>
      </c>
      <c r="E180" s="38">
        <v>11</v>
      </c>
      <c r="F180" s="38">
        <f>E180*1500</f>
        <v>16500</v>
      </c>
      <c r="G180" s="38">
        <f>E180*500</f>
        <v>5500</v>
      </c>
      <c r="H180" s="38">
        <f>E180*1000</f>
        <v>11000</v>
      </c>
    </row>
    <row r="181" spans="1:8" hidden="1" x14ac:dyDescent="0.25">
      <c r="A181" s="38"/>
      <c r="B181" s="50"/>
      <c r="C181" s="38"/>
      <c r="D181" s="38" t="s">
        <v>13</v>
      </c>
      <c r="E181" s="38">
        <v>10</v>
      </c>
      <c r="F181" s="38">
        <f>E181*6500</f>
        <v>65000</v>
      </c>
      <c r="G181" s="38">
        <f>E181*4500</f>
        <v>45000</v>
      </c>
      <c r="H181" s="38">
        <f>E181*2000</f>
        <v>20000</v>
      </c>
    </row>
    <row r="182" spans="1:8" hidden="1" x14ac:dyDescent="0.25">
      <c r="A182" s="38"/>
      <c r="B182" s="50"/>
      <c r="C182" s="38"/>
      <c r="D182" s="38" t="s">
        <v>14</v>
      </c>
      <c r="E182" s="38">
        <v>9</v>
      </c>
      <c r="F182" s="38">
        <f>E182*10000</f>
        <v>90000</v>
      </c>
      <c r="G182" s="38">
        <f>E182*5500</f>
        <v>49500</v>
      </c>
      <c r="H182" s="38">
        <f>E182*4500</f>
        <v>40500</v>
      </c>
    </row>
    <row r="183" spans="1:8" hidden="1" x14ac:dyDescent="0.25">
      <c r="A183" s="38"/>
      <c r="B183" s="50"/>
      <c r="C183" s="38"/>
      <c r="D183" s="38" t="s">
        <v>441</v>
      </c>
      <c r="E183" s="38">
        <v>2</v>
      </c>
      <c r="F183" s="38">
        <f>E183*3000</f>
        <v>6000</v>
      </c>
      <c r="G183" s="38">
        <f>E183*1500</f>
        <v>3000</v>
      </c>
      <c r="H183" s="38">
        <v>3000</v>
      </c>
    </row>
    <row r="184" spans="1:8" hidden="1" x14ac:dyDescent="0.25">
      <c r="A184" s="38"/>
      <c r="B184" s="50"/>
      <c r="C184" s="38" t="s">
        <v>20</v>
      </c>
      <c r="D184" s="38" t="s">
        <v>11</v>
      </c>
      <c r="E184" s="38">
        <v>15</v>
      </c>
      <c r="F184" s="38">
        <f>E184*1500</f>
        <v>22500</v>
      </c>
      <c r="G184" s="38">
        <f>E184*500</f>
        <v>7500</v>
      </c>
      <c r="H184" s="38">
        <v>8000</v>
      </c>
    </row>
    <row r="185" spans="1:8" hidden="1" x14ac:dyDescent="0.25">
      <c r="A185" s="38"/>
      <c r="B185" s="50"/>
      <c r="C185" s="38"/>
      <c r="D185" s="38" t="s">
        <v>13</v>
      </c>
      <c r="E185" s="38">
        <v>27</v>
      </c>
      <c r="F185" s="38">
        <f>E185*6500</f>
        <v>175500</v>
      </c>
      <c r="G185" s="38">
        <f>E185*4500</f>
        <v>121500</v>
      </c>
      <c r="H185" s="38">
        <f>E185*2000</f>
        <v>54000</v>
      </c>
    </row>
    <row r="186" spans="1:8" hidden="1" x14ac:dyDescent="0.25">
      <c r="A186" s="38"/>
      <c r="B186" s="50"/>
      <c r="C186" s="38"/>
      <c r="D186" s="38" t="s">
        <v>14</v>
      </c>
      <c r="E186" s="38">
        <v>25</v>
      </c>
      <c r="F186" s="38">
        <f>E186*10000</f>
        <v>250000</v>
      </c>
      <c r="G186" s="38">
        <f>E186*5500</f>
        <v>137500</v>
      </c>
      <c r="H186" s="38">
        <f>E186*4500</f>
        <v>112500</v>
      </c>
    </row>
    <row r="187" spans="1:8" hidden="1" x14ac:dyDescent="0.25">
      <c r="A187" s="38"/>
      <c r="B187" s="50"/>
      <c r="C187" s="38"/>
      <c r="D187" s="38" t="s">
        <v>425</v>
      </c>
      <c r="E187" s="38">
        <v>10</v>
      </c>
      <c r="F187" s="38">
        <f>E187*2000</f>
        <v>20000</v>
      </c>
      <c r="G187" s="38">
        <v>10000</v>
      </c>
      <c r="H187" s="38">
        <v>10000</v>
      </c>
    </row>
    <row r="188" spans="1:8" hidden="1" x14ac:dyDescent="0.25">
      <c r="A188" s="38"/>
      <c r="B188" s="50"/>
      <c r="C188" s="38"/>
      <c r="D188" s="38" t="s">
        <v>415</v>
      </c>
      <c r="E188" s="38">
        <v>8</v>
      </c>
      <c r="F188" s="38">
        <f>E188*3500</f>
        <v>28000</v>
      </c>
      <c r="G188" s="38">
        <f>E188*1500</f>
        <v>12000</v>
      </c>
      <c r="H188" s="38">
        <f>E188*2000</f>
        <v>16000</v>
      </c>
    </row>
    <row r="189" spans="1:8" x14ac:dyDescent="0.25">
      <c r="A189" s="38"/>
      <c r="B189" s="50"/>
      <c r="C189" s="38"/>
      <c r="D189" s="38" t="s">
        <v>432</v>
      </c>
      <c r="E189" s="38">
        <v>4</v>
      </c>
      <c r="F189" s="38">
        <f>E189*5000</f>
        <v>20000</v>
      </c>
      <c r="G189" s="38">
        <v>10000</v>
      </c>
      <c r="H189" s="38">
        <v>10000</v>
      </c>
    </row>
    <row r="190" spans="1:8" hidden="1" x14ac:dyDescent="0.25">
      <c r="A190" s="38"/>
      <c r="B190" s="50"/>
      <c r="C190" s="38" t="s">
        <v>514</v>
      </c>
      <c r="D190" s="38" t="s">
        <v>11</v>
      </c>
      <c r="E190" s="38">
        <v>1</v>
      </c>
      <c r="F190" s="38">
        <v>1500</v>
      </c>
      <c r="G190" s="38">
        <v>500</v>
      </c>
      <c r="H190" s="38">
        <v>1000</v>
      </c>
    </row>
    <row r="191" spans="1:8" hidden="1" x14ac:dyDescent="0.25">
      <c r="A191" s="38"/>
      <c r="B191" s="50"/>
      <c r="C191" s="38"/>
      <c r="D191" s="38" t="s">
        <v>13</v>
      </c>
      <c r="E191" s="38">
        <v>5</v>
      </c>
      <c r="F191" s="38">
        <f>E191*6500</f>
        <v>32500</v>
      </c>
      <c r="G191" s="38">
        <f>E191*4500</f>
        <v>22500</v>
      </c>
      <c r="H191" s="38">
        <f>E191*2000</f>
        <v>10000</v>
      </c>
    </row>
    <row r="192" spans="1:8" hidden="1" x14ac:dyDescent="0.25">
      <c r="A192" s="38"/>
      <c r="B192" s="50"/>
      <c r="C192" s="38"/>
      <c r="D192" s="38" t="s">
        <v>14</v>
      </c>
      <c r="E192" s="38">
        <v>4</v>
      </c>
      <c r="F192" s="38">
        <f>E192*10000</f>
        <v>40000</v>
      </c>
      <c r="G192" s="38">
        <f>E192*5500</f>
        <v>22000</v>
      </c>
      <c r="H192" s="38">
        <f>E192*4500</f>
        <v>18000</v>
      </c>
    </row>
    <row r="193" spans="1:8" hidden="1" x14ac:dyDescent="0.25">
      <c r="A193" s="51"/>
      <c r="B193" s="52"/>
      <c r="C193" s="53" t="s">
        <v>515</v>
      </c>
      <c r="D193" s="54" t="s">
        <v>11</v>
      </c>
      <c r="E193" s="38">
        <v>18</v>
      </c>
      <c r="F193" s="38">
        <f>E193*1500</f>
        <v>27000</v>
      </c>
      <c r="G193" s="38">
        <f>E193*500</f>
        <v>9000</v>
      </c>
      <c r="H193" s="38">
        <v>18000</v>
      </c>
    </row>
    <row r="194" spans="1:8" hidden="1" x14ac:dyDescent="0.25">
      <c r="A194" s="131" t="s">
        <v>17</v>
      </c>
      <c r="B194" s="132"/>
      <c r="C194" s="132"/>
      <c r="D194" s="133"/>
      <c r="E194" s="17">
        <f>SUM(E180:E193)</f>
        <v>149</v>
      </c>
      <c r="F194" s="17">
        <f>SUM(F180:F193)</f>
        <v>794500</v>
      </c>
      <c r="G194" s="17">
        <f>SUM(G180:G193)</f>
        <v>455500</v>
      </c>
      <c r="H194" s="17">
        <f>SUM(H180:H193)</f>
        <v>332000</v>
      </c>
    </row>
    <row r="195" spans="1:8" hidden="1" x14ac:dyDescent="0.25">
      <c r="A195" s="38"/>
      <c r="B195" s="50"/>
      <c r="C195" s="38" t="s">
        <v>16</v>
      </c>
      <c r="D195" s="38" t="s">
        <v>11</v>
      </c>
      <c r="E195" s="38">
        <v>75</v>
      </c>
      <c r="F195" s="38">
        <f>E195*1500</f>
        <v>112500</v>
      </c>
      <c r="G195" s="38">
        <f>E195*500</f>
        <v>37500</v>
      </c>
      <c r="H195" s="38">
        <v>75000</v>
      </c>
    </row>
    <row r="196" spans="1:8" hidden="1" x14ac:dyDescent="0.25">
      <c r="A196" s="38"/>
      <c r="B196" s="50"/>
      <c r="C196" s="38"/>
      <c r="D196" s="38" t="s">
        <v>12</v>
      </c>
      <c r="E196" s="38">
        <v>7</v>
      </c>
      <c r="F196" s="38">
        <f>E196*3000</f>
        <v>21000</v>
      </c>
      <c r="G196" s="38">
        <f>E196*2000</f>
        <v>14000</v>
      </c>
      <c r="H196" s="38">
        <v>7000</v>
      </c>
    </row>
    <row r="197" spans="1:8" hidden="1" x14ac:dyDescent="0.25">
      <c r="A197" s="38"/>
      <c r="B197" s="50"/>
      <c r="C197" s="38"/>
      <c r="D197" s="38" t="s">
        <v>14</v>
      </c>
      <c r="E197" s="38">
        <v>2</v>
      </c>
      <c r="F197" s="38">
        <f>E197*10000</f>
        <v>20000</v>
      </c>
      <c r="G197" s="38">
        <f>E197*5500</f>
        <v>11000</v>
      </c>
      <c r="H197" s="38">
        <f>E197*4500</f>
        <v>9000</v>
      </c>
    </row>
    <row r="198" spans="1:8" hidden="1" x14ac:dyDescent="0.25">
      <c r="A198" s="131" t="s">
        <v>17</v>
      </c>
      <c r="B198" s="132"/>
      <c r="C198" s="132"/>
      <c r="D198" s="133"/>
      <c r="E198" s="17">
        <f>SUM(E195:E197)</f>
        <v>84</v>
      </c>
      <c r="F198" s="17">
        <f>SUM(F195:F197)</f>
        <v>153500</v>
      </c>
      <c r="G198" s="17">
        <f>SUM(G195:G197)</f>
        <v>62500</v>
      </c>
      <c r="H198" s="17">
        <f>SUM(H195:H197)</f>
        <v>91000</v>
      </c>
    </row>
    <row r="199" spans="1:8" hidden="1" x14ac:dyDescent="0.25">
      <c r="A199" s="38" t="s">
        <v>30</v>
      </c>
      <c r="B199" s="50" t="s">
        <v>516</v>
      </c>
      <c r="C199" s="38" t="s">
        <v>288</v>
      </c>
      <c r="D199" s="38" t="s">
        <v>11</v>
      </c>
      <c r="E199" s="38">
        <v>39</v>
      </c>
      <c r="F199" s="38">
        <f>E199*1800</f>
        <v>70200</v>
      </c>
      <c r="G199" s="38">
        <f t="shared" ref="G199:G211" si="12">E199*500</f>
        <v>19500</v>
      </c>
      <c r="H199" s="38">
        <f>E199*1300</f>
        <v>50700</v>
      </c>
    </row>
    <row r="200" spans="1:8" hidden="1" x14ac:dyDescent="0.25">
      <c r="A200" s="38"/>
      <c r="B200" s="50"/>
      <c r="C200" s="38" t="s">
        <v>108</v>
      </c>
      <c r="D200" s="38" t="s">
        <v>11</v>
      </c>
      <c r="E200" s="38">
        <v>29</v>
      </c>
      <c r="F200" s="38">
        <f>E200*1500</f>
        <v>43500</v>
      </c>
      <c r="G200" s="38">
        <f t="shared" si="12"/>
        <v>14500</v>
      </c>
      <c r="H200" s="38">
        <f>E200*1000</f>
        <v>29000</v>
      </c>
    </row>
    <row r="201" spans="1:8" hidden="1" x14ac:dyDescent="0.25">
      <c r="A201" s="38"/>
      <c r="B201" s="50"/>
      <c r="C201" s="38" t="s">
        <v>478</v>
      </c>
      <c r="D201" s="38" t="s">
        <v>11</v>
      </c>
      <c r="E201" s="38">
        <v>47</v>
      </c>
      <c r="F201" s="38">
        <f>E201*1700</f>
        <v>79900</v>
      </c>
      <c r="G201" s="38">
        <f t="shared" si="12"/>
        <v>23500</v>
      </c>
      <c r="H201" s="38">
        <f>E201*1200</f>
        <v>56400</v>
      </c>
    </row>
    <row r="202" spans="1:8" hidden="1" x14ac:dyDescent="0.25">
      <c r="A202" s="38"/>
      <c r="B202" s="50"/>
      <c r="C202" s="38" t="s">
        <v>497</v>
      </c>
      <c r="D202" s="38" t="s">
        <v>11</v>
      </c>
      <c r="E202" s="38">
        <v>50</v>
      </c>
      <c r="F202" s="38">
        <f>E202*1700</f>
        <v>85000</v>
      </c>
      <c r="G202" s="38">
        <f t="shared" si="12"/>
        <v>25000</v>
      </c>
      <c r="H202" s="38">
        <f>E202*1200</f>
        <v>60000</v>
      </c>
    </row>
    <row r="203" spans="1:8" hidden="1" x14ac:dyDescent="0.25">
      <c r="A203" s="38"/>
      <c r="B203" s="50"/>
      <c r="C203" s="38" t="s">
        <v>509</v>
      </c>
      <c r="D203" s="38" t="s">
        <v>11</v>
      </c>
      <c r="E203" s="38">
        <v>13</v>
      </c>
      <c r="F203" s="38">
        <f>E203*1700</f>
        <v>22100</v>
      </c>
      <c r="G203" s="38">
        <f t="shared" si="12"/>
        <v>6500</v>
      </c>
      <c r="H203" s="38">
        <f>E203*1200</f>
        <v>15600</v>
      </c>
    </row>
    <row r="204" spans="1:8" hidden="1" x14ac:dyDescent="0.25">
      <c r="A204" s="38"/>
      <c r="B204" s="50"/>
      <c r="C204" s="38" t="s">
        <v>510</v>
      </c>
      <c r="D204" s="38" t="s">
        <v>11</v>
      </c>
      <c r="E204" s="38">
        <v>25</v>
      </c>
      <c r="F204" s="38">
        <f>E204*1700</f>
        <v>42500</v>
      </c>
      <c r="G204" s="38">
        <f t="shared" si="12"/>
        <v>12500</v>
      </c>
      <c r="H204" s="38">
        <f>E204*1200</f>
        <v>30000</v>
      </c>
    </row>
    <row r="205" spans="1:8" hidden="1" x14ac:dyDescent="0.25">
      <c r="A205" s="38"/>
      <c r="B205" s="50"/>
      <c r="C205" s="38" t="s">
        <v>376</v>
      </c>
      <c r="D205" s="38" t="s">
        <v>11</v>
      </c>
      <c r="E205" s="38">
        <v>50</v>
      </c>
      <c r="F205" s="38">
        <f t="shared" ref="F205:F211" si="13">E205*1500</f>
        <v>75000</v>
      </c>
      <c r="G205" s="38">
        <f t="shared" si="12"/>
        <v>25000</v>
      </c>
      <c r="H205" s="38">
        <f t="shared" ref="H205:H211" si="14">E205*1000</f>
        <v>50000</v>
      </c>
    </row>
    <row r="206" spans="1:8" hidden="1" x14ac:dyDescent="0.25">
      <c r="A206" s="38"/>
      <c r="B206" s="50"/>
      <c r="C206" s="38" t="s">
        <v>376</v>
      </c>
      <c r="D206" s="38" t="s">
        <v>11</v>
      </c>
      <c r="E206" s="38">
        <v>58</v>
      </c>
      <c r="F206" s="38">
        <f t="shared" si="13"/>
        <v>87000</v>
      </c>
      <c r="G206" s="38">
        <f t="shared" si="12"/>
        <v>29000</v>
      </c>
      <c r="H206" s="38">
        <f t="shared" si="14"/>
        <v>58000</v>
      </c>
    </row>
    <row r="207" spans="1:8" hidden="1" x14ac:dyDescent="0.25">
      <c r="A207" s="38"/>
      <c r="B207" s="50"/>
      <c r="C207" s="38" t="s">
        <v>376</v>
      </c>
      <c r="D207" s="38" t="s">
        <v>11</v>
      </c>
      <c r="E207" s="38">
        <v>65</v>
      </c>
      <c r="F207" s="38">
        <f t="shared" si="13"/>
        <v>97500</v>
      </c>
      <c r="G207" s="38">
        <f t="shared" si="12"/>
        <v>32500</v>
      </c>
      <c r="H207" s="38">
        <f t="shared" si="14"/>
        <v>65000</v>
      </c>
    </row>
    <row r="208" spans="1:8" hidden="1" x14ac:dyDescent="0.25">
      <c r="A208" s="38"/>
      <c r="B208" s="50"/>
      <c r="C208" s="38" t="s">
        <v>376</v>
      </c>
      <c r="D208" s="38" t="s">
        <v>11</v>
      </c>
      <c r="E208" s="38">
        <v>65</v>
      </c>
      <c r="F208" s="38">
        <f t="shared" si="13"/>
        <v>97500</v>
      </c>
      <c r="G208" s="38">
        <f t="shared" si="12"/>
        <v>32500</v>
      </c>
      <c r="H208" s="38">
        <f t="shared" si="14"/>
        <v>65000</v>
      </c>
    </row>
    <row r="209" spans="1:8" hidden="1" x14ac:dyDescent="0.25">
      <c r="A209" s="38"/>
      <c r="B209" s="50"/>
      <c r="C209" s="38" t="s">
        <v>376</v>
      </c>
      <c r="D209" s="38" t="s">
        <v>11</v>
      </c>
      <c r="E209" s="38">
        <v>62</v>
      </c>
      <c r="F209" s="38">
        <f t="shared" si="13"/>
        <v>93000</v>
      </c>
      <c r="G209" s="38">
        <f t="shared" si="12"/>
        <v>31000</v>
      </c>
      <c r="H209" s="38">
        <f t="shared" si="14"/>
        <v>62000</v>
      </c>
    </row>
    <row r="210" spans="1:8" hidden="1" x14ac:dyDescent="0.25">
      <c r="A210" s="38"/>
      <c r="B210" s="50"/>
      <c r="C210" s="38" t="s">
        <v>376</v>
      </c>
      <c r="D210" s="38" t="s">
        <v>11</v>
      </c>
      <c r="E210" s="38">
        <v>44</v>
      </c>
      <c r="F210" s="38">
        <f t="shared" si="13"/>
        <v>66000</v>
      </c>
      <c r="G210" s="38">
        <f t="shared" si="12"/>
        <v>22000</v>
      </c>
      <c r="H210" s="38">
        <f t="shared" si="14"/>
        <v>44000</v>
      </c>
    </row>
    <row r="211" spans="1:8" hidden="1" x14ac:dyDescent="0.25">
      <c r="A211" s="38"/>
      <c r="B211" s="50"/>
      <c r="C211" s="38" t="s">
        <v>217</v>
      </c>
      <c r="D211" s="38" t="s">
        <v>11</v>
      </c>
      <c r="E211" s="38">
        <v>25</v>
      </c>
      <c r="F211" s="38">
        <f t="shared" si="13"/>
        <v>37500</v>
      </c>
      <c r="G211" s="38">
        <f t="shared" si="12"/>
        <v>12500</v>
      </c>
      <c r="H211" s="38">
        <f t="shared" si="14"/>
        <v>25000</v>
      </c>
    </row>
    <row r="212" spans="1:8" hidden="1" x14ac:dyDescent="0.25">
      <c r="A212" s="38"/>
      <c r="B212" s="50"/>
      <c r="C212" s="38"/>
      <c r="D212" s="38" t="s">
        <v>13</v>
      </c>
      <c r="E212" s="38">
        <v>6</v>
      </c>
      <c r="F212" s="38">
        <f>E212*6500</f>
        <v>39000</v>
      </c>
      <c r="G212" s="38">
        <f>E212*4500</f>
        <v>27000</v>
      </c>
      <c r="H212" s="38">
        <f>E212*2000</f>
        <v>12000</v>
      </c>
    </row>
    <row r="213" spans="1:8" hidden="1" x14ac:dyDescent="0.25">
      <c r="A213" s="38"/>
      <c r="B213" s="50"/>
      <c r="C213" s="38"/>
      <c r="D213" s="38" t="s">
        <v>14</v>
      </c>
      <c r="E213" s="38">
        <v>1</v>
      </c>
      <c r="F213" s="38">
        <v>8000</v>
      </c>
      <c r="G213" s="38">
        <v>5500</v>
      </c>
      <c r="H213" s="38">
        <v>2500</v>
      </c>
    </row>
    <row r="214" spans="1:8" hidden="1" x14ac:dyDescent="0.25">
      <c r="A214" s="38"/>
      <c r="B214" s="50"/>
      <c r="C214" s="38"/>
      <c r="D214" s="38" t="s">
        <v>425</v>
      </c>
      <c r="E214" s="38">
        <v>3</v>
      </c>
      <c r="F214" s="38">
        <f>E214*2000</f>
        <v>6000</v>
      </c>
      <c r="G214" s="38">
        <f>E214*1000</f>
        <v>3000</v>
      </c>
      <c r="H214" s="38">
        <v>3000</v>
      </c>
    </row>
    <row r="215" spans="1:8" hidden="1" x14ac:dyDescent="0.25">
      <c r="A215" s="131" t="s">
        <v>17</v>
      </c>
      <c r="B215" s="132"/>
      <c r="C215" s="132"/>
      <c r="D215" s="133"/>
      <c r="E215" s="17">
        <f>SUM(E199:E214)</f>
        <v>582</v>
      </c>
      <c r="F215" s="17">
        <f>SUM(F199:F214)</f>
        <v>949700</v>
      </c>
      <c r="G215" s="17">
        <f>SUM(G199:G214)</f>
        <v>321500</v>
      </c>
      <c r="H215" s="17">
        <f>SUM(H199:H214)</f>
        <v>628200</v>
      </c>
    </row>
    <row r="216" spans="1:8" hidden="1" x14ac:dyDescent="0.25">
      <c r="A216" s="38"/>
      <c r="B216" s="50"/>
      <c r="C216" s="38" t="s">
        <v>16</v>
      </c>
      <c r="D216" s="38" t="s">
        <v>11</v>
      </c>
      <c r="E216" s="38">
        <v>57</v>
      </c>
      <c r="F216" s="38">
        <f>E216*1500</f>
        <v>85500</v>
      </c>
      <c r="G216" s="38">
        <f>E216*500</f>
        <v>28500</v>
      </c>
      <c r="H216" s="38">
        <v>57000</v>
      </c>
    </row>
    <row r="217" spans="1:8" hidden="1" x14ac:dyDescent="0.25">
      <c r="A217" s="38"/>
      <c r="B217" s="50"/>
      <c r="C217" s="38"/>
      <c r="D217" s="38" t="s">
        <v>12</v>
      </c>
      <c r="E217" s="38">
        <v>1</v>
      </c>
      <c r="F217" s="38">
        <v>3000</v>
      </c>
      <c r="G217" s="38">
        <v>2000</v>
      </c>
      <c r="H217" s="38">
        <v>1000</v>
      </c>
    </row>
    <row r="218" spans="1:8" hidden="1" x14ac:dyDescent="0.25">
      <c r="A218" s="38"/>
      <c r="B218" s="50"/>
      <c r="C218" s="38" t="s">
        <v>24</v>
      </c>
      <c r="D218" s="38" t="s">
        <v>243</v>
      </c>
      <c r="E218" s="38">
        <v>1</v>
      </c>
      <c r="F218" s="38">
        <v>15000</v>
      </c>
      <c r="G218" s="38">
        <v>10000</v>
      </c>
      <c r="H218" s="38">
        <v>5000</v>
      </c>
    </row>
    <row r="219" spans="1:8" hidden="1" x14ac:dyDescent="0.25">
      <c r="A219" s="131" t="s">
        <v>17</v>
      </c>
      <c r="B219" s="132"/>
      <c r="C219" s="132"/>
      <c r="D219" s="133"/>
      <c r="E219" s="17">
        <f>SUM(E216:E218)</f>
        <v>59</v>
      </c>
      <c r="F219" s="17">
        <f>SUM(F216:F218)</f>
        <v>103500</v>
      </c>
      <c r="G219" s="17">
        <f>SUM(G216:G218)</f>
        <v>40500</v>
      </c>
      <c r="H219" s="17">
        <f>SUM(H216:H218)</f>
        <v>63000</v>
      </c>
    </row>
    <row r="220" spans="1:8" hidden="1" x14ac:dyDescent="0.25">
      <c r="A220" s="38" t="s">
        <v>32</v>
      </c>
      <c r="B220" s="50" t="s">
        <v>517</v>
      </c>
      <c r="C220" s="38" t="s">
        <v>288</v>
      </c>
      <c r="D220" s="38" t="s">
        <v>11</v>
      </c>
      <c r="E220" s="38">
        <v>24</v>
      </c>
      <c r="F220" s="38">
        <f>E220*1800</f>
        <v>43200</v>
      </c>
      <c r="G220" s="38">
        <f t="shared" ref="G220:G225" si="15">E220*500</f>
        <v>12000</v>
      </c>
      <c r="H220" s="38">
        <f>E220*1300</f>
        <v>31200</v>
      </c>
    </row>
    <row r="221" spans="1:8" hidden="1" x14ac:dyDescent="0.25">
      <c r="A221" s="38"/>
      <c r="B221" s="50"/>
      <c r="C221" s="38" t="s">
        <v>478</v>
      </c>
      <c r="D221" s="38" t="s">
        <v>11</v>
      </c>
      <c r="E221" s="38">
        <v>36</v>
      </c>
      <c r="F221" s="38">
        <f>E221*1700</f>
        <v>61200</v>
      </c>
      <c r="G221" s="38">
        <f t="shared" si="15"/>
        <v>18000</v>
      </c>
      <c r="H221" s="38">
        <f>E221*1200</f>
        <v>43200</v>
      </c>
    </row>
    <row r="222" spans="1:8" hidden="1" x14ac:dyDescent="0.25">
      <c r="A222" s="38"/>
      <c r="B222" s="50"/>
      <c r="C222" s="38" t="s">
        <v>497</v>
      </c>
      <c r="D222" s="38" t="s">
        <v>11</v>
      </c>
      <c r="E222" s="38">
        <v>40</v>
      </c>
      <c r="F222" s="38">
        <f>E222*1700</f>
        <v>68000</v>
      </c>
      <c r="G222" s="38">
        <f t="shared" si="15"/>
        <v>20000</v>
      </c>
      <c r="H222" s="38">
        <f>E222*1200</f>
        <v>48000</v>
      </c>
    </row>
    <row r="223" spans="1:8" hidden="1" x14ac:dyDescent="0.25">
      <c r="A223" s="38"/>
      <c r="B223" s="50"/>
      <c r="C223" s="38" t="s">
        <v>509</v>
      </c>
      <c r="D223" s="38" t="s">
        <v>11</v>
      </c>
      <c r="E223" s="38">
        <v>13</v>
      </c>
      <c r="F223" s="38">
        <f>E223*1700</f>
        <v>22100</v>
      </c>
      <c r="G223" s="38">
        <f t="shared" si="15"/>
        <v>6500</v>
      </c>
      <c r="H223" s="38">
        <f>E223*1200</f>
        <v>15600</v>
      </c>
    </row>
    <row r="224" spans="1:8" hidden="1" x14ac:dyDescent="0.25">
      <c r="A224" s="38"/>
      <c r="B224" s="50"/>
      <c r="C224" s="38" t="s">
        <v>510</v>
      </c>
      <c r="D224" s="38" t="s">
        <v>11</v>
      </c>
      <c r="E224" s="38">
        <v>25</v>
      </c>
      <c r="F224" s="38">
        <f>E224*1700</f>
        <v>42500</v>
      </c>
      <c r="G224" s="38">
        <f t="shared" si="15"/>
        <v>12500</v>
      </c>
      <c r="H224" s="38">
        <f>E224*1200</f>
        <v>30000</v>
      </c>
    </row>
    <row r="225" spans="1:8" hidden="1" x14ac:dyDescent="0.25">
      <c r="A225" s="38"/>
      <c r="B225" s="50"/>
      <c r="C225" s="38" t="s">
        <v>16</v>
      </c>
      <c r="D225" s="38" t="s">
        <v>11</v>
      </c>
      <c r="E225" s="38">
        <v>56</v>
      </c>
      <c r="F225" s="38">
        <f>E225*1500</f>
        <v>84000</v>
      </c>
      <c r="G225" s="38">
        <f t="shared" si="15"/>
        <v>28000</v>
      </c>
      <c r="H225" s="38">
        <f>E225*1000</f>
        <v>56000</v>
      </c>
    </row>
    <row r="226" spans="1:8" hidden="1" x14ac:dyDescent="0.25">
      <c r="A226" s="38"/>
      <c r="B226" s="50"/>
      <c r="C226" s="38"/>
      <c r="D226" s="38" t="s">
        <v>12</v>
      </c>
      <c r="E226" s="38">
        <v>2</v>
      </c>
      <c r="F226" s="38">
        <f>E226*3000</f>
        <v>6000</v>
      </c>
      <c r="G226" s="38">
        <f>E226*2000</f>
        <v>4000</v>
      </c>
      <c r="H226" s="38">
        <f>E226*1000</f>
        <v>2000</v>
      </c>
    </row>
    <row r="227" spans="1:8" hidden="1" x14ac:dyDescent="0.25">
      <c r="A227" s="131" t="s">
        <v>17</v>
      </c>
      <c r="B227" s="132"/>
      <c r="C227" s="132"/>
      <c r="D227" s="133"/>
      <c r="E227" s="17">
        <f>SUM(E220:E226)</f>
        <v>196</v>
      </c>
      <c r="F227" s="17">
        <f>SUM(F220:F226)</f>
        <v>327000</v>
      </c>
      <c r="G227" s="17">
        <f>SUM(G220:G226)</f>
        <v>101000</v>
      </c>
      <c r="H227" s="17">
        <f>SUM(H220:H226)</f>
        <v>226000</v>
      </c>
    </row>
    <row r="228" spans="1:8" hidden="1" x14ac:dyDescent="0.25">
      <c r="A228" s="38" t="s">
        <v>8</v>
      </c>
      <c r="B228" s="50" t="s">
        <v>518</v>
      </c>
      <c r="C228" s="38" t="s">
        <v>288</v>
      </c>
      <c r="D228" s="38" t="s">
        <v>11</v>
      </c>
      <c r="E228" s="38">
        <v>9</v>
      </c>
      <c r="F228" s="38">
        <f>E228*1800</f>
        <v>16200</v>
      </c>
      <c r="G228" s="38">
        <f t="shared" ref="G228:G233" si="16">E228*500</f>
        <v>4500</v>
      </c>
      <c r="H228" s="38">
        <f>E228*1300</f>
        <v>11700</v>
      </c>
    </row>
    <row r="229" spans="1:8" hidden="1" x14ac:dyDescent="0.25">
      <c r="A229" s="38"/>
      <c r="B229" s="50"/>
      <c r="C229" s="38" t="s">
        <v>106</v>
      </c>
      <c r="D229" s="38" t="s">
        <v>11</v>
      </c>
      <c r="E229" s="38">
        <v>13</v>
      </c>
      <c r="F229" s="38">
        <f>E229*1500</f>
        <v>19500</v>
      </c>
      <c r="G229" s="38">
        <f t="shared" si="16"/>
        <v>6500</v>
      </c>
      <c r="H229" s="38">
        <v>13000</v>
      </c>
    </row>
    <row r="230" spans="1:8" hidden="1" x14ac:dyDescent="0.25">
      <c r="A230" s="38"/>
      <c r="B230" s="50"/>
      <c r="C230" s="38" t="s">
        <v>497</v>
      </c>
      <c r="D230" s="38" t="s">
        <v>11</v>
      </c>
      <c r="E230" s="38">
        <v>38</v>
      </c>
      <c r="F230" s="38">
        <f>E230*1700</f>
        <v>64600</v>
      </c>
      <c r="G230" s="38">
        <f t="shared" si="16"/>
        <v>19000</v>
      </c>
      <c r="H230" s="38">
        <f>E230*1200</f>
        <v>45600</v>
      </c>
    </row>
    <row r="231" spans="1:8" hidden="1" x14ac:dyDescent="0.25">
      <c r="A231" s="38"/>
      <c r="B231" s="50"/>
      <c r="C231" s="38" t="s">
        <v>478</v>
      </c>
      <c r="D231" s="38" t="s">
        <v>11</v>
      </c>
      <c r="E231" s="38">
        <v>48</v>
      </c>
      <c r="F231" s="38">
        <f>E231*1700</f>
        <v>81600</v>
      </c>
      <c r="G231" s="38">
        <f t="shared" si="16"/>
        <v>24000</v>
      </c>
      <c r="H231" s="38">
        <f>E231*1200</f>
        <v>57600</v>
      </c>
    </row>
    <row r="232" spans="1:8" hidden="1" x14ac:dyDescent="0.25">
      <c r="A232" s="38"/>
      <c r="B232" s="50"/>
      <c r="C232" s="38" t="s">
        <v>108</v>
      </c>
      <c r="D232" s="38" t="s">
        <v>11</v>
      </c>
      <c r="E232" s="38">
        <v>34</v>
      </c>
      <c r="F232" s="38">
        <f>E232*1500</f>
        <v>51000</v>
      </c>
      <c r="G232" s="38">
        <f t="shared" si="16"/>
        <v>17000</v>
      </c>
      <c r="H232" s="38">
        <f>E232*1000</f>
        <v>34000</v>
      </c>
    </row>
    <row r="233" spans="1:8" hidden="1" x14ac:dyDescent="0.25">
      <c r="A233" s="38"/>
      <c r="B233" s="50"/>
      <c r="C233" s="38" t="s">
        <v>16</v>
      </c>
      <c r="D233" s="38" t="s">
        <v>11</v>
      </c>
      <c r="E233" s="38">
        <v>57</v>
      </c>
      <c r="F233" s="38">
        <f>E233*1500</f>
        <v>85500</v>
      </c>
      <c r="G233" s="38">
        <f t="shared" si="16"/>
        <v>28500</v>
      </c>
      <c r="H233" s="38">
        <v>57000</v>
      </c>
    </row>
    <row r="234" spans="1:8" hidden="1" x14ac:dyDescent="0.25">
      <c r="A234" s="38"/>
      <c r="B234" s="50"/>
      <c r="C234" s="38"/>
      <c r="D234" s="38" t="s">
        <v>12</v>
      </c>
      <c r="E234" s="38">
        <v>4</v>
      </c>
      <c r="F234" s="38">
        <f>E234*3000</f>
        <v>12000</v>
      </c>
      <c r="G234" s="38">
        <f>E234*2000</f>
        <v>8000</v>
      </c>
      <c r="H234" s="38">
        <v>4000</v>
      </c>
    </row>
    <row r="235" spans="1:8" hidden="1" x14ac:dyDescent="0.25">
      <c r="A235" s="38"/>
      <c r="B235" s="50"/>
      <c r="C235" s="38"/>
      <c r="D235" s="38" t="s">
        <v>13</v>
      </c>
      <c r="E235" s="38">
        <v>2</v>
      </c>
      <c r="F235" s="38">
        <f>E235*6500</f>
        <v>13000</v>
      </c>
      <c r="G235" s="38">
        <f>E235*4500</f>
        <v>9000</v>
      </c>
      <c r="H235" s="38">
        <f>E235*2000</f>
        <v>4000</v>
      </c>
    </row>
    <row r="236" spans="1:8" hidden="1" x14ac:dyDescent="0.25">
      <c r="A236" s="38"/>
      <c r="B236" s="50"/>
      <c r="C236" s="38"/>
      <c r="D236" s="38" t="s">
        <v>243</v>
      </c>
      <c r="E236" s="38">
        <v>1</v>
      </c>
      <c r="F236" s="38">
        <v>13000</v>
      </c>
      <c r="G236" s="38">
        <v>10000</v>
      </c>
      <c r="H236" s="38">
        <v>3000</v>
      </c>
    </row>
    <row r="237" spans="1:8" hidden="1" x14ac:dyDescent="0.25">
      <c r="A237" s="51"/>
      <c r="B237" s="52"/>
      <c r="C237" s="53" t="s">
        <v>24</v>
      </c>
      <c r="D237" s="54" t="s">
        <v>243</v>
      </c>
      <c r="E237" s="38">
        <v>1</v>
      </c>
      <c r="F237" s="38">
        <v>15000</v>
      </c>
      <c r="G237" s="38">
        <v>10000</v>
      </c>
      <c r="H237" s="38">
        <v>5000</v>
      </c>
    </row>
    <row r="238" spans="1:8" x14ac:dyDescent="0.25">
      <c r="A238" s="51"/>
      <c r="B238" s="52"/>
      <c r="C238" s="53"/>
      <c r="D238" s="54" t="s">
        <v>56</v>
      </c>
      <c r="E238" s="38">
        <v>2</v>
      </c>
      <c r="F238" s="38">
        <f>E238*20000</f>
        <v>40000</v>
      </c>
      <c r="G238" s="38">
        <f>E238*15000</f>
        <v>30000</v>
      </c>
      <c r="H238" s="38">
        <f>E238*5000</f>
        <v>10000</v>
      </c>
    </row>
    <row r="239" spans="1:8" hidden="1" x14ac:dyDescent="0.25">
      <c r="A239" s="51"/>
      <c r="B239" s="52"/>
      <c r="C239" s="53" t="s">
        <v>217</v>
      </c>
      <c r="D239" s="54" t="s">
        <v>11</v>
      </c>
      <c r="E239" s="38">
        <v>10</v>
      </c>
      <c r="F239" s="38">
        <f>E239*1500</f>
        <v>15000</v>
      </c>
      <c r="G239" s="38">
        <f>E239*500</f>
        <v>5000</v>
      </c>
      <c r="H239" s="38">
        <v>10000</v>
      </c>
    </row>
    <row r="240" spans="1:8" hidden="1" x14ac:dyDescent="0.25">
      <c r="A240" s="51"/>
      <c r="B240" s="52"/>
      <c r="C240" s="53"/>
      <c r="D240" s="54" t="s">
        <v>13</v>
      </c>
      <c r="E240" s="38">
        <v>2</v>
      </c>
      <c r="F240" s="38">
        <f>E240*6500</f>
        <v>13000</v>
      </c>
      <c r="G240" s="38">
        <f>E240*4500</f>
        <v>9000</v>
      </c>
      <c r="H240" s="38">
        <f>E240*2000</f>
        <v>4000</v>
      </c>
    </row>
    <row r="241" spans="1:8" hidden="1" x14ac:dyDescent="0.25">
      <c r="A241" s="51"/>
      <c r="B241" s="52"/>
      <c r="C241" s="53"/>
      <c r="D241" s="54" t="s">
        <v>14</v>
      </c>
      <c r="E241" s="38">
        <v>5</v>
      </c>
      <c r="F241" s="38">
        <f>E241*10000</f>
        <v>50000</v>
      </c>
      <c r="G241" s="38">
        <f>E241*5500</f>
        <v>27500</v>
      </c>
      <c r="H241" s="38">
        <f>E241*4500</f>
        <v>22500</v>
      </c>
    </row>
    <row r="242" spans="1:8" hidden="1" x14ac:dyDescent="0.25">
      <c r="A242" s="131" t="s">
        <v>17</v>
      </c>
      <c r="B242" s="132"/>
      <c r="C242" s="132"/>
      <c r="D242" s="133"/>
      <c r="E242" s="17">
        <f>SUM(E228:E241)</f>
        <v>226</v>
      </c>
      <c r="F242" s="17">
        <f>SUM(F228:F241)</f>
        <v>489400</v>
      </c>
      <c r="G242" s="17">
        <f>SUM(G228:G241)</f>
        <v>208000</v>
      </c>
      <c r="H242" s="17">
        <f>SUM(H228:H241)</f>
        <v>281400</v>
      </c>
    </row>
    <row r="243" spans="1:8" hidden="1" x14ac:dyDescent="0.25">
      <c r="A243" s="38" t="s">
        <v>18</v>
      </c>
      <c r="B243" s="50" t="s">
        <v>519</v>
      </c>
      <c r="C243" s="38" t="s">
        <v>288</v>
      </c>
      <c r="D243" s="38" t="s">
        <v>11</v>
      </c>
      <c r="E243" s="38">
        <v>6</v>
      </c>
      <c r="F243" s="38">
        <f>E243*1800</f>
        <v>10800</v>
      </c>
      <c r="G243" s="38">
        <f t="shared" ref="G243:G250" si="17">E243*500</f>
        <v>3000</v>
      </c>
      <c r="H243" s="38">
        <f>E243*1300</f>
        <v>7800</v>
      </c>
    </row>
    <row r="244" spans="1:8" hidden="1" x14ac:dyDescent="0.25">
      <c r="A244" s="38"/>
      <c r="B244" s="50"/>
      <c r="C244" s="38" t="s">
        <v>106</v>
      </c>
      <c r="D244" s="38" t="s">
        <v>11</v>
      </c>
      <c r="E244" s="38">
        <v>14</v>
      </c>
      <c r="F244" s="38">
        <f>E244*1500</f>
        <v>21000</v>
      </c>
      <c r="G244" s="38">
        <f t="shared" si="17"/>
        <v>7000</v>
      </c>
      <c r="H244" s="38">
        <f>E244*1000</f>
        <v>14000</v>
      </c>
    </row>
    <row r="245" spans="1:8" hidden="1" x14ac:dyDescent="0.25">
      <c r="A245" s="38"/>
      <c r="B245" s="50"/>
      <c r="C245" s="38" t="s">
        <v>497</v>
      </c>
      <c r="D245" s="38" t="s">
        <v>11</v>
      </c>
      <c r="E245" s="38">
        <v>38</v>
      </c>
      <c r="F245" s="38">
        <f>E245*1700</f>
        <v>64600</v>
      </c>
      <c r="G245" s="38">
        <f t="shared" si="17"/>
        <v>19000</v>
      </c>
      <c r="H245" s="38">
        <f>E245*1200</f>
        <v>45600</v>
      </c>
    </row>
    <row r="246" spans="1:8" hidden="1" x14ac:dyDescent="0.25">
      <c r="A246" s="38"/>
      <c r="B246" s="50"/>
      <c r="C246" s="38" t="s">
        <v>478</v>
      </c>
      <c r="D246" s="38" t="s">
        <v>11</v>
      </c>
      <c r="E246" s="38">
        <v>50</v>
      </c>
      <c r="F246" s="38">
        <f>E246*1700</f>
        <v>85000</v>
      </c>
      <c r="G246" s="38">
        <f t="shared" si="17"/>
        <v>25000</v>
      </c>
      <c r="H246" s="38">
        <f>E246*1200</f>
        <v>60000</v>
      </c>
    </row>
    <row r="247" spans="1:8" hidden="1" x14ac:dyDescent="0.25">
      <c r="A247" s="38"/>
      <c r="B247" s="50"/>
      <c r="C247" s="38" t="s">
        <v>108</v>
      </c>
      <c r="D247" s="38" t="s">
        <v>11</v>
      </c>
      <c r="E247" s="38">
        <v>20</v>
      </c>
      <c r="F247" s="38">
        <f>E247*1500</f>
        <v>30000</v>
      </c>
      <c r="G247" s="38">
        <f t="shared" si="17"/>
        <v>10000</v>
      </c>
      <c r="H247" s="38">
        <f>E247*1000</f>
        <v>20000</v>
      </c>
    </row>
    <row r="248" spans="1:8" hidden="1" x14ac:dyDescent="0.25">
      <c r="A248" s="38"/>
      <c r="B248" s="50"/>
      <c r="C248" s="38" t="s">
        <v>509</v>
      </c>
      <c r="D248" s="38" t="s">
        <v>11</v>
      </c>
      <c r="E248" s="38">
        <v>9</v>
      </c>
      <c r="F248" s="38">
        <f>E248*1700</f>
        <v>15300</v>
      </c>
      <c r="G248" s="38">
        <f t="shared" si="17"/>
        <v>4500</v>
      </c>
      <c r="H248" s="38">
        <f>E248*1200</f>
        <v>10800</v>
      </c>
    </row>
    <row r="249" spans="1:8" hidden="1" x14ac:dyDescent="0.25">
      <c r="A249" s="38"/>
      <c r="B249" s="50"/>
      <c r="C249" s="38" t="s">
        <v>510</v>
      </c>
      <c r="D249" s="38" t="s">
        <v>11</v>
      </c>
      <c r="E249" s="38">
        <v>17</v>
      </c>
      <c r="F249" s="38">
        <f>E249*1700</f>
        <v>28900</v>
      </c>
      <c r="G249" s="38">
        <f t="shared" si="17"/>
        <v>8500</v>
      </c>
      <c r="H249" s="38">
        <f>E249*1200</f>
        <v>20400</v>
      </c>
    </row>
    <row r="250" spans="1:8" hidden="1" x14ac:dyDescent="0.25">
      <c r="A250" s="38"/>
      <c r="B250" s="50"/>
      <c r="C250" s="38" t="s">
        <v>16</v>
      </c>
      <c r="D250" s="38" t="s">
        <v>11</v>
      </c>
      <c r="E250" s="38">
        <v>80</v>
      </c>
      <c r="F250" s="38">
        <f>E250*1500</f>
        <v>120000</v>
      </c>
      <c r="G250" s="38">
        <f t="shared" si="17"/>
        <v>40000</v>
      </c>
      <c r="H250" s="38">
        <v>80000</v>
      </c>
    </row>
    <row r="251" spans="1:8" hidden="1" x14ac:dyDescent="0.25">
      <c r="A251" s="38"/>
      <c r="B251" s="50"/>
      <c r="C251" s="38"/>
      <c r="D251" s="38" t="s">
        <v>12</v>
      </c>
      <c r="E251" s="38">
        <v>7</v>
      </c>
      <c r="F251" s="38">
        <f>E251*3000</f>
        <v>21000</v>
      </c>
      <c r="G251" s="38">
        <f>E251*2000</f>
        <v>14000</v>
      </c>
      <c r="H251" s="38">
        <v>7000</v>
      </c>
    </row>
    <row r="252" spans="1:8" hidden="1" x14ac:dyDescent="0.25">
      <c r="A252" s="38"/>
      <c r="B252" s="50"/>
      <c r="C252" s="38"/>
      <c r="D252" s="38" t="s">
        <v>13</v>
      </c>
      <c r="E252" s="38">
        <v>2</v>
      </c>
      <c r="F252" s="38">
        <f>E252*6500</f>
        <v>13000</v>
      </c>
      <c r="G252" s="38">
        <f>E252*4500</f>
        <v>9000</v>
      </c>
      <c r="H252" s="38">
        <f>E252*2000</f>
        <v>4000</v>
      </c>
    </row>
    <row r="253" spans="1:8" hidden="1" x14ac:dyDescent="0.25">
      <c r="A253" s="38"/>
      <c r="B253" s="50"/>
      <c r="C253" s="38"/>
      <c r="D253" s="38" t="s">
        <v>14</v>
      </c>
      <c r="E253" s="38">
        <v>2</v>
      </c>
      <c r="F253" s="38">
        <f>E253*10000</f>
        <v>20000</v>
      </c>
      <c r="G253" s="38">
        <f>E253*5500</f>
        <v>11000</v>
      </c>
      <c r="H253" s="38">
        <f>E253*4500</f>
        <v>9000</v>
      </c>
    </row>
    <row r="254" spans="1:8" hidden="1" x14ac:dyDescent="0.25">
      <c r="A254" s="38"/>
      <c r="B254" s="50"/>
      <c r="C254" s="38" t="s">
        <v>217</v>
      </c>
      <c r="D254" s="38" t="s">
        <v>11</v>
      </c>
      <c r="E254" s="38">
        <v>19</v>
      </c>
      <c r="F254" s="38">
        <f>E254*1500</f>
        <v>28500</v>
      </c>
      <c r="G254" s="38">
        <f>E254*500</f>
        <v>9500</v>
      </c>
      <c r="H254" s="38">
        <v>19000</v>
      </c>
    </row>
    <row r="255" spans="1:8" hidden="1" x14ac:dyDescent="0.25">
      <c r="A255" s="38"/>
      <c r="B255" s="50"/>
      <c r="C255" s="38"/>
      <c r="D255" s="38" t="s">
        <v>13</v>
      </c>
      <c r="E255" s="38">
        <v>16</v>
      </c>
      <c r="F255" s="38">
        <f>E255*6500</f>
        <v>104000</v>
      </c>
      <c r="G255" s="38">
        <f>E255*500</f>
        <v>8000</v>
      </c>
      <c r="H255" s="38">
        <f>E255*2000</f>
        <v>32000</v>
      </c>
    </row>
    <row r="256" spans="1:8" hidden="1" x14ac:dyDescent="0.25">
      <c r="A256" s="38"/>
      <c r="B256" s="50"/>
      <c r="C256" s="38"/>
      <c r="D256" s="38" t="s">
        <v>14</v>
      </c>
      <c r="E256" s="38">
        <v>8</v>
      </c>
      <c r="F256" s="38">
        <f>E256*10000</f>
        <v>80000</v>
      </c>
      <c r="G256" s="38">
        <f>E256*5500</f>
        <v>44000</v>
      </c>
      <c r="H256" s="38">
        <f>E256*4500</f>
        <v>36000</v>
      </c>
    </row>
    <row r="257" spans="1:8" hidden="1" x14ac:dyDescent="0.25">
      <c r="A257" s="38"/>
      <c r="B257" s="50"/>
      <c r="C257" s="38"/>
      <c r="D257" s="38" t="s">
        <v>14</v>
      </c>
      <c r="E257" s="38">
        <v>1</v>
      </c>
      <c r="F257" s="38">
        <v>8000</v>
      </c>
      <c r="G257" s="38">
        <v>5500</v>
      </c>
      <c r="H257" s="38">
        <v>2500</v>
      </c>
    </row>
    <row r="258" spans="1:8" hidden="1" x14ac:dyDescent="0.25">
      <c r="A258" s="38"/>
      <c r="B258" s="50"/>
      <c r="C258" s="38"/>
      <c r="D258" s="38" t="s">
        <v>520</v>
      </c>
      <c r="E258" s="38">
        <v>1</v>
      </c>
      <c r="F258" s="38">
        <v>2000</v>
      </c>
      <c r="G258" s="38">
        <v>1000</v>
      </c>
      <c r="H258" s="38">
        <v>1000</v>
      </c>
    </row>
    <row r="259" spans="1:8" hidden="1" x14ac:dyDescent="0.25">
      <c r="A259" s="38"/>
      <c r="B259" s="50"/>
      <c r="C259" s="38"/>
      <c r="D259" s="38" t="s">
        <v>21</v>
      </c>
      <c r="E259" s="38">
        <v>1</v>
      </c>
      <c r="F259" s="38">
        <v>15000</v>
      </c>
      <c r="G259" s="38">
        <v>10000</v>
      </c>
      <c r="H259" s="38">
        <v>5000</v>
      </c>
    </row>
    <row r="260" spans="1:8" hidden="1" x14ac:dyDescent="0.25">
      <c r="A260" s="131" t="s">
        <v>17</v>
      </c>
      <c r="B260" s="132"/>
      <c r="C260" s="132"/>
      <c r="D260" s="133"/>
      <c r="E260" s="17">
        <f>SUM(E243:E259)</f>
        <v>291</v>
      </c>
      <c r="F260" s="17">
        <f>SUM(F243:F259)</f>
        <v>667100</v>
      </c>
      <c r="G260" s="17">
        <f>SUM(G243:G259)</f>
        <v>229000</v>
      </c>
      <c r="H260" s="17">
        <f>SUM(H243:H259)</f>
        <v>374100</v>
      </c>
    </row>
    <row r="261" spans="1:8" hidden="1" x14ac:dyDescent="0.25">
      <c r="A261" s="38" t="s">
        <v>22</v>
      </c>
      <c r="B261" s="50" t="s">
        <v>524</v>
      </c>
      <c r="C261" s="38" t="s">
        <v>288</v>
      </c>
      <c r="D261" s="38" t="s">
        <v>11</v>
      </c>
      <c r="E261" s="38">
        <v>13</v>
      </c>
      <c r="F261" s="38">
        <f>E261*1800</f>
        <v>23400</v>
      </c>
      <c r="G261" s="38">
        <f>E261*500</f>
        <v>6500</v>
      </c>
      <c r="H261" s="38">
        <f>E261*1300</f>
        <v>16900</v>
      </c>
    </row>
    <row r="262" spans="1:8" hidden="1" x14ac:dyDescent="0.25">
      <c r="A262" s="38"/>
      <c r="B262" s="50"/>
      <c r="C262" s="38" t="s">
        <v>106</v>
      </c>
      <c r="D262" s="38" t="s">
        <v>11</v>
      </c>
      <c r="E262" s="38">
        <v>15</v>
      </c>
      <c r="F262" s="38">
        <f>E262*1500</f>
        <v>22500</v>
      </c>
      <c r="G262" s="38">
        <f t="shared" ref="G262:G268" si="18">E262*500</f>
        <v>7500</v>
      </c>
      <c r="H262" s="38">
        <v>15000</v>
      </c>
    </row>
    <row r="263" spans="1:8" hidden="1" x14ac:dyDescent="0.25">
      <c r="A263" s="38"/>
      <c r="B263" s="50"/>
      <c r="C263" s="38" t="s">
        <v>497</v>
      </c>
      <c r="D263" s="38" t="s">
        <v>11</v>
      </c>
      <c r="E263" s="38">
        <v>60</v>
      </c>
      <c r="F263" s="38">
        <f>E263*1700</f>
        <v>102000</v>
      </c>
      <c r="G263" s="38">
        <f t="shared" si="18"/>
        <v>30000</v>
      </c>
      <c r="H263" s="38">
        <f>E263*1200</f>
        <v>72000</v>
      </c>
    </row>
    <row r="264" spans="1:8" hidden="1" x14ac:dyDescent="0.25">
      <c r="A264" s="38"/>
      <c r="B264" s="50"/>
      <c r="C264" s="38" t="s">
        <v>478</v>
      </c>
      <c r="D264" s="38" t="s">
        <v>11</v>
      </c>
      <c r="E264" s="38">
        <v>48</v>
      </c>
      <c r="F264" s="38">
        <f>E264*1700</f>
        <v>81600</v>
      </c>
      <c r="G264" s="38">
        <f t="shared" si="18"/>
        <v>24000</v>
      </c>
      <c r="H264" s="38">
        <f>E264*1200</f>
        <v>57600</v>
      </c>
    </row>
    <row r="265" spans="1:8" hidden="1" x14ac:dyDescent="0.25">
      <c r="A265" s="38"/>
      <c r="B265" s="50"/>
      <c r="C265" s="38" t="s">
        <v>108</v>
      </c>
      <c r="D265" s="38" t="s">
        <v>11</v>
      </c>
      <c r="E265" s="38">
        <v>14</v>
      </c>
      <c r="F265" s="38">
        <f>E265*1500</f>
        <v>21000</v>
      </c>
      <c r="G265" s="38">
        <f t="shared" si="18"/>
        <v>7000</v>
      </c>
      <c r="H265" s="38">
        <v>14000</v>
      </c>
    </row>
    <row r="266" spans="1:8" hidden="1" x14ac:dyDescent="0.25">
      <c r="A266" s="38"/>
      <c r="B266" s="50"/>
      <c r="C266" s="38" t="s">
        <v>509</v>
      </c>
      <c r="D266" s="38" t="s">
        <v>11</v>
      </c>
      <c r="E266" s="38">
        <v>13</v>
      </c>
      <c r="F266" s="38">
        <f>E266*1700</f>
        <v>22100</v>
      </c>
      <c r="G266" s="38">
        <f t="shared" si="18"/>
        <v>6500</v>
      </c>
      <c r="H266" s="38">
        <f>E266*1200</f>
        <v>15600</v>
      </c>
    </row>
    <row r="267" spans="1:8" hidden="1" x14ac:dyDescent="0.25">
      <c r="A267" s="38"/>
      <c r="B267" s="50"/>
      <c r="C267" s="38" t="s">
        <v>510</v>
      </c>
      <c r="D267" s="38" t="s">
        <v>11</v>
      </c>
      <c r="E267" s="38">
        <v>14</v>
      </c>
      <c r="F267" s="38">
        <f>E267*1700</f>
        <v>23800</v>
      </c>
      <c r="G267" s="38">
        <f t="shared" si="18"/>
        <v>7000</v>
      </c>
      <c r="H267" s="38">
        <f>E267*1200</f>
        <v>16800</v>
      </c>
    </row>
    <row r="268" spans="1:8" hidden="1" x14ac:dyDescent="0.25">
      <c r="A268" s="38"/>
      <c r="B268" s="50"/>
      <c r="C268" s="38" t="s">
        <v>217</v>
      </c>
      <c r="D268" s="38" t="s">
        <v>11</v>
      </c>
      <c r="E268" s="38">
        <v>30</v>
      </c>
      <c r="F268" s="38">
        <f>E268*1500</f>
        <v>45000</v>
      </c>
      <c r="G268" s="38">
        <f t="shared" si="18"/>
        <v>15000</v>
      </c>
      <c r="H268" s="38">
        <f>E268*1000</f>
        <v>30000</v>
      </c>
    </row>
    <row r="269" spans="1:8" hidden="1" x14ac:dyDescent="0.25">
      <c r="A269" s="38"/>
      <c r="B269" s="50"/>
      <c r="C269" s="38"/>
      <c r="D269" s="38" t="s">
        <v>13</v>
      </c>
      <c r="E269" s="38">
        <v>8</v>
      </c>
      <c r="F269" s="38">
        <f>E269*6500</f>
        <v>52000</v>
      </c>
      <c r="G269" s="38">
        <f>E269*4500</f>
        <v>36000</v>
      </c>
      <c r="H269" s="38">
        <f>E269*2000</f>
        <v>16000</v>
      </c>
    </row>
    <row r="270" spans="1:8" hidden="1" x14ac:dyDescent="0.25">
      <c r="A270" s="38"/>
      <c r="B270" s="50"/>
      <c r="C270" s="38"/>
      <c r="D270" s="38" t="s">
        <v>14</v>
      </c>
      <c r="E270" s="38">
        <v>3</v>
      </c>
      <c r="F270" s="38">
        <f>E270*8000</f>
        <v>24000</v>
      </c>
      <c r="G270" s="38">
        <f>E270*5500</f>
        <v>16500</v>
      </c>
      <c r="H270" s="38">
        <f>E270*2500</f>
        <v>7500</v>
      </c>
    </row>
    <row r="271" spans="1:8" hidden="1" x14ac:dyDescent="0.25">
      <c r="A271" s="38"/>
      <c r="B271" s="50"/>
      <c r="C271" s="38"/>
      <c r="D271" s="38" t="s">
        <v>14</v>
      </c>
      <c r="E271" s="38">
        <v>3</v>
      </c>
      <c r="F271" s="38">
        <f>E271*10000</f>
        <v>30000</v>
      </c>
      <c r="G271" s="38">
        <f>E271*5500</f>
        <v>16500</v>
      </c>
      <c r="H271" s="38">
        <f>E271*4500</f>
        <v>13500</v>
      </c>
    </row>
    <row r="272" spans="1:8" hidden="1" x14ac:dyDescent="0.25">
      <c r="A272" s="38"/>
      <c r="B272" s="50"/>
      <c r="C272" s="38" t="s">
        <v>16</v>
      </c>
      <c r="D272" s="38" t="s">
        <v>11</v>
      </c>
      <c r="E272" s="38">
        <v>61</v>
      </c>
      <c r="F272" s="38">
        <f>E272*1500</f>
        <v>91500</v>
      </c>
      <c r="G272" s="38">
        <f>E272*500</f>
        <v>30500</v>
      </c>
      <c r="H272" s="38">
        <v>61000</v>
      </c>
    </row>
    <row r="273" spans="1:8" hidden="1" x14ac:dyDescent="0.25">
      <c r="A273" s="38"/>
      <c r="B273" s="50"/>
      <c r="C273" s="38"/>
      <c r="D273" s="38" t="s">
        <v>12</v>
      </c>
      <c r="E273" s="38">
        <v>4</v>
      </c>
      <c r="F273" s="38">
        <f>E273*3000</f>
        <v>12000</v>
      </c>
      <c r="G273" s="38">
        <f>E273*2000</f>
        <v>8000</v>
      </c>
      <c r="H273" s="38">
        <v>4000</v>
      </c>
    </row>
    <row r="274" spans="1:8" hidden="1" x14ac:dyDescent="0.25">
      <c r="A274" s="38"/>
      <c r="B274" s="50"/>
      <c r="C274" s="38"/>
      <c r="D274" s="38" t="s">
        <v>243</v>
      </c>
      <c r="E274" s="38">
        <v>1</v>
      </c>
      <c r="F274" s="38">
        <v>13000</v>
      </c>
      <c r="G274" s="38">
        <v>10000</v>
      </c>
      <c r="H274" s="38">
        <v>3000</v>
      </c>
    </row>
    <row r="275" spans="1:8" hidden="1" x14ac:dyDescent="0.25">
      <c r="A275" s="131" t="s">
        <v>17</v>
      </c>
      <c r="B275" s="132"/>
      <c r="C275" s="132"/>
      <c r="D275" s="133"/>
      <c r="E275" s="17">
        <f>SUM(E261:E274)</f>
        <v>287</v>
      </c>
      <c r="F275" s="17">
        <f>SUM(F261:F274)</f>
        <v>563900</v>
      </c>
      <c r="G275" s="17">
        <f>SUM(G261:G274)</f>
        <v>221000</v>
      </c>
      <c r="H275" s="17">
        <f>SUM(H261:H274)</f>
        <v>342900</v>
      </c>
    </row>
    <row r="276" spans="1:8" hidden="1" x14ac:dyDescent="0.25">
      <c r="A276" s="38" t="s">
        <v>26</v>
      </c>
      <c r="B276" s="50" t="s">
        <v>521</v>
      </c>
      <c r="C276" s="38" t="s">
        <v>81</v>
      </c>
      <c r="D276" s="38" t="s">
        <v>11</v>
      </c>
      <c r="E276" s="38">
        <v>75</v>
      </c>
      <c r="F276" s="38">
        <f t="shared" ref="F276:F281" si="19">E276*1800</f>
        <v>135000</v>
      </c>
      <c r="G276" s="38">
        <f t="shared" ref="G276:G282" si="20">E276*500</f>
        <v>37500</v>
      </c>
      <c r="H276" s="38">
        <f t="shared" ref="H276:H281" si="21">E276*1300</f>
        <v>97500</v>
      </c>
    </row>
    <row r="277" spans="1:8" hidden="1" x14ac:dyDescent="0.25">
      <c r="A277" s="38"/>
      <c r="B277" s="50"/>
      <c r="C277" s="38" t="s">
        <v>81</v>
      </c>
      <c r="D277" s="38" t="s">
        <v>11</v>
      </c>
      <c r="E277" s="38">
        <v>74</v>
      </c>
      <c r="F277" s="38">
        <f t="shared" si="19"/>
        <v>133200</v>
      </c>
      <c r="G277" s="38">
        <f t="shared" si="20"/>
        <v>37000</v>
      </c>
      <c r="H277" s="38">
        <f t="shared" si="21"/>
        <v>96200</v>
      </c>
    </row>
    <row r="278" spans="1:8" hidden="1" x14ac:dyDescent="0.25">
      <c r="A278" s="38"/>
      <c r="B278" s="50"/>
      <c r="C278" s="38" t="s">
        <v>81</v>
      </c>
      <c r="D278" s="38" t="s">
        <v>11</v>
      </c>
      <c r="E278" s="38">
        <v>75</v>
      </c>
      <c r="F278" s="38">
        <f t="shared" si="19"/>
        <v>135000</v>
      </c>
      <c r="G278" s="38">
        <f t="shared" si="20"/>
        <v>37500</v>
      </c>
      <c r="H278" s="38">
        <f t="shared" si="21"/>
        <v>97500</v>
      </c>
    </row>
    <row r="279" spans="1:8" hidden="1" x14ac:dyDescent="0.25">
      <c r="A279" s="38"/>
      <c r="B279" s="50"/>
      <c r="C279" s="38" t="s">
        <v>81</v>
      </c>
      <c r="D279" s="38" t="s">
        <v>11</v>
      </c>
      <c r="E279" s="38">
        <v>75</v>
      </c>
      <c r="F279" s="38">
        <f t="shared" si="19"/>
        <v>135000</v>
      </c>
      <c r="G279" s="38">
        <f t="shared" si="20"/>
        <v>37500</v>
      </c>
      <c r="H279" s="38">
        <f t="shared" si="21"/>
        <v>97500</v>
      </c>
    </row>
    <row r="280" spans="1:8" hidden="1" x14ac:dyDescent="0.25">
      <c r="A280" s="38"/>
      <c r="B280" s="50"/>
      <c r="C280" s="38" t="s">
        <v>81</v>
      </c>
      <c r="D280" s="38" t="s">
        <v>11</v>
      </c>
      <c r="E280" s="38">
        <v>75</v>
      </c>
      <c r="F280" s="38">
        <f t="shared" si="19"/>
        <v>135000</v>
      </c>
      <c r="G280" s="38">
        <f t="shared" si="20"/>
        <v>37500</v>
      </c>
      <c r="H280" s="38">
        <f t="shared" si="21"/>
        <v>97500</v>
      </c>
    </row>
    <row r="281" spans="1:8" hidden="1" x14ac:dyDescent="0.25">
      <c r="A281" s="38"/>
      <c r="B281" s="50"/>
      <c r="C281" s="38" t="s">
        <v>81</v>
      </c>
      <c r="D281" s="38" t="s">
        <v>11</v>
      </c>
      <c r="E281" s="38">
        <v>75</v>
      </c>
      <c r="F281" s="38">
        <f t="shared" si="19"/>
        <v>135000</v>
      </c>
      <c r="G281" s="38">
        <f t="shared" si="20"/>
        <v>37500</v>
      </c>
      <c r="H281" s="38">
        <f t="shared" si="21"/>
        <v>97500</v>
      </c>
    </row>
    <row r="282" spans="1:8" hidden="1" x14ac:dyDescent="0.25">
      <c r="A282" s="38"/>
      <c r="B282" s="50"/>
      <c r="C282" s="38" t="s">
        <v>16</v>
      </c>
      <c r="D282" s="38" t="s">
        <v>11</v>
      </c>
      <c r="E282" s="38">
        <v>44</v>
      </c>
      <c r="F282" s="38">
        <f>E282*1500</f>
        <v>66000</v>
      </c>
      <c r="G282" s="38">
        <f t="shared" si="20"/>
        <v>22000</v>
      </c>
      <c r="H282" s="38">
        <v>44000</v>
      </c>
    </row>
    <row r="283" spans="1:8" hidden="1" x14ac:dyDescent="0.25">
      <c r="A283" s="38"/>
      <c r="B283" s="50"/>
      <c r="C283" s="38"/>
      <c r="D283" s="38" t="s">
        <v>12</v>
      </c>
      <c r="E283" s="38">
        <v>1</v>
      </c>
      <c r="F283" s="38">
        <v>3000</v>
      </c>
      <c r="G283" s="38">
        <v>2000</v>
      </c>
      <c r="H283" s="38">
        <v>1000</v>
      </c>
    </row>
    <row r="284" spans="1:8" hidden="1" x14ac:dyDescent="0.25">
      <c r="A284" s="38"/>
      <c r="B284" s="50"/>
      <c r="C284" s="38" t="s">
        <v>217</v>
      </c>
      <c r="D284" s="38" t="s">
        <v>13</v>
      </c>
      <c r="E284" s="38">
        <v>1</v>
      </c>
      <c r="F284" s="38">
        <v>6500</v>
      </c>
      <c r="G284" s="38">
        <v>4500</v>
      </c>
      <c r="H284" s="38">
        <v>2000</v>
      </c>
    </row>
    <row r="285" spans="1:8" hidden="1" x14ac:dyDescent="0.25">
      <c r="A285" s="38"/>
      <c r="B285" s="50"/>
      <c r="C285" s="38"/>
      <c r="D285" s="38" t="s">
        <v>14</v>
      </c>
      <c r="E285" s="38">
        <v>1</v>
      </c>
      <c r="F285" s="38">
        <v>10000</v>
      </c>
      <c r="G285" s="38">
        <v>5500</v>
      </c>
      <c r="H285" s="38">
        <v>45000</v>
      </c>
    </row>
    <row r="286" spans="1:8" hidden="1" x14ac:dyDescent="0.25">
      <c r="A286" s="38"/>
      <c r="B286" s="50"/>
      <c r="C286" s="38" t="s">
        <v>442</v>
      </c>
      <c r="D286" s="38" t="s">
        <v>11</v>
      </c>
      <c r="E286" s="38">
        <v>23</v>
      </c>
      <c r="F286" s="38">
        <f>E286*1500</f>
        <v>34500</v>
      </c>
      <c r="G286" s="38">
        <f>E286*500</f>
        <v>11500</v>
      </c>
      <c r="H286" s="38">
        <v>23000</v>
      </c>
    </row>
    <row r="287" spans="1:8" hidden="1" x14ac:dyDescent="0.25">
      <c r="A287" s="38"/>
      <c r="B287" s="50"/>
      <c r="C287" s="38"/>
      <c r="D287" s="38" t="s">
        <v>13</v>
      </c>
      <c r="E287" s="38">
        <v>6</v>
      </c>
      <c r="F287" s="38">
        <f>E287*6500</f>
        <v>39000</v>
      </c>
      <c r="G287" s="38">
        <f>E287*4500</f>
        <v>27000</v>
      </c>
      <c r="H287" s="38">
        <f>E287*2000</f>
        <v>12000</v>
      </c>
    </row>
    <row r="288" spans="1:8" hidden="1" x14ac:dyDescent="0.25">
      <c r="A288" s="38"/>
      <c r="B288" s="50"/>
      <c r="C288" s="38"/>
      <c r="D288" s="38" t="s">
        <v>14</v>
      </c>
      <c r="E288" s="38">
        <v>3</v>
      </c>
      <c r="F288" s="38">
        <f>E288*10000</f>
        <v>30000</v>
      </c>
      <c r="G288" s="38">
        <f>E288*5500</f>
        <v>16500</v>
      </c>
      <c r="H288" s="38">
        <f>E288*4500</f>
        <v>13500</v>
      </c>
    </row>
    <row r="289" spans="1:8" hidden="1" x14ac:dyDescent="0.25">
      <c r="A289" s="38"/>
      <c r="B289" s="50"/>
      <c r="C289" s="38" t="s">
        <v>20</v>
      </c>
      <c r="D289" s="38" t="s">
        <v>11</v>
      </c>
      <c r="E289" s="38">
        <v>12</v>
      </c>
      <c r="F289" s="38">
        <f>E289*1500</f>
        <v>18000</v>
      </c>
      <c r="G289" s="38">
        <f>E289*500</f>
        <v>6000</v>
      </c>
      <c r="H289" s="38">
        <v>12000</v>
      </c>
    </row>
    <row r="290" spans="1:8" hidden="1" x14ac:dyDescent="0.25">
      <c r="A290" s="38"/>
      <c r="B290" s="50"/>
      <c r="C290" s="38"/>
      <c r="D290" s="38" t="s">
        <v>13</v>
      </c>
      <c r="E290" s="38">
        <v>7</v>
      </c>
      <c r="F290" s="38">
        <f>E290*6500</f>
        <v>45500</v>
      </c>
      <c r="G290" s="38">
        <f>E290*4500</f>
        <v>31500</v>
      </c>
      <c r="H290" s="38">
        <f>E290*2000</f>
        <v>14000</v>
      </c>
    </row>
    <row r="291" spans="1:8" hidden="1" x14ac:dyDescent="0.25">
      <c r="A291" s="38"/>
      <c r="B291" s="50"/>
      <c r="C291" s="38"/>
      <c r="D291" s="38" t="s">
        <v>14</v>
      </c>
      <c r="E291" s="38">
        <v>6</v>
      </c>
      <c r="F291" s="38">
        <f>E291*10000</f>
        <v>60000</v>
      </c>
      <c r="G291" s="38">
        <f>E291*500</f>
        <v>3000</v>
      </c>
      <c r="H291" s="38">
        <f>E291*4500</f>
        <v>27000</v>
      </c>
    </row>
    <row r="292" spans="1:8" hidden="1" x14ac:dyDescent="0.25">
      <c r="A292" s="38"/>
      <c r="B292" s="50"/>
      <c r="C292" s="38" t="s">
        <v>523</v>
      </c>
      <c r="D292" s="38" t="s">
        <v>415</v>
      </c>
      <c r="E292" s="38">
        <v>2</v>
      </c>
      <c r="F292" s="38">
        <f>E292*3500</f>
        <v>7000</v>
      </c>
      <c r="G292" s="38">
        <f>E292*1500</f>
        <v>3000</v>
      </c>
      <c r="H292" s="38">
        <v>4000</v>
      </c>
    </row>
    <row r="293" spans="1:8" hidden="1" x14ac:dyDescent="0.25">
      <c r="A293" s="38"/>
      <c r="B293" s="50"/>
      <c r="C293" s="38"/>
      <c r="D293" s="38" t="s">
        <v>404</v>
      </c>
      <c r="E293" s="38">
        <v>5</v>
      </c>
      <c r="F293" s="38">
        <f>E293*2000</f>
        <v>10000</v>
      </c>
      <c r="G293" s="38">
        <v>5000</v>
      </c>
      <c r="H293" s="38">
        <v>5000</v>
      </c>
    </row>
    <row r="294" spans="1:8" x14ac:dyDescent="0.25">
      <c r="A294" s="38"/>
      <c r="B294" s="50"/>
      <c r="C294" s="38"/>
      <c r="D294" s="38" t="s">
        <v>424</v>
      </c>
      <c r="E294" s="38">
        <v>1</v>
      </c>
      <c r="F294" s="38">
        <v>5000</v>
      </c>
      <c r="G294" s="38">
        <v>2500</v>
      </c>
      <c r="H294" s="38">
        <v>2500</v>
      </c>
    </row>
    <row r="295" spans="1:8" hidden="1" x14ac:dyDescent="0.25">
      <c r="A295" s="38"/>
      <c r="B295" s="50"/>
      <c r="C295" s="38"/>
      <c r="D295" s="38" t="s">
        <v>14</v>
      </c>
      <c r="E295" s="38">
        <v>2</v>
      </c>
      <c r="F295" s="38">
        <f>E295*10000</f>
        <v>20000</v>
      </c>
      <c r="G295" s="38">
        <f>E295*5500</f>
        <v>11000</v>
      </c>
      <c r="H295" s="38">
        <f>E295*4500</f>
        <v>9000</v>
      </c>
    </row>
    <row r="296" spans="1:8" hidden="1" x14ac:dyDescent="0.25">
      <c r="A296" s="131" t="s">
        <v>17</v>
      </c>
      <c r="B296" s="132"/>
      <c r="C296" s="132"/>
      <c r="D296" s="133"/>
      <c r="E296" s="17">
        <f>SUM(E276:E295)</f>
        <v>563</v>
      </c>
      <c r="F296" s="17">
        <f>SUM(F276:F295)</f>
        <v>1162700</v>
      </c>
      <c r="G296" s="17">
        <f>SUM(G276:G295)</f>
        <v>375500</v>
      </c>
      <c r="H296" s="17">
        <f>SUM(H276:H295)</f>
        <v>797700</v>
      </c>
    </row>
    <row r="297" spans="1:8" hidden="1" x14ac:dyDescent="0.25">
      <c r="A297" s="38" t="s">
        <v>28</v>
      </c>
      <c r="B297" s="50" t="s">
        <v>522</v>
      </c>
      <c r="C297" s="38" t="s">
        <v>217</v>
      </c>
      <c r="D297" s="38" t="s">
        <v>11</v>
      </c>
      <c r="E297" s="38">
        <v>10</v>
      </c>
      <c r="F297" s="38">
        <f>E297*1500</f>
        <v>15000</v>
      </c>
      <c r="G297" s="38">
        <f>E297*500</f>
        <v>5000</v>
      </c>
      <c r="H297" s="38">
        <v>10000</v>
      </c>
    </row>
    <row r="298" spans="1:8" hidden="1" x14ac:dyDescent="0.25">
      <c r="A298" s="38"/>
      <c r="B298" s="50"/>
      <c r="C298" s="38"/>
      <c r="D298" s="38" t="s">
        <v>13</v>
      </c>
      <c r="E298" s="38">
        <v>5</v>
      </c>
      <c r="F298" s="38">
        <f>E298*6500</f>
        <v>32500</v>
      </c>
      <c r="G298" s="38">
        <f>E298*4500</f>
        <v>22500</v>
      </c>
      <c r="H298" s="38">
        <f>E298*2000</f>
        <v>10000</v>
      </c>
    </row>
    <row r="299" spans="1:8" hidden="1" x14ac:dyDescent="0.25">
      <c r="A299" s="38"/>
      <c r="B299" s="50"/>
      <c r="C299" s="38"/>
      <c r="D299" s="38" t="s">
        <v>14</v>
      </c>
      <c r="E299" s="38">
        <v>8</v>
      </c>
      <c r="F299" s="38">
        <f>E299*8000</f>
        <v>64000</v>
      </c>
      <c r="G299" s="38">
        <f>E299*5500</f>
        <v>44000</v>
      </c>
      <c r="H299" s="38">
        <f>E299*2500</f>
        <v>20000</v>
      </c>
    </row>
    <row r="300" spans="1:8" hidden="1" x14ac:dyDescent="0.25">
      <c r="A300" s="38"/>
      <c r="B300" s="50"/>
      <c r="C300" s="38"/>
      <c r="D300" s="38" t="s">
        <v>14</v>
      </c>
      <c r="E300" s="38">
        <v>5</v>
      </c>
      <c r="F300" s="38">
        <f>E300*10000</f>
        <v>50000</v>
      </c>
      <c r="G300" s="38">
        <f>E300*5500</f>
        <v>27500</v>
      </c>
      <c r="H300" s="38">
        <f>E300*4500</f>
        <v>22500</v>
      </c>
    </row>
    <row r="301" spans="1:8" x14ac:dyDescent="0.25">
      <c r="A301" s="38"/>
      <c r="B301" s="50"/>
      <c r="C301" s="38"/>
      <c r="D301" s="38" t="s">
        <v>433</v>
      </c>
      <c r="E301" s="38">
        <v>1</v>
      </c>
      <c r="F301" s="38">
        <v>5000</v>
      </c>
      <c r="G301" s="38">
        <v>2500</v>
      </c>
      <c r="H301" s="38">
        <v>2500</v>
      </c>
    </row>
    <row r="302" spans="1:8" hidden="1" x14ac:dyDescent="0.25">
      <c r="A302" s="38"/>
      <c r="B302" s="50"/>
      <c r="C302" s="38" t="s">
        <v>20</v>
      </c>
      <c r="D302" s="38" t="s">
        <v>11</v>
      </c>
      <c r="E302" s="38">
        <v>10</v>
      </c>
      <c r="F302" s="38">
        <f>E302*1500</f>
        <v>15000</v>
      </c>
      <c r="G302" s="38">
        <f>E302*500</f>
        <v>5000</v>
      </c>
      <c r="H302" s="38">
        <v>10000</v>
      </c>
    </row>
    <row r="303" spans="1:8" hidden="1" x14ac:dyDescent="0.25">
      <c r="A303" s="38"/>
      <c r="B303" s="50"/>
      <c r="C303" s="38"/>
      <c r="D303" s="38" t="s">
        <v>13</v>
      </c>
      <c r="E303" s="38">
        <v>21</v>
      </c>
      <c r="F303" s="38">
        <f>E303*6500</f>
        <v>136500</v>
      </c>
      <c r="G303" s="38">
        <f>E303*4500</f>
        <v>94500</v>
      </c>
      <c r="H303" s="38">
        <f>E303*2000</f>
        <v>42000</v>
      </c>
    </row>
    <row r="304" spans="1:8" hidden="1" x14ac:dyDescent="0.25">
      <c r="A304" s="38"/>
      <c r="B304" s="50"/>
      <c r="C304" s="38"/>
      <c r="D304" s="38" t="s">
        <v>14</v>
      </c>
      <c r="E304" s="38">
        <v>26</v>
      </c>
      <c r="F304" s="38">
        <f>E304*10000</f>
        <v>260000</v>
      </c>
      <c r="G304" s="38">
        <f>E304*5500</f>
        <v>143000</v>
      </c>
      <c r="H304" s="38">
        <f>E304*4500</f>
        <v>117000</v>
      </c>
    </row>
    <row r="305" spans="1:8" hidden="1" x14ac:dyDescent="0.25">
      <c r="A305" s="38"/>
      <c r="B305" s="50"/>
      <c r="C305" s="38"/>
      <c r="D305" s="38" t="s">
        <v>404</v>
      </c>
      <c r="E305" s="38">
        <v>4</v>
      </c>
      <c r="F305" s="38">
        <f>E305*2000</f>
        <v>8000</v>
      </c>
      <c r="G305" s="38">
        <v>4000</v>
      </c>
      <c r="H305" s="38">
        <v>4000</v>
      </c>
    </row>
    <row r="306" spans="1:8" hidden="1" x14ac:dyDescent="0.25">
      <c r="A306" s="38"/>
      <c r="B306" s="50"/>
      <c r="C306" s="38"/>
      <c r="D306" s="38" t="s">
        <v>415</v>
      </c>
      <c r="E306" s="38">
        <v>5</v>
      </c>
      <c r="F306" s="38">
        <f>E306*3500</f>
        <v>17500</v>
      </c>
      <c r="G306" s="38">
        <f>E306*1500</f>
        <v>7500</v>
      </c>
      <c r="H306" s="38">
        <v>10000</v>
      </c>
    </row>
    <row r="307" spans="1:8" x14ac:dyDescent="0.25">
      <c r="A307" s="38"/>
      <c r="B307" s="50"/>
      <c r="C307" s="38"/>
      <c r="D307" s="38" t="s">
        <v>432</v>
      </c>
      <c r="E307" s="38">
        <v>2</v>
      </c>
      <c r="F307" s="38">
        <f>E307*5000</f>
        <v>10000</v>
      </c>
      <c r="G307" s="38">
        <v>5000</v>
      </c>
      <c r="H307" s="38">
        <v>5000</v>
      </c>
    </row>
    <row r="308" spans="1:8" hidden="1" x14ac:dyDescent="0.25">
      <c r="A308" s="38"/>
      <c r="B308" s="50"/>
      <c r="C308" s="38" t="s">
        <v>525</v>
      </c>
      <c r="D308" s="38" t="s">
        <v>11</v>
      </c>
      <c r="E308" s="38">
        <v>80</v>
      </c>
      <c r="F308" s="38">
        <f>E308*1500</f>
        <v>120000</v>
      </c>
      <c r="G308" s="38">
        <f>E308*500</f>
        <v>40000</v>
      </c>
      <c r="H308" s="38">
        <f>E308*1000</f>
        <v>80000</v>
      </c>
    </row>
    <row r="309" spans="1:8" hidden="1" x14ac:dyDescent="0.25">
      <c r="A309" s="38"/>
      <c r="B309" s="50"/>
      <c r="C309" s="38" t="s">
        <v>526</v>
      </c>
      <c r="D309" s="38" t="s">
        <v>11</v>
      </c>
      <c r="E309" s="38">
        <v>20</v>
      </c>
      <c r="F309" s="38">
        <f>E309*1500</f>
        <v>30000</v>
      </c>
      <c r="G309" s="38">
        <f>E309*500</f>
        <v>10000</v>
      </c>
      <c r="H309" s="38">
        <v>20000</v>
      </c>
    </row>
    <row r="310" spans="1:8" hidden="1" x14ac:dyDescent="0.25">
      <c r="A310" s="38"/>
      <c r="B310" s="50"/>
      <c r="C310" s="38" t="s">
        <v>24</v>
      </c>
      <c r="D310" s="38" t="s">
        <v>243</v>
      </c>
      <c r="E310" s="38">
        <v>2</v>
      </c>
      <c r="F310" s="38">
        <f>E310*15000</f>
        <v>30000</v>
      </c>
      <c r="G310" s="38">
        <f>E310*10000</f>
        <v>20000</v>
      </c>
      <c r="H310" s="38">
        <v>10000</v>
      </c>
    </row>
    <row r="311" spans="1:8" hidden="1" x14ac:dyDescent="0.25">
      <c r="A311" s="38"/>
      <c r="B311" s="50"/>
      <c r="C311" s="38" t="s">
        <v>16</v>
      </c>
      <c r="D311" s="38" t="s">
        <v>11</v>
      </c>
      <c r="E311" s="38">
        <v>83</v>
      </c>
      <c r="F311" s="38">
        <f>E311*1500</f>
        <v>124500</v>
      </c>
      <c r="G311" s="38">
        <f>E311*500</f>
        <v>41500</v>
      </c>
      <c r="H311" s="38">
        <v>83000</v>
      </c>
    </row>
    <row r="312" spans="1:8" hidden="1" x14ac:dyDescent="0.25">
      <c r="A312" s="38"/>
      <c r="B312" s="50"/>
      <c r="C312" s="38"/>
      <c r="D312" s="38" t="s">
        <v>12</v>
      </c>
      <c r="E312" s="38">
        <v>9</v>
      </c>
      <c r="F312" s="38">
        <f>E312*3000</f>
        <v>27000</v>
      </c>
      <c r="G312" s="38">
        <f>E312*2000</f>
        <v>18000</v>
      </c>
      <c r="H312" s="38">
        <v>9000</v>
      </c>
    </row>
    <row r="313" spans="1:8" hidden="1" x14ac:dyDescent="0.25">
      <c r="A313" s="38"/>
      <c r="B313" s="50"/>
      <c r="C313" s="38"/>
      <c r="D313" s="38" t="s">
        <v>13</v>
      </c>
      <c r="E313" s="38">
        <v>2</v>
      </c>
      <c r="F313" s="38">
        <f>E313*6500</f>
        <v>13000</v>
      </c>
      <c r="G313" s="38">
        <f>E313*4500</f>
        <v>9000</v>
      </c>
      <c r="H313" s="38">
        <f>E313*2000</f>
        <v>4000</v>
      </c>
    </row>
    <row r="314" spans="1:8" hidden="1" x14ac:dyDescent="0.25">
      <c r="A314" s="38"/>
      <c r="B314" s="50"/>
      <c r="C314" s="38"/>
      <c r="D314" s="38" t="s">
        <v>14</v>
      </c>
      <c r="E314" s="38">
        <v>1</v>
      </c>
      <c r="F314" s="38">
        <v>10000</v>
      </c>
      <c r="G314" s="38">
        <v>5500</v>
      </c>
      <c r="H314" s="38">
        <v>4500</v>
      </c>
    </row>
    <row r="315" spans="1:8" hidden="1" x14ac:dyDescent="0.25">
      <c r="A315" s="125" t="s">
        <v>17</v>
      </c>
      <c r="B315" s="125"/>
      <c r="C315" s="125"/>
      <c r="D315" s="125"/>
      <c r="E315" s="17">
        <f>SUM(E297:E314)</f>
        <v>294</v>
      </c>
      <c r="F315" s="17">
        <f>SUM(F297:F314)</f>
        <v>968000</v>
      </c>
      <c r="G315" s="17">
        <f>SUM(G297:G314)</f>
        <v>504500</v>
      </c>
      <c r="H315" s="17">
        <f>SUM(H297:H314)</f>
        <v>463500</v>
      </c>
    </row>
    <row r="316" spans="1:8" hidden="1" x14ac:dyDescent="0.25">
      <c r="A316" s="38" t="s">
        <v>30</v>
      </c>
      <c r="B316" s="50" t="s">
        <v>527</v>
      </c>
      <c r="C316" s="38" t="s">
        <v>497</v>
      </c>
      <c r="D316" s="38" t="s">
        <v>11</v>
      </c>
      <c r="E316" s="38">
        <v>50</v>
      </c>
      <c r="F316" s="38">
        <f>E316*1700</f>
        <v>85000</v>
      </c>
      <c r="G316" s="38">
        <f>E316*500</f>
        <v>25000</v>
      </c>
      <c r="H316" s="38">
        <v>50000</v>
      </c>
    </row>
    <row r="317" spans="1:8" hidden="1" x14ac:dyDescent="0.25">
      <c r="A317" s="38"/>
      <c r="B317" s="50"/>
      <c r="C317" s="38" t="s">
        <v>478</v>
      </c>
      <c r="D317" s="38" t="s">
        <v>11</v>
      </c>
      <c r="E317" s="38">
        <v>36</v>
      </c>
      <c r="F317" s="38">
        <f>E317*1700</f>
        <v>61200</v>
      </c>
      <c r="G317" s="38">
        <f>E317*500</f>
        <v>18000</v>
      </c>
      <c r="H317" s="38">
        <f>E317*1200</f>
        <v>43200</v>
      </c>
    </row>
    <row r="318" spans="1:8" hidden="1" x14ac:dyDescent="0.25">
      <c r="A318" s="38"/>
      <c r="B318" s="50"/>
      <c r="C318" s="38" t="s">
        <v>108</v>
      </c>
      <c r="D318" s="38" t="s">
        <v>11</v>
      </c>
      <c r="E318" s="38">
        <v>27</v>
      </c>
      <c r="F318" s="38">
        <f>E318*1500</f>
        <v>40500</v>
      </c>
      <c r="G318" s="38">
        <f>E318*500</f>
        <v>13500</v>
      </c>
      <c r="H318" s="38">
        <f>E318*1200</f>
        <v>32400</v>
      </c>
    </row>
    <row r="319" spans="1:8" hidden="1" x14ac:dyDescent="0.25">
      <c r="A319" s="38"/>
      <c r="B319" s="50"/>
      <c r="C319" s="38" t="s">
        <v>16</v>
      </c>
      <c r="D319" s="38" t="s">
        <v>11</v>
      </c>
      <c r="E319" s="38">
        <v>12</v>
      </c>
      <c r="F319" s="38">
        <f>E319*1500</f>
        <v>18000</v>
      </c>
      <c r="G319" s="38">
        <f>E319*500</f>
        <v>6000</v>
      </c>
      <c r="H319" s="38">
        <f>E319*1000</f>
        <v>12000</v>
      </c>
    </row>
    <row r="320" spans="1:8" hidden="1" x14ac:dyDescent="0.25">
      <c r="A320" s="38"/>
      <c r="B320" s="50"/>
      <c r="C320" s="38"/>
      <c r="D320" s="38" t="s">
        <v>12</v>
      </c>
      <c r="E320" s="38">
        <v>5</v>
      </c>
      <c r="F320" s="38">
        <f>E320*3000</f>
        <v>15000</v>
      </c>
      <c r="G320" s="38">
        <f>E320*2000</f>
        <v>10000</v>
      </c>
      <c r="H320" s="38">
        <v>5000</v>
      </c>
    </row>
    <row r="321" spans="1:8" hidden="1" x14ac:dyDescent="0.25">
      <c r="A321" s="38"/>
      <c r="B321" s="50"/>
      <c r="C321" s="38"/>
      <c r="D321" s="38" t="s">
        <v>13</v>
      </c>
      <c r="E321" s="38">
        <v>1</v>
      </c>
      <c r="F321" s="38">
        <v>6500</v>
      </c>
      <c r="G321" s="38">
        <v>4500</v>
      </c>
      <c r="H321" s="38">
        <v>2000</v>
      </c>
    </row>
    <row r="322" spans="1:8" hidden="1" x14ac:dyDescent="0.25">
      <c r="A322" s="38"/>
      <c r="B322" s="50"/>
      <c r="C322" s="38" t="s">
        <v>217</v>
      </c>
      <c r="D322" s="38" t="s">
        <v>13</v>
      </c>
      <c r="E322" s="38">
        <v>10</v>
      </c>
      <c r="F322" s="38">
        <f>E322*6500</f>
        <v>65000</v>
      </c>
      <c r="G322" s="38">
        <f>E322*4500</f>
        <v>45000</v>
      </c>
      <c r="H322" s="38">
        <f>E322*2000</f>
        <v>20000</v>
      </c>
    </row>
    <row r="323" spans="1:8" hidden="1" x14ac:dyDescent="0.25">
      <c r="A323" s="38"/>
      <c r="B323" s="50"/>
      <c r="C323" s="38"/>
      <c r="D323" s="38" t="s">
        <v>14</v>
      </c>
      <c r="E323" s="38">
        <v>2</v>
      </c>
      <c r="F323" s="38">
        <f>E323*10000</f>
        <v>20000</v>
      </c>
      <c r="G323" s="38">
        <f>E323*5500</f>
        <v>11000</v>
      </c>
      <c r="H323" s="38">
        <f>E323*4500</f>
        <v>9000</v>
      </c>
    </row>
    <row r="324" spans="1:8" hidden="1" x14ac:dyDescent="0.25">
      <c r="A324" s="38"/>
      <c r="B324" s="50"/>
      <c r="C324" s="38"/>
      <c r="D324" s="38" t="s">
        <v>425</v>
      </c>
      <c r="E324" s="38">
        <v>3</v>
      </c>
      <c r="F324" s="38">
        <f>E324*2000</f>
        <v>6000</v>
      </c>
      <c r="G324" s="38">
        <f>E324*1000</f>
        <v>3000</v>
      </c>
      <c r="H324" s="38">
        <v>3000</v>
      </c>
    </row>
    <row r="325" spans="1:8" hidden="1" x14ac:dyDescent="0.25">
      <c r="A325" s="38"/>
      <c r="B325" s="50"/>
      <c r="C325" s="38"/>
      <c r="D325" s="38" t="s">
        <v>441</v>
      </c>
      <c r="E325" s="38">
        <v>1</v>
      </c>
      <c r="F325" s="38">
        <v>2000</v>
      </c>
      <c r="G325" s="38">
        <v>1000</v>
      </c>
      <c r="H325" s="38">
        <v>1000</v>
      </c>
    </row>
    <row r="326" spans="1:8" hidden="1" x14ac:dyDescent="0.25">
      <c r="A326" s="38"/>
      <c r="B326" s="50"/>
      <c r="C326" s="38" t="s">
        <v>24</v>
      </c>
      <c r="D326" s="38" t="s">
        <v>243</v>
      </c>
      <c r="E326" s="38">
        <v>5</v>
      </c>
      <c r="F326" s="38">
        <f>E326*15000</f>
        <v>75000</v>
      </c>
      <c r="G326" s="38">
        <f>E326*10000</f>
        <v>50000</v>
      </c>
      <c r="H326" s="38">
        <f>E326*5000</f>
        <v>25000</v>
      </c>
    </row>
    <row r="327" spans="1:8" hidden="1" x14ac:dyDescent="0.25">
      <c r="A327" s="131" t="s">
        <v>17</v>
      </c>
      <c r="B327" s="132"/>
      <c r="C327" s="132"/>
      <c r="D327" s="133"/>
      <c r="E327" s="17">
        <f>SUM(E316:E326)</f>
        <v>152</v>
      </c>
      <c r="F327" s="17">
        <f>SUM(F316:F326)</f>
        <v>394200</v>
      </c>
      <c r="G327" s="17">
        <f>SUM(G316:G326)</f>
        <v>187000</v>
      </c>
      <c r="H327" s="17">
        <f>SUM(H316:H326)</f>
        <v>202600</v>
      </c>
    </row>
    <row r="328" spans="1:8" hidden="1" x14ac:dyDescent="0.25">
      <c r="A328" s="38" t="s">
        <v>32</v>
      </c>
      <c r="B328" s="50" t="s">
        <v>528</v>
      </c>
      <c r="C328" s="38" t="s">
        <v>108</v>
      </c>
      <c r="D328" s="38" t="s">
        <v>11</v>
      </c>
      <c r="E328" s="38">
        <v>38</v>
      </c>
      <c r="F328" s="38">
        <f>E328*1500</f>
        <v>57000</v>
      </c>
      <c r="G328" s="38">
        <f>E328*500</f>
        <v>19000</v>
      </c>
      <c r="H328" s="38">
        <f>E328*1000</f>
        <v>38000</v>
      </c>
    </row>
    <row r="329" spans="1:8" hidden="1" x14ac:dyDescent="0.25">
      <c r="A329" s="38"/>
      <c r="B329" s="50"/>
      <c r="C329" s="38" t="s">
        <v>509</v>
      </c>
      <c r="D329" s="38" t="s">
        <v>11</v>
      </c>
      <c r="E329" s="38">
        <v>13</v>
      </c>
      <c r="F329" s="38">
        <f>E329*1700</f>
        <v>22100</v>
      </c>
      <c r="G329" s="38">
        <f>E329*500</f>
        <v>6500</v>
      </c>
      <c r="H329" s="38">
        <f>E329*1200</f>
        <v>15600</v>
      </c>
    </row>
    <row r="330" spans="1:8" hidden="1" x14ac:dyDescent="0.25">
      <c r="A330" s="38"/>
      <c r="B330" s="50"/>
      <c r="C330" s="38" t="s">
        <v>510</v>
      </c>
      <c r="D330" s="38" t="s">
        <v>11</v>
      </c>
      <c r="E330" s="38">
        <v>21</v>
      </c>
      <c r="F330" s="38">
        <f>E330*1700</f>
        <v>35700</v>
      </c>
      <c r="G330" s="38">
        <f>E330*500</f>
        <v>10500</v>
      </c>
      <c r="H330" s="38">
        <f>E330*1200</f>
        <v>25200</v>
      </c>
    </row>
    <row r="331" spans="1:8" hidden="1" x14ac:dyDescent="0.25">
      <c r="A331" s="38"/>
      <c r="B331" s="50"/>
      <c r="C331" s="38" t="s">
        <v>497</v>
      </c>
      <c r="D331" s="38" t="s">
        <v>11</v>
      </c>
      <c r="E331" s="38">
        <v>50</v>
      </c>
      <c r="F331" s="38">
        <f>E331*1700</f>
        <v>85000</v>
      </c>
      <c r="G331" s="38">
        <f>E331*500</f>
        <v>25000</v>
      </c>
      <c r="H331" s="38">
        <f>E331*1200</f>
        <v>60000</v>
      </c>
    </row>
    <row r="332" spans="1:8" hidden="1" x14ac:dyDescent="0.25">
      <c r="A332" s="38"/>
      <c r="B332" s="50"/>
      <c r="C332" s="38" t="s">
        <v>217</v>
      </c>
      <c r="D332" s="38" t="s">
        <v>11</v>
      </c>
      <c r="E332" s="38">
        <v>23</v>
      </c>
      <c r="F332" s="38">
        <f>E332*1500</f>
        <v>34500</v>
      </c>
      <c r="G332" s="38">
        <f>E332*500</f>
        <v>11500</v>
      </c>
      <c r="H332" s="38">
        <f>E332*1000</f>
        <v>23000</v>
      </c>
    </row>
    <row r="333" spans="1:8" hidden="1" x14ac:dyDescent="0.25">
      <c r="A333" s="38"/>
      <c r="B333" s="50"/>
      <c r="C333" s="38" t="s">
        <v>217</v>
      </c>
      <c r="D333" s="38" t="s">
        <v>13</v>
      </c>
      <c r="E333" s="38">
        <v>4</v>
      </c>
      <c r="F333" s="38">
        <f>E333*6500</f>
        <v>26000</v>
      </c>
      <c r="G333" s="38">
        <f>E333*4500</f>
        <v>18000</v>
      </c>
      <c r="H333" s="38">
        <f>E333*2000</f>
        <v>8000</v>
      </c>
    </row>
    <row r="334" spans="1:8" hidden="1" x14ac:dyDescent="0.25">
      <c r="A334" s="38"/>
      <c r="B334" s="50"/>
      <c r="C334" s="38" t="s">
        <v>217</v>
      </c>
      <c r="D334" s="38" t="s">
        <v>14</v>
      </c>
      <c r="E334" s="38">
        <v>3</v>
      </c>
      <c r="F334" s="38">
        <f>E334*10000</f>
        <v>30000</v>
      </c>
      <c r="G334" s="38">
        <f>E334*5500</f>
        <v>16500</v>
      </c>
      <c r="H334" s="38">
        <f>E334*4500</f>
        <v>13500</v>
      </c>
    </row>
    <row r="335" spans="1:8" hidden="1" x14ac:dyDescent="0.25">
      <c r="A335" s="38"/>
      <c r="B335" s="50"/>
      <c r="C335" s="38" t="s">
        <v>217</v>
      </c>
      <c r="D335" s="38" t="s">
        <v>404</v>
      </c>
      <c r="E335" s="38">
        <v>5</v>
      </c>
      <c r="F335" s="38">
        <f>E335*2000</f>
        <v>10000</v>
      </c>
      <c r="G335" s="38">
        <v>5000</v>
      </c>
      <c r="H335" s="38">
        <v>5000</v>
      </c>
    </row>
    <row r="336" spans="1:8" hidden="1" x14ac:dyDescent="0.25">
      <c r="A336" s="38"/>
      <c r="B336" s="50"/>
      <c r="C336" s="38" t="s">
        <v>217</v>
      </c>
      <c r="D336" s="38" t="s">
        <v>441</v>
      </c>
      <c r="E336" s="38">
        <v>1</v>
      </c>
      <c r="F336" s="38">
        <v>2000</v>
      </c>
      <c r="G336" s="38">
        <v>1000</v>
      </c>
      <c r="H336" s="38">
        <v>1000</v>
      </c>
    </row>
    <row r="337" spans="1:8" x14ac:dyDescent="0.25">
      <c r="A337" s="38"/>
      <c r="B337" s="50"/>
      <c r="C337" s="38" t="s">
        <v>217</v>
      </c>
      <c r="D337" s="38" t="s">
        <v>432</v>
      </c>
      <c r="E337" s="38">
        <v>1</v>
      </c>
      <c r="F337" s="38">
        <v>5000</v>
      </c>
      <c r="G337" s="38">
        <v>2500</v>
      </c>
      <c r="H337" s="38">
        <v>2500</v>
      </c>
    </row>
    <row r="338" spans="1:8" hidden="1" x14ac:dyDescent="0.25">
      <c r="A338" s="38"/>
      <c r="B338" s="50"/>
      <c r="C338" s="38" t="s">
        <v>217</v>
      </c>
      <c r="D338" s="38" t="s">
        <v>11</v>
      </c>
      <c r="E338" s="38">
        <v>7</v>
      </c>
      <c r="F338" s="38">
        <f>E338*1500</f>
        <v>10500</v>
      </c>
      <c r="G338" s="38">
        <f>E338*500</f>
        <v>3500</v>
      </c>
      <c r="H338" s="38">
        <v>7000</v>
      </c>
    </row>
    <row r="339" spans="1:8" hidden="1" x14ac:dyDescent="0.25">
      <c r="A339" s="38"/>
      <c r="B339" s="50"/>
      <c r="C339" s="38"/>
      <c r="D339" s="38" t="s">
        <v>13</v>
      </c>
      <c r="E339" s="38">
        <v>21</v>
      </c>
      <c r="F339" s="38">
        <f>E339*6500</f>
        <v>136500</v>
      </c>
      <c r="G339" s="38">
        <f>E339*4500</f>
        <v>94500</v>
      </c>
      <c r="H339" s="38">
        <f>E339*2000</f>
        <v>42000</v>
      </c>
    </row>
    <row r="340" spans="1:8" hidden="1" x14ac:dyDescent="0.25">
      <c r="A340" s="38"/>
      <c r="B340" s="50"/>
      <c r="C340" s="38"/>
      <c r="D340" s="38" t="s">
        <v>14</v>
      </c>
      <c r="E340" s="38">
        <v>18</v>
      </c>
      <c r="F340" s="38">
        <f>E340*10000</f>
        <v>180000</v>
      </c>
      <c r="G340" s="38">
        <f>E340*5500</f>
        <v>99000</v>
      </c>
      <c r="H340" s="38">
        <f>E340*4500</f>
        <v>81000</v>
      </c>
    </row>
    <row r="341" spans="1:8" hidden="1" x14ac:dyDescent="0.25">
      <c r="A341" s="38"/>
      <c r="B341" s="50"/>
      <c r="C341" s="38"/>
      <c r="D341" s="38" t="s">
        <v>404</v>
      </c>
      <c r="E341" s="38">
        <v>15</v>
      </c>
      <c r="F341" s="38">
        <f>E341*2000</f>
        <v>30000</v>
      </c>
      <c r="G341" s="38">
        <f>E341*1000</f>
        <v>15000</v>
      </c>
      <c r="H341" s="38">
        <v>15000</v>
      </c>
    </row>
    <row r="342" spans="1:8" hidden="1" x14ac:dyDescent="0.25">
      <c r="A342" s="38"/>
      <c r="B342" s="50"/>
      <c r="C342" s="38" t="s">
        <v>16</v>
      </c>
      <c r="D342" s="38" t="s">
        <v>11</v>
      </c>
      <c r="E342" s="38">
        <v>32</v>
      </c>
      <c r="F342" s="38">
        <f>E342*1500</f>
        <v>48000</v>
      </c>
      <c r="G342" s="38">
        <f>E342*500</f>
        <v>16000</v>
      </c>
      <c r="H342" s="38">
        <v>32000</v>
      </c>
    </row>
    <row r="343" spans="1:8" hidden="1" x14ac:dyDescent="0.25">
      <c r="A343" s="38"/>
      <c r="B343" s="50"/>
      <c r="C343" s="38" t="s">
        <v>24</v>
      </c>
      <c r="D343" s="38" t="s">
        <v>243</v>
      </c>
      <c r="E343" s="38">
        <v>1</v>
      </c>
      <c r="F343" s="38">
        <v>15000</v>
      </c>
      <c r="G343" s="38">
        <v>10000</v>
      </c>
      <c r="H343" s="38">
        <v>5000</v>
      </c>
    </row>
    <row r="344" spans="1:8" hidden="1" x14ac:dyDescent="0.25">
      <c r="A344" s="131" t="s">
        <v>17</v>
      </c>
      <c r="B344" s="132"/>
      <c r="C344" s="132"/>
      <c r="D344" s="133"/>
      <c r="E344" s="17">
        <f>SUM(E328:E343)</f>
        <v>253</v>
      </c>
      <c r="F344" s="17">
        <f>SUM(F328:F343)</f>
        <v>727300</v>
      </c>
      <c r="G344" s="17">
        <f>SUM(G328:G343)</f>
        <v>353500</v>
      </c>
      <c r="H344" s="17">
        <f>SUM(H328:H343)</f>
        <v>373800</v>
      </c>
    </row>
    <row r="345" spans="1:8" hidden="1" x14ac:dyDescent="0.25">
      <c r="A345" s="38" t="s">
        <v>8</v>
      </c>
      <c r="B345" s="50" t="s">
        <v>529</v>
      </c>
      <c r="C345" s="38" t="s">
        <v>217</v>
      </c>
      <c r="D345" s="38" t="s">
        <v>13</v>
      </c>
      <c r="E345" s="38">
        <v>3</v>
      </c>
      <c r="F345" s="38">
        <f>E345*6500</f>
        <v>19500</v>
      </c>
      <c r="G345" s="38">
        <f>E345*4500</f>
        <v>13500</v>
      </c>
      <c r="H345" s="38">
        <f>E345*2000</f>
        <v>6000</v>
      </c>
    </row>
    <row r="346" spans="1:8" hidden="1" x14ac:dyDescent="0.25">
      <c r="A346" s="38"/>
      <c r="B346" s="50"/>
      <c r="C346" s="38"/>
      <c r="D346" s="38" t="s">
        <v>14</v>
      </c>
      <c r="E346" s="38">
        <v>2</v>
      </c>
      <c r="F346" s="38">
        <f>E346*8000</f>
        <v>16000</v>
      </c>
      <c r="G346" s="38">
        <f>E346*5500</f>
        <v>11000</v>
      </c>
      <c r="H346" s="38">
        <f>E346*2500</f>
        <v>5000</v>
      </c>
    </row>
    <row r="347" spans="1:8" hidden="1" x14ac:dyDescent="0.25">
      <c r="A347" s="38"/>
      <c r="B347" s="50"/>
      <c r="C347" s="38"/>
      <c r="D347" s="38" t="s">
        <v>14</v>
      </c>
      <c r="E347" s="38">
        <v>3</v>
      </c>
      <c r="F347" s="38">
        <f>E347*10000</f>
        <v>30000</v>
      </c>
      <c r="G347" s="38">
        <f>E347*5500</f>
        <v>16500</v>
      </c>
      <c r="H347" s="38">
        <f>E347*4500</f>
        <v>13500</v>
      </c>
    </row>
    <row r="348" spans="1:8" hidden="1" x14ac:dyDescent="0.25">
      <c r="A348" s="38"/>
      <c r="B348" s="50"/>
      <c r="C348" s="38" t="s">
        <v>16</v>
      </c>
      <c r="D348" s="38" t="s">
        <v>11</v>
      </c>
      <c r="E348" s="38">
        <v>80</v>
      </c>
      <c r="F348" s="38">
        <f>E348*1500</f>
        <v>120000</v>
      </c>
      <c r="G348" s="38">
        <f>E348*500</f>
        <v>40000</v>
      </c>
      <c r="H348" s="38">
        <v>80000</v>
      </c>
    </row>
    <row r="349" spans="1:8" hidden="1" x14ac:dyDescent="0.25">
      <c r="A349" s="38"/>
      <c r="B349" s="50"/>
      <c r="C349" s="38"/>
      <c r="D349" s="38" t="s">
        <v>12</v>
      </c>
      <c r="E349" s="38">
        <v>10</v>
      </c>
      <c r="F349" s="38">
        <f>E349*3000</f>
        <v>30000</v>
      </c>
      <c r="G349" s="38">
        <f>E349*2000</f>
        <v>20000</v>
      </c>
      <c r="H349" s="38">
        <v>10000</v>
      </c>
    </row>
    <row r="350" spans="1:8" hidden="1" x14ac:dyDescent="0.25">
      <c r="A350" s="38"/>
      <c r="B350" s="50"/>
      <c r="C350" s="38"/>
      <c r="D350" s="38" t="s">
        <v>13</v>
      </c>
      <c r="E350" s="38">
        <v>3</v>
      </c>
      <c r="F350" s="38">
        <f>E350*6500</f>
        <v>19500</v>
      </c>
      <c r="G350" s="38">
        <f>E350*4500</f>
        <v>13500</v>
      </c>
      <c r="H350" s="38">
        <f>E350*2000</f>
        <v>6000</v>
      </c>
    </row>
    <row r="351" spans="1:8" hidden="1" x14ac:dyDescent="0.25">
      <c r="A351" s="38"/>
      <c r="B351" s="50"/>
      <c r="C351" s="38"/>
      <c r="D351" s="38" t="s">
        <v>14</v>
      </c>
      <c r="E351" s="38">
        <v>3</v>
      </c>
      <c r="F351" s="38">
        <f>E351*10000</f>
        <v>30000</v>
      </c>
      <c r="G351" s="38">
        <f>E351*5500</f>
        <v>16500</v>
      </c>
      <c r="H351" s="38">
        <f>E351*4500</f>
        <v>13500</v>
      </c>
    </row>
    <row r="352" spans="1:8" hidden="1" x14ac:dyDescent="0.25">
      <c r="A352" s="131" t="s">
        <v>17</v>
      </c>
      <c r="B352" s="132"/>
      <c r="C352" s="132"/>
      <c r="D352" s="133"/>
      <c r="E352" s="17">
        <f>SUM(E345:E351)</f>
        <v>104</v>
      </c>
      <c r="F352" s="17">
        <f>SUM(F345:F351)</f>
        <v>265000</v>
      </c>
      <c r="G352" s="17">
        <f>SUM(G345:G351)</f>
        <v>131000</v>
      </c>
      <c r="H352" s="17">
        <f>SUM(H345:H351)</f>
        <v>134000</v>
      </c>
    </row>
    <row r="353" spans="1:12" hidden="1" x14ac:dyDescent="0.25">
      <c r="A353" s="38" t="s">
        <v>18</v>
      </c>
      <c r="B353" s="50" t="s">
        <v>530</v>
      </c>
      <c r="C353" s="38" t="s">
        <v>442</v>
      </c>
      <c r="D353" s="38" t="s">
        <v>11</v>
      </c>
      <c r="E353" s="38">
        <v>2</v>
      </c>
      <c r="F353" s="38">
        <f>E353*1500</f>
        <v>3000</v>
      </c>
      <c r="G353" s="38">
        <f>E353*500</f>
        <v>1000</v>
      </c>
      <c r="H353" s="38">
        <f>E353*1000</f>
        <v>2000</v>
      </c>
    </row>
    <row r="354" spans="1:12" hidden="1" x14ac:dyDescent="0.25">
      <c r="A354" s="38"/>
      <c r="B354" s="50"/>
      <c r="C354" s="38"/>
      <c r="D354" s="38" t="s">
        <v>13</v>
      </c>
      <c r="E354" s="38">
        <v>4</v>
      </c>
      <c r="F354" s="38">
        <f>E354*6500</f>
        <v>26000</v>
      </c>
      <c r="G354" s="38">
        <f>E354*4500</f>
        <v>18000</v>
      </c>
      <c r="H354" s="38">
        <f>E354*2000</f>
        <v>8000</v>
      </c>
    </row>
    <row r="355" spans="1:12" hidden="1" x14ac:dyDescent="0.25">
      <c r="A355" s="38"/>
      <c r="B355" s="50"/>
      <c r="C355" s="38"/>
      <c r="D355" s="38" t="s">
        <v>14</v>
      </c>
      <c r="E355" s="38">
        <v>4</v>
      </c>
      <c r="F355" s="38">
        <f>E355*10000</f>
        <v>40000</v>
      </c>
      <c r="G355" s="38">
        <f>E355*5500</f>
        <v>22000</v>
      </c>
      <c r="H355" s="38">
        <f>E355*4500</f>
        <v>18000</v>
      </c>
    </row>
    <row r="356" spans="1:12" hidden="1" x14ac:dyDescent="0.25">
      <c r="A356" s="38"/>
      <c r="B356" s="50"/>
      <c r="C356" s="38" t="s">
        <v>531</v>
      </c>
      <c r="D356" s="38" t="s">
        <v>13</v>
      </c>
      <c r="E356" s="38">
        <v>6</v>
      </c>
      <c r="F356" s="38">
        <f>E356*6500</f>
        <v>39000</v>
      </c>
      <c r="G356" s="38">
        <f>E356*4500</f>
        <v>27000</v>
      </c>
      <c r="H356" s="38">
        <f>E356*2000</f>
        <v>12000</v>
      </c>
    </row>
    <row r="357" spans="1:12" hidden="1" x14ac:dyDescent="0.25">
      <c r="A357" s="38"/>
      <c r="B357" s="50"/>
      <c r="C357" s="38"/>
      <c r="D357" s="38" t="s">
        <v>14</v>
      </c>
      <c r="E357" s="38">
        <v>7</v>
      </c>
      <c r="F357" s="38">
        <f>E357*10000</f>
        <v>70000</v>
      </c>
      <c r="G357" s="38">
        <f>E357*5500</f>
        <v>38500</v>
      </c>
      <c r="H357" s="38">
        <f>E357*4500</f>
        <v>31500</v>
      </c>
    </row>
    <row r="358" spans="1:12" hidden="1" x14ac:dyDescent="0.25">
      <c r="A358" s="131" t="s">
        <v>17</v>
      </c>
      <c r="B358" s="132"/>
      <c r="C358" s="132"/>
      <c r="D358" s="133"/>
      <c r="E358" s="17">
        <f>SUM(E353:E357)</f>
        <v>23</v>
      </c>
      <c r="F358" s="17">
        <f>SUM(F353:F357)</f>
        <v>178000</v>
      </c>
      <c r="G358" s="17">
        <f>SUM(G353:G357)</f>
        <v>106500</v>
      </c>
      <c r="H358" s="17">
        <f>SUM(H353:H357)</f>
        <v>71500</v>
      </c>
    </row>
    <row r="359" spans="1:12" hidden="1" x14ac:dyDescent="0.25">
      <c r="A359" s="38" t="s">
        <v>22</v>
      </c>
      <c r="B359" s="50" t="s">
        <v>532</v>
      </c>
      <c r="C359" s="38" t="s">
        <v>217</v>
      </c>
      <c r="D359" s="38" t="s">
        <v>13</v>
      </c>
      <c r="E359" s="38">
        <v>15</v>
      </c>
      <c r="F359" s="38">
        <f>E359*6500</f>
        <v>97500</v>
      </c>
      <c r="G359" s="38">
        <f>E359*4500</f>
        <v>67500</v>
      </c>
      <c r="H359" s="38">
        <f>E359*2000</f>
        <v>30000</v>
      </c>
      <c r="I359" s="134" t="s">
        <v>536</v>
      </c>
      <c r="J359" s="135"/>
      <c r="K359" s="135"/>
      <c r="L359" s="135"/>
    </row>
    <row r="360" spans="1:12" hidden="1" x14ac:dyDescent="0.25">
      <c r="A360" s="38"/>
      <c r="B360" s="50"/>
      <c r="C360" s="38"/>
      <c r="D360" s="38" t="s">
        <v>14</v>
      </c>
      <c r="E360" s="38">
        <v>13</v>
      </c>
      <c r="F360" s="38">
        <f>E360*10000</f>
        <v>130000</v>
      </c>
      <c r="G360" s="38">
        <f>E360*5500</f>
        <v>71500</v>
      </c>
      <c r="H360" s="38">
        <f>E360*4500</f>
        <v>58500</v>
      </c>
    </row>
    <row r="361" spans="1:12" hidden="1" x14ac:dyDescent="0.25">
      <c r="A361" s="38"/>
      <c r="B361" s="50"/>
      <c r="C361" s="38"/>
      <c r="D361" s="38" t="s">
        <v>243</v>
      </c>
      <c r="E361" s="38">
        <v>1</v>
      </c>
      <c r="F361" s="38">
        <v>15000</v>
      </c>
      <c r="G361" s="38">
        <v>10000</v>
      </c>
      <c r="H361" s="38">
        <v>5000</v>
      </c>
    </row>
    <row r="362" spans="1:12" hidden="1" x14ac:dyDescent="0.25">
      <c r="A362" s="38"/>
      <c r="B362" s="50"/>
      <c r="C362" s="38" t="s">
        <v>442</v>
      </c>
      <c r="D362" s="38" t="s">
        <v>13</v>
      </c>
      <c r="E362" s="38">
        <v>2</v>
      </c>
      <c r="F362" s="38">
        <f>E362*6500</f>
        <v>13000</v>
      </c>
      <c r="G362" s="38">
        <f>E362*4500</f>
        <v>9000</v>
      </c>
      <c r="H362" s="38">
        <f>E362*2000</f>
        <v>4000</v>
      </c>
    </row>
    <row r="363" spans="1:12" hidden="1" x14ac:dyDescent="0.25">
      <c r="A363" s="38"/>
      <c r="B363" s="50"/>
      <c r="C363" s="38"/>
      <c r="D363" s="38" t="s">
        <v>14</v>
      </c>
      <c r="E363" s="38">
        <v>3</v>
      </c>
      <c r="F363" s="38">
        <f>E363*10000</f>
        <v>30000</v>
      </c>
      <c r="G363" s="38">
        <f>E363*5500</f>
        <v>16500</v>
      </c>
      <c r="H363" s="38">
        <f>E363*4500</f>
        <v>13500</v>
      </c>
    </row>
    <row r="364" spans="1:12" hidden="1" x14ac:dyDescent="0.25">
      <c r="A364" s="38"/>
      <c r="B364" s="50"/>
      <c r="C364" s="38" t="s">
        <v>533</v>
      </c>
      <c r="D364" s="38" t="s">
        <v>13</v>
      </c>
      <c r="E364" s="38">
        <v>5</v>
      </c>
      <c r="F364" s="38">
        <f>E364*6500</f>
        <v>32500</v>
      </c>
      <c r="G364" s="38">
        <f>E364*4500</f>
        <v>22500</v>
      </c>
      <c r="H364" s="38">
        <f>E364*2000</f>
        <v>10000</v>
      </c>
    </row>
    <row r="365" spans="1:12" hidden="1" x14ac:dyDescent="0.25">
      <c r="A365" s="38"/>
      <c r="B365" s="50"/>
      <c r="C365" s="38"/>
      <c r="D365" s="38" t="s">
        <v>14</v>
      </c>
      <c r="E365" s="38">
        <v>4</v>
      </c>
      <c r="F365" s="38">
        <f>E365*10000</f>
        <v>40000</v>
      </c>
      <c r="G365" s="38">
        <f>E365*5500</f>
        <v>22000</v>
      </c>
      <c r="H365" s="38">
        <f>E365*4500</f>
        <v>18000</v>
      </c>
    </row>
    <row r="366" spans="1:12" hidden="1" x14ac:dyDescent="0.25">
      <c r="A366" s="38"/>
      <c r="B366" s="50"/>
      <c r="C366" s="38" t="s">
        <v>217</v>
      </c>
      <c r="D366" s="38" t="s">
        <v>13</v>
      </c>
      <c r="E366" s="38">
        <v>12</v>
      </c>
      <c r="F366" s="38">
        <f>E366*6500</f>
        <v>78000</v>
      </c>
      <c r="G366" s="38">
        <f>E366*4500</f>
        <v>54000</v>
      </c>
      <c r="H366" s="38">
        <f>E366*2000</f>
        <v>24000</v>
      </c>
    </row>
    <row r="367" spans="1:12" hidden="1" x14ac:dyDescent="0.25">
      <c r="A367" s="38"/>
      <c r="B367" s="50"/>
      <c r="C367" s="38"/>
      <c r="D367" s="38" t="s">
        <v>14</v>
      </c>
      <c r="E367" s="38">
        <v>6</v>
      </c>
      <c r="F367" s="38">
        <f>E367*10000</f>
        <v>60000</v>
      </c>
      <c r="G367" s="38">
        <f>E367*5500</f>
        <v>33000</v>
      </c>
      <c r="H367" s="38">
        <f>E367*4500</f>
        <v>27000</v>
      </c>
    </row>
    <row r="368" spans="1:12" hidden="1" x14ac:dyDescent="0.25">
      <c r="A368" s="131" t="s">
        <v>17</v>
      </c>
      <c r="B368" s="132"/>
      <c r="C368" s="132"/>
      <c r="D368" s="133"/>
      <c r="E368" s="17">
        <f>SUM(E359:E367)</f>
        <v>61</v>
      </c>
      <c r="F368" s="17">
        <f>SUM(F359:F367)</f>
        <v>496000</v>
      </c>
      <c r="G368" s="17">
        <f>SUM(G359:G367)</f>
        <v>306000</v>
      </c>
      <c r="H368" s="17">
        <f>SUM(H359:H367)</f>
        <v>190000</v>
      </c>
    </row>
    <row r="369" spans="1:8" hidden="1" x14ac:dyDescent="0.25">
      <c r="A369" s="38" t="s">
        <v>26</v>
      </c>
      <c r="B369" s="50" t="s">
        <v>534</v>
      </c>
      <c r="C369" s="38" t="s">
        <v>533</v>
      </c>
      <c r="D369" s="38" t="s">
        <v>13</v>
      </c>
      <c r="E369" s="38">
        <v>6</v>
      </c>
      <c r="F369" s="38">
        <f>E369*6500</f>
        <v>39000</v>
      </c>
      <c r="G369" s="38">
        <f>E369*4500</f>
        <v>27000</v>
      </c>
      <c r="H369" s="38">
        <f>E369*2000</f>
        <v>12000</v>
      </c>
    </row>
    <row r="370" spans="1:8" hidden="1" x14ac:dyDescent="0.25">
      <c r="A370" s="38"/>
      <c r="B370" s="50"/>
      <c r="C370" s="38"/>
      <c r="D370" s="38" t="s">
        <v>14</v>
      </c>
      <c r="E370" s="38">
        <v>3</v>
      </c>
      <c r="F370" s="38">
        <f>E370*10000</f>
        <v>30000</v>
      </c>
      <c r="G370" s="38">
        <f>E370*5500</f>
        <v>16500</v>
      </c>
      <c r="H370" s="38">
        <f>E370*4500</f>
        <v>13500</v>
      </c>
    </row>
    <row r="371" spans="1:8" hidden="1" x14ac:dyDescent="0.25">
      <c r="A371" s="38"/>
      <c r="B371" s="50"/>
      <c r="C371" s="38" t="s">
        <v>217</v>
      </c>
      <c r="D371" s="38" t="s">
        <v>11</v>
      </c>
      <c r="E371" s="38">
        <v>15</v>
      </c>
      <c r="F371" s="38">
        <f>E371*1500</f>
        <v>22500</v>
      </c>
      <c r="G371" s="38">
        <f>E371*500</f>
        <v>7500</v>
      </c>
      <c r="H371" s="38">
        <v>15000</v>
      </c>
    </row>
    <row r="372" spans="1:8" hidden="1" x14ac:dyDescent="0.25">
      <c r="A372" s="38"/>
      <c r="B372" s="50"/>
      <c r="C372" s="38"/>
      <c r="D372" s="38" t="s">
        <v>13</v>
      </c>
      <c r="E372" s="38">
        <v>20</v>
      </c>
      <c r="F372" s="38">
        <f>E372*6500</f>
        <v>130000</v>
      </c>
      <c r="G372" s="38">
        <f>E372*4500</f>
        <v>90000</v>
      </c>
      <c r="H372" s="38">
        <f>E372*2000</f>
        <v>40000</v>
      </c>
    </row>
    <row r="373" spans="1:8" hidden="1" x14ac:dyDescent="0.25">
      <c r="A373" s="38"/>
      <c r="B373" s="50"/>
      <c r="C373" s="38"/>
      <c r="D373" s="38" t="s">
        <v>14</v>
      </c>
      <c r="E373" s="38">
        <v>16</v>
      </c>
      <c r="F373" s="38">
        <f>E373*10000</f>
        <v>160000</v>
      </c>
      <c r="G373" s="38">
        <f>E373*5500</f>
        <v>88000</v>
      </c>
      <c r="H373" s="38">
        <f>E373*4500</f>
        <v>72000</v>
      </c>
    </row>
    <row r="374" spans="1:8" hidden="1" x14ac:dyDescent="0.25">
      <c r="A374" s="38"/>
      <c r="B374" s="50"/>
      <c r="C374" s="38"/>
      <c r="D374" s="38" t="s">
        <v>425</v>
      </c>
      <c r="E374" s="38">
        <v>2</v>
      </c>
      <c r="F374" s="38">
        <f>E374*2000</f>
        <v>4000</v>
      </c>
      <c r="G374" s="38">
        <v>2000</v>
      </c>
      <c r="H374" s="38">
        <v>2000</v>
      </c>
    </row>
    <row r="375" spans="1:8" hidden="1" x14ac:dyDescent="0.25">
      <c r="A375" s="38"/>
      <c r="B375" s="50"/>
      <c r="C375" s="38"/>
      <c r="D375" s="38" t="s">
        <v>441</v>
      </c>
      <c r="E375" s="38">
        <v>2</v>
      </c>
      <c r="F375" s="38">
        <f>E375*3000</f>
        <v>6000</v>
      </c>
      <c r="G375" s="38">
        <v>3000</v>
      </c>
      <c r="H375" s="38">
        <v>3000</v>
      </c>
    </row>
    <row r="376" spans="1:8" hidden="1" x14ac:dyDescent="0.25">
      <c r="A376" s="125" t="s">
        <v>17</v>
      </c>
      <c r="B376" s="125"/>
      <c r="C376" s="125"/>
      <c r="D376" s="125"/>
      <c r="E376" s="17">
        <f>SUM(E369:E375)</f>
        <v>64</v>
      </c>
      <c r="F376" s="17">
        <f>SUM(F369:F375)</f>
        <v>391500</v>
      </c>
      <c r="G376" s="17">
        <f>SUM(G369:G375)</f>
        <v>234000</v>
      </c>
      <c r="H376" s="17">
        <f>SUM(H369:H375)</f>
        <v>157500</v>
      </c>
    </row>
    <row r="377" spans="1:8" hidden="1" x14ac:dyDescent="0.25">
      <c r="A377" s="38" t="s">
        <v>28</v>
      </c>
      <c r="B377" s="50" t="s">
        <v>535</v>
      </c>
      <c r="C377" s="38" t="s">
        <v>217</v>
      </c>
      <c r="D377" s="38" t="s">
        <v>11</v>
      </c>
      <c r="E377" s="38">
        <v>13</v>
      </c>
      <c r="F377" s="38">
        <f>E377*1500</f>
        <v>19500</v>
      </c>
      <c r="G377" s="38">
        <f>E377*500</f>
        <v>6500</v>
      </c>
      <c r="H377" s="38">
        <f>E377*1000</f>
        <v>13000</v>
      </c>
    </row>
    <row r="378" spans="1:8" hidden="1" x14ac:dyDescent="0.25">
      <c r="A378" s="38"/>
      <c r="B378" s="50"/>
      <c r="C378" s="38"/>
      <c r="D378" s="38" t="s">
        <v>13</v>
      </c>
      <c r="E378" s="38">
        <v>18</v>
      </c>
      <c r="F378" s="38">
        <f>E378*6500</f>
        <v>117000</v>
      </c>
      <c r="G378" s="38">
        <f>E378*4500</f>
        <v>81000</v>
      </c>
      <c r="H378" s="38">
        <f>E378*2000</f>
        <v>36000</v>
      </c>
    </row>
    <row r="379" spans="1:8" hidden="1" x14ac:dyDescent="0.25">
      <c r="A379" s="38"/>
      <c r="B379" s="50"/>
      <c r="C379" s="38"/>
      <c r="D379" s="38" t="s">
        <v>14</v>
      </c>
      <c r="E379" s="38">
        <v>15</v>
      </c>
      <c r="F379" s="38">
        <f>E379*10000</f>
        <v>150000</v>
      </c>
      <c r="G379" s="38">
        <f>E379*5500</f>
        <v>82500</v>
      </c>
      <c r="H379" s="38">
        <f>E379*4500</f>
        <v>67500</v>
      </c>
    </row>
    <row r="380" spans="1:8" hidden="1" x14ac:dyDescent="0.25">
      <c r="A380" s="38"/>
      <c r="B380" s="50"/>
      <c r="C380" s="38" t="s">
        <v>442</v>
      </c>
      <c r="D380" s="38" t="s">
        <v>13</v>
      </c>
      <c r="E380" s="38">
        <v>2</v>
      </c>
      <c r="F380" s="38">
        <f>E380*6500</f>
        <v>13000</v>
      </c>
      <c r="G380" s="38">
        <f>E380*4500</f>
        <v>9000</v>
      </c>
      <c r="H380" s="38">
        <f>E380*2000</f>
        <v>4000</v>
      </c>
    </row>
    <row r="381" spans="1:8" hidden="1" x14ac:dyDescent="0.25">
      <c r="A381" s="38"/>
      <c r="B381" s="50"/>
      <c r="C381" s="38"/>
      <c r="D381" s="38" t="s">
        <v>14</v>
      </c>
      <c r="E381" s="38">
        <v>1</v>
      </c>
      <c r="F381" s="38">
        <v>10000</v>
      </c>
      <c r="G381" s="38">
        <v>5500</v>
      </c>
      <c r="H381" s="38">
        <v>4500</v>
      </c>
    </row>
    <row r="382" spans="1:8" hidden="1" x14ac:dyDescent="0.25">
      <c r="A382" s="38"/>
      <c r="B382" s="50"/>
      <c r="C382" s="38" t="s">
        <v>533</v>
      </c>
      <c r="D382" s="38" t="s">
        <v>13</v>
      </c>
      <c r="E382" s="38">
        <v>5</v>
      </c>
      <c r="F382" s="38">
        <f>E382*6500</f>
        <v>32500</v>
      </c>
      <c r="G382" s="38">
        <f>E382*4500</f>
        <v>22500</v>
      </c>
      <c r="H382" s="38">
        <f>E382*2000</f>
        <v>10000</v>
      </c>
    </row>
    <row r="383" spans="1:8" hidden="1" x14ac:dyDescent="0.25">
      <c r="A383" s="38"/>
      <c r="B383" s="50"/>
      <c r="C383" s="38"/>
      <c r="D383" s="38" t="s">
        <v>14</v>
      </c>
      <c r="E383" s="38">
        <v>3</v>
      </c>
      <c r="F383" s="38">
        <f>E383*10000</f>
        <v>30000</v>
      </c>
      <c r="G383" s="38">
        <f>E383*5500</f>
        <v>16500</v>
      </c>
      <c r="H383" s="38">
        <f>E383*4500</f>
        <v>13500</v>
      </c>
    </row>
    <row r="384" spans="1:8" hidden="1" x14ac:dyDescent="0.25">
      <c r="A384" s="38"/>
      <c r="B384" s="50"/>
      <c r="C384" s="38" t="s">
        <v>24</v>
      </c>
      <c r="D384" s="38" t="s">
        <v>14</v>
      </c>
      <c r="E384" s="38">
        <v>10</v>
      </c>
      <c r="F384" s="38">
        <f>E384*10000</f>
        <v>100000</v>
      </c>
      <c r="G384" s="38">
        <f>E384*5500</f>
        <v>55000</v>
      </c>
      <c r="H384" s="38">
        <f>E384*4500</f>
        <v>45000</v>
      </c>
    </row>
    <row r="385" spans="1:8" hidden="1" x14ac:dyDescent="0.25">
      <c r="A385" s="38"/>
      <c r="B385" s="50"/>
      <c r="C385" s="38" t="s">
        <v>503</v>
      </c>
      <c r="D385" s="38" t="s">
        <v>13</v>
      </c>
      <c r="E385" s="38">
        <v>50</v>
      </c>
      <c r="F385" s="38">
        <f>E385*6500</f>
        <v>325000</v>
      </c>
      <c r="G385" s="38">
        <f>E385*4500</f>
        <v>225000</v>
      </c>
      <c r="H385" s="38">
        <f>E385*2000</f>
        <v>100000</v>
      </c>
    </row>
    <row r="386" spans="1:8" hidden="1" x14ac:dyDescent="0.25">
      <c r="A386" s="131" t="s">
        <v>17</v>
      </c>
      <c r="B386" s="132"/>
      <c r="C386" s="132"/>
      <c r="D386" s="133"/>
      <c r="E386" s="17">
        <f>SUM(E377:E385)</f>
        <v>117</v>
      </c>
      <c r="F386" s="17">
        <f>SUM(F377:F385)</f>
        <v>797000</v>
      </c>
      <c r="G386" s="17">
        <f>SUM(G377:G385)</f>
        <v>503500</v>
      </c>
      <c r="H386" s="17">
        <f>SUM(H377:H385)</f>
        <v>293500</v>
      </c>
    </row>
    <row r="387" spans="1:8" hidden="1" x14ac:dyDescent="0.25">
      <c r="A387" s="38" t="s">
        <v>30</v>
      </c>
      <c r="B387" s="50" t="s">
        <v>537</v>
      </c>
      <c r="C387" s="38" t="s">
        <v>376</v>
      </c>
      <c r="D387" s="38" t="s">
        <v>11</v>
      </c>
      <c r="E387" s="38">
        <v>60</v>
      </c>
      <c r="F387" s="38">
        <f t="shared" ref="F387:F392" si="22">E387*1500</f>
        <v>90000</v>
      </c>
      <c r="G387" s="38">
        <f>E387*500</f>
        <v>30000</v>
      </c>
      <c r="H387" s="38">
        <f t="shared" ref="H387:H392" si="23">E387*1000</f>
        <v>60000</v>
      </c>
    </row>
    <row r="388" spans="1:8" hidden="1" x14ac:dyDescent="0.25">
      <c r="A388" s="38"/>
      <c r="B388" s="50"/>
      <c r="C388" s="38"/>
      <c r="D388" s="38" t="s">
        <v>11</v>
      </c>
      <c r="E388" s="38">
        <v>42</v>
      </c>
      <c r="F388" s="38">
        <f t="shared" si="22"/>
        <v>63000</v>
      </c>
      <c r="G388" s="38">
        <f t="shared" ref="G388:G394" si="24">E388*500</f>
        <v>21000</v>
      </c>
      <c r="H388" s="38">
        <f t="shared" si="23"/>
        <v>42000</v>
      </c>
    </row>
    <row r="389" spans="1:8" hidden="1" x14ac:dyDescent="0.25">
      <c r="A389" s="38"/>
      <c r="B389" s="50"/>
      <c r="C389" s="38"/>
      <c r="D389" s="38" t="s">
        <v>11</v>
      </c>
      <c r="E389" s="38">
        <v>58</v>
      </c>
      <c r="F389" s="38">
        <f t="shared" si="22"/>
        <v>87000</v>
      </c>
      <c r="G389" s="38">
        <f t="shared" si="24"/>
        <v>29000</v>
      </c>
      <c r="H389" s="38">
        <f t="shared" si="23"/>
        <v>58000</v>
      </c>
    </row>
    <row r="390" spans="1:8" hidden="1" x14ac:dyDescent="0.25">
      <c r="A390" s="38"/>
      <c r="B390" s="50"/>
      <c r="C390" s="38"/>
      <c r="D390" s="38" t="s">
        <v>11</v>
      </c>
      <c r="E390" s="38">
        <v>65</v>
      </c>
      <c r="F390" s="38">
        <f t="shared" si="22"/>
        <v>97500</v>
      </c>
      <c r="G390" s="38">
        <f t="shared" si="24"/>
        <v>32500</v>
      </c>
      <c r="H390" s="38">
        <f t="shared" si="23"/>
        <v>65000</v>
      </c>
    </row>
    <row r="391" spans="1:8" hidden="1" x14ac:dyDescent="0.25">
      <c r="A391" s="38"/>
      <c r="B391" s="50"/>
      <c r="C391" s="38"/>
      <c r="D391" s="38" t="s">
        <v>11</v>
      </c>
      <c r="E391" s="38">
        <v>57</v>
      </c>
      <c r="F391" s="38">
        <f t="shared" si="22"/>
        <v>85500</v>
      </c>
      <c r="G391" s="38">
        <f t="shared" si="24"/>
        <v>28500</v>
      </c>
      <c r="H391" s="38">
        <f t="shared" si="23"/>
        <v>57000</v>
      </c>
    </row>
    <row r="392" spans="1:8" hidden="1" x14ac:dyDescent="0.25">
      <c r="A392" s="38"/>
      <c r="B392" s="50"/>
      <c r="C392" s="38"/>
      <c r="D392" s="38" t="s">
        <v>11</v>
      </c>
      <c r="E392" s="38">
        <v>44</v>
      </c>
      <c r="F392" s="38">
        <f t="shared" si="22"/>
        <v>66000</v>
      </c>
      <c r="G392" s="38">
        <f t="shared" si="24"/>
        <v>22000</v>
      </c>
      <c r="H392" s="38">
        <f t="shared" si="23"/>
        <v>44000</v>
      </c>
    </row>
    <row r="393" spans="1:8" hidden="1" x14ac:dyDescent="0.25">
      <c r="A393" s="38"/>
      <c r="B393" s="50"/>
      <c r="C393" s="38" t="s">
        <v>81</v>
      </c>
      <c r="D393" s="38" t="s">
        <v>11</v>
      </c>
      <c r="E393" s="38">
        <v>75</v>
      </c>
      <c r="F393" s="38">
        <f>E393*1800</f>
        <v>135000</v>
      </c>
      <c r="G393" s="38">
        <f t="shared" si="24"/>
        <v>37500</v>
      </c>
      <c r="H393" s="38">
        <f>E393*1300</f>
        <v>97500</v>
      </c>
    </row>
    <row r="394" spans="1:8" hidden="1" x14ac:dyDescent="0.25">
      <c r="A394" s="38"/>
      <c r="B394" s="50"/>
      <c r="C394" s="38"/>
      <c r="D394" s="38" t="s">
        <v>11</v>
      </c>
      <c r="E394" s="38">
        <v>73</v>
      </c>
      <c r="F394" s="38">
        <f>E394*1800</f>
        <v>131400</v>
      </c>
      <c r="G394" s="38">
        <f t="shared" si="24"/>
        <v>36500</v>
      </c>
      <c r="H394" s="38">
        <f>E394*1300</f>
        <v>94900</v>
      </c>
    </row>
    <row r="395" spans="1:8" hidden="1" x14ac:dyDescent="0.25">
      <c r="A395" s="38"/>
      <c r="B395" s="50"/>
      <c r="C395" s="38" t="s">
        <v>217</v>
      </c>
      <c r="D395" s="38" t="s">
        <v>13</v>
      </c>
      <c r="E395" s="38">
        <v>1</v>
      </c>
      <c r="F395" s="38">
        <v>6500</v>
      </c>
      <c r="G395" s="38">
        <v>4500</v>
      </c>
      <c r="H395" s="38">
        <v>2000</v>
      </c>
    </row>
    <row r="396" spans="1:8" hidden="1" x14ac:dyDescent="0.25">
      <c r="A396" s="38"/>
      <c r="B396" s="50"/>
      <c r="C396" s="38"/>
      <c r="D396" s="38" t="s">
        <v>14</v>
      </c>
      <c r="E396" s="38">
        <v>2</v>
      </c>
      <c r="F396" s="38">
        <f>E396*10000</f>
        <v>20000</v>
      </c>
      <c r="G396" s="38">
        <f>E396*5500</f>
        <v>11000</v>
      </c>
      <c r="H396" s="38">
        <f>E396*4500</f>
        <v>9000</v>
      </c>
    </row>
    <row r="397" spans="1:8" hidden="1" x14ac:dyDescent="0.25">
      <c r="A397" s="38"/>
      <c r="B397" s="50"/>
      <c r="C397" s="38" t="s">
        <v>533</v>
      </c>
      <c r="D397" s="38" t="s">
        <v>13</v>
      </c>
      <c r="E397" s="38">
        <v>1</v>
      </c>
      <c r="F397" s="38">
        <v>6500</v>
      </c>
      <c r="G397" s="38">
        <v>4500</v>
      </c>
      <c r="H397" s="38">
        <v>2000</v>
      </c>
    </row>
    <row r="398" spans="1:8" hidden="1" x14ac:dyDescent="0.25">
      <c r="A398" s="38"/>
      <c r="B398" s="50"/>
      <c r="C398" s="38"/>
      <c r="D398" s="38" t="s">
        <v>14</v>
      </c>
      <c r="E398" s="38">
        <v>1</v>
      </c>
      <c r="F398" s="38">
        <v>10000</v>
      </c>
      <c r="G398" s="38">
        <v>5500</v>
      </c>
      <c r="H398" s="38">
        <v>4500</v>
      </c>
    </row>
    <row r="399" spans="1:8" hidden="1" x14ac:dyDescent="0.25">
      <c r="A399" s="131" t="s">
        <v>17</v>
      </c>
      <c r="B399" s="132"/>
      <c r="C399" s="132"/>
      <c r="D399" s="133"/>
      <c r="E399" s="17">
        <f>SUM(E387:E398)</f>
        <v>479</v>
      </c>
      <c r="F399" s="17">
        <f>SUM(F387:F398)</f>
        <v>798400</v>
      </c>
      <c r="G399" s="17">
        <f>SUM(G387:G398)</f>
        <v>262500</v>
      </c>
      <c r="H399" s="17">
        <f>SUM(H387:H398)</f>
        <v>535900</v>
      </c>
    </row>
    <row r="400" spans="1:8" hidden="1" x14ac:dyDescent="0.25">
      <c r="A400" s="38" t="s">
        <v>32</v>
      </c>
      <c r="B400" s="50" t="s">
        <v>538</v>
      </c>
      <c r="C400" s="38" t="s">
        <v>217</v>
      </c>
      <c r="D400" s="38" t="s">
        <v>11</v>
      </c>
      <c r="E400" s="38">
        <v>3</v>
      </c>
      <c r="F400" s="38">
        <f>E400*1500</f>
        <v>4500</v>
      </c>
      <c r="G400" s="38">
        <f>E400*500</f>
        <v>1500</v>
      </c>
      <c r="H400" s="38">
        <v>3000</v>
      </c>
    </row>
    <row r="401" spans="1:8" hidden="1" x14ac:dyDescent="0.25">
      <c r="A401" s="38"/>
      <c r="B401" s="50"/>
      <c r="C401" s="38"/>
      <c r="D401" s="38" t="s">
        <v>13</v>
      </c>
      <c r="E401" s="38">
        <v>12</v>
      </c>
      <c r="F401" s="38">
        <f>E401*6500</f>
        <v>78000</v>
      </c>
      <c r="G401" s="38">
        <f>E401*4500</f>
        <v>54000</v>
      </c>
      <c r="H401" s="38">
        <f>E401*2000</f>
        <v>24000</v>
      </c>
    </row>
    <row r="402" spans="1:8" hidden="1" x14ac:dyDescent="0.25">
      <c r="A402" s="38"/>
      <c r="B402" s="50"/>
      <c r="C402" s="38"/>
      <c r="D402" s="38" t="s">
        <v>14</v>
      </c>
      <c r="E402" s="38">
        <v>4</v>
      </c>
      <c r="F402" s="38">
        <f>E402*9000</f>
        <v>36000</v>
      </c>
      <c r="G402" s="38">
        <f>E402*5500</f>
        <v>22000</v>
      </c>
      <c r="H402" s="38">
        <f>E402*3500</f>
        <v>14000</v>
      </c>
    </row>
    <row r="403" spans="1:8" hidden="1" x14ac:dyDescent="0.25">
      <c r="A403" s="38"/>
      <c r="B403" s="50"/>
      <c r="C403" s="38"/>
      <c r="D403" s="38" t="s">
        <v>14</v>
      </c>
      <c r="E403" s="38">
        <v>9</v>
      </c>
      <c r="F403" s="38">
        <f>E403*10000</f>
        <v>90000</v>
      </c>
      <c r="G403" s="38">
        <f>E403*5500</f>
        <v>49500</v>
      </c>
      <c r="H403" s="38">
        <f>E403*4500</f>
        <v>40500</v>
      </c>
    </row>
    <row r="404" spans="1:8" hidden="1" x14ac:dyDescent="0.25">
      <c r="A404" s="38"/>
      <c r="B404" s="50"/>
      <c r="C404" s="38" t="s">
        <v>533</v>
      </c>
      <c r="D404" s="38" t="s">
        <v>13</v>
      </c>
      <c r="E404" s="38">
        <v>3</v>
      </c>
      <c r="F404" s="38">
        <f>E404*6500</f>
        <v>19500</v>
      </c>
      <c r="G404" s="38">
        <f>E404*4500</f>
        <v>13500</v>
      </c>
      <c r="H404" s="38">
        <f>E404*2000</f>
        <v>6000</v>
      </c>
    </row>
    <row r="405" spans="1:8" hidden="1" x14ac:dyDescent="0.25">
      <c r="A405" s="131" t="s">
        <v>17</v>
      </c>
      <c r="B405" s="132"/>
      <c r="C405" s="132"/>
      <c r="D405" s="133"/>
      <c r="E405" s="17">
        <f>SUM(E400:E404)</f>
        <v>31</v>
      </c>
      <c r="F405" s="17">
        <f>SUM(F400:F404)</f>
        <v>228000</v>
      </c>
      <c r="G405" s="17">
        <f>SUM(G400:G404)</f>
        <v>140500</v>
      </c>
      <c r="H405" s="17">
        <f>SUM(H400:H404)</f>
        <v>87500</v>
      </c>
    </row>
    <row r="406" spans="1:8" hidden="1" x14ac:dyDescent="0.25">
      <c r="A406" s="38" t="s">
        <v>8</v>
      </c>
      <c r="B406" s="50" t="s">
        <v>539</v>
      </c>
      <c r="C406" s="38" t="s">
        <v>217</v>
      </c>
      <c r="D406" s="38" t="s">
        <v>11</v>
      </c>
      <c r="E406" s="38">
        <v>12</v>
      </c>
      <c r="F406" s="38">
        <f>E406*1500</f>
        <v>18000</v>
      </c>
      <c r="G406" s="38">
        <f>E406*500</f>
        <v>6000</v>
      </c>
      <c r="H406" s="38">
        <v>12000</v>
      </c>
    </row>
    <row r="407" spans="1:8" hidden="1" x14ac:dyDescent="0.25">
      <c r="A407" s="38"/>
      <c r="B407" s="50"/>
      <c r="C407" s="38"/>
      <c r="D407" s="38" t="s">
        <v>14</v>
      </c>
      <c r="E407" s="38">
        <v>2</v>
      </c>
      <c r="F407" s="38">
        <f>E407*8000</f>
        <v>16000</v>
      </c>
      <c r="G407" s="38">
        <f>E407*5500</f>
        <v>11000</v>
      </c>
      <c r="H407" s="38">
        <f>E407*2500</f>
        <v>5000</v>
      </c>
    </row>
    <row r="408" spans="1:8" hidden="1" x14ac:dyDescent="0.25">
      <c r="A408" s="38"/>
      <c r="B408" s="50"/>
      <c r="C408" s="38" t="s">
        <v>540</v>
      </c>
      <c r="D408" s="38" t="s">
        <v>11</v>
      </c>
      <c r="E408" s="38">
        <v>15</v>
      </c>
      <c r="F408" s="38">
        <f>E408*1500</f>
        <v>22500</v>
      </c>
      <c r="G408" s="38">
        <f>E408*500</f>
        <v>7500</v>
      </c>
      <c r="H408" s="38">
        <v>15000</v>
      </c>
    </row>
    <row r="409" spans="1:8" hidden="1" x14ac:dyDescent="0.25">
      <c r="A409" s="38"/>
      <c r="B409" s="50"/>
      <c r="C409" s="38"/>
      <c r="D409" s="38" t="s">
        <v>13</v>
      </c>
      <c r="E409" s="38">
        <v>3</v>
      </c>
      <c r="F409" s="38">
        <f>E409*6500</f>
        <v>19500</v>
      </c>
      <c r="G409" s="38">
        <f>E409*4500</f>
        <v>13500</v>
      </c>
      <c r="H409" s="38">
        <f>E409*2000</f>
        <v>6000</v>
      </c>
    </row>
    <row r="410" spans="1:8" hidden="1" x14ac:dyDescent="0.25">
      <c r="A410" s="38"/>
      <c r="B410" s="50"/>
      <c r="C410" s="38"/>
      <c r="D410" s="38" t="s">
        <v>14</v>
      </c>
      <c r="E410" s="38">
        <v>3</v>
      </c>
      <c r="F410" s="38">
        <f>E410*10000</f>
        <v>30000</v>
      </c>
      <c r="G410" s="38">
        <f>E410*5500</f>
        <v>16500</v>
      </c>
      <c r="H410" s="38">
        <f>E410*4500</f>
        <v>13500</v>
      </c>
    </row>
    <row r="411" spans="1:8" hidden="1" x14ac:dyDescent="0.25">
      <c r="A411" s="38"/>
      <c r="B411" s="50"/>
      <c r="C411" s="38" t="s">
        <v>217</v>
      </c>
      <c r="D411" s="38" t="s">
        <v>11</v>
      </c>
      <c r="E411" s="38">
        <v>8</v>
      </c>
      <c r="F411" s="38">
        <f>E411*1500</f>
        <v>12000</v>
      </c>
      <c r="G411" s="38">
        <f>E411*500</f>
        <v>4000</v>
      </c>
      <c r="H411" s="38">
        <f>E411*1000</f>
        <v>8000</v>
      </c>
    </row>
    <row r="412" spans="1:8" hidden="1" x14ac:dyDescent="0.25">
      <c r="A412" s="38"/>
      <c r="B412" s="50"/>
      <c r="C412" s="38"/>
      <c r="D412" s="38" t="s">
        <v>13</v>
      </c>
      <c r="E412" s="38">
        <v>15</v>
      </c>
      <c r="F412" s="38">
        <f>E412*6500</f>
        <v>97500</v>
      </c>
      <c r="G412" s="38">
        <f>E412*4500</f>
        <v>67500</v>
      </c>
      <c r="H412" s="38">
        <f>E412*2000</f>
        <v>30000</v>
      </c>
    </row>
    <row r="413" spans="1:8" hidden="1" x14ac:dyDescent="0.25">
      <c r="A413" s="38"/>
      <c r="B413" s="50"/>
      <c r="C413" s="38"/>
      <c r="D413" s="38" t="s">
        <v>14</v>
      </c>
      <c r="E413" s="38">
        <v>2</v>
      </c>
      <c r="F413" s="38">
        <f>E413*8000</f>
        <v>16000</v>
      </c>
      <c r="G413" s="38">
        <f>E413*5500</f>
        <v>11000</v>
      </c>
      <c r="H413" s="38">
        <f>E413*2500</f>
        <v>5000</v>
      </c>
    </row>
    <row r="414" spans="1:8" hidden="1" x14ac:dyDescent="0.25">
      <c r="A414" s="38"/>
      <c r="B414" s="50"/>
      <c r="C414" s="38"/>
      <c r="D414" s="38" t="s">
        <v>14</v>
      </c>
      <c r="E414" s="38">
        <v>19</v>
      </c>
      <c r="F414" s="38">
        <f>E414*10000</f>
        <v>190000</v>
      </c>
      <c r="G414" s="38">
        <f>E414*5500</f>
        <v>104500</v>
      </c>
      <c r="H414" s="38">
        <f>E414*4500</f>
        <v>85500</v>
      </c>
    </row>
    <row r="415" spans="1:8" hidden="1" x14ac:dyDescent="0.25">
      <c r="A415" s="38"/>
      <c r="B415" s="50"/>
      <c r="C415" s="38"/>
      <c r="D415" s="38" t="s">
        <v>425</v>
      </c>
      <c r="E415" s="38">
        <v>3</v>
      </c>
      <c r="F415" s="38">
        <f>E415*2000</f>
        <v>6000</v>
      </c>
      <c r="G415" s="38">
        <v>3000</v>
      </c>
      <c r="H415" s="38">
        <v>3000</v>
      </c>
    </row>
    <row r="416" spans="1:8" x14ac:dyDescent="0.25">
      <c r="A416" s="38"/>
      <c r="B416" s="50"/>
      <c r="C416" s="38"/>
      <c r="D416" s="38" t="s">
        <v>424</v>
      </c>
      <c r="E416" s="38">
        <v>1</v>
      </c>
      <c r="F416" s="38">
        <v>5000</v>
      </c>
      <c r="G416" s="38">
        <v>2500</v>
      </c>
      <c r="H416" s="38">
        <v>2500</v>
      </c>
    </row>
    <row r="417" spans="1:8" hidden="1" x14ac:dyDescent="0.25">
      <c r="A417" s="38"/>
      <c r="B417" s="50"/>
      <c r="C417" s="38"/>
      <c r="D417" s="38" t="s">
        <v>441</v>
      </c>
      <c r="E417" s="38">
        <v>2</v>
      </c>
      <c r="F417" s="38">
        <f>E417*3000</f>
        <v>6000</v>
      </c>
      <c r="G417" s="38">
        <v>3000</v>
      </c>
      <c r="H417" s="38">
        <v>3000</v>
      </c>
    </row>
    <row r="418" spans="1:8" hidden="1" x14ac:dyDescent="0.25">
      <c r="A418" s="38"/>
      <c r="B418" s="50"/>
      <c r="C418" s="38"/>
      <c r="D418" s="38" t="s">
        <v>415</v>
      </c>
      <c r="E418" s="38">
        <v>2</v>
      </c>
      <c r="F418" s="38">
        <f>E418*5000</f>
        <v>10000</v>
      </c>
      <c r="G418" s="38">
        <v>5000</v>
      </c>
      <c r="H418" s="38">
        <v>5000</v>
      </c>
    </row>
    <row r="419" spans="1:8" hidden="1" x14ac:dyDescent="0.25">
      <c r="A419" s="131" t="s">
        <v>17</v>
      </c>
      <c r="B419" s="132"/>
      <c r="C419" s="132"/>
      <c r="D419" s="133"/>
      <c r="E419" s="17">
        <f>SUM(E406:E418)</f>
        <v>87</v>
      </c>
      <c r="F419" s="17">
        <f>SUM(F406:F418)</f>
        <v>448500</v>
      </c>
      <c r="G419" s="17">
        <f>SUM(G406:G418)</f>
        <v>255000</v>
      </c>
      <c r="H419" s="17">
        <f>SUM(H406:H418)</f>
        <v>193500</v>
      </c>
    </row>
    <row r="420" spans="1:8" hidden="1" x14ac:dyDescent="0.25">
      <c r="A420" s="38" t="s">
        <v>18</v>
      </c>
      <c r="B420" s="50" t="s">
        <v>541</v>
      </c>
      <c r="C420" s="38" t="s">
        <v>217</v>
      </c>
      <c r="D420" s="38" t="s">
        <v>11</v>
      </c>
      <c r="E420" s="38">
        <v>3</v>
      </c>
      <c r="F420" s="38">
        <f>E420*1500</f>
        <v>4500</v>
      </c>
      <c r="G420" s="38">
        <f>E420*500</f>
        <v>1500</v>
      </c>
      <c r="H420" s="38">
        <v>3000</v>
      </c>
    </row>
    <row r="421" spans="1:8" hidden="1" x14ac:dyDescent="0.25">
      <c r="A421" s="38"/>
      <c r="B421" s="50"/>
      <c r="C421" s="38"/>
      <c r="D421" s="38" t="s">
        <v>13</v>
      </c>
      <c r="E421" s="38">
        <v>5</v>
      </c>
      <c r="F421" s="38">
        <f>E421*6500</f>
        <v>32500</v>
      </c>
      <c r="G421" s="38">
        <f>E421*4500</f>
        <v>22500</v>
      </c>
      <c r="H421" s="38">
        <f>E421*2000</f>
        <v>10000</v>
      </c>
    </row>
    <row r="422" spans="1:8" hidden="1" x14ac:dyDescent="0.25">
      <c r="A422" s="38"/>
      <c r="B422" s="50"/>
      <c r="C422" s="38"/>
      <c r="D422" s="38" t="s">
        <v>14</v>
      </c>
      <c r="E422" s="38">
        <v>2</v>
      </c>
      <c r="F422" s="38">
        <f>E422*10000</f>
        <v>20000</v>
      </c>
      <c r="G422" s="38">
        <f>E422*5500</f>
        <v>11000</v>
      </c>
      <c r="H422" s="38">
        <f>E422*4500</f>
        <v>9000</v>
      </c>
    </row>
    <row r="423" spans="1:8" x14ac:dyDescent="0.25">
      <c r="A423" s="38"/>
      <c r="B423" s="50"/>
      <c r="C423" s="38"/>
      <c r="D423" s="38" t="s">
        <v>542</v>
      </c>
      <c r="E423" s="38">
        <v>1</v>
      </c>
      <c r="F423" s="38">
        <v>5000</v>
      </c>
      <c r="G423" s="38">
        <v>2500</v>
      </c>
      <c r="H423" s="38">
        <v>2500</v>
      </c>
    </row>
    <row r="424" spans="1:8" hidden="1" x14ac:dyDescent="0.25">
      <c r="A424" s="38"/>
      <c r="B424" s="50"/>
      <c r="C424" s="38" t="s">
        <v>540</v>
      </c>
      <c r="D424" s="38" t="s">
        <v>11</v>
      </c>
      <c r="E424" s="38">
        <v>10</v>
      </c>
      <c r="F424" s="38">
        <f>E424*1500</f>
        <v>15000</v>
      </c>
      <c r="G424" s="38">
        <f>E424*500</f>
        <v>5000</v>
      </c>
      <c r="H424" s="38">
        <f>E424*1000</f>
        <v>10000</v>
      </c>
    </row>
    <row r="425" spans="1:8" hidden="1" x14ac:dyDescent="0.25">
      <c r="A425" s="38"/>
      <c r="B425" s="50"/>
      <c r="C425" s="38"/>
      <c r="D425" s="38" t="s">
        <v>13</v>
      </c>
      <c r="E425" s="38">
        <v>5</v>
      </c>
      <c r="F425" s="38">
        <f>E425*6500</f>
        <v>32500</v>
      </c>
      <c r="G425" s="38">
        <f>E425*4500</f>
        <v>22500</v>
      </c>
      <c r="H425" s="38">
        <f>E425*2000</f>
        <v>10000</v>
      </c>
    </row>
    <row r="426" spans="1:8" hidden="1" x14ac:dyDescent="0.25">
      <c r="A426" s="38"/>
      <c r="B426" s="50"/>
      <c r="C426" s="38"/>
      <c r="D426" s="38" t="s">
        <v>14</v>
      </c>
      <c r="E426" s="38">
        <v>5</v>
      </c>
      <c r="F426" s="38">
        <f>E426*10000</f>
        <v>50000</v>
      </c>
      <c r="G426" s="38">
        <f>E426*5500</f>
        <v>27500</v>
      </c>
      <c r="H426" s="38">
        <f>E426*4500</f>
        <v>22500</v>
      </c>
    </row>
    <row r="427" spans="1:8" hidden="1" x14ac:dyDescent="0.25">
      <c r="A427" s="131" t="s">
        <v>17</v>
      </c>
      <c r="B427" s="132"/>
      <c r="C427" s="132"/>
      <c r="D427" s="133"/>
      <c r="E427" s="17">
        <f>SUM(E420:E426)</f>
        <v>31</v>
      </c>
      <c r="F427" s="17">
        <f>SUM(F420:F426)</f>
        <v>159500</v>
      </c>
      <c r="G427" s="17">
        <f>SUM(G420:G426)</f>
        <v>92500</v>
      </c>
      <c r="H427" s="17">
        <f>SUM(H420:H426)</f>
        <v>67000</v>
      </c>
    </row>
    <row r="428" spans="1:8" hidden="1" x14ac:dyDescent="0.25">
      <c r="A428" s="38" t="s">
        <v>22</v>
      </c>
      <c r="B428" s="50" t="s">
        <v>543</v>
      </c>
      <c r="C428" s="38" t="s">
        <v>217</v>
      </c>
      <c r="D428" s="38" t="s">
        <v>11</v>
      </c>
      <c r="E428" s="38">
        <v>6</v>
      </c>
      <c r="F428" s="38">
        <f>E428*1500</f>
        <v>9000</v>
      </c>
      <c r="G428" s="38">
        <f>E428*500</f>
        <v>3000</v>
      </c>
      <c r="H428" s="38">
        <v>6000</v>
      </c>
    </row>
    <row r="429" spans="1:8" hidden="1" x14ac:dyDescent="0.25">
      <c r="A429" s="38"/>
      <c r="B429" s="50"/>
      <c r="C429" s="38"/>
      <c r="D429" s="38" t="s">
        <v>14</v>
      </c>
      <c r="E429" s="38">
        <v>1</v>
      </c>
      <c r="F429" s="38">
        <v>8000</v>
      </c>
      <c r="G429" s="38">
        <v>5500</v>
      </c>
      <c r="H429" s="38">
        <v>2500</v>
      </c>
    </row>
    <row r="430" spans="1:8" hidden="1" x14ac:dyDescent="0.25">
      <c r="A430" s="38"/>
      <c r="B430" s="50"/>
      <c r="C430" s="38" t="s">
        <v>544</v>
      </c>
      <c r="D430" s="38" t="s">
        <v>11</v>
      </c>
      <c r="E430" s="38">
        <v>3</v>
      </c>
      <c r="F430" s="38">
        <f>E430*1500</f>
        <v>4500</v>
      </c>
      <c r="G430" s="38">
        <f>E430*500</f>
        <v>1500</v>
      </c>
      <c r="H430" s="38">
        <v>3000</v>
      </c>
    </row>
    <row r="431" spans="1:8" hidden="1" x14ac:dyDescent="0.25">
      <c r="A431" s="38"/>
      <c r="B431" s="50"/>
      <c r="C431" s="38"/>
      <c r="D431" s="38" t="s">
        <v>13</v>
      </c>
      <c r="E431" s="38">
        <v>1</v>
      </c>
      <c r="F431" s="38">
        <v>6500</v>
      </c>
      <c r="G431" s="38">
        <v>4500</v>
      </c>
      <c r="H431" s="38">
        <v>2000</v>
      </c>
    </row>
    <row r="432" spans="1:8" hidden="1" x14ac:dyDescent="0.25">
      <c r="A432" s="38"/>
      <c r="B432" s="50"/>
      <c r="C432" s="38"/>
      <c r="D432" s="38" t="s">
        <v>14</v>
      </c>
      <c r="E432" s="38">
        <v>1</v>
      </c>
      <c r="F432" s="38">
        <v>10000</v>
      </c>
      <c r="G432" s="38">
        <v>5500</v>
      </c>
      <c r="H432" s="38">
        <v>4500</v>
      </c>
    </row>
    <row r="433" spans="1:8" hidden="1" x14ac:dyDescent="0.25">
      <c r="A433" s="38"/>
      <c r="B433" s="50"/>
      <c r="C433" s="38" t="s">
        <v>217</v>
      </c>
      <c r="D433" s="38" t="s">
        <v>11</v>
      </c>
      <c r="E433" s="38">
        <v>7</v>
      </c>
      <c r="F433" s="38">
        <f>E433*1500</f>
        <v>10500</v>
      </c>
      <c r="G433" s="38">
        <f>E433*500</f>
        <v>3500</v>
      </c>
      <c r="H433" s="38">
        <v>7000</v>
      </c>
    </row>
    <row r="434" spans="1:8" hidden="1" x14ac:dyDescent="0.25">
      <c r="A434" s="38"/>
      <c r="B434" s="50"/>
      <c r="C434" s="38"/>
      <c r="D434" s="38" t="s">
        <v>13</v>
      </c>
      <c r="E434" s="38">
        <v>4</v>
      </c>
      <c r="F434" s="38">
        <f>E434*6500</f>
        <v>26000</v>
      </c>
      <c r="G434" s="38">
        <f>E434*4500</f>
        <v>18000</v>
      </c>
      <c r="H434" s="38">
        <f>E434*2000</f>
        <v>8000</v>
      </c>
    </row>
    <row r="435" spans="1:8" hidden="1" x14ac:dyDescent="0.25">
      <c r="A435" s="38"/>
      <c r="B435" s="50"/>
      <c r="C435" s="38"/>
      <c r="D435" s="38" t="s">
        <v>14</v>
      </c>
      <c r="E435" s="38">
        <v>3</v>
      </c>
      <c r="F435" s="38">
        <f>E435*9000</f>
        <v>27000</v>
      </c>
      <c r="G435" s="38">
        <f>E435*5500</f>
        <v>16500</v>
      </c>
      <c r="H435" s="38">
        <f>E435*3500</f>
        <v>10500</v>
      </c>
    </row>
    <row r="436" spans="1:8" hidden="1" x14ac:dyDescent="0.25">
      <c r="A436" s="38"/>
      <c r="B436" s="50"/>
      <c r="C436" s="38"/>
      <c r="D436" s="38" t="s">
        <v>14</v>
      </c>
      <c r="E436" s="38">
        <v>9</v>
      </c>
      <c r="F436" s="38">
        <f>E436*10000</f>
        <v>90000</v>
      </c>
      <c r="G436" s="38">
        <f>E436*5500</f>
        <v>49500</v>
      </c>
      <c r="H436" s="38">
        <f>E436*4500</f>
        <v>40500</v>
      </c>
    </row>
    <row r="437" spans="1:8" hidden="1" x14ac:dyDescent="0.25">
      <c r="A437" s="38"/>
      <c r="B437" s="50"/>
      <c r="C437" s="38"/>
      <c r="D437" s="38" t="s">
        <v>425</v>
      </c>
      <c r="E437" s="38">
        <v>1</v>
      </c>
      <c r="F437" s="38">
        <v>2000</v>
      </c>
      <c r="G437" s="38">
        <v>1000</v>
      </c>
      <c r="H437" s="38">
        <v>1000</v>
      </c>
    </row>
    <row r="438" spans="1:8" hidden="1" x14ac:dyDescent="0.25">
      <c r="A438" s="38"/>
      <c r="B438" s="50"/>
      <c r="C438" s="38"/>
      <c r="D438" s="38" t="s">
        <v>415</v>
      </c>
      <c r="E438" s="38">
        <v>1</v>
      </c>
      <c r="F438" s="38">
        <v>5000</v>
      </c>
      <c r="G438" s="38">
        <v>2500</v>
      </c>
      <c r="H438" s="38">
        <v>2500</v>
      </c>
    </row>
    <row r="439" spans="1:8" hidden="1" x14ac:dyDescent="0.25">
      <c r="A439" s="131" t="s">
        <v>17</v>
      </c>
      <c r="B439" s="132"/>
      <c r="C439" s="132"/>
      <c r="D439" s="133"/>
      <c r="E439" s="17">
        <f>SUM(E428:E438)</f>
        <v>37</v>
      </c>
      <c r="F439" s="17">
        <f>SUM(F428:F438)</f>
        <v>198500</v>
      </c>
      <c r="G439" s="17">
        <f>SUM(G428:G438)</f>
        <v>111000</v>
      </c>
      <c r="H439" s="17">
        <f>SUM(H428:H438)</f>
        <v>87500</v>
      </c>
    </row>
    <row r="440" spans="1:8" x14ac:dyDescent="0.25">
      <c r="A440" s="38"/>
      <c r="B440" s="50"/>
      <c r="C440" s="38"/>
      <c r="D440" s="38"/>
      <c r="E440" s="38"/>
      <c r="F440" s="38"/>
      <c r="G440" s="38"/>
      <c r="H440" s="38"/>
    </row>
    <row r="441" spans="1:8" x14ac:dyDescent="0.25">
      <c r="A441" s="38"/>
      <c r="B441" s="50"/>
      <c r="C441" s="38"/>
      <c r="D441" s="38"/>
      <c r="E441" s="38"/>
      <c r="F441" s="38"/>
      <c r="G441" s="38"/>
      <c r="H441" s="38"/>
    </row>
    <row r="442" spans="1:8" x14ac:dyDescent="0.25">
      <c r="A442" s="38"/>
      <c r="B442" s="50"/>
      <c r="C442" s="38"/>
      <c r="D442" s="38"/>
      <c r="E442" s="38"/>
      <c r="F442" s="38"/>
      <c r="G442" s="38"/>
      <c r="H442" s="38"/>
    </row>
    <row r="443" spans="1:8" x14ac:dyDescent="0.25">
      <c r="A443" s="38"/>
      <c r="B443" s="50"/>
      <c r="C443" s="38"/>
      <c r="D443" s="38"/>
      <c r="E443" s="38"/>
      <c r="F443" s="38"/>
      <c r="G443" s="38"/>
      <c r="H443" s="38"/>
    </row>
    <row r="444" spans="1:8" x14ac:dyDescent="0.25">
      <c r="A444" s="38"/>
      <c r="B444" s="50"/>
      <c r="C444" s="38"/>
      <c r="D444" s="38"/>
      <c r="E444" s="38"/>
      <c r="F444" s="38"/>
      <c r="G444" s="38"/>
      <c r="H444" s="38"/>
    </row>
    <row r="445" spans="1:8" x14ac:dyDescent="0.25">
      <c r="A445" s="38"/>
      <c r="B445" s="50"/>
      <c r="C445" s="38"/>
      <c r="D445" s="38"/>
      <c r="E445" s="38"/>
      <c r="F445" s="38"/>
      <c r="G445" s="38"/>
      <c r="H445" s="38"/>
    </row>
    <row r="446" spans="1:8" x14ac:dyDescent="0.25">
      <c r="A446" s="38"/>
      <c r="B446" s="50"/>
      <c r="C446" s="38"/>
      <c r="D446" s="38"/>
      <c r="E446" s="38"/>
      <c r="F446" s="38"/>
      <c r="G446" s="38"/>
      <c r="H446" s="38"/>
    </row>
    <row r="447" spans="1:8" x14ac:dyDescent="0.25">
      <c r="A447" s="38"/>
      <c r="B447" s="50"/>
      <c r="C447" s="38"/>
      <c r="D447" s="38"/>
      <c r="E447" s="38"/>
      <c r="F447" s="38"/>
      <c r="G447" s="38"/>
      <c r="H447" s="38"/>
    </row>
    <row r="448" spans="1:8" x14ac:dyDescent="0.25">
      <c r="A448" s="38"/>
      <c r="B448" s="50"/>
      <c r="C448" s="38"/>
      <c r="D448" s="38"/>
      <c r="E448" s="38"/>
      <c r="F448" s="38"/>
      <c r="G448" s="38"/>
      <c r="H448" s="38"/>
    </row>
    <row r="449" spans="1:8" x14ac:dyDescent="0.25">
      <c r="A449" s="38"/>
      <c r="B449" s="50"/>
      <c r="C449" s="38"/>
      <c r="D449" s="38"/>
      <c r="E449" s="38"/>
      <c r="F449" s="38"/>
      <c r="G449" s="38"/>
      <c r="H449" s="38"/>
    </row>
    <row r="450" spans="1:8" x14ac:dyDescent="0.25">
      <c r="A450" s="38"/>
      <c r="B450" s="50"/>
      <c r="C450" s="38"/>
      <c r="D450" s="38"/>
      <c r="E450" s="38"/>
      <c r="F450" s="38"/>
      <c r="G450" s="38"/>
      <c r="H450" s="38"/>
    </row>
    <row r="451" spans="1:8" x14ac:dyDescent="0.25">
      <c r="A451" s="38"/>
      <c r="B451" s="50"/>
      <c r="C451" s="38"/>
      <c r="D451" s="38"/>
      <c r="E451" s="38"/>
      <c r="F451" s="38"/>
      <c r="G451" s="38"/>
      <c r="H451" s="38"/>
    </row>
    <row r="452" spans="1:8" x14ac:dyDescent="0.25">
      <c r="A452" s="38"/>
      <c r="B452" s="50"/>
      <c r="C452" s="38"/>
      <c r="D452" s="38"/>
      <c r="E452" s="38"/>
      <c r="F452" s="38"/>
      <c r="G452" s="38"/>
      <c r="H452" s="38"/>
    </row>
    <row r="453" spans="1:8" x14ac:dyDescent="0.25">
      <c r="A453" s="38"/>
      <c r="B453" s="50"/>
      <c r="C453" s="38"/>
      <c r="D453" s="38"/>
      <c r="E453" s="38"/>
      <c r="F453" s="38"/>
      <c r="G453" s="38"/>
      <c r="H453" s="38"/>
    </row>
    <row r="454" spans="1:8" x14ac:dyDescent="0.25">
      <c r="A454" s="38"/>
      <c r="B454" s="50"/>
      <c r="C454" s="38"/>
      <c r="D454" s="38"/>
      <c r="E454" s="38"/>
      <c r="F454" s="38"/>
      <c r="G454" s="38"/>
      <c r="H454" s="38"/>
    </row>
    <row r="455" spans="1:8" x14ac:dyDescent="0.25">
      <c r="A455" s="38"/>
      <c r="B455" s="50"/>
      <c r="C455" s="38"/>
      <c r="D455" s="38"/>
      <c r="E455" s="38"/>
      <c r="F455" s="38"/>
      <c r="G455" s="38"/>
      <c r="H455" s="38"/>
    </row>
    <row r="456" spans="1:8" x14ac:dyDescent="0.25">
      <c r="A456" s="38"/>
      <c r="B456" s="50"/>
      <c r="C456" s="38"/>
      <c r="D456" s="38"/>
      <c r="E456" s="38"/>
      <c r="F456" s="38"/>
      <c r="G456" s="38"/>
      <c r="H456" s="38"/>
    </row>
    <row r="457" spans="1:8" x14ac:dyDescent="0.25">
      <c r="A457" s="38"/>
      <c r="B457" s="50"/>
      <c r="C457" s="38"/>
      <c r="D457" s="38"/>
      <c r="E457" s="38"/>
      <c r="F457" s="38"/>
      <c r="G457" s="38"/>
      <c r="H457" s="38"/>
    </row>
    <row r="458" spans="1:8" x14ac:dyDescent="0.25">
      <c r="A458" s="38"/>
      <c r="B458" s="50"/>
      <c r="C458" s="38"/>
      <c r="D458" s="38"/>
      <c r="E458" s="38"/>
      <c r="F458" s="38"/>
      <c r="G458" s="38"/>
      <c r="H458" s="38"/>
    </row>
    <row r="459" spans="1:8" x14ac:dyDescent="0.25">
      <c r="A459" s="38"/>
      <c r="B459" s="50"/>
      <c r="C459" s="38"/>
      <c r="D459" s="38"/>
      <c r="E459" s="38"/>
      <c r="F459" s="38"/>
      <c r="G459" s="38"/>
      <c r="H459" s="38"/>
    </row>
    <row r="460" spans="1:8" x14ac:dyDescent="0.25">
      <c r="A460" s="38"/>
      <c r="B460" s="50"/>
      <c r="C460" s="38"/>
      <c r="D460" s="38"/>
      <c r="E460" s="38"/>
      <c r="F460" s="38"/>
      <c r="G460" s="38"/>
      <c r="H460" s="38"/>
    </row>
    <row r="461" spans="1:8" x14ac:dyDescent="0.25">
      <c r="A461" s="38"/>
      <c r="B461" s="50"/>
      <c r="C461" s="38"/>
      <c r="D461" s="38"/>
      <c r="E461" s="38"/>
      <c r="F461" s="38"/>
      <c r="G461" s="38"/>
      <c r="H461" s="38"/>
    </row>
    <row r="462" spans="1:8" x14ac:dyDescent="0.25">
      <c r="A462" s="38"/>
      <c r="B462" s="50"/>
      <c r="C462" s="38"/>
      <c r="D462" s="38"/>
      <c r="E462" s="38"/>
      <c r="F462" s="38"/>
      <c r="G462" s="38"/>
      <c r="H462" s="38"/>
    </row>
    <row r="463" spans="1:8" x14ac:dyDescent="0.25">
      <c r="A463" s="38"/>
      <c r="B463" s="50"/>
      <c r="C463" s="38"/>
      <c r="D463" s="38"/>
      <c r="E463" s="38"/>
      <c r="F463" s="38"/>
      <c r="G463" s="38"/>
      <c r="H463" s="38"/>
    </row>
    <row r="464" spans="1:8" x14ac:dyDescent="0.25">
      <c r="A464" s="38"/>
      <c r="B464" s="50"/>
      <c r="C464" s="38"/>
      <c r="D464" s="38"/>
      <c r="E464" s="38"/>
      <c r="F464" s="38"/>
      <c r="G464" s="38"/>
      <c r="H464" s="38"/>
    </row>
    <row r="465" spans="1:8" x14ac:dyDescent="0.25">
      <c r="A465" s="38"/>
      <c r="B465" s="50"/>
      <c r="C465" s="38"/>
      <c r="D465" s="38"/>
      <c r="E465" s="38"/>
      <c r="F465" s="38"/>
      <c r="G465" s="38"/>
      <c r="H465" s="38"/>
    </row>
    <row r="466" spans="1:8" x14ac:dyDescent="0.25">
      <c r="A466" s="38"/>
      <c r="B466" s="50"/>
      <c r="C466" s="38"/>
      <c r="D466" s="38"/>
      <c r="E466" s="38"/>
      <c r="F466" s="38"/>
      <c r="G466" s="38"/>
      <c r="H466" s="38"/>
    </row>
    <row r="467" spans="1:8" x14ac:dyDescent="0.25">
      <c r="A467" s="38"/>
      <c r="B467" s="50"/>
      <c r="C467" s="38"/>
      <c r="D467" s="38"/>
      <c r="E467" s="38"/>
      <c r="F467" s="38"/>
      <c r="G467" s="38"/>
      <c r="H467" s="38"/>
    </row>
    <row r="468" spans="1:8" x14ac:dyDescent="0.25">
      <c r="A468" s="38"/>
      <c r="B468" s="50"/>
      <c r="C468" s="38"/>
      <c r="D468" s="38"/>
      <c r="E468" s="38"/>
      <c r="F468" s="38"/>
      <c r="G468" s="38"/>
      <c r="H468" s="38"/>
    </row>
    <row r="469" spans="1:8" x14ac:dyDescent="0.25">
      <c r="A469" s="38"/>
      <c r="B469" s="50"/>
      <c r="C469" s="38"/>
      <c r="D469" s="38"/>
      <c r="E469" s="38"/>
      <c r="F469" s="38"/>
      <c r="G469" s="38"/>
      <c r="H469" s="38"/>
    </row>
    <row r="470" spans="1:8" x14ac:dyDescent="0.25">
      <c r="A470" s="38"/>
      <c r="B470" s="50"/>
      <c r="C470" s="38"/>
      <c r="D470" s="38"/>
      <c r="E470" s="38"/>
      <c r="F470" s="38"/>
      <c r="G470" s="38"/>
      <c r="H470" s="38"/>
    </row>
    <row r="471" spans="1:8" x14ac:dyDescent="0.25">
      <c r="A471" s="38"/>
      <c r="B471" s="50"/>
      <c r="C471" s="38"/>
      <c r="D471" s="38"/>
      <c r="E471" s="38"/>
      <c r="F471" s="38"/>
      <c r="G471" s="38"/>
      <c r="H471" s="38"/>
    </row>
    <row r="472" spans="1:8" x14ac:dyDescent="0.25">
      <c r="A472" s="38"/>
      <c r="B472" s="50"/>
      <c r="C472" s="38"/>
      <c r="D472" s="38"/>
      <c r="E472" s="38"/>
      <c r="F472" s="38"/>
      <c r="G472" s="38"/>
      <c r="H472" s="38"/>
    </row>
    <row r="473" spans="1:8" x14ac:dyDescent="0.25">
      <c r="A473" s="38"/>
      <c r="B473" s="50"/>
      <c r="C473" s="38"/>
      <c r="D473" s="38"/>
      <c r="E473" s="38"/>
      <c r="F473" s="38"/>
      <c r="G473" s="38"/>
      <c r="H473" s="38"/>
    </row>
    <row r="474" spans="1:8" x14ac:dyDescent="0.25">
      <c r="A474" s="38"/>
      <c r="B474" s="50"/>
      <c r="C474" s="38"/>
      <c r="D474" s="38"/>
      <c r="E474" s="38"/>
      <c r="F474" s="38"/>
      <c r="G474" s="38"/>
      <c r="H474" s="38"/>
    </row>
    <row r="475" spans="1:8" x14ac:dyDescent="0.25">
      <c r="A475" s="38"/>
      <c r="B475" s="50"/>
      <c r="C475" s="38"/>
      <c r="D475" s="38"/>
      <c r="E475" s="38"/>
      <c r="F475" s="38"/>
      <c r="G475" s="38"/>
      <c r="H475" s="38"/>
    </row>
    <row r="476" spans="1:8" x14ac:dyDescent="0.25">
      <c r="A476" s="38"/>
      <c r="B476" s="50"/>
      <c r="C476" s="38"/>
      <c r="D476" s="38"/>
      <c r="E476" s="38"/>
      <c r="F476" s="38"/>
      <c r="G476" s="38"/>
      <c r="H476" s="38"/>
    </row>
    <row r="477" spans="1:8" x14ac:dyDescent="0.25">
      <c r="A477" s="38"/>
      <c r="B477" s="50"/>
      <c r="C477" s="38"/>
      <c r="D477" s="38"/>
      <c r="E477" s="38"/>
      <c r="F477" s="38"/>
      <c r="G477" s="38"/>
      <c r="H477" s="38"/>
    </row>
    <row r="478" spans="1:8" x14ac:dyDescent="0.25">
      <c r="A478" s="38"/>
      <c r="B478" s="50"/>
      <c r="C478" s="38"/>
      <c r="D478" s="38"/>
      <c r="E478" s="38"/>
      <c r="F478" s="38"/>
      <c r="G478" s="38"/>
      <c r="H478" s="38"/>
    </row>
    <row r="479" spans="1:8" x14ac:dyDescent="0.25">
      <c r="A479" s="38"/>
      <c r="B479" s="50"/>
      <c r="C479" s="38"/>
      <c r="D479" s="38"/>
      <c r="E479" s="38"/>
      <c r="F479" s="38"/>
      <c r="G479" s="38"/>
      <c r="H479" s="38"/>
    </row>
    <row r="480" spans="1:8" x14ac:dyDescent="0.25">
      <c r="A480" s="38"/>
      <c r="B480" s="50"/>
      <c r="C480" s="38"/>
      <c r="D480" s="38"/>
      <c r="E480" s="38"/>
      <c r="F480" s="38"/>
      <c r="G480" s="38"/>
      <c r="H480" s="38"/>
    </row>
    <row r="481" spans="1:8" x14ac:dyDescent="0.25">
      <c r="A481" s="38"/>
      <c r="B481" s="50"/>
      <c r="C481" s="38"/>
      <c r="D481" s="38"/>
      <c r="E481" s="38"/>
      <c r="F481" s="38"/>
      <c r="G481" s="38"/>
      <c r="H481" s="38"/>
    </row>
    <row r="482" spans="1:8" x14ac:dyDescent="0.25">
      <c r="A482" s="38"/>
      <c r="B482" s="50"/>
      <c r="C482" s="38"/>
      <c r="D482" s="38"/>
      <c r="E482" s="38"/>
      <c r="F482" s="38"/>
      <c r="G482" s="38"/>
      <c r="H482" s="38"/>
    </row>
    <row r="483" spans="1:8" x14ac:dyDescent="0.25">
      <c r="A483" s="38"/>
      <c r="B483" s="50"/>
      <c r="C483" s="38"/>
      <c r="D483" s="38"/>
      <c r="E483" s="38"/>
      <c r="F483" s="38"/>
      <c r="G483" s="38"/>
      <c r="H483" s="38"/>
    </row>
    <row r="484" spans="1:8" x14ac:dyDescent="0.25">
      <c r="A484" s="38"/>
      <c r="B484" s="50"/>
      <c r="C484" s="38"/>
      <c r="D484" s="38"/>
      <c r="E484" s="38"/>
      <c r="F484" s="38"/>
      <c r="G484" s="38"/>
      <c r="H484" s="38"/>
    </row>
    <row r="485" spans="1:8" x14ac:dyDescent="0.25">
      <c r="A485" s="38"/>
      <c r="B485" s="50"/>
      <c r="C485" s="38"/>
      <c r="D485" s="38"/>
      <c r="E485" s="38"/>
      <c r="F485" s="38"/>
      <c r="G485" s="38"/>
      <c r="H485" s="38"/>
    </row>
    <row r="486" spans="1:8" x14ac:dyDescent="0.25">
      <c r="A486" s="38"/>
      <c r="B486" s="50"/>
      <c r="C486" s="38"/>
      <c r="D486" s="38"/>
      <c r="E486" s="38"/>
      <c r="F486" s="38"/>
      <c r="G486" s="38"/>
      <c r="H486" s="38"/>
    </row>
    <row r="487" spans="1:8" x14ac:dyDescent="0.25">
      <c r="A487" s="38"/>
      <c r="B487" s="50"/>
      <c r="C487" s="38"/>
      <c r="D487" s="38"/>
      <c r="E487" s="38"/>
      <c r="F487" s="38"/>
      <c r="G487" s="38"/>
      <c r="H487" s="38"/>
    </row>
    <row r="488" spans="1:8" x14ac:dyDescent="0.25">
      <c r="A488" s="38"/>
      <c r="B488" s="50"/>
      <c r="C488" s="38"/>
      <c r="D488" s="38"/>
      <c r="E488" s="38"/>
      <c r="F488" s="38"/>
      <c r="G488" s="38"/>
      <c r="H488" s="38"/>
    </row>
    <row r="489" spans="1:8" x14ac:dyDescent="0.25">
      <c r="A489" s="38"/>
      <c r="B489" s="50"/>
      <c r="C489" s="38"/>
      <c r="D489" s="38"/>
      <c r="E489" s="38"/>
      <c r="F489" s="38"/>
      <c r="G489" s="38"/>
      <c r="H489" s="38"/>
    </row>
    <row r="490" spans="1:8" x14ac:dyDescent="0.25">
      <c r="A490" s="38"/>
      <c r="B490" s="50"/>
      <c r="C490" s="38"/>
      <c r="D490" s="38"/>
      <c r="E490" s="38"/>
      <c r="F490" s="38"/>
      <c r="G490" s="38"/>
      <c r="H490" s="38"/>
    </row>
    <row r="491" spans="1:8" x14ac:dyDescent="0.25">
      <c r="A491" s="38"/>
      <c r="B491" s="50"/>
      <c r="C491" s="38"/>
      <c r="D491" s="38"/>
      <c r="E491" s="38"/>
      <c r="F491" s="38"/>
      <c r="G491" s="38"/>
      <c r="H491" s="38"/>
    </row>
    <row r="492" spans="1:8" x14ac:dyDescent="0.25">
      <c r="A492" s="38"/>
      <c r="B492" s="50"/>
      <c r="C492" s="38"/>
      <c r="D492" s="38"/>
      <c r="E492" s="38"/>
      <c r="F492" s="38"/>
      <c r="G492" s="38"/>
      <c r="H492" s="38"/>
    </row>
    <row r="493" spans="1:8" x14ac:dyDescent="0.25">
      <c r="A493" s="38"/>
      <c r="B493" s="50"/>
      <c r="C493" s="38"/>
      <c r="D493" s="38"/>
      <c r="E493" s="38"/>
      <c r="F493" s="38"/>
      <c r="G493" s="38"/>
      <c r="H493" s="38"/>
    </row>
    <row r="494" spans="1:8" x14ac:dyDescent="0.25">
      <c r="A494" s="38"/>
      <c r="B494" s="50"/>
      <c r="C494" s="38"/>
      <c r="D494" s="38"/>
      <c r="E494" s="38"/>
      <c r="F494" s="38"/>
      <c r="G494" s="38"/>
      <c r="H494" s="38"/>
    </row>
    <row r="495" spans="1:8" x14ac:dyDescent="0.25">
      <c r="A495" s="38"/>
      <c r="B495" s="50"/>
      <c r="C495" s="38"/>
      <c r="D495" s="38"/>
      <c r="E495" s="38"/>
      <c r="F495" s="38"/>
      <c r="G495" s="38"/>
      <c r="H495" s="38"/>
    </row>
    <row r="496" spans="1:8" x14ac:dyDescent="0.25">
      <c r="A496" s="38"/>
      <c r="B496" s="50"/>
      <c r="C496" s="38"/>
      <c r="D496" s="38"/>
      <c r="E496" s="38"/>
      <c r="F496" s="38"/>
      <c r="G496" s="38"/>
      <c r="H496" s="38"/>
    </row>
    <row r="497" spans="1:8" x14ac:dyDescent="0.25">
      <c r="A497" s="38"/>
      <c r="B497" s="50"/>
      <c r="C497" s="38"/>
      <c r="D497" s="38"/>
      <c r="E497" s="38"/>
      <c r="F497" s="38"/>
      <c r="G497" s="38"/>
      <c r="H497" s="38"/>
    </row>
    <row r="498" spans="1:8" x14ac:dyDescent="0.25">
      <c r="A498" s="38"/>
      <c r="B498" s="50"/>
      <c r="C498" s="38"/>
      <c r="D498" s="38"/>
      <c r="E498" s="38"/>
      <c r="F498" s="38"/>
      <c r="G498" s="38"/>
      <c r="H498" s="38"/>
    </row>
    <row r="499" spans="1:8" x14ac:dyDescent="0.25">
      <c r="A499" s="38"/>
      <c r="B499" s="50"/>
      <c r="C499" s="38"/>
      <c r="D499" s="38"/>
      <c r="E499" s="38"/>
      <c r="F499" s="38"/>
      <c r="G499" s="38"/>
      <c r="H499" s="38"/>
    </row>
    <row r="500" spans="1:8" x14ac:dyDescent="0.25">
      <c r="A500" s="38"/>
      <c r="B500" s="50"/>
      <c r="C500" s="38"/>
      <c r="D500" s="38"/>
      <c r="E500" s="38"/>
      <c r="F500" s="38"/>
      <c r="G500" s="38"/>
      <c r="H500" s="38"/>
    </row>
    <row r="501" spans="1:8" x14ac:dyDescent="0.25">
      <c r="A501" s="38"/>
      <c r="B501" s="50"/>
      <c r="C501" s="38"/>
      <c r="D501" s="38"/>
      <c r="E501" s="38"/>
      <c r="F501" s="38"/>
      <c r="G501" s="38"/>
      <c r="H501" s="38"/>
    </row>
    <row r="502" spans="1:8" x14ac:dyDescent="0.25">
      <c r="A502" s="38"/>
      <c r="B502" s="50"/>
      <c r="C502" s="38"/>
      <c r="D502" s="38"/>
      <c r="E502" s="38"/>
      <c r="F502" s="38"/>
      <c r="G502" s="38"/>
      <c r="H502" s="38"/>
    </row>
    <row r="503" spans="1:8" x14ac:dyDescent="0.25">
      <c r="A503" s="38"/>
      <c r="B503" s="50"/>
      <c r="C503" s="38"/>
      <c r="D503" s="38"/>
      <c r="E503" s="38"/>
      <c r="F503" s="38"/>
      <c r="G503" s="38"/>
      <c r="H503" s="38"/>
    </row>
    <row r="504" spans="1:8" x14ac:dyDescent="0.25">
      <c r="A504" s="38"/>
      <c r="B504" s="50"/>
      <c r="C504" s="38"/>
      <c r="D504" s="38"/>
      <c r="E504" s="38"/>
      <c r="F504" s="38"/>
      <c r="G504" s="38"/>
      <c r="H504" s="38"/>
    </row>
    <row r="505" spans="1:8" x14ac:dyDescent="0.25">
      <c r="A505" s="38"/>
      <c r="B505" s="50"/>
      <c r="C505" s="38"/>
      <c r="D505" s="38"/>
      <c r="E505" s="38"/>
      <c r="F505" s="38"/>
      <c r="G505" s="38"/>
      <c r="H505" s="38"/>
    </row>
    <row r="506" spans="1:8" x14ac:dyDescent="0.25">
      <c r="A506" s="38"/>
      <c r="B506" s="50"/>
      <c r="C506" s="38"/>
      <c r="D506" s="38"/>
      <c r="E506" s="38"/>
      <c r="F506" s="38"/>
      <c r="G506" s="38"/>
      <c r="H506" s="38"/>
    </row>
    <row r="507" spans="1:8" x14ac:dyDescent="0.25">
      <c r="A507" s="38"/>
      <c r="B507" s="50"/>
      <c r="C507" s="38"/>
      <c r="D507" s="38"/>
      <c r="E507" s="38"/>
      <c r="F507" s="38"/>
      <c r="G507" s="38"/>
      <c r="H507" s="38"/>
    </row>
    <row r="508" spans="1:8" x14ac:dyDescent="0.25">
      <c r="A508" s="38"/>
      <c r="B508" s="50"/>
      <c r="C508" s="38"/>
      <c r="D508" s="38"/>
      <c r="E508" s="38"/>
      <c r="F508" s="38"/>
      <c r="G508" s="38"/>
      <c r="H508" s="38"/>
    </row>
    <row r="509" spans="1:8" x14ac:dyDescent="0.25">
      <c r="A509" s="38"/>
      <c r="B509" s="50"/>
      <c r="C509" s="38"/>
      <c r="D509" s="38"/>
      <c r="E509" s="38"/>
      <c r="F509" s="38"/>
      <c r="G509" s="38"/>
      <c r="H509" s="38"/>
    </row>
    <row r="510" spans="1:8" x14ac:dyDescent="0.25">
      <c r="A510" s="38"/>
      <c r="B510" s="50"/>
      <c r="C510" s="38"/>
      <c r="D510" s="38"/>
      <c r="E510" s="38"/>
      <c r="F510" s="38"/>
      <c r="G510" s="38"/>
      <c r="H510" s="38"/>
    </row>
    <row r="511" spans="1:8" x14ac:dyDescent="0.25">
      <c r="A511" s="38"/>
      <c r="B511" s="50"/>
      <c r="C511" s="38"/>
      <c r="D511" s="38"/>
      <c r="E511" s="38"/>
      <c r="F511" s="38"/>
      <c r="G511" s="38"/>
      <c r="H511" s="38"/>
    </row>
    <row r="512" spans="1:8" x14ac:dyDescent="0.25">
      <c r="A512" s="38"/>
      <c r="B512" s="50"/>
      <c r="C512" s="38"/>
      <c r="D512" s="38"/>
      <c r="E512" s="38"/>
      <c r="F512" s="38"/>
      <c r="G512" s="38"/>
      <c r="H512" s="38"/>
    </row>
    <row r="513" spans="1:8" x14ac:dyDescent="0.25">
      <c r="A513" s="38"/>
      <c r="B513" s="50"/>
      <c r="C513" s="38"/>
      <c r="D513" s="38"/>
      <c r="E513" s="38"/>
      <c r="F513" s="38"/>
      <c r="G513" s="38"/>
      <c r="H513" s="38"/>
    </row>
    <row r="514" spans="1:8" x14ac:dyDescent="0.25">
      <c r="A514" s="38"/>
      <c r="B514" s="50"/>
      <c r="C514" s="38"/>
      <c r="D514" s="38"/>
      <c r="E514" s="38"/>
      <c r="F514" s="38"/>
      <c r="G514" s="38"/>
      <c r="H514" s="38"/>
    </row>
    <row r="515" spans="1:8" x14ac:dyDescent="0.25">
      <c r="A515" s="38"/>
      <c r="B515" s="50"/>
      <c r="C515" s="38"/>
      <c r="D515" s="38"/>
      <c r="E515" s="38"/>
      <c r="F515" s="38"/>
      <c r="G515" s="38"/>
      <c r="H515" s="38"/>
    </row>
    <row r="516" spans="1:8" x14ac:dyDescent="0.25">
      <c r="A516" s="38"/>
      <c r="B516" s="50"/>
      <c r="C516" s="38"/>
      <c r="D516" s="38"/>
      <c r="E516" s="38"/>
      <c r="F516" s="38"/>
      <c r="G516" s="38"/>
      <c r="H516" s="38"/>
    </row>
    <row r="517" spans="1:8" x14ac:dyDescent="0.25">
      <c r="A517" s="38"/>
      <c r="B517" s="50"/>
      <c r="C517" s="38"/>
      <c r="D517" s="38"/>
      <c r="E517" s="38"/>
      <c r="F517" s="38"/>
      <c r="G517" s="38"/>
      <c r="H517" s="38"/>
    </row>
    <row r="518" spans="1:8" x14ac:dyDescent="0.25">
      <c r="A518" s="38"/>
      <c r="B518" s="50"/>
      <c r="C518" s="38"/>
      <c r="D518" s="38"/>
      <c r="E518" s="38"/>
      <c r="F518" s="38"/>
      <c r="G518" s="38"/>
      <c r="H518" s="38"/>
    </row>
    <row r="519" spans="1:8" x14ac:dyDescent="0.25">
      <c r="A519" s="38"/>
      <c r="B519" s="50"/>
      <c r="C519" s="38"/>
      <c r="D519" s="38"/>
      <c r="E519" s="38"/>
      <c r="F519" s="38"/>
      <c r="G519" s="38"/>
      <c r="H519" s="38"/>
    </row>
    <row r="520" spans="1:8" x14ac:dyDescent="0.25">
      <c r="A520" s="38"/>
      <c r="B520" s="50"/>
      <c r="C520" s="38"/>
      <c r="D520" s="38"/>
      <c r="E520" s="38"/>
      <c r="F520" s="38"/>
      <c r="G520" s="38"/>
      <c r="H520" s="38"/>
    </row>
    <row r="521" spans="1:8" x14ac:dyDescent="0.25">
      <c r="A521" s="38"/>
      <c r="B521" s="50"/>
      <c r="C521" s="38"/>
      <c r="D521" s="38"/>
      <c r="E521" s="38"/>
      <c r="F521" s="38"/>
      <c r="G521" s="38"/>
      <c r="H521" s="38"/>
    </row>
    <row r="522" spans="1:8" x14ac:dyDescent="0.25">
      <c r="A522" s="38"/>
      <c r="B522" s="50"/>
      <c r="C522" s="38"/>
      <c r="D522" s="38"/>
      <c r="E522" s="38"/>
      <c r="F522" s="38"/>
      <c r="G522" s="38"/>
      <c r="H522" s="38"/>
    </row>
    <row r="523" spans="1:8" x14ac:dyDescent="0.25">
      <c r="A523" s="38"/>
      <c r="B523" s="50"/>
      <c r="C523" s="38"/>
      <c r="D523" s="38"/>
      <c r="E523" s="38"/>
      <c r="F523" s="38"/>
      <c r="G523" s="38"/>
      <c r="H523" s="38"/>
    </row>
    <row r="524" spans="1:8" x14ac:dyDescent="0.25">
      <c r="A524" s="38"/>
      <c r="B524" s="50"/>
      <c r="C524" s="38"/>
      <c r="D524" s="38"/>
      <c r="E524" s="38"/>
      <c r="F524" s="38"/>
      <c r="G524" s="38"/>
      <c r="H524" s="38"/>
    </row>
    <row r="525" spans="1:8" x14ac:dyDescent="0.25">
      <c r="A525" s="38"/>
      <c r="B525" s="50"/>
      <c r="C525" s="38"/>
      <c r="D525" s="38"/>
      <c r="E525" s="38"/>
      <c r="F525" s="38"/>
      <c r="G525" s="38"/>
      <c r="H525" s="38"/>
    </row>
    <row r="526" spans="1:8" x14ac:dyDescent="0.25">
      <c r="A526" s="38"/>
      <c r="B526" s="50"/>
      <c r="C526" s="38"/>
      <c r="D526" s="38"/>
      <c r="E526" s="38"/>
      <c r="F526" s="38"/>
      <c r="G526" s="38"/>
      <c r="H526" s="38"/>
    </row>
    <row r="527" spans="1:8" x14ac:dyDescent="0.25">
      <c r="A527" s="38"/>
      <c r="B527" s="50"/>
      <c r="C527" s="38"/>
      <c r="D527" s="38"/>
      <c r="E527" s="38"/>
      <c r="F527" s="38"/>
      <c r="G527" s="38"/>
      <c r="H527" s="38"/>
    </row>
    <row r="528" spans="1:8" x14ac:dyDescent="0.25">
      <c r="A528" s="38"/>
      <c r="B528" s="50"/>
      <c r="C528" s="38"/>
      <c r="D528" s="38"/>
      <c r="E528" s="38"/>
      <c r="F528" s="38"/>
      <c r="G528" s="38"/>
      <c r="H528" s="38"/>
    </row>
    <row r="529" spans="1:8" x14ac:dyDescent="0.25">
      <c r="A529" s="38"/>
      <c r="B529" s="50"/>
      <c r="C529" s="38"/>
      <c r="D529" s="38"/>
      <c r="E529" s="38"/>
      <c r="F529" s="38"/>
      <c r="G529" s="38"/>
      <c r="H529" s="38"/>
    </row>
    <row r="530" spans="1:8" x14ac:dyDescent="0.25">
      <c r="A530" s="38"/>
      <c r="B530" s="50"/>
      <c r="C530" s="38"/>
      <c r="D530" s="38"/>
      <c r="E530" s="38"/>
      <c r="F530" s="38"/>
      <c r="G530" s="38"/>
      <c r="H530" s="38"/>
    </row>
    <row r="531" spans="1:8" x14ac:dyDescent="0.25">
      <c r="A531" s="38"/>
      <c r="B531" s="50"/>
      <c r="C531" s="38"/>
      <c r="D531" s="38"/>
      <c r="E531" s="38"/>
      <c r="F531" s="38"/>
      <c r="G531" s="38"/>
      <c r="H531" s="38"/>
    </row>
    <row r="532" spans="1:8" x14ac:dyDescent="0.25">
      <c r="A532" s="38"/>
      <c r="B532" s="50"/>
      <c r="C532" s="38"/>
      <c r="D532" s="38"/>
      <c r="E532" s="38"/>
      <c r="F532" s="38"/>
      <c r="G532" s="38"/>
      <c r="H532" s="38"/>
    </row>
    <row r="533" spans="1:8" x14ac:dyDescent="0.25">
      <c r="A533" s="38"/>
      <c r="B533" s="50"/>
      <c r="C533" s="38"/>
      <c r="D533" s="38"/>
      <c r="E533" s="38"/>
      <c r="F533" s="38"/>
      <c r="G533" s="38"/>
      <c r="H533" s="38"/>
    </row>
    <row r="534" spans="1:8" x14ac:dyDescent="0.25">
      <c r="A534" s="38"/>
      <c r="B534" s="50"/>
      <c r="C534" s="38"/>
      <c r="D534" s="38"/>
      <c r="E534" s="38"/>
      <c r="F534" s="38"/>
      <c r="G534" s="38"/>
      <c r="H534" s="38"/>
    </row>
    <row r="535" spans="1:8" x14ac:dyDescent="0.25">
      <c r="A535" s="38"/>
      <c r="B535" s="50"/>
      <c r="C535" s="38"/>
      <c r="D535" s="38"/>
      <c r="E535" s="38"/>
      <c r="F535" s="38"/>
      <c r="G535" s="38"/>
      <c r="H535" s="38"/>
    </row>
    <row r="536" spans="1:8" x14ac:dyDescent="0.25">
      <c r="A536" s="38"/>
      <c r="B536" s="50"/>
      <c r="C536" s="38"/>
      <c r="D536" s="38"/>
      <c r="E536" s="38"/>
      <c r="F536" s="38"/>
      <c r="G536" s="38"/>
      <c r="H536" s="38"/>
    </row>
    <row r="537" spans="1:8" x14ac:dyDescent="0.25">
      <c r="A537" s="38"/>
      <c r="B537" s="50"/>
      <c r="C537" s="38"/>
      <c r="D537" s="38"/>
      <c r="E537" s="38"/>
      <c r="F537" s="38"/>
      <c r="G537" s="38"/>
      <c r="H537" s="38"/>
    </row>
    <row r="538" spans="1:8" x14ac:dyDescent="0.25">
      <c r="A538" s="38"/>
      <c r="B538" s="50"/>
      <c r="C538" s="38"/>
      <c r="D538" s="38"/>
      <c r="E538" s="38"/>
      <c r="F538" s="38"/>
      <c r="G538" s="38"/>
      <c r="H538" s="38"/>
    </row>
    <row r="539" spans="1:8" x14ac:dyDescent="0.25">
      <c r="A539" s="38"/>
      <c r="B539" s="50"/>
      <c r="C539" s="38"/>
      <c r="D539" s="38"/>
      <c r="E539" s="38"/>
      <c r="F539" s="38"/>
      <c r="G539" s="38"/>
      <c r="H539" s="38"/>
    </row>
    <row r="540" spans="1:8" x14ac:dyDescent="0.25">
      <c r="A540" s="38"/>
      <c r="B540" s="50"/>
      <c r="C540" s="38"/>
      <c r="D540" s="38"/>
      <c r="E540" s="38"/>
      <c r="F540" s="38"/>
      <c r="G540" s="38"/>
      <c r="H540" s="38"/>
    </row>
    <row r="541" spans="1:8" x14ac:dyDescent="0.25">
      <c r="A541" s="38"/>
      <c r="B541" s="50"/>
      <c r="C541" s="38"/>
      <c r="D541" s="38"/>
      <c r="E541" s="38"/>
      <c r="F541" s="38"/>
      <c r="G541" s="38"/>
      <c r="H541" s="38"/>
    </row>
    <row r="542" spans="1:8" x14ac:dyDescent="0.25">
      <c r="A542" s="38"/>
      <c r="B542" s="50"/>
      <c r="C542" s="38"/>
      <c r="D542" s="38"/>
      <c r="E542" s="38"/>
      <c r="F542" s="38"/>
      <c r="G542" s="38"/>
      <c r="H542" s="38"/>
    </row>
    <row r="543" spans="1:8" x14ac:dyDescent="0.25">
      <c r="A543" s="38"/>
      <c r="B543" s="50"/>
      <c r="C543" s="38"/>
      <c r="D543" s="38"/>
      <c r="E543" s="38"/>
      <c r="F543" s="38"/>
      <c r="G543" s="38"/>
      <c r="H543" s="38"/>
    </row>
    <row r="544" spans="1:8" x14ac:dyDescent="0.25">
      <c r="A544" s="38"/>
      <c r="B544" s="50"/>
      <c r="C544" s="38"/>
      <c r="D544" s="38"/>
      <c r="E544" s="38"/>
      <c r="F544" s="38"/>
      <c r="G544" s="38"/>
      <c r="H544" s="38"/>
    </row>
    <row r="545" spans="1:8" x14ac:dyDescent="0.25">
      <c r="A545" s="38"/>
      <c r="B545" s="50"/>
      <c r="C545" s="38"/>
      <c r="D545" s="38"/>
      <c r="E545" s="38"/>
      <c r="F545" s="38"/>
      <c r="G545" s="38"/>
      <c r="H545" s="38"/>
    </row>
    <row r="546" spans="1:8" x14ac:dyDescent="0.25">
      <c r="A546" s="38"/>
      <c r="B546" s="50"/>
      <c r="C546" s="38"/>
      <c r="D546" s="38"/>
      <c r="E546" s="38"/>
      <c r="F546" s="38"/>
      <c r="G546" s="38"/>
      <c r="H546" s="38"/>
    </row>
    <row r="547" spans="1:8" x14ac:dyDescent="0.25">
      <c r="A547" s="38"/>
      <c r="B547" s="50"/>
      <c r="C547" s="38"/>
      <c r="D547" s="38"/>
      <c r="E547" s="38"/>
      <c r="F547" s="38"/>
      <c r="G547" s="38"/>
      <c r="H547" s="38"/>
    </row>
    <row r="548" spans="1:8" x14ac:dyDescent="0.25">
      <c r="A548" s="38"/>
      <c r="B548" s="50"/>
      <c r="C548" s="38"/>
      <c r="D548" s="38"/>
      <c r="E548" s="38"/>
      <c r="F548" s="38"/>
      <c r="G548" s="38"/>
      <c r="H548" s="38"/>
    </row>
    <row r="549" spans="1:8" x14ac:dyDescent="0.25">
      <c r="A549" s="38"/>
      <c r="B549" s="50"/>
      <c r="C549" s="38"/>
      <c r="D549" s="38"/>
      <c r="E549" s="38"/>
      <c r="F549" s="38"/>
      <c r="G549" s="38"/>
      <c r="H549" s="38"/>
    </row>
    <row r="550" spans="1:8" x14ac:dyDescent="0.25">
      <c r="A550" s="38"/>
      <c r="B550" s="50"/>
      <c r="C550" s="38"/>
      <c r="D550" s="38"/>
      <c r="E550" s="38"/>
      <c r="F550" s="38"/>
      <c r="G550" s="38"/>
      <c r="H550" s="38"/>
    </row>
    <row r="551" spans="1:8" x14ac:dyDescent="0.25">
      <c r="A551" s="38"/>
      <c r="B551" s="50"/>
      <c r="C551" s="38"/>
      <c r="D551" s="38"/>
      <c r="E551" s="38"/>
      <c r="F551" s="38"/>
      <c r="G551" s="38"/>
      <c r="H551" s="38"/>
    </row>
    <row r="552" spans="1:8" x14ac:dyDescent="0.25">
      <c r="A552" s="38"/>
      <c r="B552" s="50"/>
      <c r="C552" s="38"/>
      <c r="D552" s="38"/>
      <c r="E552" s="38"/>
      <c r="F552" s="38"/>
      <c r="G552" s="38"/>
      <c r="H552" s="38"/>
    </row>
    <row r="553" spans="1:8" x14ac:dyDescent="0.25">
      <c r="A553" s="38"/>
      <c r="B553" s="50"/>
      <c r="C553" s="38"/>
      <c r="D553" s="38"/>
      <c r="E553" s="38"/>
      <c r="F553" s="38"/>
      <c r="G553" s="38"/>
      <c r="H553" s="38"/>
    </row>
    <row r="554" spans="1:8" x14ac:dyDescent="0.25">
      <c r="A554" s="38"/>
      <c r="B554" s="50"/>
      <c r="C554" s="38"/>
      <c r="D554" s="38"/>
      <c r="E554" s="38"/>
      <c r="F554" s="38"/>
      <c r="G554" s="38"/>
      <c r="H554" s="38"/>
    </row>
    <row r="555" spans="1:8" x14ac:dyDescent="0.25">
      <c r="A555" s="38"/>
      <c r="B555" s="50"/>
      <c r="C555" s="38"/>
      <c r="D555" s="38"/>
      <c r="E555" s="38"/>
      <c r="F555" s="38"/>
      <c r="G555" s="38"/>
      <c r="H555" s="38"/>
    </row>
    <row r="556" spans="1:8" x14ac:dyDescent="0.25">
      <c r="A556" s="38"/>
      <c r="B556" s="50"/>
      <c r="C556" s="38"/>
      <c r="D556" s="38"/>
      <c r="E556" s="38"/>
      <c r="F556" s="38"/>
      <c r="G556" s="38"/>
      <c r="H556" s="38"/>
    </row>
    <row r="557" spans="1:8" x14ac:dyDescent="0.25">
      <c r="A557" s="38"/>
      <c r="B557" s="50"/>
      <c r="C557" s="38"/>
      <c r="D557" s="38"/>
      <c r="E557" s="38"/>
      <c r="F557" s="38"/>
      <c r="G557" s="38"/>
      <c r="H557" s="38"/>
    </row>
    <row r="558" spans="1:8" x14ac:dyDescent="0.25">
      <c r="A558" s="38"/>
      <c r="B558" s="50"/>
      <c r="C558" s="38"/>
      <c r="D558" s="38"/>
      <c r="E558" s="38"/>
      <c r="F558" s="38"/>
      <c r="G558" s="38"/>
      <c r="H558" s="38"/>
    </row>
    <row r="559" spans="1:8" x14ac:dyDescent="0.25">
      <c r="A559" s="38"/>
      <c r="B559" s="50"/>
      <c r="C559" s="38"/>
      <c r="D559" s="38"/>
      <c r="E559" s="38"/>
      <c r="F559" s="38"/>
      <c r="G559" s="38"/>
      <c r="H559" s="38"/>
    </row>
    <row r="560" spans="1:8" x14ac:dyDescent="0.25">
      <c r="A560" s="38"/>
      <c r="B560" s="50"/>
      <c r="C560" s="38"/>
      <c r="D560" s="38"/>
      <c r="E560" s="38"/>
      <c r="F560" s="38"/>
      <c r="G560" s="38"/>
      <c r="H560" s="38"/>
    </row>
    <row r="561" spans="1:8" x14ac:dyDescent="0.25">
      <c r="A561" s="38"/>
      <c r="B561" s="50"/>
      <c r="C561" s="38"/>
      <c r="D561" s="38"/>
      <c r="E561" s="38"/>
      <c r="F561" s="38"/>
      <c r="G561" s="38"/>
      <c r="H561" s="38"/>
    </row>
    <row r="562" spans="1:8" x14ac:dyDescent="0.25">
      <c r="A562" s="38"/>
      <c r="B562" s="50"/>
      <c r="C562" s="38"/>
      <c r="D562" s="38"/>
      <c r="E562" s="38"/>
      <c r="F562" s="38"/>
      <c r="G562" s="38"/>
      <c r="H562" s="38"/>
    </row>
    <row r="563" spans="1:8" x14ac:dyDescent="0.25">
      <c r="A563" s="38"/>
      <c r="B563" s="50"/>
      <c r="C563" s="38"/>
      <c r="D563" s="38"/>
      <c r="E563" s="38"/>
      <c r="F563" s="38"/>
      <c r="G563" s="38"/>
      <c r="H563" s="38"/>
    </row>
    <row r="564" spans="1:8" x14ac:dyDescent="0.25">
      <c r="A564" s="38"/>
      <c r="B564" s="50"/>
      <c r="C564" s="38"/>
      <c r="D564" s="38"/>
      <c r="E564" s="38"/>
      <c r="F564" s="38"/>
      <c r="G564" s="38"/>
      <c r="H564" s="38"/>
    </row>
    <row r="565" spans="1:8" x14ac:dyDescent="0.25">
      <c r="A565" s="38"/>
      <c r="B565" s="50"/>
      <c r="C565" s="38"/>
      <c r="D565" s="38"/>
      <c r="E565" s="38"/>
      <c r="F565" s="38"/>
      <c r="G565" s="38"/>
      <c r="H565" s="38"/>
    </row>
    <row r="566" spans="1:8" x14ac:dyDescent="0.25">
      <c r="A566" s="38"/>
      <c r="B566" s="50"/>
      <c r="C566" s="38"/>
      <c r="D566" s="38"/>
      <c r="E566" s="38"/>
      <c r="F566" s="38"/>
      <c r="G566" s="38"/>
      <c r="H566" s="38"/>
    </row>
    <row r="567" spans="1:8" x14ac:dyDescent="0.25">
      <c r="A567" s="38"/>
      <c r="B567" s="50"/>
      <c r="C567" s="38"/>
      <c r="D567" s="38"/>
      <c r="E567" s="38"/>
      <c r="F567" s="38"/>
      <c r="G567" s="38"/>
      <c r="H567" s="38"/>
    </row>
    <row r="568" spans="1:8" x14ac:dyDescent="0.25">
      <c r="A568" s="38"/>
      <c r="B568" s="50"/>
      <c r="C568" s="38"/>
      <c r="D568" s="38"/>
      <c r="E568" s="38"/>
      <c r="F568" s="38"/>
      <c r="G568" s="38"/>
      <c r="H568" s="38"/>
    </row>
    <row r="569" spans="1:8" x14ac:dyDescent="0.25">
      <c r="A569" s="38"/>
      <c r="B569" s="50"/>
      <c r="C569" s="38"/>
      <c r="D569" s="38"/>
      <c r="E569" s="38"/>
      <c r="F569" s="38"/>
      <c r="G569" s="38"/>
      <c r="H569" s="38"/>
    </row>
    <row r="570" spans="1:8" x14ac:dyDescent="0.25">
      <c r="A570" s="38"/>
      <c r="B570" s="50"/>
      <c r="C570" s="38"/>
      <c r="D570" s="38"/>
      <c r="E570" s="38"/>
      <c r="F570" s="38"/>
      <c r="G570" s="38"/>
      <c r="H570" s="38"/>
    </row>
    <row r="571" spans="1:8" x14ac:dyDescent="0.25">
      <c r="A571" s="38"/>
      <c r="B571" s="50"/>
      <c r="C571" s="38"/>
      <c r="D571" s="38"/>
      <c r="E571" s="38"/>
      <c r="F571" s="38"/>
      <c r="G571" s="38"/>
      <c r="H571" s="38"/>
    </row>
    <row r="572" spans="1:8" x14ac:dyDescent="0.25">
      <c r="A572" s="38"/>
      <c r="B572" s="50"/>
      <c r="C572" s="38"/>
      <c r="D572" s="38"/>
      <c r="E572" s="38"/>
      <c r="F572" s="38"/>
      <c r="G572" s="38"/>
      <c r="H572" s="38"/>
    </row>
    <row r="573" spans="1:8" x14ac:dyDescent="0.25">
      <c r="A573" s="38"/>
      <c r="B573" s="50"/>
      <c r="C573" s="38"/>
      <c r="D573" s="38"/>
      <c r="E573" s="38"/>
      <c r="F573" s="38"/>
      <c r="G573" s="38"/>
      <c r="H573" s="38"/>
    </row>
    <row r="574" spans="1:8" x14ac:dyDescent="0.25">
      <c r="A574" s="38"/>
      <c r="B574" s="50"/>
      <c r="C574" s="38"/>
      <c r="D574" s="38"/>
      <c r="E574" s="38"/>
      <c r="F574" s="38"/>
      <c r="G574" s="38"/>
      <c r="H574" s="38"/>
    </row>
    <row r="575" spans="1:8" x14ac:dyDescent="0.25">
      <c r="A575" s="38"/>
      <c r="B575" s="50"/>
      <c r="C575" s="38"/>
      <c r="D575" s="38"/>
      <c r="E575" s="38"/>
      <c r="F575" s="38"/>
      <c r="G575" s="38"/>
      <c r="H575" s="38"/>
    </row>
    <row r="576" spans="1:8" x14ac:dyDescent="0.25">
      <c r="A576" s="38"/>
      <c r="B576" s="50"/>
      <c r="C576" s="38"/>
      <c r="D576" s="38"/>
      <c r="E576" s="38"/>
      <c r="F576" s="38"/>
      <c r="G576" s="38"/>
      <c r="H576" s="38"/>
    </row>
    <row r="577" spans="1:8" x14ac:dyDescent="0.25">
      <c r="A577" s="38"/>
      <c r="B577" s="50"/>
      <c r="C577" s="38"/>
      <c r="D577" s="38"/>
      <c r="E577" s="38"/>
      <c r="F577" s="38"/>
      <c r="G577" s="38"/>
      <c r="H577" s="38"/>
    </row>
    <row r="578" spans="1:8" x14ac:dyDescent="0.25">
      <c r="A578" s="38"/>
      <c r="B578" s="50"/>
      <c r="C578" s="38"/>
      <c r="D578" s="38"/>
      <c r="E578" s="38"/>
      <c r="F578" s="38"/>
      <c r="G578" s="38"/>
      <c r="H578" s="38"/>
    </row>
    <row r="579" spans="1:8" x14ac:dyDescent="0.25">
      <c r="A579" s="38"/>
      <c r="B579" s="50"/>
      <c r="C579" s="38"/>
      <c r="D579" s="38"/>
      <c r="E579" s="38"/>
      <c r="F579" s="38"/>
      <c r="G579" s="38"/>
      <c r="H579" s="38"/>
    </row>
    <row r="580" spans="1:8" x14ac:dyDescent="0.25">
      <c r="A580" s="38"/>
      <c r="B580" s="50"/>
      <c r="C580" s="38"/>
      <c r="D580" s="38"/>
      <c r="E580" s="38"/>
      <c r="F580" s="38"/>
      <c r="G580" s="38"/>
      <c r="H580" s="38"/>
    </row>
    <row r="581" spans="1:8" x14ac:dyDescent="0.25">
      <c r="A581" s="38"/>
      <c r="B581" s="50"/>
      <c r="C581" s="38"/>
      <c r="D581" s="38"/>
      <c r="E581" s="38"/>
      <c r="F581" s="38"/>
      <c r="G581" s="38"/>
      <c r="H581" s="38"/>
    </row>
    <row r="582" spans="1:8" x14ac:dyDescent="0.25">
      <c r="A582" s="38"/>
      <c r="B582" s="50"/>
      <c r="C582" s="38"/>
      <c r="D582" s="38"/>
      <c r="E582" s="38"/>
      <c r="F582" s="38"/>
      <c r="G582" s="38"/>
      <c r="H582" s="38"/>
    </row>
    <row r="583" spans="1:8" x14ac:dyDescent="0.25">
      <c r="A583" s="38"/>
      <c r="B583" s="50"/>
      <c r="C583" s="38"/>
      <c r="D583" s="38"/>
      <c r="E583" s="38"/>
      <c r="F583" s="38"/>
      <c r="G583" s="38"/>
      <c r="H583" s="38"/>
    </row>
    <row r="584" spans="1:8" x14ac:dyDescent="0.25">
      <c r="A584" s="38"/>
      <c r="B584" s="50"/>
      <c r="C584" s="38"/>
      <c r="D584" s="38"/>
      <c r="E584" s="38"/>
      <c r="F584" s="38"/>
      <c r="G584" s="38"/>
      <c r="H584" s="38"/>
    </row>
    <row r="585" spans="1:8" x14ac:dyDescent="0.25">
      <c r="A585" s="38"/>
      <c r="B585" s="50"/>
      <c r="C585" s="38"/>
      <c r="D585" s="38"/>
      <c r="E585" s="38"/>
      <c r="F585" s="38"/>
      <c r="G585" s="38"/>
      <c r="H585" s="38"/>
    </row>
    <row r="586" spans="1:8" x14ac:dyDescent="0.25">
      <c r="A586" s="38"/>
      <c r="B586" s="50"/>
      <c r="C586" s="38"/>
      <c r="D586" s="38"/>
      <c r="E586" s="38"/>
      <c r="F586" s="38"/>
      <c r="G586" s="38"/>
      <c r="H586" s="38"/>
    </row>
    <row r="587" spans="1:8" x14ac:dyDescent="0.25">
      <c r="A587" s="38"/>
      <c r="B587" s="50"/>
      <c r="C587" s="38"/>
      <c r="D587" s="38"/>
      <c r="E587" s="38"/>
      <c r="F587" s="38"/>
      <c r="G587" s="38"/>
      <c r="H587" s="38"/>
    </row>
    <row r="588" spans="1:8" x14ac:dyDescent="0.25">
      <c r="A588" s="38"/>
      <c r="B588" s="50"/>
      <c r="C588" s="38"/>
      <c r="D588" s="38"/>
      <c r="E588" s="38"/>
      <c r="F588" s="38"/>
      <c r="G588" s="38"/>
      <c r="H588" s="38"/>
    </row>
    <row r="589" spans="1:8" x14ac:dyDescent="0.25">
      <c r="A589" s="38"/>
      <c r="B589" s="50"/>
      <c r="C589" s="38"/>
      <c r="D589" s="38"/>
      <c r="E589" s="38"/>
      <c r="F589" s="38"/>
      <c r="G589" s="38"/>
      <c r="H589" s="38"/>
    </row>
    <row r="590" spans="1:8" x14ac:dyDescent="0.25">
      <c r="A590" s="38"/>
      <c r="B590" s="50"/>
      <c r="C590" s="38"/>
      <c r="D590" s="38"/>
      <c r="E590" s="38"/>
      <c r="F590" s="38"/>
      <c r="G590" s="38"/>
      <c r="H590" s="38"/>
    </row>
    <row r="591" spans="1:8" x14ac:dyDescent="0.25">
      <c r="A591" s="38"/>
      <c r="B591" s="50"/>
      <c r="C591" s="38"/>
      <c r="D591" s="38"/>
      <c r="E591" s="38"/>
      <c r="F591" s="38"/>
      <c r="G591" s="38"/>
      <c r="H591" s="38"/>
    </row>
    <row r="592" spans="1:8" x14ac:dyDescent="0.25">
      <c r="A592" s="38"/>
      <c r="B592" s="50"/>
      <c r="C592" s="38"/>
      <c r="D592" s="38"/>
      <c r="E592" s="38"/>
      <c r="F592" s="38"/>
      <c r="G592" s="38"/>
      <c r="H592" s="38"/>
    </row>
    <row r="593" spans="1:8" x14ac:dyDescent="0.25">
      <c r="A593" s="38"/>
      <c r="B593" s="50"/>
      <c r="C593" s="38"/>
      <c r="D593" s="38"/>
      <c r="E593" s="38"/>
      <c r="F593" s="38"/>
      <c r="G593" s="38"/>
      <c r="H593" s="38"/>
    </row>
    <row r="594" spans="1:8" x14ac:dyDescent="0.25">
      <c r="A594" s="38"/>
      <c r="B594" s="50"/>
      <c r="C594" s="38"/>
      <c r="D594" s="38"/>
      <c r="E594" s="38"/>
      <c r="F594" s="38"/>
      <c r="G594" s="38"/>
      <c r="H594" s="38"/>
    </row>
    <row r="595" spans="1:8" x14ac:dyDescent="0.25">
      <c r="A595" s="38"/>
      <c r="B595" s="50"/>
      <c r="C595" s="38"/>
      <c r="D595" s="38"/>
      <c r="E595" s="38"/>
      <c r="F595" s="38"/>
      <c r="G595" s="38"/>
      <c r="H595" s="38"/>
    </row>
    <row r="596" spans="1:8" x14ac:dyDescent="0.25">
      <c r="A596" s="38"/>
      <c r="B596" s="50"/>
      <c r="C596" s="38"/>
      <c r="D596" s="38"/>
      <c r="E596" s="38"/>
      <c r="F596" s="38"/>
      <c r="G596" s="38"/>
      <c r="H596" s="38"/>
    </row>
    <row r="597" spans="1:8" x14ac:dyDescent="0.25">
      <c r="A597" s="38"/>
      <c r="B597" s="50"/>
      <c r="C597" s="38"/>
      <c r="D597" s="38"/>
      <c r="E597" s="38"/>
      <c r="F597" s="38"/>
      <c r="G597" s="38"/>
      <c r="H597" s="38"/>
    </row>
    <row r="598" spans="1:8" x14ac:dyDescent="0.25">
      <c r="A598" s="38"/>
      <c r="B598" s="50"/>
      <c r="C598" s="38"/>
      <c r="D598" s="38"/>
      <c r="E598" s="38"/>
      <c r="F598" s="38"/>
      <c r="G598" s="38"/>
      <c r="H598" s="38"/>
    </row>
    <row r="599" spans="1:8" x14ac:dyDescent="0.25">
      <c r="A599" s="38"/>
      <c r="B599" s="50"/>
      <c r="C599" s="38"/>
      <c r="D599" s="38"/>
      <c r="E599" s="38"/>
      <c r="F599" s="38"/>
      <c r="G599" s="38"/>
      <c r="H599" s="38"/>
    </row>
    <row r="600" spans="1:8" x14ac:dyDescent="0.25">
      <c r="A600" s="38"/>
      <c r="B600" s="50"/>
      <c r="C600" s="38"/>
      <c r="D600" s="38"/>
      <c r="E600" s="38"/>
      <c r="F600" s="38"/>
      <c r="G600" s="38"/>
      <c r="H600" s="38"/>
    </row>
    <row r="601" spans="1:8" x14ac:dyDescent="0.25">
      <c r="A601" s="38"/>
      <c r="B601" s="50"/>
      <c r="C601" s="38"/>
      <c r="D601" s="38"/>
      <c r="E601" s="38"/>
      <c r="F601" s="38"/>
      <c r="G601" s="38"/>
      <c r="H601" s="38"/>
    </row>
    <row r="602" spans="1:8" x14ac:dyDescent="0.25">
      <c r="A602" s="38"/>
      <c r="B602" s="50"/>
      <c r="C602" s="38"/>
      <c r="D602" s="38"/>
      <c r="E602" s="38"/>
      <c r="F602" s="38"/>
      <c r="G602" s="38"/>
      <c r="H602" s="38"/>
    </row>
    <row r="603" spans="1:8" x14ac:dyDescent="0.25">
      <c r="A603" s="38"/>
      <c r="B603" s="50"/>
      <c r="C603" s="38"/>
      <c r="D603" s="38"/>
      <c r="E603" s="38"/>
      <c r="F603" s="38"/>
      <c r="G603" s="38"/>
      <c r="H603" s="38"/>
    </row>
    <row r="604" spans="1:8" x14ac:dyDescent="0.25">
      <c r="A604" s="38"/>
      <c r="B604" s="50"/>
      <c r="C604" s="38"/>
      <c r="D604" s="38"/>
      <c r="E604" s="38"/>
      <c r="F604" s="38"/>
      <c r="G604" s="38"/>
      <c r="H604" s="38"/>
    </row>
    <row r="605" spans="1:8" x14ac:dyDescent="0.25">
      <c r="A605" s="38"/>
      <c r="B605" s="50"/>
      <c r="C605" s="38"/>
      <c r="D605" s="38"/>
      <c r="E605" s="38"/>
      <c r="F605" s="38"/>
      <c r="G605" s="38"/>
      <c r="H605" s="38"/>
    </row>
    <row r="606" spans="1:8" x14ac:dyDescent="0.25">
      <c r="A606" s="38"/>
      <c r="B606" s="50"/>
      <c r="C606" s="38"/>
      <c r="D606" s="38"/>
      <c r="E606" s="38"/>
      <c r="F606" s="38"/>
      <c r="G606" s="38"/>
      <c r="H606" s="38"/>
    </row>
    <row r="607" spans="1:8" x14ac:dyDescent="0.25">
      <c r="A607" s="38"/>
      <c r="B607" s="50"/>
      <c r="C607" s="38"/>
      <c r="D607" s="38"/>
      <c r="E607" s="38"/>
      <c r="F607" s="38"/>
      <c r="G607" s="38"/>
      <c r="H607" s="38"/>
    </row>
    <row r="608" spans="1:8" x14ac:dyDescent="0.25">
      <c r="A608" s="38"/>
      <c r="B608" s="50"/>
      <c r="C608" s="38"/>
      <c r="D608" s="38"/>
      <c r="E608" s="38"/>
      <c r="F608" s="38"/>
      <c r="G608" s="38"/>
      <c r="H608" s="38"/>
    </row>
    <row r="609" spans="1:8" x14ac:dyDescent="0.25">
      <c r="A609" s="38"/>
      <c r="B609" s="50"/>
      <c r="C609" s="38"/>
      <c r="D609" s="38"/>
      <c r="E609" s="38"/>
      <c r="F609" s="38"/>
      <c r="G609" s="38"/>
      <c r="H609" s="38"/>
    </row>
    <row r="610" spans="1:8" x14ac:dyDescent="0.25">
      <c r="A610" s="38"/>
      <c r="B610" s="50"/>
      <c r="C610" s="38"/>
      <c r="D610" s="38"/>
      <c r="E610" s="38"/>
      <c r="F610" s="38"/>
      <c r="G610" s="38"/>
      <c r="H610" s="38"/>
    </row>
    <row r="611" spans="1:8" x14ac:dyDescent="0.25">
      <c r="A611" s="38"/>
      <c r="B611" s="50"/>
      <c r="C611" s="38"/>
      <c r="D611" s="38"/>
      <c r="E611" s="38"/>
      <c r="F611" s="38"/>
      <c r="G611" s="38"/>
      <c r="H611" s="38"/>
    </row>
    <row r="612" spans="1:8" x14ac:dyDescent="0.25">
      <c r="A612" s="38"/>
      <c r="B612" s="50"/>
      <c r="C612" s="38"/>
      <c r="D612" s="38"/>
      <c r="E612" s="38"/>
      <c r="F612" s="38"/>
      <c r="G612" s="38"/>
      <c r="H612" s="38"/>
    </row>
    <row r="613" spans="1:8" x14ac:dyDescent="0.25">
      <c r="A613" s="38"/>
      <c r="B613" s="50"/>
      <c r="C613" s="38"/>
      <c r="D613" s="38"/>
      <c r="E613" s="38"/>
      <c r="F613" s="38"/>
      <c r="G613" s="38"/>
      <c r="H613" s="38"/>
    </row>
    <row r="614" spans="1:8" x14ac:dyDescent="0.25">
      <c r="A614" s="38"/>
      <c r="B614" s="50"/>
      <c r="C614" s="38"/>
      <c r="D614" s="38"/>
      <c r="E614" s="38"/>
      <c r="F614" s="38"/>
      <c r="G614" s="38"/>
      <c r="H614" s="38"/>
    </row>
    <row r="615" spans="1:8" x14ac:dyDescent="0.25">
      <c r="A615" s="38"/>
      <c r="B615" s="50"/>
      <c r="C615" s="38"/>
      <c r="D615" s="38"/>
      <c r="E615" s="38"/>
      <c r="F615" s="38"/>
      <c r="G615" s="38"/>
      <c r="H615" s="38"/>
    </row>
    <row r="616" spans="1:8" x14ac:dyDescent="0.25">
      <c r="A616" s="38"/>
      <c r="B616" s="50"/>
      <c r="C616" s="38"/>
      <c r="D616" s="38"/>
      <c r="E616" s="38"/>
      <c r="F616" s="38"/>
      <c r="G616" s="38"/>
      <c r="H616" s="38"/>
    </row>
    <row r="617" spans="1:8" x14ac:dyDescent="0.25">
      <c r="A617" s="38"/>
      <c r="B617" s="50"/>
      <c r="C617" s="38"/>
      <c r="D617" s="38"/>
      <c r="E617" s="38"/>
      <c r="F617" s="38"/>
      <c r="G617" s="38"/>
      <c r="H617" s="38"/>
    </row>
    <row r="618" spans="1:8" x14ac:dyDescent="0.25">
      <c r="A618" s="38"/>
      <c r="B618" s="50"/>
      <c r="C618" s="38"/>
      <c r="D618" s="38"/>
      <c r="E618" s="38"/>
      <c r="F618" s="38"/>
      <c r="G618" s="38"/>
      <c r="H618" s="38"/>
    </row>
  </sheetData>
  <autoFilter ref="A1:H439" xr:uid="{00000000-0009-0000-0000-000010000000}">
    <filterColumn colId="3">
      <filters>
        <filter val="ES COKLAT"/>
        <filter val="ES SUSU COKLAT"/>
        <filter val="ES SUSU MELON"/>
        <filter val="ES SUSU STRAWBERRY"/>
        <filter val="RASA2"/>
      </filters>
    </filterColumn>
  </autoFilter>
  <mergeCells count="35">
    <mergeCell ref="A427:D427"/>
    <mergeCell ref="A405:D405"/>
    <mergeCell ref="A219:D219"/>
    <mergeCell ref="A296:D296"/>
    <mergeCell ref="A275:D275"/>
    <mergeCell ref="A399:D399"/>
    <mergeCell ref="A419:D419"/>
    <mergeCell ref="I359:L359"/>
    <mergeCell ref="A386:D386"/>
    <mergeCell ref="A368:D368"/>
    <mergeCell ref="A376:D376"/>
    <mergeCell ref="A260:D260"/>
    <mergeCell ref="A315:D315"/>
    <mergeCell ref="A358:D358"/>
    <mergeCell ref="A13:D13"/>
    <mergeCell ref="A25:D25"/>
    <mergeCell ref="A40:D40"/>
    <mergeCell ref="A57:D57"/>
    <mergeCell ref="A68:D68"/>
    <mergeCell ref="A439:D439"/>
    <mergeCell ref="A80:D80"/>
    <mergeCell ref="A352:D352"/>
    <mergeCell ref="A151:D151"/>
    <mergeCell ref="A137:D137"/>
    <mergeCell ref="A123:D123"/>
    <mergeCell ref="A106:D106"/>
    <mergeCell ref="A215:D215"/>
    <mergeCell ref="A198:D198"/>
    <mergeCell ref="A179:D179"/>
    <mergeCell ref="A344:D344"/>
    <mergeCell ref="A327:D327"/>
    <mergeCell ref="A194:D194"/>
    <mergeCell ref="A161:D161"/>
    <mergeCell ref="A242:D242"/>
    <mergeCell ref="A227:D227"/>
  </mergeCells>
  <pageMargins left="0.7" right="0.7" top="0.75" bottom="0.75" header="0.3" footer="0.3"/>
  <pageSetup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I576"/>
  <sheetViews>
    <sheetView topLeftCell="A283" workbookViewId="0">
      <selection activeCell="A307" sqref="A307"/>
    </sheetView>
  </sheetViews>
  <sheetFormatPr defaultRowHeight="15" x14ac:dyDescent="0.25"/>
  <cols>
    <col min="1" max="1" width="5.85546875" bestFit="1" customWidth="1"/>
    <col min="2" max="2" width="9.7109375" style="3" bestFit="1" customWidth="1"/>
    <col min="3" max="3" width="16.85546875" bestFit="1" customWidth="1"/>
    <col min="4" max="5" width="8.5703125" bestFit="1" customWidth="1"/>
    <col min="6" max="6" width="13.28515625" bestFit="1" customWidth="1"/>
    <col min="7" max="7" width="13.85546875" customWidth="1"/>
    <col min="8" max="8" width="12.57031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s="29" t="s">
        <v>26</v>
      </c>
      <c r="B2" s="37">
        <v>44930</v>
      </c>
      <c r="C2" s="29" t="s">
        <v>217</v>
      </c>
      <c r="D2" s="29" t="s">
        <v>11</v>
      </c>
      <c r="E2" s="29">
        <v>9</v>
      </c>
      <c r="F2" s="38">
        <f>E2*1500</f>
        <v>13500</v>
      </c>
      <c r="G2" s="38">
        <f>E2*500</f>
        <v>4500</v>
      </c>
      <c r="H2" s="38">
        <v>9000</v>
      </c>
    </row>
    <row r="3" spans="1:8" hidden="1" x14ac:dyDescent="0.25">
      <c r="A3" s="29"/>
      <c r="B3" s="37"/>
      <c r="C3" s="29"/>
      <c r="D3" s="29" t="s">
        <v>13</v>
      </c>
      <c r="E3" s="29">
        <v>10</v>
      </c>
      <c r="F3" s="38">
        <f>E3*6500</f>
        <v>65000</v>
      </c>
      <c r="G3" s="38">
        <f>E3*4500</f>
        <v>45000</v>
      </c>
      <c r="H3" s="38">
        <f>E3*2000</f>
        <v>20000</v>
      </c>
    </row>
    <row r="4" spans="1:8" hidden="1" x14ac:dyDescent="0.25">
      <c r="A4" s="29"/>
      <c r="B4" s="37"/>
      <c r="C4" s="29"/>
      <c r="D4" s="29" t="s">
        <v>14</v>
      </c>
      <c r="E4" s="29">
        <v>9</v>
      </c>
      <c r="F4" s="38">
        <f>E4*10000</f>
        <v>90000</v>
      </c>
      <c r="G4" s="38">
        <f>E4*5500</f>
        <v>49500</v>
      </c>
      <c r="H4" s="38">
        <f>E4*4500</f>
        <v>40500</v>
      </c>
    </row>
    <row r="5" spans="1:8" hidden="1" x14ac:dyDescent="0.25">
      <c r="A5" s="29"/>
      <c r="B5" s="37"/>
      <c r="C5" s="29"/>
      <c r="D5" s="29" t="s">
        <v>404</v>
      </c>
      <c r="E5" s="29">
        <v>1</v>
      </c>
      <c r="F5" s="38">
        <v>2000</v>
      </c>
      <c r="G5" s="38">
        <v>1000</v>
      </c>
      <c r="H5" s="38">
        <v>1000</v>
      </c>
    </row>
    <row r="6" spans="1:8" hidden="1" x14ac:dyDescent="0.25">
      <c r="A6" s="29"/>
      <c r="B6" s="37"/>
      <c r="C6" s="29" t="s">
        <v>544</v>
      </c>
      <c r="D6" s="29" t="s">
        <v>11</v>
      </c>
      <c r="E6" s="29">
        <v>9</v>
      </c>
      <c r="F6" s="38">
        <f>E6*1500</f>
        <v>13500</v>
      </c>
      <c r="G6" s="38">
        <f>E6*500</f>
        <v>4500</v>
      </c>
      <c r="H6" s="38">
        <v>9000</v>
      </c>
    </row>
    <row r="7" spans="1:8" hidden="1" x14ac:dyDescent="0.25">
      <c r="A7" s="29"/>
      <c r="B7" s="37"/>
      <c r="C7" s="29"/>
      <c r="D7" s="29" t="s">
        <v>13</v>
      </c>
      <c r="E7" s="29">
        <v>3</v>
      </c>
      <c r="F7" s="38">
        <f>E7*6500</f>
        <v>19500</v>
      </c>
      <c r="G7" s="38">
        <f>E7*4500</f>
        <v>13500</v>
      </c>
      <c r="H7" s="38">
        <f>E7*2000</f>
        <v>6000</v>
      </c>
    </row>
    <row r="8" spans="1:8" hidden="1" x14ac:dyDescent="0.25">
      <c r="A8" s="29"/>
      <c r="B8" s="37"/>
      <c r="C8" s="29"/>
      <c r="D8" s="29" t="s">
        <v>14</v>
      </c>
      <c r="E8" s="29">
        <v>4</v>
      </c>
      <c r="F8" s="38">
        <f>E8*10000</f>
        <v>40000</v>
      </c>
      <c r="G8" s="38">
        <f>E8*5500</f>
        <v>22000</v>
      </c>
      <c r="H8" s="38">
        <f>E8*4500</f>
        <v>18000</v>
      </c>
    </row>
    <row r="9" spans="1:8" hidden="1" x14ac:dyDescent="0.25">
      <c r="A9" s="131" t="s">
        <v>17</v>
      </c>
      <c r="B9" s="132"/>
      <c r="C9" s="132"/>
      <c r="D9" s="133"/>
      <c r="E9" s="17">
        <f>SUM(E2:E8)</f>
        <v>45</v>
      </c>
      <c r="F9" s="17">
        <f>SUM(F2:F8)</f>
        <v>243500</v>
      </c>
      <c r="G9" s="17">
        <f>SUM(G2:G8)</f>
        <v>140000</v>
      </c>
      <c r="H9" s="17">
        <f>SUM(H2:H8)</f>
        <v>103500</v>
      </c>
    </row>
    <row r="10" spans="1:8" hidden="1" x14ac:dyDescent="0.25">
      <c r="A10" s="29" t="s">
        <v>28</v>
      </c>
      <c r="B10" s="37">
        <v>44961</v>
      </c>
      <c r="C10" s="29" t="s">
        <v>217</v>
      </c>
      <c r="D10" s="29" t="s">
        <v>11</v>
      </c>
      <c r="E10" s="29">
        <v>13</v>
      </c>
      <c r="F10" s="38">
        <f>E10*1500</f>
        <v>19500</v>
      </c>
      <c r="G10" s="38">
        <f>E10*500</f>
        <v>6500</v>
      </c>
      <c r="H10" s="38">
        <f>E10*1000</f>
        <v>13000</v>
      </c>
    </row>
    <row r="11" spans="1:8" hidden="1" x14ac:dyDescent="0.25">
      <c r="A11" s="29"/>
      <c r="B11" s="37"/>
      <c r="C11" s="29"/>
      <c r="D11" s="29" t="s">
        <v>13</v>
      </c>
      <c r="E11" s="29">
        <v>1</v>
      </c>
      <c r="F11" s="38">
        <v>6500</v>
      </c>
      <c r="G11" s="38">
        <v>4500</v>
      </c>
      <c r="H11" s="38">
        <v>2000</v>
      </c>
    </row>
    <row r="12" spans="1:8" hidden="1" x14ac:dyDescent="0.25">
      <c r="A12" s="29"/>
      <c r="B12" s="37"/>
      <c r="C12" s="29"/>
      <c r="D12" s="29" t="s">
        <v>14</v>
      </c>
      <c r="E12" s="29">
        <v>8</v>
      </c>
      <c r="F12" s="38">
        <f>E12*10000</f>
        <v>80000</v>
      </c>
      <c r="G12" s="38">
        <f>E12*5500</f>
        <v>44000</v>
      </c>
      <c r="H12" s="38">
        <f>E12*4500</f>
        <v>36000</v>
      </c>
    </row>
    <row r="13" spans="1:8" x14ac:dyDescent="0.25">
      <c r="A13" s="45"/>
      <c r="B13" s="61"/>
      <c r="C13" s="45"/>
      <c r="D13" s="45" t="s">
        <v>441</v>
      </c>
      <c r="E13" s="17">
        <v>1</v>
      </c>
      <c r="F13" s="17">
        <v>3000</v>
      </c>
      <c r="G13" s="17">
        <v>1500</v>
      </c>
      <c r="H13" s="17">
        <v>1500</v>
      </c>
    </row>
    <row r="14" spans="1:8" hidden="1" x14ac:dyDescent="0.25">
      <c r="A14" s="29"/>
      <c r="B14" s="37"/>
      <c r="C14" s="29"/>
      <c r="D14" s="29" t="s">
        <v>415</v>
      </c>
      <c r="E14" s="29">
        <v>1</v>
      </c>
      <c r="F14" s="38">
        <v>5000</v>
      </c>
      <c r="G14" s="38">
        <v>2500</v>
      </c>
      <c r="H14" s="38">
        <v>2500</v>
      </c>
    </row>
    <row r="15" spans="1:8" hidden="1" x14ac:dyDescent="0.25">
      <c r="A15" s="29"/>
      <c r="B15" s="37"/>
      <c r="C15" s="29" t="s">
        <v>544</v>
      </c>
      <c r="D15" s="29" t="s">
        <v>11</v>
      </c>
      <c r="E15" s="29">
        <v>6</v>
      </c>
      <c r="F15" s="38">
        <f>E15*1500</f>
        <v>9000</v>
      </c>
      <c r="G15" s="38">
        <f>E15*500</f>
        <v>3000</v>
      </c>
      <c r="H15" s="38">
        <v>6000</v>
      </c>
    </row>
    <row r="16" spans="1:8" hidden="1" x14ac:dyDescent="0.25">
      <c r="A16" s="29"/>
      <c r="B16" s="37"/>
      <c r="C16" s="29"/>
      <c r="D16" s="29" t="s">
        <v>14</v>
      </c>
      <c r="E16" s="29">
        <v>3</v>
      </c>
      <c r="F16" s="38">
        <f>E16*10000</f>
        <v>30000</v>
      </c>
      <c r="G16" s="38">
        <f>E16*5500</f>
        <v>16500</v>
      </c>
      <c r="H16" s="38">
        <f>E16*4500</f>
        <v>13500</v>
      </c>
    </row>
    <row r="17" spans="1:8" hidden="1" x14ac:dyDescent="0.25">
      <c r="A17" s="131" t="s">
        <v>17</v>
      </c>
      <c r="B17" s="132"/>
      <c r="C17" s="132"/>
      <c r="D17" s="133"/>
      <c r="E17" s="17">
        <f>SUM(E10:E16)</f>
        <v>33</v>
      </c>
      <c r="F17" s="17">
        <f>SUM(F10:F16)</f>
        <v>153000</v>
      </c>
      <c r="G17" s="17">
        <f>SUM(G10:G16)</f>
        <v>78500</v>
      </c>
      <c r="H17" s="17">
        <f>SUM(H10:H16)</f>
        <v>74500</v>
      </c>
    </row>
    <row r="18" spans="1:8" hidden="1" x14ac:dyDescent="0.25">
      <c r="A18" s="29" t="s">
        <v>30</v>
      </c>
      <c r="B18" s="37">
        <v>44989</v>
      </c>
      <c r="C18" s="29" t="s">
        <v>217</v>
      </c>
      <c r="D18" s="29" t="s">
        <v>11</v>
      </c>
      <c r="E18" s="29">
        <v>2</v>
      </c>
      <c r="F18" s="38">
        <f>E18*1500</f>
        <v>3000</v>
      </c>
      <c r="G18" s="38">
        <f>E18*500</f>
        <v>1000</v>
      </c>
      <c r="H18" s="38">
        <f>E18*1000</f>
        <v>2000</v>
      </c>
    </row>
    <row r="19" spans="1:8" hidden="1" x14ac:dyDescent="0.25">
      <c r="A19" s="29"/>
      <c r="B19" s="37"/>
      <c r="C19" s="29"/>
      <c r="D19" s="29" t="s">
        <v>13</v>
      </c>
      <c r="E19" s="29">
        <v>2</v>
      </c>
      <c r="F19" s="38">
        <f>E19*6500</f>
        <v>13000</v>
      </c>
      <c r="G19" s="38">
        <f>E19*4500</f>
        <v>9000</v>
      </c>
      <c r="H19" s="38">
        <f>E19*2000</f>
        <v>4000</v>
      </c>
    </row>
    <row r="20" spans="1:8" hidden="1" x14ac:dyDescent="0.25">
      <c r="A20" s="29"/>
      <c r="B20" s="37"/>
      <c r="C20" s="29"/>
      <c r="D20" s="29" t="s">
        <v>14</v>
      </c>
      <c r="E20" s="29">
        <v>1</v>
      </c>
      <c r="F20" s="38">
        <v>10000</v>
      </c>
      <c r="G20" s="38">
        <v>5500</v>
      </c>
      <c r="H20" s="38">
        <v>4500</v>
      </c>
    </row>
    <row r="21" spans="1:8" hidden="1" x14ac:dyDescent="0.25">
      <c r="A21" s="29"/>
      <c r="B21" s="37"/>
      <c r="C21" s="29" t="s">
        <v>544</v>
      </c>
      <c r="D21" s="29" t="s">
        <v>13</v>
      </c>
      <c r="E21" s="29">
        <v>1</v>
      </c>
      <c r="F21" s="38">
        <v>6500</v>
      </c>
      <c r="G21" s="38">
        <v>4500</v>
      </c>
      <c r="H21" s="38">
        <v>2000</v>
      </c>
    </row>
    <row r="22" spans="1:8" hidden="1" x14ac:dyDescent="0.25">
      <c r="A22" s="29"/>
      <c r="B22" s="37"/>
      <c r="C22" s="29"/>
      <c r="D22" s="29" t="s">
        <v>14</v>
      </c>
      <c r="E22" s="29">
        <v>1</v>
      </c>
      <c r="F22" s="38">
        <v>10000</v>
      </c>
      <c r="G22" s="38">
        <v>5500</v>
      </c>
      <c r="H22" s="38">
        <v>4500</v>
      </c>
    </row>
    <row r="23" spans="1:8" hidden="1" x14ac:dyDescent="0.25">
      <c r="A23" s="29"/>
      <c r="B23" s="37"/>
      <c r="C23" s="29" t="s">
        <v>217</v>
      </c>
      <c r="D23" s="29" t="s">
        <v>14</v>
      </c>
      <c r="E23" s="29">
        <v>2</v>
      </c>
      <c r="F23" s="38">
        <f>E23*10000</f>
        <v>20000</v>
      </c>
      <c r="G23" s="38">
        <f>E23*5500</f>
        <v>11000</v>
      </c>
      <c r="H23" s="38">
        <f>E23*4500</f>
        <v>9000</v>
      </c>
    </row>
    <row r="24" spans="1:8" hidden="1" x14ac:dyDescent="0.25">
      <c r="A24" s="29"/>
      <c r="B24" s="37"/>
      <c r="C24" s="29"/>
      <c r="D24" s="29" t="s">
        <v>404</v>
      </c>
      <c r="E24" s="29">
        <v>4</v>
      </c>
      <c r="F24" s="38">
        <f>E24*2000</f>
        <v>8000</v>
      </c>
      <c r="G24" s="38">
        <v>4000</v>
      </c>
      <c r="H24" s="38">
        <v>4000</v>
      </c>
    </row>
    <row r="25" spans="1:8" hidden="1" x14ac:dyDescent="0.25">
      <c r="A25" s="45"/>
      <c r="B25" s="61"/>
      <c r="C25" s="45"/>
      <c r="D25" s="45" t="s">
        <v>415</v>
      </c>
      <c r="E25" s="17">
        <v>1</v>
      </c>
      <c r="F25" s="17">
        <v>5000</v>
      </c>
      <c r="G25" s="17">
        <v>2500</v>
      </c>
      <c r="H25" s="17">
        <v>2500</v>
      </c>
    </row>
    <row r="26" spans="1:8" hidden="1" x14ac:dyDescent="0.25">
      <c r="A26" s="29"/>
      <c r="B26" s="37"/>
      <c r="C26" s="29" t="s">
        <v>533</v>
      </c>
      <c r="D26" s="29" t="s">
        <v>13</v>
      </c>
      <c r="E26" s="29">
        <v>3</v>
      </c>
      <c r="F26" s="38">
        <f>E26*6500</f>
        <v>19500</v>
      </c>
      <c r="G26" s="38">
        <f>E26*4500</f>
        <v>13500</v>
      </c>
      <c r="H26" s="38">
        <f>E26*2000</f>
        <v>6000</v>
      </c>
    </row>
    <row r="27" spans="1:8" hidden="1" x14ac:dyDescent="0.25">
      <c r="A27" s="29"/>
      <c r="B27" s="37"/>
      <c r="C27" s="29"/>
      <c r="D27" s="29" t="s">
        <v>14</v>
      </c>
      <c r="E27" s="29">
        <v>2</v>
      </c>
      <c r="F27" s="38">
        <f>E27*10000</f>
        <v>20000</v>
      </c>
      <c r="G27" s="38">
        <f>E27*5500</f>
        <v>11000</v>
      </c>
      <c r="H27" s="38">
        <f>E27*4500</f>
        <v>9000</v>
      </c>
    </row>
    <row r="28" spans="1:8" hidden="1" x14ac:dyDescent="0.25">
      <c r="A28" s="131" t="s">
        <v>17</v>
      </c>
      <c r="B28" s="132"/>
      <c r="C28" s="132"/>
      <c r="D28" s="133"/>
      <c r="E28" s="17">
        <f>SUM(E18:E27)</f>
        <v>19</v>
      </c>
      <c r="F28" s="17">
        <f>SUM(F18:F27)</f>
        <v>115000</v>
      </c>
      <c r="G28" s="17">
        <f>SUM(G18:G27)</f>
        <v>67500</v>
      </c>
      <c r="H28" s="17">
        <f>SUM(H18:H27)</f>
        <v>47500</v>
      </c>
    </row>
    <row r="29" spans="1:8" hidden="1" x14ac:dyDescent="0.25">
      <c r="A29" s="29" t="s">
        <v>32</v>
      </c>
      <c r="B29" s="37">
        <v>45020</v>
      </c>
      <c r="C29" s="29" t="s">
        <v>217</v>
      </c>
      <c r="D29" s="29" t="s">
        <v>11</v>
      </c>
      <c r="E29" s="29">
        <v>5</v>
      </c>
      <c r="F29" s="38">
        <f>E29*1500</f>
        <v>7500</v>
      </c>
      <c r="G29" s="38">
        <f>E29*500</f>
        <v>2500</v>
      </c>
      <c r="H29" s="38">
        <f>E29*1000</f>
        <v>5000</v>
      </c>
    </row>
    <row r="30" spans="1:8" hidden="1" x14ac:dyDescent="0.25">
      <c r="A30" s="29"/>
      <c r="B30" s="37"/>
      <c r="C30" s="29"/>
      <c r="D30" s="29" t="s">
        <v>14</v>
      </c>
      <c r="E30" s="29">
        <v>1</v>
      </c>
      <c r="F30" s="38">
        <v>8000</v>
      </c>
      <c r="G30" s="38">
        <v>5500</v>
      </c>
      <c r="H30" s="38">
        <v>2500</v>
      </c>
    </row>
    <row r="31" spans="1:8" hidden="1" x14ac:dyDescent="0.25">
      <c r="A31" s="29"/>
      <c r="B31" s="37"/>
      <c r="C31" s="29" t="s">
        <v>544</v>
      </c>
      <c r="D31" s="29" t="s">
        <v>11</v>
      </c>
      <c r="E31" s="29">
        <v>9</v>
      </c>
      <c r="F31" s="38">
        <f>E31*1500</f>
        <v>13500</v>
      </c>
      <c r="G31" s="38">
        <f>E31*500</f>
        <v>4500</v>
      </c>
      <c r="H31" s="38">
        <v>9000</v>
      </c>
    </row>
    <row r="32" spans="1:8" hidden="1" x14ac:dyDescent="0.25">
      <c r="A32" s="29"/>
      <c r="B32" s="37"/>
      <c r="C32" s="29"/>
      <c r="D32" s="29" t="s">
        <v>13</v>
      </c>
      <c r="E32" s="29">
        <v>1</v>
      </c>
      <c r="F32" s="38">
        <v>6500</v>
      </c>
      <c r="G32" s="38">
        <v>4500</v>
      </c>
      <c r="H32" s="38">
        <v>2500</v>
      </c>
    </row>
    <row r="33" spans="1:8" hidden="1" x14ac:dyDescent="0.25">
      <c r="A33" s="29"/>
      <c r="B33" s="37"/>
      <c r="C33" s="29"/>
      <c r="D33" s="29" t="s">
        <v>14</v>
      </c>
      <c r="E33" s="29">
        <v>1</v>
      </c>
      <c r="F33" s="38">
        <v>10000</v>
      </c>
      <c r="G33" s="38">
        <v>5500</v>
      </c>
      <c r="H33" s="38">
        <v>4500</v>
      </c>
    </row>
    <row r="34" spans="1:8" hidden="1" x14ac:dyDescent="0.25">
      <c r="A34" s="29"/>
      <c r="B34" s="37"/>
      <c r="C34" s="29" t="s">
        <v>217</v>
      </c>
      <c r="D34" s="29" t="s">
        <v>11</v>
      </c>
      <c r="E34" s="29">
        <v>9</v>
      </c>
      <c r="F34" s="38">
        <f>E34*1500</f>
        <v>13500</v>
      </c>
      <c r="G34" s="38">
        <f>E34*500</f>
        <v>4500</v>
      </c>
      <c r="H34" s="38">
        <v>9000</v>
      </c>
    </row>
    <row r="35" spans="1:8" hidden="1" x14ac:dyDescent="0.25">
      <c r="A35" s="29"/>
      <c r="B35" s="37"/>
      <c r="C35" s="29"/>
      <c r="D35" s="29" t="s">
        <v>13</v>
      </c>
      <c r="E35" s="29">
        <v>6</v>
      </c>
      <c r="F35" s="38">
        <f>E35*6500</f>
        <v>39000</v>
      </c>
      <c r="G35" s="38">
        <f>E35*4500</f>
        <v>27000</v>
      </c>
      <c r="H35" s="38">
        <f>E35*2000</f>
        <v>12000</v>
      </c>
    </row>
    <row r="36" spans="1:8" hidden="1" x14ac:dyDescent="0.25">
      <c r="A36" s="29"/>
      <c r="B36" s="37"/>
      <c r="C36" s="29"/>
      <c r="D36" s="29" t="s">
        <v>14</v>
      </c>
      <c r="E36" s="29">
        <v>1</v>
      </c>
      <c r="F36" s="38">
        <v>10000</v>
      </c>
      <c r="G36" s="38">
        <v>5500</v>
      </c>
      <c r="H36" s="38">
        <v>4500</v>
      </c>
    </row>
    <row r="37" spans="1:8" hidden="1" x14ac:dyDescent="0.25">
      <c r="A37" s="29"/>
      <c r="B37" s="37"/>
      <c r="C37" s="29" t="s">
        <v>16</v>
      </c>
      <c r="D37" s="29" t="s">
        <v>11</v>
      </c>
      <c r="E37" s="29">
        <v>4</v>
      </c>
      <c r="F37" s="55">
        <f>E37*1500</f>
        <v>6000</v>
      </c>
      <c r="G37" s="55">
        <f>E37*500</f>
        <v>2000</v>
      </c>
      <c r="H37" s="55">
        <f>E37*1000</f>
        <v>4000</v>
      </c>
    </row>
    <row r="38" spans="1:8" hidden="1" x14ac:dyDescent="0.25">
      <c r="A38" s="131" t="s">
        <v>17</v>
      </c>
      <c r="B38" s="132"/>
      <c r="C38" s="132"/>
      <c r="D38" s="133"/>
      <c r="E38" s="45">
        <f>SUM(E29:E37)</f>
        <v>37</v>
      </c>
      <c r="F38" s="45">
        <f>SUM(F29:F37)</f>
        <v>114000</v>
      </c>
      <c r="G38" s="45">
        <f>SUM(G29:G37)</f>
        <v>61500</v>
      </c>
      <c r="H38" s="45">
        <f>SUM(H29:H37)</f>
        <v>53000</v>
      </c>
    </row>
    <row r="39" spans="1:8" hidden="1" x14ac:dyDescent="0.25">
      <c r="A39" s="29" t="s">
        <v>8</v>
      </c>
      <c r="B39" s="37">
        <v>45050</v>
      </c>
      <c r="C39" s="29" t="s">
        <v>16</v>
      </c>
      <c r="D39" s="29" t="s">
        <v>11</v>
      </c>
      <c r="E39" s="29">
        <v>48</v>
      </c>
      <c r="F39" s="55">
        <f>E39*1500</f>
        <v>72000</v>
      </c>
      <c r="G39" s="55">
        <f>E39*500</f>
        <v>24000</v>
      </c>
      <c r="H39" s="55">
        <v>48000</v>
      </c>
    </row>
    <row r="40" spans="1:8" hidden="1" x14ac:dyDescent="0.25">
      <c r="A40" s="45"/>
      <c r="B40" s="61"/>
      <c r="C40" s="45"/>
      <c r="D40" s="55" t="s">
        <v>12</v>
      </c>
      <c r="E40" s="40">
        <v>5</v>
      </c>
      <c r="F40" s="40">
        <f>E40*3000</f>
        <v>15000</v>
      </c>
      <c r="G40" s="40">
        <f>E40*2000</f>
        <v>10000</v>
      </c>
      <c r="H40" s="40">
        <v>5000</v>
      </c>
    </row>
    <row r="41" spans="1:8" hidden="1" x14ac:dyDescent="0.25">
      <c r="A41" s="29"/>
      <c r="B41" s="37"/>
      <c r="C41" s="29"/>
      <c r="D41" s="29" t="s">
        <v>14</v>
      </c>
      <c r="E41" s="29">
        <v>1</v>
      </c>
      <c r="F41" s="38">
        <v>10000</v>
      </c>
      <c r="G41" s="38">
        <v>5500</v>
      </c>
      <c r="H41" s="38">
        <v>4500</v>
      </c>
    </row>
    <row r="42" spans="1:8" hidden="1" x14ac:dyDescent="0.25">
      <c r="A42" s="29"/>
      <c r="B42" s="37"/>
      <c r="C42" s="29" t="s">
        <v>442</v>
      </c>
      <c r="D42" s="29" t="s">
        <v>13</v>
      </c>
      <c r="E42" s="29">
        <v>6</v>
      </c>
      <c r="F42" s="38">
        <f>E42*6500</f>
        <v>39000</v>
      </c>
      <c r="G42" s="38">
        <f>E42*4500</f>
        <v>27000</v>
      </c>
      <c r="H42" s="38">
        <f>E42*2000</f>
        <v>12000</v>
      </c>
    </row>
    <row r="43" spans="1:8" hidden="1" x14ac:dyDescent="0.25">
      <c r="A43" s="29"/>
      <c r="B43" s="37"/>
      <c r="C43" s="29"/>
      <c r="D43" s="29" t="s">
        <v>14</v>
      </c>
      <c r="E43" s="29">
        <v>9</v>
      </c>
      <c r="F43" s="38">
        <f>E43*10000</f>
        <v>90000</v>
      </c>
      <c r="G43" s="38">
        <f>E43*5500</f>
        <v>49500</v>
      </c>
      <c r="H43" s="38">
        <f>E43*4500</f>
        <v>40500</v>
      </c>
    </row>
    <row r="44" spans="1:8" hidden="1" x14ac:dyDescent="0.25">
      <c r="A44" s="29"/>
      <c r="B44" s="37"/>
      <c r="C44" s="29" t="s">
        <v>217</v>
      </c>
      <c r="D44" s="29" t="s">
        <v>11</v>
      </c>
      <c r="E44" s="29">
        <v>16</v>
      </c>
      <c r="F44" s="38">
        <f>E44*1500</f>
        <v>24000</v>
      </c>
      <c r="G44" s="38">
        <f>E44*500</f>
        <v>8000</v>
      </c>
      <c r="H44" s="38">
        <v>16000</v>
      </c>
    </row>
    <row r="45" spans="1:8" hidden="1" x14ac:dyDescent="0.25">
      <c r="A45" s="38"/>
      <c r="B45" s="49"/>
      <c r="C45" s="38"/>
      <c r="D45" s="38" t="s">
        <v>13</v>
      </c>
      <c r="E45" s="29">
        <v>8</v>
      </c>
      <c r="F45" s="38">
        <f>E45*6500</f>
        <v>52000</v>
      </c>
      <c r="G45" s="38">
        <f>E45*4500</f>
        <v>36000</v>
      </c>
      <c r="H45" s="38">
        <f>E45*2000</f>
        <v>16000</v>
      </c>
    </row>
    <row r="46" spans="1:8" hidden="1" x14ac:dyDescent="0.25">
      <c r="A46" s="38"/>
      <c r="B46" s="49"/>
      <c r="C46" s="38"/>
      <c r="D46" s="38" t="s">
        <v>14</v>
      </c>
      <c r="E46" s="38">
        <v>4</v>
      </c>
      <c r="F46" s="38">
        <f>E46*10000</f>
        <v>40000</v>
      </c>
      <c r="G46" s="38">
        <f>E46*5500</f>
        <v>22000</v>
      </c>
      <c r="H46" s="38">
        <f>E46*4500</f>
        <v>18000</v>
      </c>
    </row>
    <row r="47" spans="1:8" x14ac:dyDescent="0.25">
      <c r="A47" s="38"/>
      <c r="B47" s="49"/>
      <c r="C47" s="38"/>
      <c r="D47" s="38" t="s">
        <v>545</v>
      </c>
      <c r="E47" s="38">
        <v>1</v>
      </c>
      <c r="F47" s="38">
        <v>5000</v>
      </c>
      <c r="G47" s="38">
        <v>2500</v>
      </c>
      <c r="H47" s="38">
        <v>2500</v>
      </c>
    </row>
    <row r="48" spans="1:8" x14ac:dyDescent="0.25">
      <c r="A48" s="38"/>
      <c r="B48" s="49"/>
      <c r="C48" s="38"/>
      <c r="D48" s="38" t="s">
        <v>424</v>
      </c>
      <c r="E48" s="38">
        <v>2</v>
      </c>
      <c r="F48" s="38">
        <f>E48*5000</f>
        <v>10000</v>
      </c>
      <c r="G48" s="38">
        <v>5000</v>
      </c>
      <c r="H48" s="38">
        <v>5000</v>
      </c>
    </row>
    <row r="49" spans="1:8" x14ac:dyDescent="0.25">
      <c r="A49" s="38"/>
      <c r="B49" s="49"/>
      <c r="C49" s="38"/>
      <c r="D49" s="38" t="s">
        <v>441</v>
      </c>
      <c r="E49" s="38">
        <v>2</v>
      </c>
      <c r="F49" s="38">
        <f>E49*3000</f>
        <v>6000</v>
      </c>
      <c r="G49" s="38">
        <v>3000</v>
      </c>
      <c r="H49" s="38">
        <v>3000</v>
      </c>
    </row>
    <row r="50" spans="1:8" hidden="1" x14ac:dyDescent="0.25">
      <c r="A50" s="38"/>
      <c r="B50" s="49"/>
      <c r="C50" s="38"/>
      <c r="D50" s="38" t="s">
        <v>415</v>
      </c>
      <c r="E50" s="38">
        <v>1</v>
      </c>
      <c r="F50" s="38">
        <v>5000</v>
      </c>
      <c r="G50" s="38">
        <v>2500</v>
      </c>
      <c r="H50" s="38">
        <v>2500</v>
      </c>
    </row>
    <row r="51" spans="1:8" hidden="1" x14ac:dyDescent="0.25">
      <c r="A51" s="131" t="s">
        <v>17</v>
      </c>
      <c r="B51" s="132"/>
      <c r="C51" s="132"/>
      <c r="D51" s="133"/>
      <c r="E51" s="17">
        <f>SUM(E39:E50)</f>
        <v>103</v>
      </c>
      <c r="F51" s="17">
        <f>SUM(F39:F50)</f>
        <v>368000</v>
      </c>
      <c r="G51" s="17">
        <f>SUM(G39:G50)</f>
        <v>195000</v>
      </c>
      <c r="H51" s="17">
        <f>SUM(H39:H50)</f>
        <v>173000</v>
      </c>
    </row>
    <row r="52" spans="1:8" hidden="1" x14ac:dyDescent="0.25">
      <c r="A52" s="38" t="s">
        <v>18</v>
      </c>
      <c r="B52" s="49">
        <v>45081</v>
      </c>
      <c r="C52" s="38" t="s">
        <v>217</v>
      </c>
      <c r="D52" s="38" t="s">
        <v>11</v>
      </c>
      <c r="E52" s="38">
        <v>8</v>
      </c>
      <c r="F52" s="38">
        <f>E52*1500</f>
        <v>12000</v>
      </c>
      <c r="G52" s="38">
        <f>E52*500</f>
        <v>4000</v>
      </c>
      <c r="H52" s="38">
        <v>8000</v>
      </c>
    </row>
    <row r="53" spans="1:8" hidden="1" x14ac:dyDescent="0.25">
      <c r="A53" s="38"/>
      <c r="B53" s="49"/>
      <c r="C53" s="38"/>
      <c r="D53" s="38" t="s">
        <v>13</v>
      </c>
      <c r="E53" s="38">
        <v>3</v>
      </c>
      <c r="F53" s="38">
        <f>E53*6500</f>
        <v>19500</v>
      </c>
      <c r="G53" s="38">
        <f>E53*4500</f>
        <v>13500</v>
      </c>
      <c r="H53" s="38">
        <f>E53*2000</f>
        <v>6000</v>
      </c>
    </row>
    <row r="54" spans="1:8" hidden="1" x14ac:dyDescent="0.25">
      <c r="A54" s="38"/>
      <c r="B54" s="49"/>
      <c r="C54" s="38"/>
      <c r="D54" s="38" t="s">
        <v>14</v>
      </c>
      <c r="E54" s="38">
        <v>4</v>
      </c>
      <c r="F54" s="38">
        <f>E54*10000</f>
        <v>40000</v>
      </c>
      <c r="G54" s="38">
        <f>E54*5500</f>
        <v>22000</v>
      </c>
      <c r="H54" s="38">
        <f>E54*4500</f>
        <v>18000</v>
      </c>
    </row>
    <row r="55" spans="1:8" x14ac:dyDescent="0.25">
      <c r="A55" s="38"/>
      <c r="B55" s="49"/>
      <c r="C55" s="38"/>
      <c r="D55" s="38" t="s">
        <v>441</v>
      </c>
      <c r="E55" s="38">
        <v>1</v>
      </c>
      <c r="F55" s="38">
        <v>3000</v>
      </c>
      <c r="G55" s="38">
        <v>1500</v>
      </c>
      <c r="H55" s="38">
        <v>1500</v>
      </c>
    </row>
    <row r="56" spans="1:8" hidden="1" x14ac:dyDescent="0.25">
      <c r="A56" s="38"/>
      <c r="B56" s="49"/>
      <c r="C56" s="38" t="s">
        <v>544</v>
      </c>
      <c r="D56" s="38" t="s">
        <v>11</v>
      </c>
      <c r="E56" s="38">
        <v>2</v>
      </c>
      <c r="F56" s="38">
        <f>E56*1500</f>
        <v>3000</v>
      </c>
      <c r="G56" s="38">
        <f>E56*500</f>
        <v>1000</v>
      </c>
      <c r="H56" s="38">
        <v>2000</v>
      </c>
    </row>
    <row r="57" spans="1:8" hidden="1" x14ac:dyDescent="0.25">
      <c r="A57" s="56"/>
      <c r="B57" s="62"/>
      <c r="C57" s="56"/>
      <c r="D57" s="55" t="s">
        <v>14</v>
      </c>
      <c r="E57" s="40">
        <v>1</v>
      </c>
      <c r="F57" s="40">
        <v>10000</v>
      </c>
      <c r="G57" s="40">
        <v>5500</v>
      </c>
      <c r="H57" s="40">
        <v>4500</v>
      </c>
    </row>
    <row r="58" spans="1:8" hidden="1" x14ac:dyDescent="0.25">
      <c r="A58" s="38"/>
      <c r="B58" s="49"/>
      <c r="C58" s="38" t="s">
        <v>16</v>
      </c>
      <c r="D58" s="38" t="s">
        <v>11</v>
      </c>
      <c r="E58" s="38">
        <v>6</v>
      </c>
      <c r="F58" s="38">
        <f>E58*1500</f>
        <v>9000</v>
      </c>
      <c r="G58" s="38">
        <f>E58*500</f>
        <v>3000</v>
      </c>
      <c r="H58" s="38">
        <v>6000</v>
      </c>
    </row>
    <row r="59" spans="1:8" hidden="1" x14ac:dyDescent="0.25">
      <c r="A59" s="131" t="s">
        <v>17</v>
      </c>
      <c r="B59" s="132"/>
      <c r="C59" s="132"/>
      <c r="D59" s="133"/>
      <c r="E59" s="17">
        <f>SUM(E52:E58)</f>
        <v>25</v>
      </c>
      <c r="F59" s="17">
        <f>SUM(F52:F58)</f>
        <v>96500</v>
      </c>
      <c r="G59" s="17">
        <f>SUM(G52:G58)</f>
        <v>50500</v>
      </c>
      <c r="H59" s="17">
        <f>SUM(H52:H58)</f>
        <v>46000</v>
      </c>
    </row>
    <row r="60" spans="1:8" hidden="1" x14ac:dyDescent="0.25">
      <c r="A60" s="38" t="s">
        <v>22</v>
      </c>
      <c r="B60" s="49">
        <v>45111</v>
      </c>
      <c r="C60" s="38" t="s">
        <v>217</v>
      </c>
      <c r="D60" s="38" t="s">
        <v>11</v>
      </c>
      <c r="E60" s="38">
        <v>10</v>
      </c>
      <c r="F60" s="38">
        <f>E60*1500</f>
        <v>15000</v>
      </c>
      <c r="G60" s="38">
        <f>E60*500</f>
        <v>5000</v>
      </c>
      <c r="H60" s="38">
        <v>10000</v>
      </c>
    </row>
    <row r="61" spans="1:8" hidden="1" x14ac:dyDescent="0.25">
      <c r="A61" s="38"/>
      <c r="B61" s="49"/>
      <c r="C61" s="38"/>
      <c r="D61" s="38" t="s">
        <v>13</v>
      </c>
      <c r="E61" s="38">
        <v>8</v>
      </c>
      <c r="F61" s="38">
        <f>E61*6500</f>
        <v>52000</v>
      </c>
      <c r="G61" s="38">
        <f>E61*4500</f>
        <v>36000</v>
      </c>
      <c r="H61" s="38">
        <f>E61*2000</f>
        <v>16000</v>
      </c>
    </row>
    <row r="62" spans="1:8" hidden="1" x14ac:dyDescent="0.25">
      <c r="A62" s="38"/>
      <c r="B62" s="49"/>
      <c r="C62" s="38"/>
      <c r="D62" s="38" t="s">
        <v>14</v>
      </c>
      <c r="E62" s="38">
        <v>1</v>
      </c>
      <c r="F62" s="38">
        <v>8000</v>
      </c>
      <c r="G62" s="38">
        <v>5500</v>
      </c>
      <c r="H62" s="38">
        <v>2500</v>
      </c>
    </row>
    <row r="63" spans="1:8" hidden="1" x14ac:dyDescent="0.25">
      <c r="A63" s="38"/>
      <c r="B63" s="49"/>
      <c r="C63" s="38"/>
      <c r="D63" s="38" t="s">
        <v>14</v>
      </c>
      <c r="E63" s="38">
        <v>5</v>
      </c>
      <c r="F63" s="38">
        <f>E63*10000</f>
        <v>50000</v>
      </c>
      <c r="G63" s="38">
        <f>E63*5500</f>
        <v>27500</v>
      </c>
      <c r="H63" s="38">
        <f>E63*4500</f>
        <v>22500</v>
      </c>
    </row>
    <row r="64" spans="1:8" hidden="1" x14ac:dyDescent="0.25">
      <c r="A64" s="38"/>
      <c r="B64" s="49"/>
      <c r="C64" s="38"/>
      <c r="D64" s="38" t="s">
        <v>425</v>
      </c>
      <c r="E64" s="38">
        <v>1</v>
      </c>
      <c r="F64" s="38">
        <v>2000</v>
      </c>
      <c r="G64" s="38">
        <v>1000</v>
      </c>
      <c r="H64" s="38">
        <v>1000</v>
      </c>
    </row>
    <row r="65" spans="1:8" hidden="1" x14ac:dyDescent="0.25">
      <c r="A65" s="38"/>
      <c r="B65" s="49"/>
      <c r="C65" s="38"/>
      <c r="D65" s="38" t="s">
        <v>415</v>
      </c>
      <c r="E65" s="38">
        <v>1</v>
      </c>
      <c r="F65" s="38">
        <v>3000</v>
      </c>
      <c r="G65" s="38">
        <v>1500</v>
      </c>
      <c r="H65" s="38">
        <v>1500</v>
      </c>
    </row>
    <row r="66" spans="1:8" x14ac:dyDescent="0.25">
      <c r="A66" s="38"/>
      <c r="B66" s="49"/>
      <c r="C66" s="38"/>
      <c r="D66" s="38" t="s">
        <v>432</v>
      </c>
      <c r="E66" s="38">
        <v>1</v>
      </c>
      <c r="F66" s="38">
        <v>5000</v>
      </c>
      <c r="G66" s="38">
        <v>2500</v>
      </c>
      <c r="H66" s="38">
        <v>2500</v>
      </c>
    </row>
    <row r="67" spans="1:8" hidden="1" x14ac:dyDescent="0.25">
      <c r="A67" s="38"/>
      <c r="B67" s="49"/>
      <c r="C67" s="38" t="s">
        <v>544</v>
      </c>
      <c r="D67" s="38" t="s">
        <v>11</v>
      </c>
      <c r="E67" s="38">
        <v>11</v>
      </c>
      <c r="F67" s="38">
        <f>E67*1500</f>
        <v>16500</v>
      </c>
      <c r="G67" s="38">
        <f>E67*500</f>
        <v>5500</v>
      </c>
      <c r="H67" s="38">
        <f>E67*1000</f>
        <v>11000</v>
      </c>
    </row>
    <row r="68" spans="1:8" hidden="1" x14ac:dyDescent="0.25">
      <c r="A68" s="56"/>
      <c r="B68" s="62"/>
      <c r="C68" s="56"/>
      <c r="D68" s="55" t="s">
        <v>13</v>
      </c>
      <c r="E68" s="40">
        <v>7</v>
      </c>
      <c r="F68" s="40">
        <f>E68*6500</f>
        <v>45500</v>
      </c>
      <c r="G68" s="40">
        <f>E68*4500</f>
        <v>31500</v>
      </c>
      <c r="H68" s="40">
        <f>E68*2000</f>
        <v>14000</v>
      </c>
    </row>
    <row r="69" spans="1:8" hidden="1" x14ac:dyDescent="0.25">
      <c r="A69" s="38"/>
      <c r="B69" s="49"/>
      <c r="C69" s="38"/>
      <c r="D69" s="38" t="s">
        <v>14</v>
      </c>
      <c r="E69" s="38">
        <v>3</v>
      </c>
      <c r="F69" s="38">
        <f>E69*10000</f>
        <v>30000</v>
      </c>
      <c r="G69" s="38">
        <f>E69*5500</f>
        <v>16500</v>
      </c>
      <c r="H69" s="38">
        <f>E69*4500</f>
        <v>13500</v>
      </c>
    </row>
    <row r="70" spans="1:8" hidden="1" x14ac:dyDescent="0.25">
      <c r="A70" s="38"/>
      <c r="B70" s="49"/>
      <c r="C70" s="38" t="s">
        <v>16</v>
      </c>
      <c r="D70" s="38" t="s">
        <v>11</v>
      </c>
      <c r="E70" s="38">
        <v>46</v>
      </c>
      <c r="F70" s="38">
        <f>E70*1500</f>
        <v>69000</v>
      </c>
      <c r="G70" s="38">
        <f>E70*500</f>
        <v>23000</v>
      </c>
      <c r="H70" s="38">
        <v>46000</v>
      </c>
    </row>
    <row r="71" spans="1:8" hidden="1" x14ac:dyDescent="0.25">
      <c r="A71" s="38"/>
      <c r="B71" s="49"/>
      <c r="C71" s="38"/>
      <c r="D71" s="38" t="s">
        <v>12</v>
      </c>
      <c r="E71" s="38">
        <v>1</v>
      </c>
      <c r="F71" s="38">
        <v>3000</v>
      </c>
      <c r="G71" s="38">
        <v>2000</v>
      </c>
      <c r="H71" s="38">
        <v>1000</v>
      </c>
    </row>
    <row r="72" spans="1:8" hidden="1" x14ac:dyDescent="0.25">
      <c r="A72" s="38"/>
      <c r="B72" s="49"/>
      <c r="C72" s="38"/>
      <c r="D72" s="38" t="s">
        <v>13</v>
      </c>
      <c r="E72" s="38">
        <v>2</v>
      </c>
      <c r="F72" s="38">
        <f>E72*6500</f>
        <v>13000</v>
      </c>
      <c r="G72" s="38">
        <f>E72*4500</f>
        <v>9000</v>
      </c>
      <c r="H72" s="38">
        <f>E72*2000</f>
        <v>4000</v>
      </c>
    </row>
    <row r="73" spans="1:8" hidden="1" x14ac:dyDescent="0.25">
      <c r="A73" s="38"/>
      <c r="B73" s="49"/>
      <c r="C73" s="38" t="s">
        <v>24</v>
      </c>
      <c r="D73" s="38" t="s">
        <v>243</v>
      </c>
      <c r="E73" s="38">
        <v>2</v>
      </c>
      <c r="F73" s="38">
        <f>E73*15000</f>
        <v>30000</v>
      </c>
      <c r="G73" s="38">
        <f>E73*10000</f>
        <v>20000</v>
      </c>
      <c r="H73" s="38">
        <f>E73*5000</f>
        <v>10000</v>
      </c>
    </row>
    <row r="74" spans="1:8" hidden="1" x14ac:dyDescent="0.25">
      <c r="A74" s="131" t="s">
        <v>17</v>
      </c>
      <c r="B74" s="132"/>
      <c r="C74" s="132"/>
      <c r="D74" s="133"/>
      <c r="E74" s="17">
        <f>SUM(E60:E73)</f>
        <v>99</v>
      </c>
      <c r="F74" s="17">
        <f>SUM(F60:F73)</f>
        <v>342000</v>
      </c>
      <c r="G74" s="17">
        <f>SUM(G60:G73)</f>
        <v>186500</v>
      </c>
      <c r="H74" s="17">
        <f>SUM(H60:H73)</f>
        <v>155500</v>
      </c>
    </row>
    <row r="75" spans="1:8" hidden="1" x14ac:dyDescent="0.25">
      <c r="A75" s="38" t="s">
        <v>26</v>
      </c>
      <c r="B75" s="49"/>
      <c r="C75" s="38" t="s">
        <v>217</v>
      </c>
      <c r="D75" s="38" t="s">
        <v>11</v>
      </c>
      <c r="E75" s="38">
        <v>9</v>
      </c>
      <c r="F75" s="38">
        <f>E75*1500</f>
        <v>13500</v>
      </c>
      <c r="G75" s="38">
        <f>E75*500</f>
        <v>4500</v>
      </c>
      <c r="H75" s="38">
        <v>9000</v>
      </c>
    </row>
    <row r="76" spans="1:8" hidden="1" x14ac:dyDescent="0.25">
      <c r="A76" s="38"/>
      <c r="B76" s="49">
        <v>45142</v>
      </c>
      <c r="C76" s="38"/>
      <c r="D76" s="38" t="s">
        <v>13</v>
      </c>
      <c r="E76" s="38">
        <v>4</v>
      </c>
      <c r="F76" s="38">
        <f>E76*6500</f>
        <v>26000</v>
      </c>
      <c r="G76" s="38">
        <f>E76*4500</f>
        <v>18000</v>
      </c>
      <c r="H76" s="38">
        <f>E76*2000</f>
        <v>8000</v>
      </c>
    </row>
    <row r="77" spans="1:8" hidden="1" x14ac:dyDescent="0.25">
      <c r="A77" s="38"/>
      <c r="B77" s="49"/>
      <c r="C77" s="38"/>
      <c r="D77" s="38" t="s">
        <v>14</v>
      </c>
      <c r="E77" s="38">
        <v>1</v>
      </c>
      <c r="F77" s="38">
        <v>8000</v>
      </c>
      <c r="G77" s="38">
        <v>5500</v>
      </c>
      <c r="H77" s="38">
        <v>2500</v>
      </c>
    </row>
    <row r="78" spans="1:8" hidden="1" x14ac:dyDescent="0.25">
      <c r="A78" s="38"/>
      <c r="B78" s="49"/>
      <c r="C78" s="38"/>
      <c r="D78" s="38" t="s">
        <v>14</v>
      </c>
      <c r="E78" s="38">
        <v>5</v>
      </c>
      <c r="F78" s="38">
        <f>E78*10000</f>
        <v>50000</v>
      </c>
      <c r="G78" s="38">
        <f>E78*5500</f>
        <v>27500</v>
      </c>
      <c r="H78" s="38">
        <f>E78*4500</f>
        <v>22500</v>
      </c>
    </row>
    <row r="79" spans="1:8" x14ac:dyDescent="0.25">
      <c r="A79" s="38"/>
      <c r="B79" s="49"/>
      <c r="C79" s="38"/>
      <c r="D79" s="38" t="s">
        <v>441</v>
      </c>
      <c r="E79" s="38">
        <v>1</v>
      </c>
      <c r="F79" s="38">
        <v>3000</v>
      </c>
      <c r="G79" s="38">
        <v>1500</v>
      </c>
      <c r="H79" s="38">
        <v>1500</v>
      </c>
    </row>
    <row r="80" spans="1:8" hidden="1" x14ac:dyDescent="0.25">
      <c r="A80" s="56"/>
      <c r="B80" s="62"/>
      <c r="C80" s="55" t="s">
        <v>544</v>
      </c>
      <c r="D80" s="57" t="s">
        <v>11</v>
      </c>
      <c r="E80" s="40">
        <v>7</v>
      </c>
      <c r="F80" s="40">
        <f>E80*1500</f>
        <v>10500</v>
      </c>
      <c r="G80" s="40">
        <f>E80*500</f>
        <v>3500</v>
      </c>
      <c r="H80" s="40">
        <v>7000</v>
      </c>
    </row>
    <row r="81" spans="1:8" hidden="1" x14ac:dyDescent="0.25">
      <c r="A81" s="38"/>
      <c r="B81" s="49"/>
      <c r="C81" s="38"/>
      <c r="D81" s="38" t="s">
        <v>13</v>
      </c>
      <c r="E81" s="38">
        <v>3</v>
      </c>
      <c r="F81" s="38">
        <f>E81*6500</f>
        <v>19500</v>
      </c>
      <c r="G81" s="38">
        <f>E81*4500</f>
        <v>13500</v>
      </c>
      <c r="H81" s="38">
        <f>E81*2000</f>
        <v>6000</v>
      </c>
    </row>
    <row r="82" spans="1:8" hidden="1" x14ac:dyDescent="0.25">
      <c r="A82" s="38"/>
      <c r="B82" s="49"/>
      <c r="C82" s="38"/>
      <c r="D82" s="38" t="s">
        <v>14</v>
      </c>
      <c r="E82" s="38">
        <v>1</v>
      </c>
      <c r="F82" s="38">
        <v>10000</v>
      </c>
      <c r="G82" s="38">
        <v>5500</v>
      </c>
      <c r="H82" s="38">
        <v>4500</v>
      </c>
    </row>
    <row r="83" spans="1:8" hidden="1" x14ac:dyDescent="0.25">
      <c r="A83" s="38"/>
      <c r="B83" s="49"/>
      <c r="C83" s="38" t="s">
        <v>16</v>
      </c>
      <c r="D83" s="38" t="s">
        <v>11</v>
      </c>
      <c r="E83" s="38">
        <v>17</v>
      </c>
      <c r="F83" s="38">
        <f>E83*1500</f>
        <v>25500</v>
      </c>
      <c r="G83" s="38">
        <f>E83*500</f>
        <v>8500</v>
      </c>
      <c r="H83" s="38">
        <v>17000</v>
      </c>
    </row>
    <row r="84" spans="1:8" hidden="1" x14ac:dyDescent="0.25">
      <c r="A84" s="38"/>
      <c r="B84" s="49"/>
      <c r="C84" s="38"/>
      <c r="D84" s="38" t="s">
        <v>12</v>
      </c>
      <c r="E84" s="38">
        <v>2</v>
      </c>
      <c r="F84" s="38">
        <f>E84*3000</f>
        <v>6000</v>
      </c>
      <c r="G84" s="38">
        <f>E84*2000</f>
        <v>4000</v>
      </c>
      <c r="H84" s="38">
        <v>2000</v>
      </c>
    </row>
    <row r="85" spans="1:8" hidden="1" x14ac:dyDescent="0.25">
      <c r="A85" s="38"/>
      <c r="B85" s="49"/>
      <c r="C85" s="38"/>
      <c r="D85" s="38" t="s">
        <v>13</v>
      </c>
      <c r="E85" s="38">
        <v>1</v>
      </c>
      <c r="F85" s="38">
        <v>10000</v>
      </c>
      <c r="G85" s="38">
        <v>5500</v>
      </c>
      <c r="H85" s="38">
        <v>4500</v>
      </c>
    </row>
    <row r="86" spans="1:8" hidden="1" x14ac:dyDescent="0.25">
      <c r="A86" s="131" t="s">
        <v>17</v>
      </c>
      <c r="B86" s="132"/>
      <c r="C86" s="132"/>
      <c r="D86" s="133"/>
      <c r="E86" s="17">
        <f>SUM(E75:E85)</f>
        <v>51</v>
      </c>
      <c r="F86" s="17">
        <f>SUM(F75:F85)</f>
        <v>182000</v>
      </c>
      <c r="G86" s="17">
        <f>SUM(G75:G85)</f>
        <v>97500</v>
      </c>
      <c r="H86" s="17">
        <f>SUM(H75:H85)</f>
        <v>84500</v>
      </c>
    </row>
    <row r="87" spans="1:8" hidden="1" x14ac:dyDescent="0.25">
      <c r="A87" s="38" t="s">
        <v>28</v>
      </c>
      <c r="B87" s="49">
        <v>45173</v>
      </c>
      <c r="C87" s="38" t="s">
        <v>16</v>
      </c>
      <c r="D87" s="38" t="s">
        <v>11</v>
      </c>
      <c r="E87" s="38">
        <v>42</v>
      </c>
      <c r="F87" s="38">
        <f>E87*1500</f>
        <v>63000</v>
      </c>
      <c r="G87" s="38">
        <f>E87*500</f>
        <v>21000</v>
      </c>
      <c r="H87" s="38">
        <v>42000</v>
      </c>
    </row>
    <row r="88" spans="1:8" hidden="1" x14ac:dyDescent="0.25">
      <c r="A88" s="38"/>
      <c r="B88" s="49"/>
      <c r="C88" s="38"/>
      <c r="D88" s="38" t="s">
        <v>12</v>
      </c>
      <c r="E88" s="38">
        <v>9</v>
      </c>
      <c r="F88" s="38">
        <f>E88*3000</f>
        <v>27000</v>
      </c>
      <c r="G88" s="38">
        <f>E88*2000</f>
        <v>18000</v>
      </c>
      <c r="H88" s="38">
        <f>E88*1000</f>
        <v>9000</v>
      </c>
    </row>
    <row r="89" spans="1:8" hidden="1" x14ac:dyDescent="0.25">
      <c r="A89" s="38"/>
      <c r="B89" s="49"/>
      <c r="C89" s="38"/>
      <c r="D89" s="38" t="s">
        <v>13</v>
      </c>
      <c r="E89" s="38">
        <v>1</v>
      </c>
      <c r="F89" s="38">
        <v>6500</v>
      </c>
      <c r="G89" s="38">
        <v>4500</v>
      </c>
      <c r="H89" s="38">
        <v>2000</v>
      </c>
    </row>
    <row r="90" spans="1:8" hidden="1" x14ac:dyDescent="0.25">
      <c r="A90" s="38"/>
      <c r="B90" s="49"/>
      <c r="C90" s="38"/>
      <c r="D90" s="38" t="s">
        <v>14</v>
      </c>
      <c r="E90" s="38">
        <v>1</v>
      </c>
      <c r="F90" s="38">
        <v>10000</v>
      </c>
      <c r="G90" s="38">
        <v>5500</v>
      </c>
      <c r="H90" s="38">
        <v>4500</v>
      </c>
    </row>
    <row r="91" spans="1:8" hidden="1" x14ac:dyDescent="0.25">
      <c r="A91" s="38"/>
      <c r="B91" s="49"/>
      <c r="C91" s="38" t="s">
        <v>217</v>
      </c>
      <c r="D91" s="38" t="s">
        <v>11</v>
      </c>
      <c r="E91" s="38">
        <v>9</v>
      </c>
      <c r="F91" s="38">
        <f>E91*1500</f>
        <v>13500</v>
      </c>
      <c r="G91" s="38">
        <f>E91*500</f>
        <v>4500</v>
      </c>
      <c r="H91" s="38">
        <v>9000</v>
      </c>
    </row>
    <row r="92" spans="1:8" hidden="1" x14ac:dyDescent="0.25">
      <c r="A92" s="38"/>
      <c r="B92" s="49"/>
      <c r="C92" s="38"/>
      <c r="D92" s="38" t="s">
        <v>13</v>
      </c>
      <c r="E92" s="38">
        <v>13</v>
      </c>
      <c r="F92" s="38">
        <f>E92*6500</f>
        <v>84500</v>
      </c>
      <c r="G92" s="38">
        <f>E92*4500</f>
        <v>58500</v>
      </c>
      <c r="H92" s="38">
        <f>E92*2000</f>
        <v>26000</v>
      </c>
    </row>
    <row r="93" spans="1:8" hidden="1" x14ac:dyDescent="0.25">
      <c r="A93" s="38"/>
      <c r="B93" s="49"/>
      <c r="C93" s="38"/>
      <c r="D93" s="38" t="s">
        <v>14</v>
      </c>
      <c r="E93" s="38">
        <v>1</v>
      </c>
      <c r="F93" s="38">
        <v>8000</v>
      </c>
      <c r="G93" s="38">
        <v>5500</v>
      </c>
      <c r="H93" s="38">
        <v>2500</v>
      </c>
    </row>
    <row r="94" spans="1:8" hidden="1" x14ac:dyDescent="0.25">
      <c r="A94" s="38"/>
      <c r="B94" s="49"/>
      <c r="C94" s="38"/>
      <c r="D94" s="38" t="s">
        <v>14</v>
      </c>
      <c r="E94" s="38">
        <v>14</v>
      </c>
      <c r="F94" s="38">
        <f>E94*10000</f>
        <v>140000</v>
      </c>
      <c r="G94" s="38">
        <f>E94*5500</f>
        <v>77000</v>
      </c>
      <c r="H94" s="38">
        <f>E94*4500</f>
        <v>63000</v>
      </c>
    </row>
    <row r="95" spans="1:8" hidden="1" x14ac:dyDescent="0.25">
      <c r="A95" s="38"/>
      <c r="B95" s="49"/>
      <c r="C95" s="38"/>
      <c r="D95" s="38" t="s">
        <v>425</v>
      </c>
      <c r="E95" s="38">
        <v>6</v>
      </c>
      <c r="F95" s="38">
        <f>E95*2000</f>
        <v>12000</v>
      </c>
      <c r="G95" s="38">
        <v>6000</v>
      </c>
      <c r="H95" s="38">
        <v>6000</v>
      </c>
    </row>
    <row r="96" spans="1:8" hidden="1" x14ac:dyDescent="0.25">
      <c r="A96" s="38"/>
      <c r="B96" s="49"/>
      <c r="C96" s="38"/>
      <c r="D96" s="38" t="s">
        <v>415</v>
      </c>
      <c r="E96" s="38">
        <v>1</v>
      </c>
      <c r="F96" s="38">
        <v>5000</v>
      </c>
      <c r="G96" s="38">
        <v>2500</v>
      </c>
      <c r="H96" s="38">
        <v>2500</v>
      </c>
    </row>
    <row r="97" spans="1:8" hidden="1" x14ac:dyDescent="0.25">
      <c r="A97" s="38"/>
      <c r="B97" s="49"/>
      <c r="C97" s="38" t="s">
        <v>544</v>
      </c>
      <c r="D97" s="38" t="s">
        <v>11</v>
      </c>
      <c r="E97" s="38">
        <v>1</v>
      </c>
      <c r="F97" s="38">
        <v>1500</v>
      </c>
      <c r="G97" s="38">
        <v>500</v>
      </c>
      <c r="H97" s="38">
        <v>1000</v>
      </c>
    </row>
    <row r="98" spans="1:8" hidden="1" x14ac:dyDescent="0.25">
      <c r="A98" s="38"/>
      <c r="B98" s="49"/>
      <c r="C98" s="38"/>
      <c r="D98" s="38" t="s">
        <v>13</v>
      </c>
      <c r="E98" s="38">
        <v>6</v>
      </c>
      <c r="F98" s="38">
        <f>E98*6500</f>
        <v>39000</v>
      </c>
      <c r="G98" s="38">
        <f>E98*4500</f>
        <v>27000</v>
      </c>
      <c r="H98" s="38">
        <f>E98*2000</f>
        <v>12000</v>
      </c>
    </row>
    <row r="99" spans="1:8" hidden="1" x14ac:dyDescent="0.25">
      <c r="A99" s="38"/>
      <c r="B99" s="49"/>
      <c r="C99" s="38"/>
      <c r="D99" s="38" t="s">
        <v>14</v>
      </c>
      <c r="E99" s="38">
        <v>5</v>
      </c>
      <c r="F99" s="38">
        <f>E99*10000</f>
        <v>50000</v>
      </c>
      <c r="G99" s="38">
        <f>E99*5500</f>
        <v>27500</v>
      </c>
      <c r="H99" s="38">
        <f>E99*4500</f>
        <v>22500</v>
      </c>
    </row>
    <row r="100" spans="1:8" hidden="1" x14ac:dyDescent="0.25">
      <c r="A100" s="131" t="s">
        <v>17</v>
      </c>
      <c r="B100" s="132"/>
      <c r="C100" s="132"/>
      <c r="D100" s="133"/>
      <c r="E100" s="17">
        <f>SUM(E87:E99)</f>
        <v>109</v>
      </c>
      <c r="F100" s="17">
        <f>SUM(F87:F99)</f>
        <v>460000</v>
      </c>
      <c r="G100" s="17">
        <f>SUM(G87:G99)</f>
        <v>258000</v>
      </c>
      <c r="H100" s="17">
        <f>SUM(H87:H99)</f>
        <v>202000</v>
      </c>
    </row>
    <row r="101" spans="1:8" hidden="1" x14ac:dyDescent="0.25">
      <c r="A101" s="38" t="s">
        <v>30</v>
      </c>
      <c r="B101" s="49">
        <v>45203</v>
      </c>
      <c r="C101" s="38" t="s">
        <v>16</v>
      </c>
      <c r="D101" s="38" t="s">
        <v>11</v>
      </c>
      <c r="E101" s="38">
        <v>15</v>
      </c>
      <c r="F101" s="38">
        <f>E101*1500</f>
        <v>22500</v>
      </c>
      <c r="G101" s="38">
        <f>E101*500</f>
        <v>7500</v>
      </c>
      <c r="H101" s="38">
        <v>15000</v>
      </c>
    </row>
    <row r="102" spans="1:8" hidden="1" x14ac:dyDescent="0.25">
      <c r="A102" s="38"/>
      <c r="B102" s="49"/>
      <c r="C102" s="38" t="s">
        <v>217</v>
      </c>
      <c r="D102" s="38" t="s">
        <v>11</v>
      </c>
      <c r="E102" s="38">
        <v>5</v>
      </c>
      <c r="F102" s="38">
        <f>E102*1500</f>
        <v>7500</v>
      </c>
      <c r="G102" s="38">
        <f>E102*500</f>
        <v>2500</v>
      </c>
      <c r="H102" s="38">
        <v>5000</v>
      </c>
    </row>
    <row r="103" spans="1:8" hidden="1" x14ac:dyDescent="0.25">
      <c r="A103" s="38"/>
      <c r="B103" s="49"/>
      <c r="C103" s="38"/>
      <c r="D103" s="38" t="s">
        <v>13</v>
      </c>
      <c r="E103" s="38">
        <v>7</v>
      </c>
      <c r="F103" s="38">
        <f>E103*6500</f>
        <v>45500</v>
      </c>
      <c r="G103" s="38">
        <f>E103*4500</f>
        <v>31500</v>
      </c>
      <c r="H103" s="38">
        <f>E103*2000</f>
        <v>14000</v>
      </c>
    </row>
    <row r="104" spans="1:8" hidden="1" x14ac:dyDescent="0.25">
      <c r="A104" s="38"/>
      <c r="B104" s="49"/>
      <c r="C104" s="38"/>
      <c r="D104" s="38" t="s">
        <v>14</v>
      </c>
      <c r="E104" s="38">
        <v>1</v>
      </c>
      <c r="F104" s="38">
        <v>8000</v>
      </c>
      <c r="G104" s="38">
        <v>5500</v>
      </c>
      <c r="H104" s="38">
        <v>2500</v>
      </c>
    </row>
    <row r="105" spans="1:8" hidden="1" x14ac:dyDescent="0.25">
      <c r="A105" s="38"/>
      <c r="B105" s="49"/>
      <c r="C105" s="38"/>
      <c r="D105" s="38" t="s">
        <v>14</v>
      </c>
      <c r="E105" s="38">
        <v>3</v>
      </c>
      <c r="F105" s="38">
        <f>E105*10000</f>
        <v>30000</v>
      </c>
      <c r="G105" s="38">
        <f>E105*5500</f>
        <v>16500</v>
      </c>
      <c r="H105" s="38">
        <f>E105*4500</f>
        <v>13500</v>
      </c>
    </row>
    <row r="106" spans="1:8" hidden="1" x14ac:dyDescent="0.25">
      <c r="A106" s="58"/>
      <c r="B106" s="63"/>
      <c r="C106" s="59" t="s">
        <v>544</v>
      </c>
      <c r="D106" s="57" t="s">
        <v>11</v>
      </c>
      <c r="E106" s="40">
        <v>4</v>
      </c>
      <c r="F106" s="40">
        <f>E106*1500</f>
        <v>6000</v>
      </c>
      <c r="G106" s="40">
        <f>E106*500</f>
        <v>2000</v>
      </c>
      <c r="H106" s="40">
        <v>4000</v>
      </c>
    </row>
    <row r="107" spans="1:8" hidden="1" x14ac:dyDescent="0.25">
      <c r="A107" s="38"/>
      <c r="B107" s="49"/>
      <c r="C107" s="38"/>
      <c r="D107" s="38" t="s">
        <v>13</v>
      </c>
      <c r="E107" s="38">
        <v>4</v>
      </c>
      <c r="F107" s="38">
        <f>E107*6500</f>
        <v>26000</v>
      </c>
      <c r="G107" s="38">
        <f>E107*4500</f>
        <v>18000</v>
      </c>
      <c r="H107" s="38">
        <f>E107*2000</f>
        <v>8000</v>
      </c>
    </row>
    <row r="108" spans="1:8" hidden="1" x14ac:dyDescent="0.25">
      <c r="A108" s="38"/>
      <c r="B108" s="49"/>
      <c r="C108" s="38"/>
      <c r="D108" s="38" t="s">
        <v>14</v>
      </c>
      <c r="E108" s="38">
        <v>2</v>
      </c>
      <c r="F108" s="38">
        <f>E108*10000</f>
        <v>20000</v>
      </c>
      <c r="G108" s="38">
        <f>E108*5500</f>
        <v>11000</v>
      </c>
      <c r="H108" s="38">
        <f>E108*4500</f>
        <v>9000</v>
      </c>
    </row>
    <row r="109" spans="1:8" hidden="1" x14ac:dyDescent="0.25">
      <c r="A109" s="131" t="s">
        <v>17</v>
      </c>
      <c r="B109" s="132"/>
      <c r="C109" s="132"/>
      <c r="D109" s="133"/>
      <c r="E109" s="17">
        <f>SUM(E101:E108)</f>
        <v>41</v>
      </c>
      <c r="F109" s="17">
        <f>SUM(F101:F108)</f>
        <v>165500</v>
      </c>
      <c r="G109" s="17">
        <f>SUM(G101:G108)</f>
        <v>94500</v>
      </c>
      <c r="H109" s="17">
        <f>SUM(H101:H108)</f>
        <v>71000</v>
      </c>
    </row>
    <row r="110" spans="1:8" hidden="1" x14ac:dyDescent="0.25">
      <c r="A110" s="38" t="s">
        <v>32</v>
      </c>
      <c r="B110" s="49">
        <v>45234</v>
      </c>
      <c r="C110" s="38" t="s">
        <v>16</v>
      </c>
      <c r="D110" s="38" t="s">
        <v>11</v>
      </c>
      <c r="E110" s="38">
        <v>49</v>
      </c>
      <c r="F110" s="38">
        <f>E110*1500</f>
        <v>73500</v>
      </c>
      <c r="G110" s="38">
        <f>E110*500</f>
        <v>24500</v>
      </c>
      <c r="H110" s="38">
        <v>49000</v>
      </c>
    </row>
    <row r="111" spans="1:8" hidden="1" x14ac:dyDescent="0.25">
      <c r="A111" s="38"/>
      <c r="B111" s="49"/>
      <c r="C111" s="38"/>
      <c r="D111" s="38" t="s">
        <v>12</v>
      </c>
      <c r="E111" s="38">
        <v>10</v>
      </c>
      <c r="F111" s="38">
        <f>E111*3000</f>
        <v>30000</v>
      </c>
      <c r="G111" s="38">
        <f>E111*2000</f>
        <v>20000</v>
      </c>
      <c r="H111" s="38">
        <v>10000</v>
      </c>
    </row>
    <row r="112" spans="1:8" hidden="1" x14ac:dyDescent="0.25">
      <c r="A112" s="38"/>
      <c r="B112" s="49"/>
      <c r="C112" s="38"/>
      <c r="D112" s="38" t="s">
        <v>13</v>
      </c>
      <c r="E112" s="38">
        <v>2</v>
      </c>
      <c r="F112" s="38">
        <f>E112*6500</f>
        <v>13000</v>
      </c>
      <c r="G112" s="38">
        <f>E112*4500</f>
        <v>9000</v>
      </c>
      <c r="H112" s="38">
        <f>E112*2000</f>
        <v>4000</v>
      </c>
    </row>
    <row r="113" spans="1:8" hidden="1" x14ac:dyDescent="0.25">
      <c r="A113" s="38"/>
      <c r="B113" s="49"/>
      <c r="C113" s="38"/>
      <c r="D113" s="38" t="s">
        <v>14</v>
      </c>
      <c r="E113" s="38">
        <v>2</v>
      </c>
      <c r="F113" s="38">
        <f>E113*10000</f>
        <v>20000</v>
      </c>
      <c r="G113" s="38">
        <f>E113*5500</f>
        <v>11000</v>
      </c>
      <c r="H113" s="38">
        <f>E113*4500</f>
        <v>9000</v>
      </c>
    </row>
    <row r="114" spans="1:8" hidden="1" x14ac:dyDescent="0.25">
      <c r="A114" s="38"/>
      <c r="B114" s="49"/>
      <c r="C114" s="38"/>
      <c r="D114" s="38" t="s">
        <v>243</v>
      </c>
      <c r="E114" s="38">
        <v>1</v>
      </c>
      <c r="F114" s="38">
        <v>13000</v>
      </c>
      <c r="G114" s="38">
        <v>10000</v>
      </c>
      <c r="H114" s="38">
        <v>3000</v>
      </c>
    </row>
    <row r="115" spans="1:8" hidden="1" x14ac:dyDescent="0.25">
      <c r="A115" s="131" t="s">
        <v>17</v>
      </c>
      <c r="B115" s="132"/>
      <c r="C115" s="132"/>
      <c r="D115" s="133"/>
      <c r="E115" s="17">
        <f>SUM(E110:E114)</f>
        <v>64</v>
      </c>
      <c r="F115" s="17">
        <f>SUM(F110:F114)</f>
        <v>149500</v>
      </c>
      <c r="G115" s="17">
        <f>SUM(G110:G114)</f>
        <v>74500</v>
      </c>
      <c r="H115" s="17">
        <f>SUM(H110:H114)</f>
        <v>75000</v>
      </c>
    </row>
    <row r="116" spans="1:8" hidden="1" x14ac:dyDescent="0.25">
      <c r="A116" s="38" t="s">
        <v>8</v>
      </c>
      <c r="B116" s="49">
        <v>45264</v>
      </c>
      <c r="C116" s="38" t="s">
        <v>217</v>
      </c>
      <c r="D116" s="38" t="s">
        <v>11</v>
      </c>
      <c r="E116" s="38">
        <v>9</v>
      </c>
      <c r="F116" s="38">
        <f>E116*1500</f>
        <v>13500</v>
      </c>
      <c r="G116" s="38">
        <f>E116*500</f>
        <v>4500</v>
      </c>
      <c r="H116" s="38">
        <v>9000</v>
      </c>
    </row>
    <row r="117" spans="1:8" hidden="1" x14ac:dyDescent="0.25">
      <c r="A117" s="38"/>
      <c r="B117" s="49"/>
      <c r="C117" s="38"/>
      <c r="D117" s="38" t="s">
        <v>13</v>
      </c>
      <c r="E117" s="38">
        <v>8</v>
      </c>
      <c r="F117" s="38">
        <f>E117*6500</f>
        <v>52000</v>
      </c>
      <c r="G117" s="38">
        <f>E117*4500</f>
        <v>36000</v>
      </c>
      <c r="H117" s="38">
        <f>E117*2000</f>
        <v>16000</v>
      </c>
    </row>
    <row r="118" spans="1:8" hidden="1" x14ac:dyDescent="0.25">
      <c r="A118" s="38"/>
      <c r="B118" s="49"/>
      <c r="C118" s="38"/>
      <c r="D118" s="38" t="s">
        <v>14</v>
      </c>
      <c r="E118" s="38">
        <v>1</v>
      </c>
      <c r="F118" s="38">
        <v>8000</v>
      </c>
      <c r="G118" s="38">
        <v>5500</v>
      </c>
      <c r="H118" s="38">
        <v>2500</v>
      </c>
    </row>
    <row r="119" spans="1:8" hidden="1" x14ac:dyDescent="0.25">
      <c r="A119" s="38"/>
      <c r="B119" s="49"/>
      <c r="C119" s="38"/>
      <c r="D119" s="38" t="s">
        <v>14</v>
      </c>
      <c r="E119" s="38">
        <v>7</v>
      </c>
      <c r="F119" s="38">
        <f>E119*10000</f>
        <v>70000</v>
      </c>
      <c r="G119" s="38">
        <f>E119*5500</f>
        <v>38500</v>
      </c>
      <c r="H119" s="38">
        <f>E119*4500</f>
        <v>31500</v>
      </c>
    </row>
    <row r="120" spans="1:8" hidden="1" x14ac:dyDescent="0.25">
      <c r="A120" s="38"/>
      <c r="B120" s="49"/>
      <c r="C120" s="38" t="s">
        <v>544</v>
      </c>
      <c r="D120" s="38" t="s">
        <v>11</v>
      </c>
      <c r="E120" s="38">
        <v>5</v>
      </c>
      <c r="F120" s="38">
        <f>E120*1500</f>
        <v>7500</v>
      </c>
      <c r="G120" s="38">
        <f>E120*500</f>
        <v>2500</v>
      </c>
      <c r="H120" s="38">
        <v>5000</v>
      </c>
    </row>
    <row r="121" spans="1:8" hidden="1" x14ac:dyDescent="0.25">
      <c r="A121" s="38"/>
      <c r="B121" s="49"/>
      <c r="C121" s="38" t="s">
        <v>16</v>
      </c>
      <c r="D121" s="38" t="s">
        <v>11</v>
      </c>
      <c r="E121" s="38">
        <v>15</v>
      </c>
      <c r="F121" s="38">
        <f>E121*1500</f>
        <v>22500</v>
      </c>
      <c r="G121" s="38">
        <f>E121*500</f>
        <v>7500</v>
      </c>
      <c r="H121" s="38">
        <v>15000</v>
      </c>
    </row>
    <row r="122" spans="1:8" hidden="1" x14ac:dyDescent="0.25">
      <c r="A122" s="38"/>
      <c r="B122" s="49"/>
      <c r="C122" s="38"/>
      <c r="D122" s="38" t="s">
        <v>12</v>
      </c>
      <c r="E122" s="38">
        <v>6</v>
      </c>
      <c r="F122" s="38">
        <f>E122*3000</f>
        <v>18000</v>
      </c>
      <c r="G122" s="38">
        <f>E122*2000</f>
        <v>12000</v>
      </c>
      <c r="H122" s="38">
        <v>6000</v>
      </c>
    </row>
    <row r="123" spans="1:8" hidden="1" x14ac:dyDescent="0.25">
      <c r="A123" s="56"/>
      <c r="B123" s="56"/>
      <c r="C123" s="56"/>
      <c r="D123" s="55" t="s">
        <v>13</v>
      </c>
      <c r="E123" s="40">
        <v>1</v>
      </c>
      <c r="F123" s="40">
        <v>6500</v>
      </c>
      <c r="G123" s="40">
        <v>4500</v>
      </c>
      <c r="H123" s="40">
        <v>2000</v>
      </c>
    </row>
    <row r="124" spans="1:8" hidden="1" x14ac:dyDescent="0.25">
      <c r="A124" s="38"/>
      <c r="B124" s="49"/>
      <c r="C124" s="38"/>
      <c r="D124" s="38" t="s">
        <v>14</v>
      </c>
      <c r="E124" s="38">
        <v>2</v>
      </c>
      <c r="F124" s="38">
        <f>E124*10000</f>
        <v>20000</v>
      </c>
      <c r="G124" s="38">
        <f>E124*5500</f>
        <v>11000</v>
      </c>
      <c r="H124" s="38">
        <f>E124*4500</f>
        <v>9000</v>
      </c>
    </row>
    <row r="125" spans="1:8" hidden="1" x14ac:dyDescent="0.25">
      <c r="A125" s="38"/>
      <c r="B125" s="49"/>
      <c r="C125" s="38"/>
      <c r="D125" s="38" t="s">
        <v>243</v>
      </c>
      <c r="E125" s="38">
        <v>1</v>
      </c>
      <c r="F125" s="38">
        <v>13000</v>
      </c>
      <c r="G125" s="38">
        <v>10000</v>
      </c>
      <c r="H125" s="38">
        <v>30000</v>
      </c>
    </row>
    <row r="126" spans="1:8" hidden="1" x14ac:dyDescent="0.25">
      <c r="A126" s="131" t="s">
        <v>17</v>
      </c>
      <c r="B126" s="132"/>
      <c r="C126" s="132"/>
      <c r="D126" s="133"/>
      <c r="E126" s="17">
        <f>SUM(E116:E125)</f>
        <v>55</v>
      </c>
      <c r="F126" s="17">
        <f>SUM(F116:F125)</f>
        <v>231000</v>
      </c>
      <c r="G126" s="17">
        <f>SUM(G116:G125)</f>
        <v>132000</v>
      </c>
      <c r="H126" s="17">
        <f>SUM(H116:H125)</f>
        <v>126000</v>
      </c>
    </row>
    <row r="127" spans="1:8" hidden="1" x14ac:dyDescent="0.25">
      <c r="A127" s="38" t="s">
        <v>18</v>
      </c>
      <c r="B127" s="49" t="s">
        <v>546</v>
      </c>
      <c r="C127" s="38" t="s">
        <v>217</v>
      </c>
      <c r="D127" s="38" t="s">
        <v>11</v>
      </c>
      <c r="E127" s="38">
        <v>14</v>
      </c>
      <c r="F127" s="38">
        <f>E127*1500</f>
        <v>21000</v>
      </c>
      <c r="G127" s="38">
        <f>E127*500</f>
        <v>7000</v>
      </c>
      <c r="H127" s="38">
        <v>14000</v>
      </c>
    </row>
    <row r="128" spans="1:8" hidden="1" x14ac:dyDescent="0.25">
      <c r="A128" s="38"/>
      <c r="B128" s="49"/>
      <c r="C128" s="38"/>
      <c r="D128" s="38" t="s">
        <v>13</v>
      </c>
      <c r="E128" s="38">
        <v>7</v>
      </c>
      <c r="F128" s="38">
        <f>E128*6500</f>
        <v>45500</v>
      </c>
      <c r="G128" s="38">
        <f>E128*4500</f>
        <v>31500</v>
      </c>
      <c r="H128" s="38">
        <f>E128*2000</f>
        <v>14000</v>
      </c>
    </row>
    <row r="129" spans="1:8" hidden="1" x14ac:dyDescent="0.25">
      <c r="A129" s="38"/>
      <c r="B129" s="49"/>
      <c r="C129" s="38"/>
      <c r="D129" s="38" t="s">
        <v>14</v>
      </c>
      <c r="E129" s="38">
        <v>2</v>
      </c>
      <c r="F129" s="38">
        <f>E129*8000</f>
        <v>16000</v>
      </c>
      <c r="G129" s="38">
        <f>E129*5500</f>
        <v>11000</v>
      </c>
      <c r="H129" s="38">
        <f>E129*2500</f>
        <v>5000</v>
      </c>
    </row>
    <row r="130" spans="1:8" hidden="1" x14ac:dyDescent="0.25">
      <c r="A130" s="38"/>
      <c r="B130" s="49"/>
      <c r="C130" s="38"/>
      <c r="D130" s="38" t="s">
        <v>14</v>
      </c>
      <c r="E130" s="38">
        <v>6</v>
      </c>
      <c r="F130" s="38">
        <f>E130*10000</f>
        <v>60000</v>
      </c>
      <c r="G130" s="38">
        <f>E130*5500</f>
        <v>33000</v>
      </c>
      <c r="H130" s="38">
        <f>E130*4500</f>
        <v>27000</v>
      </c>
    </row>
    <row r="131" spans="1:8" x14ac:dyDescent="0.25">
      <c r="A131" s="38"/>
      <c r="B131" s="49"/>
      <c r="C131" s="38"/>
      <c r="D131" s="38" t="s">
        <v>441</v>
      </c>
      <c r="E131" s="38">
        <v>1</v>
      </c>
      <c r="F131" s="38">
        <v>3000</v>
      </c>
      <c r="G131" s="38">
        <v>1500</v>
      </c>
      <c r="H131" s="38">
        <v>1500</v>
      </c>
    </row>
    <row r="132" spans="1:8" hidden="1" x14ac:dyDescent="0.25">
      <c r="A132" s="38"/>
      <c r="B132" s="49"/>
      <c r="C132" s="38"/>
      <c r="D132" s="38" t="s">
        <v>415</v>
      </c>
      <c r="E132" s="38">
        <v>1</v>
      </c>
      <c r="F132" s="38">
        <v>5000</v>
      </c>
      <c r="G132" s="38">
        <v>2500</v>
      </c>
      <c r="H132" s="38">
        <v>2500</v>
      </c>
    </row>
    <row r="133" spans="1:8" hidden="1" x14ac:dyDescent="0.25">
      <c r="A133" s="38"/>
      <c r="B133" s="49"/>
      <c r="C133" s="38"/>
      <c r="D133" s="38" t="s">
        <v>404</v>
      </c>
      <c r="E133" s="38">
        <v>6</v>
      </c>
      <c r="F133" s="38">
        <f>E133*2000</f>
        <v>12000</v>
      </c>
      <c r="G133" s="38">
        <v>6000</v>
      </c>
      <c r="H133" s="38">
        <v>6000</v>
      </c>
    </row>
    <row r="134" spans="1:8" hidden="1" x14ac:dyDescent="0.25">
      <c r="A134" s="38"/>
      <c r="B134" s="49"/>
      <c r="C134" s="38" t="s">
        <v>16</v>
      </c>
      <c r="D134" s="38" t="s">
        <v>11</v>
      </c>
      <c r="E134" s="38">
        <v>18</v>
      </c>
      <c r="F134" s="38">
        <f>E134*1500</f>
        <v>27000</v>
      </c>
      <c r="G134" s="38">
        <f>E134*500</f>
        <v>9000</v>
      </c>
      <c r="H134" s="38">
        <v>18000</v>
      </c>
    </row>
    <row r="135" spans="1:8" hidden="1" x14ac:dyDescent="0.25">
      <c r="A135" s="131" t="s">
        <v>17</v>
      </c>
      <c r="B135" s="132"/>
      <c r="C135" s="132"/>
      <c r="D135" s="133"/>
      <c r="E135" s="17">
        <f>SUM(E127:E134)</f>
        <v>55</v>
      </c>
      <c r="F135" s="17">
        <f>SUM(F127:F134)</f>
        <v>189500</v>
      </c>
      <c r="G135" s="17">
        <f>SUM(G127:G134)</f>
        <v>101500</v>
      </c>
      <c r="H135" s="17">
        <f>SUM(H127:H134)</f>
        <v>88000</v>
      </c>
    </row>
    <row r="136" spans="1:8" hidden="1" x14ac:dyDescent="0.25">
      <c r="A136" s="38" t="s">
        <v>22</v>
      </c>
      <c r="B136" s="49" t="s">
        <v>547</v>
      </c>
      <c r="C136" s="38" t="s">
        <v>16</v>
      </c>
      <c r="D136" s="38" t="s">
        <v>11</v>
      </c>
      <c r="E136" s="38">
        <v>34</v>
      </c>
      <c r="F136" s="38">
        <f>E136*1500</f>
        <v>51000</v>
      </c>
      <c r="G136" s="38">
        <f>E136*500</f>
        <v>17000</v>
      </c>
      <c r="H136" s="38">
        <f>E136*1000</f>
        <v>34000</v>
      </c>
    </row>
    <row r="137" spans="1:8" hidden="1" x14ac:dyDescent="0.25">
      <c r="A137" s="56"/>
      <c r="B137" s="56"/>
      <c r="C137" s="56"/>
      <c r="D137" s="55" t="s">
        <v>12</v>
      </c>
      <c r="E137" s="40">
        <v>6</v>
      </c>
      <c r="F137" s="40">
        <f>E137*3000</f>
        <v>18000</v>
      </c>
      <c r="G137" s="40">
        <f>E137*2000</f>
        <v>12000</v>
      </c>
      <c r="H137" s="40">
        <v>6000</v>
      </c>
    </row>
    <row r="138" spans="1:8" hidden="1" x14ac:dyDescent="0.25">
      <c r="A138" s="38"/>
      <c r="B138" s="49"/>
      <c r="C138" s="38"/>
      <c r="D138" s="38" t="s">
        <v>13</v>
      </c>
      <c r="E138" s="38">
        <v>2</v>
      </c>
      <c r="F138" s="38">
        <f>E138*6500</f>
        <v>13000</v>
      </c>
      <c r="G138" s="38">
        <f>E138*4500</f>
        <v>9000</v>
      </c>
      <c r="H138" s="38">
        <f>E138*2000</f>
        <v>4000</v>
      </c>
    </row>
    <row r="139" spans="1:8" hidden="1" x14ac:dyDescent="0.25">
      <c r="A139" s="38"/>
      <c r="B139" s="49"/>
      <c r="C139" s="38"/>
      <c r="D139" s="38" t="s">
        <v>14</v>
      </c>
      <c r="E139" s="38">
        <v>2</v>
      </c>
      <c r="F139" s="38">
        <f>E139*10000</f>
        <v>20000</v>
      </c>
      <c r="G139" s="38">
        <f>E139*5500</f>
        <v>11000</v>
      </c>
      <c r="H139" s="38">
        <f>E139*4500</f>
        <v>9000</v>
      </c>
    </row>
    <row r="140" spans="1:8" hidden="1" x14ac:dyDescent="0.25">
      <c r="A140" s="38"/>
      <c r="B140" s="49"/>
      <c r="C140" s="38" t="s">
        <v>217</v>
      </c>
      <c r="D140" s="38" t="s">
        <v>11</v>
      </c>
      <c r="E140" s="38">
        <v>17</v>
      </c>
      <c r="F140" s="38">
        <f>E140*1500</f>
        <v>25500</v>
      </c>
      <c r="G140" s="38">
        <f>E140*500</f>
        <v>8500</v>
      </c>
      <c r="H140" s="38">
        <v>17000</v>
      </c>
    </row>
    <row r="141" spans="1:8" hidden="1" x14ac:dyDescent="0.25">
      <c r="A141" s="38"/>
      <c r="B141" s="49"/>
      <c r="C141" s="38"/>
      <c r="D141" s="38" t="s">
        <v>13</v>
      </c>
      <c r="E141" s="38">
        <v>10</v>
      </c>
      <c r="F141" s="38">
        <f>E141*6500</f>
        <v>65000</v>
      </c>
      <c r="G141" s="38">
        <f>E141*4500</f>
        <v>45000</v>
      </c>
      <c r="H141" s="38">
        <f>E141*2000</f>
        <v>20000</v>
      </c>
    </row>
    <row r="142" spans="1:8" hidden="1" x14ac:dyDescent="0.25">
      <c r="A142" s="38"/>
      <c r="B142" s="49"/>
      <c r="C142" s="38"/>
      <c r="D142" s="38" t="s">
        <v>14</v>
      </c>
      <c r="E142" s="38">
        <v>2</v>
      </c>
      <c r="F142" s="38">
        <f>E142*8000</f>
        <v>16000</v>
      </c>
      <c r="G142" s="38">
        <f>E142*5500</f>
        <v>11000</v>
      </c>
      <c r="H142" s="38">
        <f>E142*2500</f>
        <v>5000</v>
      </c>
    </row>
    <row r="143" spans="1:8" hidden="1" x14ac:dyDescent="0.25">
      <c r="A143" s="38"/>
      <c r="B143" s="49"/>
      <c r="C143" s="38"/>
      <c r="D143" s="38" t="s">
        <v>14</v>
      </c>
      <c r="E143" s="38">
        <v>2</v>
      </c>
      <c r="F143" s="38">
        <f>E143*10000</f>
        <v>20000</v>
      </c>
      <c r="G143" s="38">
        <f>E143*5500</f>
        <v>11000</v>
      </c>
      <c r="H143" s="38">
        <f>E143*4500</f>
        <v>9000</v>
      </c>
    </row>
    <row r="144" spans="1:8" hidden="1" x14ac:dyDescent="0.25">
      <c r="A144" s="131" t="s">
        <v>17</v>
      </c>
      <c r="B144" s="132"/>
      <c r="C144" s="132"/>
      <c r="D144" s="133"/>
      <c r="E144" s="17">
        <f>SUM(E136:E143)</f>
        <v>75</v>
      </c>
      <c r="F144" s="17">
        <f>SUM(F136:F143)</f>
        <v>228500</v>
      </c>
      <c r="G144" s="17">
        <f>SUM(G136:G143)</f>
        <v>124500</v>
      </c>
      <c r="H144" s="17">
        <f>SUM(H136:H143)</f>
        <v>104000</v>
      </c>
    </row>
    <row r="145" spans="1:8" hidden="1" x14ac:dyDescent="0.25">
      <c r="A145" s="38" t="s">
        <v>26</v>
      </c>
      <c r="B145" s="49" t="s">
        <v>548</v>
      </c>
      <c r="C145" s="38" t="s">
        <v>217</v>
      </c>
      <c r="D145" s="38" t="s">
        <v>11</v>
      </c>
      <c r="E145" s="38">
        <v>12</v>
      </c>
      <c r="F145" s="38">
        <f>E145*1500</f>
        <v>18000</v>
      </c>
      <c r="G145" s="38">
        <f>E145*500</f>
        <v>6000</v>
      </c>
      <c r="H145" s="38">
        <v>12000</v>
      </c>
    </row>
    <row r="146" spans="1:8" hidden="1" x14ac:dyDescent="0.25">
      <c r="A146" s="38"/>
      <c r="B146" s="49"/>
      <c r="C146" s="38"/>
      <c r="D146" s="38" t="s">
        <v>13</v>
      </c>
      <c r="E146" s="38">
        <v>11</v>
      </c>
      <c r="F146" s="38">
        <f>E146*6500</f>
        <v>71500</v>
      </c>
      <c r="G146" s="38">
        <f>E146*500</f>
        <v>5500</v>
      </c>
      <c r="H146" s="38">
        <f>E146*2000</f>
        <v>22000</v>
      </c>
    </row>
    <row r="147" spans="1:8" hidden="1" x14ac:dyDescent="0.25">
      <c r="A147" s="38"/>
      <c r="B147" s="49"/>
      <c r="C147" s="38"/>
      <c r="D147" s="38" t="s">
        <v>14</v>
      </c>
      <c r="E147" s="38">
        <v>2</v>
      </c>
      <c r="F147" s="38">
        <f>E147*8000</f>
        <v>16000</v>
      </c>
      <c r="G147" s="38">
        <f>E147*5500</f>
        <v>11000</v>
      </c>
      <c r="H147" s="38">
        <f>E147*2500</f>
        <v>5000</v>
      </c>
    </row>
    <row r="148" spans="1:8" hidden="1" x14ac:dyDescent="0.25">
      <c r="A148" s="38"/>
      <c r="B148" s="49"/>
      <c r="C148" s="38"/>
      <c r="D148" s="38" t="s">
        <v>14</v>
      </c>
      <c r="E148" s="38">
        <v>10</v>
      </c>
      <c r="F148" s="38">
        <f>E148*10000</f>
        <v>100000</v>
      </c>
      <c r="G148" s="38">
        <f>E148*5500</f>
        <v>55000</v>
      </c>
      <c r="H148" s="38">
        <f>E148*4500</f>
        <v>45000</v>
      </c>
    </row>
    <row r="149" spans="1:8" hidden="1" x14ac:dyDescent="0.25">
      <c r="A149" s="38"/>
      <c r="B149" s="49"/>
      <c r="C149" s="38"/>
      <c r="D149" s="38" t="s">
        <v>404</v>
      </c>
      <c r="E149" s="38">
        <v>1</v>
      </c>
      <c r="F149" s="38">
        <v>2000</v>
      </c>
      <c r="G149" s="38">
        <v>1000</v>
      </c>
      <c r="H149" s="38">
        <v>1000</v>
      </c>
    </row>
    <row r="150" spans="1:8" x14ac:dyDescent="0.25">
      <c r="A150" s="38"/>
      <c r="B150" s="49"/>
      <c r="C150" s="38"/>
      <c r="D150" s="38" t="s">
        <v>441</v>
      </c>
      <c r="E150" s="38">
        <v>3</v>
      </c>
      <c r="F150" s="38">
        <f>E150*3000</f>
        <v>9000</v>
      </c>
      <c r="G150" s="38">
        <v>4500</v>
      </c>
      <c r="H150" s="38">
        <v>4500</v>
      </c>
    </row>
    <row r="151" spans="1:8" x14ac:dyDescent="0.25">
      <c r="A151" s="56"/>
      <c r="B151" s="56"/>
      <c r="C151" s="56"/>
      <c r="D151" s="55" t="s">
        <v>432</v>
      </c>
      <c r="E151" s="40">
        <v>2</v>
      </c>
      <c r="F151" s="40">
        <f>E151*5000</f>
        <v>10000</v>
      </c>
      <c r="G151" s="40">
        <v>5000</v>
      </c>
      <c r="H151" s="40">
        <v>5000</v>
      </c>
    </row>
    <row r="152" spans="1:8" hidden="1" x14ac:dyDescent="0.25">
      <c r="A152" s="38"/>
      <c r="B152" s="49"/>
      <c r="C152" s="38" t="s">
        <v>16</v>
      </c>
      <c r="D152" s="38" t="s">
        <v>11</v>
      </c>
      <c r="E152" s="38">
        <v>38</v>
      </c>
      <c r="F152" s="38">
        <f>E152*1500</f>
        <v>57000</v>
      </c>
      <c r="G152" s="38">
        <f>E152*500</f>
        <v>19000</v>
      </c>
      <c r="H152" s="38">
        <v>38000</v>
      </c>
    </row>
    <row r="153" spans="1:8" hidden="1" x14ac:dyDescent="0.25">
      <c r="A153" s="38"/>
      <c r="B153" s="49"/>
      <c r="C153" s="38"/>
      <c r="D153" s="38" t="s">
        <v>12</v>
      </c>
      <c r="E153" s="38">
        <v>1</v>
      </c>
      <c r="F153" s="38">
        <v>3000</v>
      </c>
      <c r="G153" s="38">
        <v>2000</v>
      </c>
      <c r="H153" s="38">
        <v>1000</v>
      </c>
    </row>
    <row r="154" spans="1:8" hidden="1" x14ac:dyDescent="0.25">
      <c r="A154" s="131" t="s">
        <v>17</v>
      </c>
      <c r="B154" s="132"/>
      <c r="C154" s="132"/>
      <c r="D154" s="133"/>
      <c r="E154" s="17">
        <f>SUM(E145:E153)</f>
        <v>80</v>
      </c>
      <c r="F154" s="17">
        <f>SUM(F145:F153)</f>
        <v>286500</v>
      </c>
      <c r="G154" s="17">
        <f>SUM(G145:G153)</f>
        <v>109000</v>
      </c>
      <c r="H154" s="17">
        <f>SUM(H145:H153)</f>
        <v>133500</v>
      </c>
    </row>
    <row r="155" spans="1:8" hidden="1" x14ac:dyDescent="0.25">
      <c r="A155" s="38" t="s">
        <v>28</v>
      </c>
      <c r="B155" s="49" t="s">
        <v>549</v>
      </c>
      <c r="C155" s="38" t="s">
        <v>16</v>
      </c>
      <c r="D155" s="38" t="s">
        <v>11</v>
      </c>
      <c r="E155" s="38">
        <v>60</v>
      </c>
      <c r="F155" s="38">
        <f>E155*1500</f>
        <v>90000</v>
      </c>
      <c r="G155" s="38">
        <f>E155*500</f>
        <v>30000</v>
      </c>
      <c r="H155" s="38">
        <v>60000</v>
      </c>
    </row>
    <row r="156" spans="1:8" hidden="1" x14ac:dyDescent="0.25">
      <c r="A156" s="38"/>
      <c r="B156" s="49"/>
      <c r="C156" s="38"/>
      <c r="D156" s="38" t="s">
        <v>12</v>
      </c>
      <c r="E156" s="38">
        <v>9</v>
      </c>
      <c r="F156" s="38">
        <f>E156*3000</f>
        <v>27000</v>
      </c>
      <c r="G156" s="38">
        <f>E156*2000</f>
        <v>18000</v>
      </c>
      <c r="H156" s="38">
        <v>9000</v>
      </c>
    </row>
    <row r="157" spans="1:8" hidden="1" x14ac:dyDescent="0.25">
      <c r="A157" s="38"/>
      <c r="B157" s="49"/>
      <c r="C157" s="38"/>
      <c r="D157" s="38" t="s">
        <v>13</v>
      </c>
      <c r="E157" s="38">
        <v>3</v>
      </c>
      <c r="F157" s="38">
        <f>E157*6500</f>
        <v>19500</v>
      </c>
      <c r="G157" s="38">
        <f>E157*4500</f>
        <v>13500</v>
      </c>
      <c r="H157" s="38">
        <f>E157*2000</f>
        <v>6000</v>
      </c>
    </row>
    <row r="158" spans="1:8" hidden="1" x14ac:dyDescent="0.25">
      <c r="A158" s="38"/>
      <c r="B158" s="49"/>
      <c r="C158" s="38"/>
      <c r="D158" s="38" t="s">
        <v>14</v>
      </c>
      <c r="E158" s="38">
        <v>3</v>
      </c>
      <c r="F158" s="38">
        <f>E158*10000</f>
        <v>30000</v>
      </c>
      <c r="G158" s="38">
        <f>E158*5500</f>
        <v>16500</v>
      </c>
      <c r="H158" s="38">
        <f>E158*4500</f>
        <v>13500</v>
      </c>
    </row>
    <row r="159" spans="1:8" hidden="1" x14ac:dyDescent="0.25">
      <c r="A159" s="38"/>
      <c r="B159" s="49"/>
      <c r="C159" s="38"/>
      <c r="D159" s="38" t="s">
        <v>243</v>
      </c>
      <c r="E159" s="38">
        <v>1</v>
      </c>
      <c r="F159" s="38">
        <v>13000</v>
      </c>
      <c r="G159" s="38">
        <v>10000</v>
      </c>
      <c r="H159" s="38">
        <v>3000</v>
      </c>
    </row>
    <row r="160" spans="1:8" hidden="1" x14ac:dyDescent="0.25">
      <c r="A160" s="38"/>
      <c r="B160" s="49"/>
      <c r="C160" s="38" t="s">
        <v>217</v>
      </c>
      <c r="D160" s="38" t="s">
        <v>11</v>
      </c>
      <c r="E160" s="38">
        <v>10</v>
      </c>
      <c r="F160" s="38">
        <f>E160*1500</f>
        <v>15000</v>
      </c>
      <c r="G160" s="38">
        <f>E160*500</f>
        <v>5000</v>
      </c>
      <c r="H160" s="38">
        <v>10000</v>
      </c>
    </row>
    <row r="161" spans="1:8" hidden="1" x14ac:dyDescent="0.25">
      <c r="A161" s="56"/>
      <c r="B161" s="56"/>
      <c r="C161" s="56"/>
      <c r="D161" s="55" t="s">
        <v>13</v>
      </c>
      <c r="E161" s="40">
        <v>13</v>
      </c>
      <c r="F161" s="40">
        <f>E161*6500</f>
        <v>84500</v>
      </c>
      <c r="G161" s="40">
        <f>E161*4500</f>
        <v>58500</v>
      </c>
      <c r="H161" s="40">
        <f>E161*2000</f>
        <v>26000</v>
      </c>
    </row>
    <row r="162" spans="1:8" hidden="1" x14ac:dyDescent="0.25">
      <c r="A162" s="38"/>
      <c r="B162" s="49"/>
      <c r="C162" s="38"/>
      <c r="D162" s="38" t="s">
        <v>14</v>
      </c>
      <c r="E162" s="38">
        <v>12</v>
      </c>
      <c r="F162" s="38">
        <f>E162*10000</f>
        <v>120000</v>
      </c>
      <c r="G162" s="38">
        <f>E162*5500</f>
        <v>66000</v>
      </c>
      <c r="H162" s="38">
        <f>E162*4500</f>
        <v>54000</v>
      </c>
    </row>
    <row r="163" spans="1:8" x14ac:dyDescent="0.25">
      <c r="A163" s="38"/>
      <c r="B163" s="49"/>
      <c r="C163" s="38"/>
      <c r="D163" s="38" t="s">
        <v>432</v>
      </c>
      <c r="E163" s="38">
        <v>2</v>
      </c>
      <c r="F163" s="38">
        <f>E163*5000</f>
        <v>10000</v>
      </c>
      <c r="G163" s="38">
        <v>5000</v>
      </c>
      <c r="H163" s="38">
        <v>5000</v>
      </c>
    </row>
    <row r="164" spans="1:8" hidden="1" x14ac:dyDescent="0.25">
      <c r="A164" s="131" t="s">
        <v>17</v>
      </c>
      <c r="B164" s="132"/>
      <c r="C164" s="132"/>
      <c r="D164" s="133"/>
      <c r="E164" s="17">
        <f>SUM(E155:E163)</f>
        <v>113</v>
      </c>
      <c r="F164" s="17">
        <f>SUM(F155:F163)</f>
        <v>409000</v>
      </c>
      <c r="G164" s="17">
        <f>SUM(G155:G163)</f>
        <v>222500</v>
      </c>
      <c r="H164" s="17">
        <f>SUM(H155:H163)</f>
        <v>186500</v>
      </c>
    </row>
    <row r="165" spans="1:8" hidden="1" x14ac:dyDescent="0.25">
      <c r="A165" s="38" t="s">
        <v>30</v>
      </c>
      <c r="B165" s="49" t="s">
        <v>550</v>
      </c>
      <c r="C165" s="38" t="s">
        <v>217</v>
      </c>
      <c r="D165" s="38" t="s">
        <v>11</v>
      </c>
      <c r="E165" s="38">
        <v>14</v>
      </c>
      <c r="F165" s="38">
        <f>E165*1500</f>
        <v>21000</v>
      </c>
      <c r="G165" s="38">
        <f>E165*500</f>
        <v>7000</v>
      </c>
      <c r="H165" s="38">
        <v>14000</v>
      </c>
    </row>
    <row r="166" spans="1:8" hidden="1" x14ac:dyDescent="0.25">
      <c r="A166" s="38"/>
      <c r="B166" s="49"/>
      <c r="C166" s="38"/>
      <c r="D166" s="38" t="s">
        <v>13</v>
      </c>
      <c r="E166" s="38">
        <v>4</v>
      </c>
      <c r="F166" s="38">
        <f>E166*6500</f>
        <v>26000</v>
      </c>
      <c r="G166" s="38">
        <f>E166*4500</f>
        <v>18000</v>
      </c>
      <c r="H166" s="38">
        <f>E166*2000</f>
        <v>8000</v>
      </c>
    </row>
    <row r="167" spans="1:8" hidden="1" x14ac:dyDescent="0.25">
      <c r="A167" s="38"/>
      <c r="B167" s="49"/>
      <c r="C167" s="38"/>
      <c r="D167" s="38" t="s">
        <v>14</v>
      </c>
      <c r="E167" s="38">
        <v>2</v>
      </c>
      <c r="F167" s="38">
        <f>E167*8000</f>
        <v>16000</v>
      </c>
      <c r="G167" s="38">
        <f>E167*5500</f>
        <v>11000</v>
      </c>
      <c r="H167" s="38">
        <f>E167*2500</f>
        <v>5000</v>
      </c>
    </row>
    <row r="168" spans="1:8" hidden="1" x14ac:dyDescent="0.25">
      <c r="A168" s="38"/>
      <c r="B168" s="49"/>
      <c r="C168" s="38"/>
      <c r="D168" s="38" t="s">
        <v>14</v>
      </c>
      <c r="E168" s="38">
        <v>6</v>
      </c>
      <c r="F168" s="38">
        <f>E168*10000</f>
        <v>60000</v>
      </c>
      <c r="G168" s="38">
        <f>E168*5500</f>
        <v>33000</v>
      </c>
      <c r="H168" s="38">
        <f>E168*4500</f>
        <v>27000</v>
      </c>
    </row>
    <row r="169" spans="1:8" hidden="1" x14ac:dyDescent="0.25">
      <c r="A169" s="38"/>
      <c r="B169" s="49"/>
      <c r="C169" s="38"/>
      <c r="D169" s="38" t="s">
        <v>425</v>
      </c>
      <c r="E169" s="38">
        <v>6</v>
      </c>
      <c r="F169" s="38">
        <f>E169*2000</f>
        <v>12000</v>
      </c>
      <c r="G169" s="38">
        <v>6000</v>
      </c>
      <c r="H169" s="38">
        <v>6000</v>
      </c>
    </row>
    <row r="170" spans="1:8" x14ac:dyDescent="0.25">
      <c r="A170" s="38"/>
      <c r="B170" s="49"/>
      <c r="C170" s="38"/>
      <c r="D170" s="38" t="s">
        <v>438</v>
      </c>
      <c r="E170" s="38">
        <v>3</v>
      </c>
      <c r="F170" s="38">
        <f>E170*5000</f>
        <v>15000</v>
      </c>
      <c r="G170" s="38">
        <v>7500</v>
      </c>
      <c r="H170" s="38">
        <v>7500</v>
      </c>
    </row>
    <row r="171" spans="1:8" x14ac:dyDescent="0.25">
      <c r="A171" s="38"/>
      <c r="B171" s="49"/>
      <c r="C171" s="38"/>
      <c r="D171" s="38" t="s">
        <v>436</v>
      </c>
      <c r="E171" s="38">
        <v>2</v>
      </c>
      <c r="F171" s="38">
        <f>E171*3000</f>
        <v>6000</v>
      </c>
      <c r="G171" s="38">
        <v>3000</v>
      </c>
      <c r="H171" s="38">
        <v>3000</v>
      </c>
    </row>
    <row r="172" spans="1:8" hidden="1" x14ac:dyDescent="0.25">
      <c r="A172" s="38"/>
      <c r="B172" s="49"/>
      <c r="C172" s="38"/>
      <c r="D172" s="38" t="s">
        <v>415</v>
      </c>
      <c r="E172" s="38">
        <v>2</v>
      </c>
      <c r="F172" s="38">
        <f>E172*5000</f>
        <v>10000</v>
      </c>
      <c r="G172" s="38">
        <v>5000</v>
      </c>
      <c r="H172" s="38">
        <v>5000</v>
      </c>
    </row>
    <row r="173" spans="1:8" hidden="1" x14ac:dyDescent="0.25">
      <c r="A173" s="38"/>
      <c r="B173" s="49"/>
      <c r="C173" s="38" t="s">
        <v>16</v>
      </c>
      <c r="D173" s="38" t="s">
        <v>11</v>
      </c>
      <c r="E173" s="38">
        <v>34</v>
      </c>
      <c r="F173" s="38">
        <f>E173*1500</f>
        <v>51000</v>
      </c>
      <c r="G173" s="38">
        <f>E173*500</f>
        <v>17000</v>
      </c>
      <c r="H173" s="38">
        <v>34000</v>
      </c>
    </row>
    <row r="174" spans="1:8" hidden="1" x14ac:dyDescent="0.25">
      <c r="A174" s="38"/>
      <c r="B174" s="49"/>
      <c r="C174" s="38"/>
      <c r="D174" s="38" t="s">
        <v>12</v>
      </c>
      <c r="E174" s="38">
        <v>2</v>
      </c>
      <c r="F174" s="38">
        <f>E174*3000</f>
        <v>6000</v>
      </c>
      <c r="G174" s="38">
        <f>E174*2000</f>
        <v>4000</v>
      </c>
      <c r="H174" s="38">
        <v>2000</v>
      </c>
    </row>
    <row r="175" spans="1:8" hidden="1" x14ac:dyDescent="0.25">
      <c r="A175" s="38"/>
      <c r="B175" s="49"/>
      <c r="C175" s="38"/>
      <c r="D175" s="38" t="s">
        <v>13</v>
      </c>
      <c r="E175" s="38">
        <v>2</v>
      </c>
      <c r="F175" s="38">
        <f>E175*6500</f>
        <v>13000</v>
      </c>
      <c r="G175" s="38">
        <f>E175*4500</f>
        <v>9000</v>
      </c>
      <c r="H175" s="38">
        <v>4000</v>
      </c>
    </row>
    <row r="176" spans="1:8" hidden="1" x14ac:dyDescent="0.25">
      <c r="A176" s="38"/>
      <c r="B176" s="49"/>
      <c r="C176" s="38"/>
      <c r="D176" s="38" t="s">
        <v>243</v>
      </c>
      <c r="E176" s="38">
        <v>1</v>
      </c>
      <c r="F176" s="38">
        <v>13000</v>
      </c>
      <c r="G176" s="38">
        <v>10000</v>
      </c>
      <c r="H176" s="38">
        <v>3000</v>
      </c>
    </row>
    <row r="177" spans="1:8" hidden="1" x14ac:dyDescent="0.25">
      <c r="A177" s="38"/>
      <c r="B177" s="49"/>
      <c r="C177" s="38" t="s">
        <v>24</v>
      </c>
      <c r="D177" s="38" t="s">
        <v>243</v>
      </c>
      <c r="E177" s="38">
        <v>2</v>
      </c>
      <c r="F177" s="38">
        <f>E177*13000</f>
        <v>26000</v>
      </c>
      <c r="G177" s="38">
        <f>E177*10000</f>
        <v>20000</v>
      </c>
      <c r="H177" s="38">
        <v>6000</v>
      </c>
    </row>
    <row r="178" spans="1:8" x14ac:dyDescent="0.25">
      <c r="A178" s="38"/>
      <c r="B178" s="49"/>
      <c r="C178" s="38"/>
      <c r="D178" s="38"/>
      <c r="E178" s="38"/>
      <c r="F178" s="38"/>
      <c r="G178" s="38"/>
      <c r="H178" s="38"/>
    </row>
    <row r="179" spans="1:8" x14ac:dyDescent="0.25">
      <c r="A179" s="131" t="s">
        <v>17</v>
      </c>
      <c r="B179" s="132"/>
      <c r="C179" s="132"/>
      <c r="D179" s="133"/>
      <c r="E179" s="17">
        <f>SUM(E165:E177)</f>
        <v>80</v>
      </c>
      <c r="F179" s="17">
        <f>SUM(F165:F177)</f>
        <v>275000</v>
      </c>
      <c r="G179" s="17">
        <f>SUM(G165:G177)</f>
        <v>150500</v>
      </c>
      <c r="H179" s="17">
        <f>SUM(H165:H177)</f>
        <v>124500</v>
      </c>
    </row>
    <row r="180" spans="1:8" x14ac:dyDescent="0.25">
      <c r="A180" s="38" t="s">
        <v>32</v>
      </c>
      <c r="B180" s="49" t="s">
        <v>551</v>
      </c>
      <c r="C180" s="38" t="s">
        <v>217</v>
      </c>
      <c r="D180" s="38" t="s">
        <v>11</v>
      </c>
      <c r="E180" s="38">
        <v>17</v>
      </c>
      <c r="F180" s="38">
        <f>E180*1500</f>
        <v>25500</v>
      </c>
      <c r="G180" s="38">
        <f>E180*500</f>
        <v>8500</v>
      </c>
      <c r="H180" s="38">
        <v>17000</v>
      </c>
    </row>
    <row r="181" spans="1:8" x14ac:dyDescent="0.25">
      <c r="A181" s="38"/>
      <c r="B181" s="49"/>
      <c r="C181" s="38"/>
      <c r="D181" s="38" t="s">
        <v>13</v>
      </c>
      <c r="E181" s="38">
        <v>9</v>
      </c>
      <c r="F181" s="38">
        <f>E181*6500</f>
        <v>58500</v>
      </c>
      <c r="G181" s="38">
        <f>E181*4500</f>
        <v>40500</v>
      </c>
      <c r="H181" s="38">
        <f>E181*2000</f>
        <v>18000</v>
      </c>
    </row>
    <row r="182" spans="1:8" x14ac:dyDescent="0.25">
      <c r="A182" s="38"/>
      <c r="B182" s="49"/>
      <c r="C182" s="38"/>
      <c r="D182" s="38" t="s">
        <v>14</v>
      </c>
      <c r="E182" s="38">
        <v>1</v>
      </c>
      <c r="F182" s="38">
        <v>8000</v>
      </c>
      <c r="G182" s="38">
        <v>5500</v>
      </c>
      <c r="H182" s="38">
        <v>2500</v>
      </c>
    </row>
    <row r="183" spans="1:8" x14ac:dyDescent="0.25">
      <c r="A183" s="38"/>
      <c r="B183" s="49"/>
      <c r="C183" s="38"/>
      <c r="D183" s="38" t="s">
        <v>14</v>
      </c>
      <c r="E183" s="38">
        <v>10</v>
      </c>
      <c r="F183" s="38">
        <f>E183*10000</f>
        <v>100000</v>
      </c>
      <c r="G183" s="38">
        <f>E183*5500</f>
        <v>55000</v>
      </c>
      <c r="H183" s="38">
        <f>E183*4500</f>
        <v>45000</v>
      </c>
    </row>
    <row r="184" spans="1:8" x14ac:dyDescent="0.25">
      <c r="A184" s="38"/>
      <c r="B184" s="49"/>
      <c r="C184" s="38"/>
      <c r="D184" s="38" t="s">
        <v>425</v>
      </c>
      <c r="E184" s="38">
        <v>5</v>
      </c>
      <c r="F184" s="38">
        <f>E184*2000</f>
        <v>10000</v>
      </c>
      <c r="G184" s="38">
        <v>5000</v>
      </c>
      <c r="H184" s="38">
        <v>5000</v>
      </c>
    </row>
    <row r="185" spans="1:8" x14ac:dyDescent="0.25">
      <c r="A185" s="38"/>
      <c r="B185" s="49"/>
      <c r="C185" s="38"/>
      <c r="D185" s="38" t="s">
        <v>441</v>
      </c>
      <c r="E185" s="38">
        <v>4</v>
      </c>
      <c r="F185" s="38">
        <f>E185*3000</f>
        <v>12000</v>
      </c>
      <c r="G185" s="38">
        <v>6000</v>
      </c>
      <c r="H185" s="38">
        <v>6000</v>
      </c>
    </row>
    <row r="186" spans="1:8" x14ac:dyDescent="0.25">
      <c r="A186" s="38"/>
      <c r="B186" s="49"/>
      <c r="C186" s="38"/>
      <c r="D186" s="38" t="s">
        <v>432</v>
      </c>
      <c r="E186" s="38">
        <v>1</v>
      </c>
      <c r="F186" s="38">
        <v>5000</v>
      </c>
      <c r="G186" s="38">
        <v>2500</v>
      </c>
      <c r="H186" s="38">
        <v>2500</v>
      </c>
    </row>
    <row r="187" spans="1:8" x14ac:dyDescent="0.25">
      <c r="A187" s="38"/>
      <c r="B187" s="49"/>
      <c r="C187" s="38" t="s">
        <v>16</v>
      </c>
      <c r="D187" s="38" t="s">
        <v>11</v>
      </c>
      <c r="E187" s="38">
        <v>12</v>
      </c>
      <c r="F187" s="38">
        <f>E187*1500</f>
        <v>18000</v>
      </c>
      <c r="G187" s="38">
        <f>E187*500</f>
        <v>6000</v>
      </c>
      <c r="H187" s="38">
        <v>12000</v>
      </c>
    </row>
    <row r="188" spans="1:8" x14ac:dyDescent="0.25">
      <c r="A188" s="38"/>
      <c r="B188" s="49"/>
      <c r="C188" s="38"/>
      <c r="D188" s="38" t="s">
        <v>12</v>
      </c>
      <c r="E188" s="38">
        <v>2</v>
      </c>
      <c r="F188" s="38">
        <f>E188*3000</f>
        <v>6000</v>
      </c>
      <c r="G188" s="38">
        <f>E188*2000</f>
        <v>4000</v>
      </c>
      <c r="H188" s="38">
        <v>2000</v>
      </c>
    </row>
    <row r="189" spans="1:8" x14ac:dyDescent="0.25">
      <c r="A189" s="38"/>
      <c r="B189" s="49"/>
      <c r="C189" s="38"/>
      <c r="D189" s="38" t="s">
        <v>13</v>
      </c>
      <c r="E189" s="38">
        <v>1</v>
      </c>
      <c r="F189" s="38">
        <v>6500</v>
      </c>
      <c r="G189" s="38">
        <v>4500</v>
      </c>
      <c r="H189" s="38">
        <v>2000</v>
      </c>
    </row>
    <row r="190" spans="1:8" x14ac:dyDescent="0.25">
      <c r="A190" s="131" t="s">
        <v>17</v>
      </c>
      <c r="B190" s="132"/>
      <c r="C190" s="132"/>
      <c r="D190" s="133"/>
      <c r="E190" s="17">
        <f>SUM(E180:E189)</f>
        <v>62</v>
      </c>
      <c r="F190" s="17">
        <f>SUM(F180:F189)</f>
        <v>249500</v>
      </c>
      <c r="G190" s="17">
        <f>SUM(G180:G189)</f>
        <v>137500</v>
      </c>
      <c r="H190" s="17">
        <f>SUM(H180:H189)</f>
        <v>112000</v>
      </c>
    </row>
    <row r="191" spans="1:8" x14ac:dyDescent="0.25">
      <c r="A191" s="38" t="s">
        <v>8</v>
      </c>
      <c r="B191" s="49" t="s">
        <v>552</v>
      </c>
      <c r="C191" s="38" t="s">
        <v>217</v>
      </c>
      <c r="D191" s="38" t="s">
        <v>11</v>
      </c>
      <c r="E191" s="38">
        <v>10</v>
      </c>
      <c r="F191" s="38">
        <f>E191*1500</f>
        <v>15000</v>
      </c>
      <c r="G191" s="38">
        <f>E191*500</f>
        <v>5000</v>
      </c>
      <c r="H191" s="38">
        <v>10000</v>
      </c>
    </row>
    <row r="192" spans="1:8" x14ac:dyDescent="0.25">
      <c r="A192" s="38"/>
      <c r="B192" s="49"/>
      <c r="C192" s="38"/>
      <c r="D192" s="38" t="s">
        <v>13</v>
      </c>
      <c r="E192" s="38">
        <v>11</v>
      </c>
      <c r="F192" s="38">
        <f>E192*6500</f>
        <v>71500</v>
      </c>
      <c r="G192" s="38">
        <f>E192*4500</f>
        <v>49500</v>
      </c>
      <c r="H192" s="38">
        <f>E192*2000</f>
        <v>22000</v>
      </c>
    </row>
    <row r="193" spans="1:8" x14ac:dyDescent="0.25">
      <c r="A193" s="38"/>
      <c r="B193" s="49"/>
      <c r="C193" s="38"/>
      <c r="D193" s="38" t="s">
        <v>14</v>
      </c>
      <c r="E193" s="38">
        <v>15</v>
      </c>
      <c r="F193" s="38">
        <f>E193*10000</f>
        <v>150000</v>
      </c>
      <c r="G193" s="38">
        <f>E193*5500</f>
        <v>82500</v>
      </c>
      <c r="H193" s="38">
        <f>E193*4500</f>
        <v>67500</v>
      </c>
    </row>
    <row r="194" spans="1:8" x14ac:dyDescent="0.25">
      <c r="A194" s="45"/>
      <c r="B194" s="45"/>
      <c r="C194" s="56"/>
      <c r="D194" s="57" t="s">
        <v>425</v>
      </c>
      <c r="E194" s="40">
        <v>4</v>
      </c>
      <c r="F194" s="40">
        <f>E194*2000</f>
        <v>8000</v>
      </c>
      <c r="G194" s="40">
        <v>4000</v>
      </c>
      <c r="H194" s="40">
        <v>4000</v>
      </c>
    </row>
    <row r="195" spans="1:8" x14ac:dyDescent="0.25">
      <c r="A195" s="38"/>
      <c r="B195" s="49"/>
      <c r="C195" s="38"/>
      <c r="D195" s="38" t="s">
        <v>441</v>
      </c>
      <c r="E195" s="38">
        <v>2</v>
      </c>
      <c r="F195" s="38">
        <f>E195*3000</f>
        <v>6000</v>
      </c>
      <c r="G195" s="38">
        <v>3000</v>
      </c>
      <c r="H195" s="38">
        <v>3000</v>
      </c>
    </row>
    <row r="196" spans="1:8" x14ac:dyDescent="0.25">
      <c r="A196" s="38"/>
      <c r="B196" s="49"/>
      <c r="C196" s="38"/>
      <c r="D196" s="38" t="s">
        <v>415</v>
      </c>
      <c r="E196" s="38">
        <v>1</v>
      </c>
      <c r="F196" s="38">
        <v>5000</v>
      </c>
      <c r="G196" s="38">
        <v>2500</v>
      </c>
      <c r="H196" s="38">
        <v>2500</v>
      </c>
    </row>
    <row r="197" spans="1:8" x14ac:dyDescent="0.25">
      <c r="A197" s="38"/>
      <c r="B197" s="49"/>
      <c r="C197" s="38"/>
      <c r="D197" s="38" t="s">
        <v>553</v>
      </c>
      <c r="E197" s="38">
        <v>1</v>
      </c>
      <c r="F197" s="38">
        <v>5000</v>
      </c>
      <c r="G197" s="38">
        <v>2500</v>
      </c>
      <c r="H197" s="38">
        <v>2500</v>
      </c>
    </row>
    <row r="198" spans="1:8" x14ac:dyDescent="0.25">
      <c r="A198" s="56"/>
      <c r="B198" s="56"/>
      <c r="C198" s="55" t="s">
        <v>16</v>
      </c>
      <c r="D198" s="55" t="s">
        <v>11</v>
      </c>
      <c r="E198" s="40">
        <v>49</v>
      </c>
      <c r="F198" s="40">
        <f>E198*1500</f>
        <v>73500</v>
      </c>
      <c r="G198" s="40">
        <f>E198*500</f>
        <v>24500</v>
      </c>
      <c r="H198" s="40">
        <v>49000</v>
      </c>
    </row>
    <row r="199" spans="1:8" x14ac:dyDescent="0.25">
      <c r="A199" s="38"/>
      <c r="B199" s="49"/>
      <c r="C199" s="38"/>
      <c r="D199" s="38" t="s">
        <v>12</v>
      </c>
      <c r="E199" s="38">
        <v>9</v>
      </c>
      <c r="F199" s="38">
        <f>E199*3000</f>
        <v>27000</v>
      </c>
      <c r="G199" s="38">
        <f>E199*2000</f>
        <v>18000</v>
      </c>
      <c r="H199" s="38">
        <v>9000</v>
      </c>
    </row>
    <row r="200" spans="1:8" x14ac:dyDescent="0.25">
      <c r="A200" s="38"/>
      <c r="B200" s="49"/>
      <c r="C200" s="38"/>
      <c r="D200" s="38" t="s">
        <v>13</v>
      </c>
      <c r="E200" s="38">
        <v>2</v>
      </c>
      <c r="F200" s="38">
        <f>E200*6500</f>
        <v>13000</v>
      </c>
      <c r="G200" s="38">
        <f>E200*4500</f>
        <v>9000</v>
      </c>
      <c r="H200" s="38">
        <f>E200*2000</f>
        <v>4000</v>
      </c>
    </row>
    <row r="201" spans="1:8" x14ac:dyDescent="0.25">
      <c r="A201" s="38"/>
      <c r="B201" s="49"/>
      <c r="C201" s="38"/>
      <c r="D201" s="38" t="s">
        <v>14</v>
      </c>
      <c r="E201" s="38">
        <v>2</v>
      </c>
      <c r="F201" s="38">
        <f>E201*10000</f>
        <v>20000</v>
      </c>
      <c r="G201" s="38">
        <f>E201*5500</f>
        <v>11000</v>
      </c>
      <c r="H201" s="38">
        <f>E201*4500</f>
        <v>9000</v>
      </c>
    </row>
    <row r="202" spans="1:8" x14ac:dyDescent="0.25">
      <c r="A202" s="131" t="s">
        <v>17</v>
      </c>
      <c r="B202" s="132"/>
      <c r="C202" s="132"/>
      <c r="D202" s="133"/>
      <c r="E202" s="17">
        <f>SUM(E191:E201)</f>
        <v>106</v>
      </c>
      <c r="F202" s="17">
        <f>SUM(F191:F201)</f>
        <v>394000</v>
      </c>
      <c r="G202" s="17">
        <f>SUM(G191:G201)</f>
        <v>211500</v>
      </c>
      <c r="H202" s="17">
        <f>SUM(H191:H201)</f>
        <v>182500</v>
      </c>
    </row>
    <row r="203" spans="1:8" x14ac:dyDescent="0.25">
      <c r="A203" s="38"/>
      <c r="B203" s="49"/>
      <c r="C203" s="38" t="s">
        <v>554</v>
      </c>
      <c r="D203" s="38" t="s">
        <v>13</v>
      </c>
      <c r="E203" s="38">
        <v>3</v>
      </c>
      <c r="F203" s="38">
        <f>E203*6500</f>
        <v>19500</v>
      </c>
      <c r="G203" s="38">
        <f>E203*4500</f>
        <v>13500</v>
      </c>
      <c r="H203" s="38">
        <f>E203*2000</f>
        <v>6000</v>
      </c>
    </row>
    <row r="204" spans="1:8" x14ac:dyDescent="0.25">
      <c r="A204" s="38" t="s">
        <v>18</v>
      </c>
      <c r="B204" s="49" t="s">
        <v>555</v>
      </c>
      <c r="C204" s="38" t="s">
        <v>217</v>
      </c>
      <c r="D204" s="38" t="s">
        <v>11</v>
      </c>
      <c r="E204" s="38">
        <v>9</v>
      </c>
      <c r="F204" s="38">
        <f>E204*1500</f>
        <v>13500</v>
      </c>
      <c r="G204" s="38">
        <f>E204*500</f>
        <v>4500</v>
      </c>
      <c r="H204" s="38">
        <v>9000</v>
      </c>
    </row>
    <row r="205" spans="1:8" x14ac:dyDescent="0.25">
      <c r="A205" s="38"/>
      <c r="B205" s="49"/>
      <c r="C205" s="38"/>
      <c r="D205" s="38" t="s">
        <v>13</v>
      </c>
      <c r="E205" s="38">
        <v>11</v>
      </c>
      <c r="F205" s="38">
        <f>E205*6500</f>
        <v>71500</v>
      </c>
      <c r="G205" s="38">
        <f>E205*4500</f>
        <v>49500</v>
      </c>
      <c r="H205" s="38">
        <f>E205*2000</f>
        <v>22000</v>
      </c>
    </row>
    <row r="206" spans="1:8" x14ac:dyDescent="0.25">
      <c r="A206" s="38"/>
      <c r="B206" s="49"/>
      <c r="C206" s="38"/>
      <c r="D206" s="38" t="s">
        <v>14</v>
      </c>
      <c r="E206" s="38">
        <v>3</v>
      </c>
      <c r="F206" s="38">
        <f>E206*10000</f>
        <v>30000</v>
      </c>
      <c r="G206" s="38">
        <f>E206*5500</f>
        <v>16500</v>
      </c>
      <c r="H206" s="38">
        <f>E206*4500</f>
        <v>13500</v>
      </c>
    </row>
    <row r="207" spans="1:8" x14ac:dyDescent="0.25">
      <c r="A207" s="38"/>
      <c r="B207" s="49"/>
      <c r="C207" s="38"/>
      <c r="D207" s="38" t="s">
        <v>432</v>
      </c>
      <c r="E207" s="38">
        <v>2</v>
      </c>
      <c r="F207" s="38">
        <f>E207*5000</f>
        <v>10000</v>
      </c>
      <c r="G207" s="38">
        <v>5000</v>
      </c>
      <c r="H207" s="38">
        <v>5000</v>
      </c>
    </row>
    <row r="208" spans="1:8" x14ac:dyDescent="0.25">
      <c r="A208" s="38"/>
      <c r="B208" s="49"/>
      <c r="C208" s="38"/>
      <c r="D208" s="38" t="s">
        <v>556</v>
      </c>
      <c r="E208" s="38">
        <v>1</v>
      </c>
      <c r="F208" s="38">
        <v>5000</v>
      </c>
      <c r="G208" s="38">
        <v>2500</v>
      </c>
      <c r="H208" s="38">
        <v>2500</v>
      </c>
    </row>
    <row r="209" spans="1:8" x14ac:dyDescent="0.25">
      <c r="A209" s="38"/>
      <c r="B209" s="49"/>
      <c r="C209" s="38"/>
      <c r="D209" s="38" t="s">
        <v>425</v>
      </c>
      <c r="E209" s="38">
        <v>1</v>
      </c>
      <c r="F209" s="38">
        <v>2000</v>
      </c>
      <c r="G209" s="38">
        <v>1000</v>
      </c>
      <c r="H209" s="38">
        <v>1000</v>
      </c>
    </row>
    <row r="210" spans="1:8" x14ac:dyDescent="0.25">
      <c r="A210" s="38"/>
      <c r="B210" s="49"/>
      <c r="C210" s="38"/>
      <c r="D210" s="38" t="s">
        <v>441</v>
      </c>
      <c r="E210" s="38">
        <v>1</v>
      </c>
      <c r="F210" s="38">
        <v>3000</v>
      </c>
      <c r="G210" s="38">
        <v>1500</v>
      </c>
      <c r="H210" s="38">
        <v>1500</v>
      </c>
    </row>
    <row r="211" spans="1:8" x14ac:dyDescent="0.25">
      <c r="A211" s="38"/>
      <c r="B211" s="49"/>
      <c r="C211" s="38"/>
      <c r="D211" s="38" t="s">
        <v>415</v>
      </c>
      <c r="E211" s="38">
        <v>2</v>
      </c>
      <c r="F211" s="38">
        <f>E211*5000</f>
        <v>10000</v>
      </c>
      <c r="G211" s="38">
        <v>5000</v>
      </c>
      <c r="H211" s="38">
        <v>5000</v>
      </c>
    </row>
    <row r="212" spans="1:8" x14ac:dyDescent="0.25">
      <c r="A212" s="38"/>
      <c r="B212" s="49"/>
      <c r="C212" s="38" t="s">
        <v>16</v>
      </c>
      <c r="D212" s="38" t="s">
        <v>11</v>
      </c>
      <c r="E212" s="38">
        <v>60</v>
      </c>
      <c r="F212" s="38">
        <f>E212*1500</f>
        <v>90000</v>
      </c>
      <c r="G212" s="38">
        <f>E212*500</f>
        <v>30000</v>
      </c>
      <c r="H212" s="38">
        <v>60000</v>
      </c>
    </row>
    <row r="213" spans="1:8" x14ac:dyDescent="0.25">
      <c r="A213" s="38"/>
      <c r="B213" s="49"/>
      <c r="C213" s="38"/>
      <c r="D213" s="38" t="s">
        <v>12</v>
      </c>
      <c r="E213" s="38">
        <v>10</v>
      </c>
      <c r="F213" s="38">
        <f>E213*3000</f>
        <v>30000</v>
      </c>
      <c r="G213" s="38">
        <v>20000</v>
      </c>
      <c r="H213" s="38">
        <v>10000</v>
      </c>
    </row>
    <row r="214" spans="1:8" x14ac:dyDescent="0.25">
      <c r="A214" s="38"/>
      <c r="B214" s="49"/>
      <c r="C214" s="38"/>
      <c r="D214" s="38" t="s">
        <v>13</v>
      </c>
      <c r="E214" s="38">
        <v>3</v>
      </c>
      <c r="F214" s="38">
        <f>E214*6500</f>
        <v>19500</v>
      </c>
      <c r="G214" s="38">
        <f>E214*4500</f>
        <v>13500</v>
      </c>
      <c r="H214" s="38">
        <f>E214*2000</f>
        <v>6000</v>
      </c>
    </row>
    <row r="215" spans="1:8" x14ac:dyDescent="0.25">
      <c r="A215" s="56"/>
      <c r="B215" s="56"/>
      <c r="C215" s="56"/>
      <c r="D215" s="55" t="s">
        <v>243</v>
      </c>
      <c r="E215" s="40">
        <v>1</v>
      </c>
      <c r="F215" s="40">
        <v>13000</v>
      </c>
      <c r="G215" s="40">
        <v>10000</v>
      </c>
      <c r="H215" s="40">
        <v>3000</v>
      </c>
    </row>
    <row r="216" spans="1:8" x14ac:dyDescent="0.25">
      <c r="A216" s="131" t="s">
        <v>17</v>
      </c>
      <c r="B216" s="132"/>
      <c r="C216" s="132"/>
      <c r="D216" s="133"/>
      <c r="E216" s="17">
        <f>SUM(E203:E215)</f>
        <v>107</v>
      </c>
      <c r="F216" s="17">
        <f>SUM(F203:F215)</f>
        <v>317000</v>
      </c>
      <c r="G216" s="17">
        <f>SUM(G203:G215)</f>
        <v>172500</v>
      </c>
      <c r="H216" s="17">
        <f>SUM(H203:H215)</f>
        <v>144500</v>
      </c>
    </row>
    <row r="217" spans="1:8" x14ac:dyDescent="0.25">
      <c r="A217" s="38" t="s">
        <v>22</v>
      </c>
      <c r="B217" s="49" t="s">
        <v>557</v>
      </c>
      <c r="C217" s="38" t="s">
        <v>16</v>
      </c>
      <c r="D217" s="38" t="s">
        <v>11</v>
      </c>
      <c r="E217" s="38">
        <v>71</v>
      </c>
      <c r="F217" s="38">
        <f>E217*1500</f>
        <v>106500</v>
      </c>
      <c r="G217" s="38">
        <f>E217*500</f>
        <v>35500</v>
      </c>
      <c r="H217" s="38">
        <v>71000</v>
      </c>
    </row>
    <row r="218" spans="1:8" x14ac:dyDescent="0.25">
      <c r="A218" s="38"/>
      <c r="B218" s="49"/>
      <c r="C218" s="38"/>
      <c r="D218" s="38" t="s">
        <v>12</v>
      </c>
      <c r="E218" s="38">
        <v>2</v>
      </c>
      <c r="F218" s="38">
        <f>E218*3000</f>
        <v>6000</v>
      </c>
      <c r="G218" s="38">
        <v>4000</v>
      </c>
      <c r="H218" s="38">
        <v>2000</v>
      </c>
    </row>
    <row r="219" spans="1:8" x14ac:dyDescent="0.25">
      <c r="A219" s="45"/>
      <c r="B219" s="56"/>
      <c r="C219" s="56"/>
      <c r="D219" s="55" t="s">
        <v>243</v>
      </c>
      <c r="E219" s="40">
        <v>1</v>
      </c>
      <c r="F219" s="40">
        <v>13000</v>
      </c>
      <c r="G219" s="40">
        <v>10000</v>
      </c>
      <c r="H219" s="40">
        <v>3000</v>
      </c>
    </row>
    <row r="220" spans="1:8" x14ac:dyDescent="0.25">
      <c r="A220" s="38"/>
      <c r="B220" s="49"/>
      <c r="C220" s="38" t="s">
        <v>217</v>
      </c>
      <c r="D220" s="38" t="s">
        <v>11</v>
      </c>
      <c r="E220" s="38">
        <v>10</v>
      </c>
      <c r="F220" s="38">
        <f>E220*1500</f>
        <v>15000</v>
      </c>
      <c r="G220" s="38">
        <f>E220*500</f>
        <v>5000</v>
      </c>
      <c r="H220" s="38">
        <v>10000</v>
      </c>
    </row>
    <row r="221" spans="1:8" x14ac:dyDescent="0.25">
      <c r="A221" s="38"/>
      <c r="B221" s="49"/>
      <c r="C221" s="38"/>
      <c r="D221" s="38" t="s">
        <v>14</v>
      </c>
      <c r="E221" s="38">
        <v>1</v>
      </c>
      <c r="F221" s="38">
        <v>8000</v>
      </c>
      <c r="G221" s="38">
        <v>5500</v>
      </c>
      <c r="H221" s="38">
        <v>2500</v>
      </c>
    </row>
    <row r="222" spans="1:8" x14ac:dyDescent="0.25">
      <c r="A222" s="38"/>
      <c r="B222" s="49"/>
      <c r="C222" s="38"/>
      <c r="D222" s="38" t="s">
        <v>14</v>
      </c>
      <c r="E222" s="38">
        <v>6</v>
      </c>
      <c r="F222" s="38">
        <f>E222*10000</f>
        <v>60000</v>
      </c>
      <c r="G222" s="38">
        <f>E222*5500</f>
        <v>33000</v>
      </c>
      <c r="H222" s="38">
        <f>E222*4500</f>
        <v>27000</v>
      </c>
    </row>
    <row r="223" spans="1:8" x14ac:dyDescent="0.25">
      <c r="A223" s="38"/>
      <c r="B223" s="49"/>
      <c r="C223" s="38"/>
      <c r="D223" s="38" t="s">
        <v>425</v>
      </c>
      <c r="E223" s="38">
        <v>11</v>
      </c>
      <c r="F223" s="38">
        <f>E223*2000</f>
        <v>22000</v>
      </c>
      <c r="G223" s="38">
        <v>11000</v>
      </c>
      <c r="H223" s="38">
        <v>11000</v>
      </c>
    </row>
    <row r="224" spans="1:8" x14ac:dyDescent="0.25">
      <c r="A224" s="38"/>
      <c r="B224" s="49"/>
      <c r="C224" s="38"/>
      <c r="D224" s="38" t="s">
        <v>432</v>
      </c>
      <c r="E224" s="38">
        <v>4</v>
      </c>
      <c r="F224" s="38">
        <f>E224*5000</f>
        <v>20000</v>
      </c>
      <c r="G224" s="38">
        <v>10000</v>
      </c>
      <c r="H224" s="38">
        <v>10000</v>
      </c>
    </row>
    <row r="225" spans="1:8" x14ac:dyDescent="0.25">
      <c r="A225" s="38"/>
      <c r="B225" s="49"/>
      <c r="C225" s="38"/>
      <c r="D225" s="38" t="s">
        <v>558</v>
      </c>
      <c r="E225" s="38">
        <v>1</v>
      </c>
      <c r="F225" s="38">
        <v>5000</v>
      </c>
      <c r="G225" s="38">
        <v>2500</v>
      </c>
      <c r="H225" s="38">
        <v>2500</v>
      </c>
    </row>
    <row r="226" spans="1:8" x14ac:dyDescent="0.25">
      <c r="A226" s="38"/>
      <c r="B226" s="49"/>
      <c r="C226" s="38"/>
      <c r="D226" s="38" t="s">
        <v>553</v>
      </c>
      <c r="E226" s="38">
        <v>1</v>
      </c>
      <c r="F226" s="38">
        <v>5000</v>
      </c>
      <c r="G226" s="38">
        <v>2500</v>
      </c>
      <c r="H226" s="38">
        <v>2500</v>
      </c>
    </row>
    <row r="227" spans="1:8" x14ac:dyDescent="0.25">
      <c r="A227" s="131" t="s">
        <v>17</v>
      </c>
      <c r="B227" s="132"/>
      <c r="C227" s="132"/>
      <c r="D227" s="133"/>
      <c r="E227" s="17">
        <f>SUM(E217:E226)</f>
        <v>108</v>
      </c>
      <c r="F227" s="17">
        <f>SUM(F217:F226)</f>
        <v>260500</v>
      </c>
      <c r="G227" s="17">
        <f>SUM(G217:G226)</f>
        <v>119000</v>
      </c>
      <c r="H227" s="17">
        <f>SUM(H217:H226)</f>
        <v>141500</v>
      </c>
    </row>
    <row r="228" spans="1:8" x14ac:dyDescent="0.25">
      <c r="A228" s="38" t="s">
        <v>26</v>
      </c>
      <c r="B228" s="49" t="s">
        <v>559</v>
      </c>
      <c r="C228" s="38" t="s">
        <v>16</v>
      </c>
      <c r="D228" s="38" t="s">
        <v>11</v>
      </c>
      <c r="E228" s="38">
        <v>32</v>
      </c>
      <c r="F228" s="38">
        <f>E228*1500</f>
        <v>48000</v>
      </c>
      <c r="G228" s="38">
        <f>E228*500</f>
        <v>16000</v>
      </c>
      <c r="H228" s="38">
        <v>32000</v>
      </c>
    </row>
    <row r="229" spans="1:8" x14ac:dyDescent="0.25">
      <c r="A229" s="38"/>
      <c r="B229" s="49"/>
      <c r="C229" s="38"/>
      <c r="D229" s="38" t="s">
        <v>12</v>
      </c>
      <c r="E229" s="38">
        <v>2</v>
      </c>
      <c r="F229" s="38">
        <f>E229*3000</f>
        <v>6000</v>
      </c>
      <c r="G229" s="38">
        <v>4000</v>
      </c>
      <c r="H229" s="38">
        <v>2000</v>
      </c>
    </row>
    <row r="230" spans="1:8" x14ac:dyDescent="0.25">
      <c r="A230" s="38"/>
      <c r="B230" s="49"/>
      <c r="C230" s="38"/>
      <c r="D230" s="38" t="s">
        <v>13</v>
      </c>
      <c r="E230" s="38">
        <v>1</v>
      </c>
      <c r="F230" s="38">
        <v>6500</v>
      </c>
      <c r="G230" s="38">
        <v>4500</v>
      </c>
      <c r="H230" s="38">
        <v>2000</v>
      </c>
    </row>
    <row r="231" spans="1:8" x14ac:dyDescent="0.25">
      <c r="A231" s="38"/>
      <c r="B231" s="49"/>
      <c r="C231" s="38"/>
      <c r="D231" s="38" t="s">
        <v>14</v>
      </c>
      <c r="E231" s="38">
        <v>1</v>
      </c>
      <c r="F231" s="38">
        <v>10000</v>
      </c>
      <c r="G231" s="38">
        <v>5500</v>
      </c>
      <c r="H231" s="38">
        <v>4500</v>
      </c>
    </row>
    <row r="232" spans="1:8" x14ac:dyDescent="0.25">
      <c r="A232" s="125" t="s">
        <v>17</v>
      </c>
      <c r="B232" s="125"/>
      <c r="C232" s="125"/>
      <c r="D232" s="125"/>
      <c r="E232" s="17">
        <f>SUM(E228:E231)</f>
        <v>36</v>
      </c>
      <c r="F232" s="17">
        <f>SUM(F228:F231)</f>
        <v>70500</v>
      </c>
      <c r="G232" s="17">
        <f>SUM(G228:G231)</f>
        <v>30000</v>
      </c>
      <c r="H232" s="17">
        <f>SUM(H228:H231)</f>
        <v>40500</v>
      </c>
    </row>
    <row r="233" spans="1:8" x14ac:dyDescent="0.25">
      <c r="A233" s="38" t="s">
        <v>28</v>
      </c>
      <c r="B233" s="49" t="s">
        <v>560</v>
      </c>
      <c r="C233" s="38" t="s">
        <v>217</v>
      </c>
      <c r="D233" s="38" t="s">
        <v>11</v>
      </c>
      <c r="E233" s="38">
        <v>12</v>
      </c>
      <c r="F233" s="38">
        <f>E233*1500</f>
        <v>18000</v>
      </c>
      <c r="G233" s="38">
        <f>E233*500</f>
        <v>6000</v>
      </c>
      <c r="H233" s="38">
        <v>12000</v>
      </c>
    </row>
    <row r="234" spans="1:8" x14ac:dyDescent="0.25">
      <c r="A234" s="38"/>
      <c r="B234" s="49"/>
      <c r="C234" s="38"/>
      <c r="D234" s="38" t="s">
        <v>13</v>
      </c>
      <c r="E234" s="38">
        <v>25</v>
      </c>
      <c r="F234" s="38">
        <f>E234*6500</f>
        <v>162500</v>
      </c>
      <c r="G234" s="38">
        <f>E234*4500</f>
        <v>112500</v>
      </c>
      <c r="H234" s="38">
        <f>E234*2000</f>
        <v>50000</v>
      </c>
    </row>
    <row r="235" spans="1:8" x14ac:dyDescent="0.25">
      <c r="A235" s="38"/>
      <c r="B235" s="49"/>
      <c r="C235" s="38"/>
      <c r="D235" s="38" t="s">
        <v>14</v>
      </c>
      <c r="E235" s="38">
        <v>3</v>
      </c>
      <c r="F235" s="38">
        <f>E235*8000</f>
        <v>24000</v>
      </c>
      <c r="G235" s="38">
        <f>E235*5500</f>
        <v>16500</v>
      </c>
      <c r="H235" s="38">
        <f>E235*2500</f>
        <v>7500</v>
      </c>
    </row>
    <row r="236" spans="1:8" x14ac:dyDescent="0.25">
      <c r="A236" s="38"/>
      <c r="B236" s="49"/>
      <c r="C236" s="38"/>
      <c r="D236" s="38" t="s">
        <v>14</v>
      </c>
      <c r="E236" s="38">
        <v>17</v>
      </c>
      <c r="F236" s="38">
        <f>E236*10000</f>
        <v>170000</v>
      </c>
      <c r="G236" s="38">
        <f>E236*5500</f>
        <v>93500</v>
      </c>
      <c r="H236" s="38">
        <f>E236*4500</f>
        <v>76500</v>
      </c>
    </row>
    <row r="237" spans="1:8" x14ac:dyDescent="0.25">
      <c r="A237" s="38"/>
      <c r="B237" s="49"/>
      <c r="C237" s="38"/>
      <c r="D237" s="38" t="s">
        <v>404</v>
      </c>
      <c r="E237" s="38">
        <v>10</v>
      </c>
      <c r="F237" s="38">
        <f>E237*2000</f>
        <v>20000</v>
      </c>
      <c r="G237" s="38">
        <f>E237*1000</f>
        <v>10000</v>
      </c>
      <c r="H237" s="38">
        <v>10000</v>
      </c>
    </row>
    <row r="238" spans="1:8" x14ac:dyDescent="0.25">
      <c r="A238" s="38"/>
      <c r="B238" s="49"/>
      <c r="C238" s="38"/>
      <c r="D238" s="38" t="s">
        <v>424</v>
      </c>
      <c r="E238" s="38">
        <v>5</v>
      </c>
      <c r="F238" s="38">
        <f>E238*5000</f>
        <v>25000</v>
      </c>
      <c r="G238" s="38">
        <v>12500</v>
      </c>
      <c r="H238" s="38">
        <v>12500</v>
      </c>
    </row>
    <row r="239" spans="1:8" x14ac:dyDescent="0.25">
      <c r="A239" s="38"/>
      <c r="B239" s="49"/>
      <c r="C239" s="38"/>
      <c r="D239" s="38" t="s">
        <v>415</v>
      </c>
      <c r="E239" s="38">
        <v>2</v>
      </c>
      <c r="F239" s="38">
        <f>E239*5000</f>
        <v>10000</v>
      </c>
      <c r="G239" s="38">
        <v>5000</v>
      </c>
      <c r="H239" s="38">
        <v>5000</v>
      </c>
    </row>
    <row r="240" spans="1:8" x14ac:dyDescent="0.25">
      <c r="A240" s="38"/>
      <c r="B240" s="49"/>
      <c r="C240" s="38" t="s">
        <v>16</v>
      </c>
      <c r="D240" s="38" t="s">
        <v>11</v>
      </c>
      <c r="E240" s="38">
        <v>100</v>
      </c>
      <c r="F240" s="38">
        <f>E240*1500</f>
        <v>150000</v>
      </c>
      <c r="G240" s="38">
        <f>E240*500</f>
        <v>50000</v>
      </c>
      <c r="H240" s="38">
        <v>100000</v>
      </c>
    </row>
    <row r="241" spans="1:8" x14ac:dyDescent="0.25">
      <c r="A241" s="38"/>
      <c r="B241" s="49"/>
      <c r="C241" s="38"/>
      <c r="D241" s="38" t="s">
        <v>12</v>
      </c>
      <c r="E241" s="38">
        <v>10</v>
      </c>
      <c r="F241" s="38">
        <f>E241*3000</f>
        <v>30000</v>
      </c>
      <c r="G241" s="38">
        <f>E241*2000</f>
        <v>20000</v>
      </c>
      <c r="H241" s="38">
        <v>10000</v>
      </c>
    </row>
    <row r="242" spans="1:8" x14ac:dyDescent="0.25">
      <c r="A242" s="38"/>
      <c r="B242" s="49"/>
      <c r="C242" s="38"/>
      <c r="D242" s="38" t="s">
        <v>13</v>
      </c>
      <c r="E242" s="38">
        <v>2</v>
      </c>
      <c r="F242" s="38">
        <f>E242*6500</f>
        <v>13000</v>
      </c>
      <c r="G242" s="38">
        <f>E242*4500</f>
        <v>9000</v>
      </c>
      <c r="H242" s="38">
        <f>E242*2000</f>
        <v>4000</v>
      </c>
    </row>
    <row r="243" spans="1:8" x14ac:dyDescent="0.25">
      <c r="A243" s="38"/>
      <c r="B243" s="49"/>
      <c r="C243" s="38"/>
      <c r="D243" s="38" t="s">
        <v>14</v>
      </c>
      <c r="E243" s="38">
        <v>3</v>
      </c>
      <c r="F243" s="38">
        <f>E243*10000</f>
        <v>30000</v>
      </c>
      <c r="G243" s="38">
        <f>E243*5500</f>
        <v>16500</v>
      </c>
      <c r="H243" s="38">
        <f>E243*4500</f>
        <v>13500</v>
      </c>
    </row>
    <row r="244" spans="1:8" x14ac:dyDescent="0.25">
      <c r="A244" s="38"/>
      <c r="B244" s="49"/>
      <c r="C244" s="38"/>
      <c r="D244" s="38" t="s">
        <v>243</v>
      </c>
      <c r="E244" s="38">
        <v>1</v>
      </c>
      <c r="F244" s="38">
        <v>13000</v>
      </c>
      <c r="G244" s="38">
        <v>10000</v>
      </c>
      <c r="H244" s="38">
        <v>3000</v>
      </c>
    </row>
    <row r="245" spans="1:8" x14ac:dyDescent="0.25">
      <c r="A245" s="131" t="s">
        <v>17</v>
      </c>
      <c r="B245" s="132"/>
      <c r="C245" s="132"/>
      <c r="D245" s="133"/>
      <c r="E245" s="17">
        <f>SUM(E233:E244)</f>
        <v>190</v>
      </c>
      <c r="F245" s="17">
        <f>SUM(F233:F244)</f>
        <v>665500</v>
      </c>
      <c r="G245" s="17">
        <f>SUM(G233:G244)</f>
        <v>361500</v>
      </c>
      <c r="H245" s="17">
        <f>SUM(H233:H244)</f>
        <v>304000</v>
      </c>
    </row>
    <row r="246" spans="1:8" x14ac:dyDescent="0.25">
      <c r="A246" s="38" t="s">
        <v>30</v>
      </c>
      <c r="B246" s="49" t="s">
        <v>561</v>
      </c>
      <c r="C246" s="38" t="s">
        <v>16</v>
      </c>
      <c r="D246" s="38" t="s">
        <v>11</v>
      </c>
      <c r="E246" s="38">
        <v>100</v>
      </c>
      <c r="F246" s="38">
        <f>E246*1500</f>
        <v>150000</v>
      </c>
      <c r="G246" s="38">
        <f>E246*500</f>
        <v>50000</v>
      </c>
      <c r="H246" s="38">
        <v>100000</v>
      </c>
    </row>
    <row r="247" spans="1:8" x14ac:dyDescent="0.25">
      <c r="A247" s="38"/>
      <c r="B247" s="49"/>
      <c r="C247" s="38"/>
      <c r="D247" s="38" t="s">
        <v>12</v>
      </c>
      <c r="E247" s="38">
        <v>13</v>
      </c>
      <c r="F247" s="38">
        <f>E247*3000</f>
        <v>39000</v>
      </c>
      <c r="G247" s="38">
        <f>E247*2000</f>
        <v>26000</v>
      </c>
      <c r="H247" s="38">
        <v>13000</v>
      </c>
    </row>
    <row r="248" spans="1:8" x14ac:dyDescent="0.25">
      <c r="A248" s="38"/>
      <c r="B248" s="49"/>
      <c r="C248" s="38"/>
      <c r="D248" s="38" t="s">
        <v>13</v>
      </c>
      <c r="E248" s="38">
        <v>6</v>
      </c>
      <c r="F248" s="38">
        <f>E248*6500</f>
        <v>39000</v>
      </c>
      <c r="G248" s="38">
        <f>E248*4500</f>
        <v>27000</v>
      </c>
      <c r="H248" s="38">
        <f>E248*2000</f>
        <v>12000</v>
      </c>
    </row>
    <row r="249" spans="1:8" x14ac:dyDescent="0.25">
      <c r="A249" s="38"/>
      <c r="B249" s="49"/>
      <c r="C249" s="38"/>
      <c r="D249" s="38" t="s">
        <v>14</v>
      </c>
      <c r="E249" s="38">
        <v>5</v>
      </c>
      <c r="F249" s="38">
        <f>E249*10000</f>
        <v>50000</v>
      </c>
      <c r="G249" s="38">
        <f>E249*5500</f>
        <v>27500</v>
      </c>
      <c r="H249" s="38">
        <f>E249*4500</f>
        <v>22500</v>
      </c>
    </row>
    <row r="250" spans="1:8" x14ac:dyDescent="0.25">
      <c r="A250" s="38"/>
      <c r="B250" s="49"/>
      <c r="C250" s="38"/>
      <c r="D250" s="38" t="s">
        <v>243</v>
      </c>
      <c r="E250" s="38">
        <v>1</v>
      </c>
      <c r="F250" s="38">
        <v>13000</v>
      </c>
      <c r="G250" s="38">
        <v>10000</v>
      </c>
      <c r="H250" s="38">
        <v>3000</v>
      </c>
    </row>
    <row r="251" spans="1:8" x14ac:dyDescent="0.25">
      <c r="A251" s="38"/>
      <c r="B251" s="49"/>
      <c r="C251" s="38" t="s">
        <v>217</v>
      </c>
      <c r="D251" s="38" t="s">
        <v>11</v>
      </c>
      <c r="E251" s="38">
        <v>4</v>
      </c>
      <c r="F251" s="38">
        <f>E251*1500</f>
        <v>6000</v>
      </c>
      <c r="G251" s="38">
        <f>E251*4500</f>
        <v>18000</v>
      </c>
      <c r="H251" s="38">
        <v>4000</v>
      </c>
    </row>
    <row r="252" spans="1:8" x14ac:dyDescent="0.25">
      <c r="A252" s="38"/>
      <c r="B252" s="49"/>
      <c r="C252" s="38"/>
      <c r="D252" s="38" t="s">
        <v>13</v>
      </c>
      <c r="E252" s="38">
        <v>9</v>
      </c>
      <c r="F252" s="38">
        <f>E252*6500</f>
        <v>58500</v>
      </c>
      <c r="G252" s="38">
        <f>E252*4500</f>
        <v>40500</v>
      </c>
      <c r="H252" s="38">
        <f>E252*2000</f>
        <v>18000</v>
      </c>
    </row>
    <row r="253" spans="1:8" x14ac:dyDescent="0.25">
      <c r="A253" s="38"/>
      <c r="B253" s="49"/>
      <c r="C253" s="38"/>
      <c r="D253" s="38" t="s">
        <v>14</v>
      </c>
      <c r="E253" s="38">
        <v>1</v>
      </c>
      <c r="F253" s="38">
        <v>8000</v>
      </c>
      <c r="G253" s="38">
        <v>5500</v>
      </c>
      <c r="H253" s="38">
        <v>4500</v>
      </c>
    </row>
    <row r="254" spans="1:8" x14ac:dyDescent="0.25">
      <c r="A254" s="38"/>
      <c r="B254" s="49"/>
      <c r="C254" s="38"/>
      <c r="D254" s="38" t="s">
        <v>14</v>
      </c>
      <c r="E254" s="38">
        <v>3</v>
      </c>
      <c r="F254" s="38">
        <f>E254*10000</f>
        <v>30000</v>
      </c>
      <c r="G254" s="38">
        <f>E254*5500</f>
        <v>16500</v>
      </c>
      <c r="H254" s="38">
        <f>E254*4500</f>
        <v>13500</v>
      </c>
    </row>
    <row r="255" spans="1:8" x14ac:dyDescent="0.25">
      <c r="A255" s="38"/>
      <c r="B255" s="49"/>
      <c r="C255" s="38"/>
      <c r="D255" s="38" t="s">
        <v>404</v>
      </c>
      <c r="E255" s="38">
        <v>7</v>
      </c>
      <c r="F255" s="38">
        <f>E255*2000</f>
        <v>14000</v>
      </c>
      <c r="G255" s="38">
        <v>7000</v>
      </c>
      <c r="H255" s="38">
        <v>7000</v>
      </c>
    </row>
    <row r="256" spans="1:8" x14ac:dyDescent="0.25">
      <c r="A256" s="38"/>
      <c r="B256" s="49"/>
      <c r="C256" s="38"/>
      <c r="D256" s="38" t="s">
        <v>424</v>
      </c>
      <c r="E256" s="38">
        <v>2</v>
      </c>
      <c r="F256" s="38">
        <f>E256*5000</f>
        <v>10000</v>
      </c>
      <c r="G256" s="38">
        <v>5000</v>
      </c>
      <c r="H256" s="38">
        <v>5000</v>
      </c>
    </row>
    <row r="257" spans="1:8" x14ac:dyDescent="0.25">
      <c r="A257" s="38"/>
      <c r="B257" s="49"/>
      <c r="C257" s="38"/>
      <c r="D257" s="38" t="s">
        <v>415</v>
      </c>
      <c r="E257" s="38">
        <v>1</v>
      </c>
      <c r="F257" s="38">
        <v>5000</v>
      </c>
      <c r="G257" s="38">
        <v>2500</v>
      </c>
      <c r="H257" s="38">
        <v>2500</v>
      </c>
    </row>
    <row r="258" spans="1:8" x14ac:dyDescent="0.25">
      <c r="A258" s="38"/>
      <c r="B258" s="49"/>
      <c r="C258" s="38"/>
      <c r="D258" s="38" t="s">
        <v>436</v>
      </c>
      <c r="E258" s="38">
        <v>2</v>
      </c>
      <c r="F258" s="38">
        <f>E258*3000</f>
        <v>6000</v>
      </c>
      <c r="G258" s="38">
        <v>3000</v>
      </c>
      <c r="H258" s="38">
        <v>3000</v>
      </c>
    </row>
    <row r="259" spans="1:8" x14ac:dyDescent="0.25">
      <c r="A259" s="38"/>
      <c r="B259" s="49"/>
      <c r="C259" s="38" t="s">
        <v>15</v>
      </c>
      <c r="D259" s="38" t="s">
        <v>11</v>
      </c>
      <c r="E259" s="38">
        <v>6</v>
      </c>
      <c r="F259" s="38">
        <f>E259*1500</f>
        <v>9000</v>
      </c>
      <c r="G259" s="38">
        <f>E259*500</f>
        <v>3000</v>
      </c>
      <c r="H259" s="38">
        <v>6000</v>
      </c>
    </row>
    <row r="260" spans="1:8" x14ac:dyDescent="0.25">
      <c r="A260" s="56"/>
      <c r="B260" s="56"/>
      <c r="C260" s="56"/>
      <c r="D260" s="55" t="s">
        <v>13</v>
      </c>
      <c r="E260" s="40">
        <v>16</v>
      </c>
      <c r="F260" s="40">
        <f>E260*6500</f>
        <v>104000</v>
      </c>
      <c r="G260" s="40">
        <f>E260*4500</f>
        <v>72000</v>
      </c>
      <c r="H260" s="40">
        <f>E260*2000</f>
        <v>32000</v>
      </c>
    </row>
    <row r="261" spans="1:8" x14ac:dyDescent="0.25">
      <c r="A261" s="38"/>
      <c r="B261" s="49"/>
      <c r="C261" s="38"/>
      <c r="D261" s="38" t="s">
        <v>14</v>
      </c>
      <c r="E261" s="38">
        <v>10</v>
      </c>
      <c r="F261" s="38">
        <f>E261*10000</f>
        <v>100000</v>
      </c>
      <c r="G261" s="38">
        <f>E261*5500</f>
        <v>55000</v>
      </c>
      <c r="H261" s="38">
        <f>E261*4500</f>
        <v>45000</v>
      </c>
    </row>
    <row r="262" spans="1:8" x14ac:dyDescent="0.25">
      <c r="A262" s="131" t="s">
        <v>17</v>
      </c>
      <c r="B262" s="132"/>
      <c r="C262" s="132"/>
      <c r="D262" s="133"/>
      <c r="E262" s="17">
        <f>SUM(E246:E261)</f>
        <v>186</v>
      </c>
      <c r="F262" s="17">
        <f>SUM(F246:F261)</f>
        <v>641500</v>
      </c>
      <c r="G262" s="17">
        <f>SUM(G246:G261)</f>
        <v>368500</v>
      </c>
      <c r="H262" s="17">
        <f>SUM(H246:H261)</f>
        <v>291000</v>
      </c>
    </row>
    <row r="263" spans="1:8" x14ac:dyDescent="0.25">
      <c r="A263" s="38" t="s">
        <v>32</v>
      </c>
      <c r="B263" s="49" t="s">
        <v>562</v>
      </c>
      <c r="C263" s="38" t="s">
        <v>16</v>
      </c>
      <c r="D263" s="38" t="s">
        <v>11</v>
      </c>
      <c r="E263" s="38">
        <v>100</v>
      </c>
      <c r="F263" s="38">
        <f>E263*1500</f>
        <v>150000</v>
      </c>
      <c r="G263" s="38">
        <f>E263*500</f>
        <v>50000</v>
      </c>
      <c r="H263" s="38">
        <v>100000</v>
      </c>
    </row>
    <row r="264" spans="1:8" x14ac:dyDescent="0.25">
      <c r="A264" s="38"/>
      <c r="B264" s="49"/>
      <c r="C264" s="38"/>
      <c r="D264" s="38" t="s">
        <v>12</v>
      </c>
      <c r="E264" s="38">
        <v>15</v>
      </c>
      <c r="F264" s="38">
        <f>E264*3000</f>
        <v>45000</v>
      </c>
      <c r="G264" s="38">
        <f>E264*2000</f>
        <v>30000</v>
      </c>
      <c r="H264" s="38">
        <v>15000</v>
      </c>
    </row>
    <row r="265" spans="1:8" x14ac:dyDescent="0.25">
      <c r="A265" s="38"/>
      <c r="B265" s="49"/>
      <c r="C265" s="38"/>
      <c r="D265" s="38" t="s">
        <v>13</v>
      </c>
      <c r="E265" s="38">
        <v>2</v>
      </c>
      <c r="F265" s="38">
        <f>E265*6500</f>
        <v>13000</v>
      </c>
      <c r="G265" s="38">
        <f>E265*4500</f>
        <v>9000</v>
      </c>
      <c r="H265" s="38">
        <v>4000</v>
      </c>
    </row>
    <row r="266" spans="1:8" x14ac:dyDescent="0.25">
      <c r="A266" s="38"/>
      <c r="B266" s="49"/>
      <c r="C266" s="38"/>
      <c r="D266" s="38" t="s">
        <v>14</v>
      </c>
      <c r="E266" s="38">
        <v>1</v>
      </c>
      <c r="F266" s="38">
        <v>10000</v>
      </c>
      <c r="G266" s="38">
        <v>5500</v>
      </c>
      <c r="H266" s="38">
        <v>4500</v>
      </c>
    </row>
    <row r="267" spans="1:8" x14ac:dyDescent="0.25">
      <c r="A267" s="38"/>
      <c r="B267" s="49"/>
      <c r="C267" s="38"/>
      <c r="D267" s="38" t="s">
        <v>243</v>
      </c>
      <c r="E267" s="38">
        <v>1</v>
      </c>
      <c r="F267" s="38">
        <v>13000</v>
      </c>
      <c r="G267" s="38">
        <v>10000</v>
      </c>
      <c r="H267" s="38">
        <v>3000</v>
      </c>
    </row>
    <row r="268" spans="1:8" x14ac:dyDescent="0.25">
      <c r="A268" s="38"/>
      <c r="B268" s="49"/>
      <c r="C268" s="38" t="s">
        <v>15</v>
      </c>
      <c r="D268" s="38" t="s">
        <v>11</v>
      </c>
      <c r="E268" s="38">
        <v>17</v>
      </c>
      <c r="F268" s="38">
        <f>E268*1500</f>
        <v>25500</v>
      </c>
      <c r="G268" s="38">
        <f>E268*500</f>
        <v>8500</v>
      </c>
      <c r="H268" s="38">
        <v>17000</v>
      </c>
    </row>
    <row r="269" spans="1:8" x14ac:dyDescent="0.25">
      <c r="A269" s="38"/>
      <c r="B269" s="49"/>
      <c r="C269" s="38"/>
      <c r="D269" s="38" t="s">
        <v>13</v>
      </c>
      <c r="E269" s="38">
        <v>30</v>
      </c>
      <c r="F269" s="38">
        <f>E269*6500</f>
        <v>195000</v>
      </c>
      <c r="G269" s="38">
        <f>E269*4500</f>
        <v>135000</v>
      </c>
      <c r="H269" s="38">
        <f>E269*2000</f>
        <v>60000</v>
      </c>
    </row>
    <row r="270" spans="1:8" x14ac:dyDescent="0.25">
      <c r="A270" s="38"/>
      <c r="B270" s="49"/>
      <c r="C270" s="38"/>
      <c r="D270" s="38" t="s">
        <v>14</v>
      </c>
      <c r="E270" s="38">
        <v>3</v>
      </c>
      <c r="F270" s="38">
        <f>E270*8000</f>
        <v>24000</v>
      </c>
      <c r="G270" s="38">
        <f>E270*5500</f>
        <v>16500</v>
      </c>
      <c r="H270" s="38">
        <f>E270*2500</f>
        <v>7500</v>
      </c>
    </row>
    <row r="271" spans="1:8" x14ac:dyDescent="0.25">
      <c r="A271" s="38"/>
      <c r="B271" s="49"/>
      <c r="C271" s="38"/>
      <c r="D271" s="38" t="s">
        <v>14</v>
      </c>
      <c r="E271" s="38">
        <v>16</v>
      </c>
      <c r="F271" s="38">
        <f>E271*10000</f>
        <v>160000</v>
      </c>
      <c r="G271" s="38">
        <f>E271*5500</f>
        <v>88000</v>
      </c>
      <c r="H271" s="38">
        <f>E271*4500</f>
        <v>72000</v>
      </c>
    </row>
    <row r="272" spans="1:8" x14ac:dyDescent="0.25">
      <c r="A272" s="38"/>
      <c r="B272" s="49"/>
      <c r="C272" s="38" t="s">
        <v>217</v>
      </c>
      <c r="D272" s="38" t="s">
        <v>11</v>
      </c>
      <c r="E272" s="38">
        <v>27</v>
      </c>
      <c r="F272" s="38">
        <f>E272*1500</f>
        <v>40500</v>
      </c>
      <c r="G272" s="38">
        <f>E272*500</f>
        <v>13500</v>
      </c>
      <c r="H272" s="38">
        <v>27000</v>
      </c>
    </row>
    <row r="273" spans="1:8" x14ac:dyDescent="0.25">
      <c r="A273" s="38"/>
      <c r="B273" s="49"/>
      <c r="C273" s="38"/>
      <c r="D273" s="38" t="s">
        <v>13</v>
      </c>
      <c r="E273" s="38">
        <v>8</v>
      </c>
      <c r="F273" s="38">
        <f>E273*6500</f>
        <v>52000</v>
      </c>
      <c r="G273" s="38">
        <f>E273*4500</f>
        <v>36000</v>
      </c>
      <c r="H273" s="38">
        <f>E273*2000</f>
        <v>16000</v>
      </c>
    </row>
    <row r="274" spans="1:8" x14ac:dyDescent="0.25">
      <c r="A274" s="38"/>
      <c r="B274" s="49"/>
      <c r="C274" s="38"/>
      <c r="D274" s="38" t="s">
        <v>14</v>
      </c>
      <c r="E274" s="38">
        <v>8</v>
      </c>
      <c r="F274" s="38">
        <f>E274*10000</f>
        <v>80000</v>
      </c>
      <c r="G274" s="38">
        <f>E274*5500</f>
        <v>44000</v>
      </c>
      <c r="H274" s="38">
        <f>E274*4500</f>
        <v>36000</v>
      </c>
    </row>
    <row r="275" spans="1:8" x14ac:dyDescent="0.25">
      <c r="A275" s="38"/>
      <c r="B275" s="49"/>
      <c r="C275" s="38"/>
      <c r="D275" s="38" t="s">
        <v>425</v>
      </c>
      <c r="E275" s="38">
        <v>3</v>
      </c>
      <c r="F275" s="38">
        <f>E275*2000</f>
        <v>6000</v>
      </c>
      <c r="G275" s="38">
        <v>3000</v>
      </c>
      <c r="H275" s="38">
        <v>3000</v>
      </c>
    </row>
    <row r="276" spans="1:8" x14ac:dyDescent="0.25">
      <c r="A276" s="38"/>
      <c r="B276" s="49"/>
      <c r="C276" s="38"/>
      <c r="D276" s="38" t="s">
        <v>441</v>
      </c>
      <c r="E276" s="38">
        <v>2</v>
      </c>
      <c r="F276" s="38">
        <f>E276*3000</f>
        <v>6000</v>
      </c>
      <c r="G276" s="38">
        <v>3000</v>
      </c>
      <c r="H276" s="38">
        <v>3000</v>
      </c>
    </row>
    <row r="277" spans="1:8" x14ac:dyDescent="0.25">
      <c r="A277" s="38"/>
      <c r="B277" s="49"/>
      <c r="C277" s="38"/>
      <c r="D277" s="38" t="s">
        <v>415</v>
      </c>
      <c r="E277" s="38">
        <v>1</v>
      </c>
      <c r="F277" s="38">
        <v>5000</v>
      </c>
      <c r="G277" s="38">
        <v>2500</v>
      </c>
      <c r="H277" s="38">
        <v>2500</v>
      </c>
    </row>
    <row r="278" spans="1:8" x14ac:dyDescent="0.25">
      <c r="A278" s="38"/>
      <c r="B278" s="49"/>
      <c r="C278" s="38" t="s">
        <v>24</v>
      </c>
      <c r="D278" s="38" t="s">
        <v>13</v>
      </c>
      <c r="E278" s="38">
        <v>5</v>
      </c>
      <c r="F278" s="38">
        <f>E278*6500</f>
        <v>32500</v>
      </c>
      <c r="G278" s="38">
        <f>E278*4500</f>
        <v>22500</v>
      </c>
      <c r="H278" s="38">
        <f>E278*2000</f>
        <v>10000</v>
      </c>
    </row>
    <row r="279" spans="1:8" x14ac:dyDescent="0.25">
      <c r="A279" s="38"/>
      <c r="B279" s="49"/>
      <c r="C279" s="38"/>
      <c r="D279" s="38" t="s">
        <v>14</v>
      </c>
      <c r="E279" s="38">
        <v>5</v>
      </c>
      <c r="F279" s="38">
        <f>E279*10000</f>
        <v>50000</v>
      </c>
      <c r="G279" s="38">
        <f>E279*5500</f>
        <v>27500</v>
      </c>
      <c r="H279" s="38">
        <f>E279*4500</f>
        <v>22500</v>
      </c>
    </row>
    <row r="280" spans="1:8" x14ac:dyDescent="0.25">
      <c r="A280" s="131" t="s">
        <v>17</v>
      </c>
      <c r="B280" s="132"/>
      <c r="C280" s="132"/>
      <c r="D280" s="133"/>
      <c r="E280" s="17">
        <f>SUM(E263:E279)</f>
        <v>244</v>
      </c>
      <c r="F280" s="17">
        <f>SUM(F263:F279)</f>
        <v>907500</v>
      </c>
      <c r="G280" s="17">
        <f>SUM(G263:G279)</f>
        <v>504500</v>
      </c>
      <c r="H280" s="17">
        <f>SUM(H263:H279)</f>
        <v>403000</v>
      </c>
    </row>
    <row r="281" spans="1:8" x14ac:dyDescent="0.25">
      <c r="A281" s="38" t="s">
        <v>8</v>
      </c>
      <c r="B281" s="49" t="s">
        <v>563</v>
      </c>
      <c r="C281" s="38" t="s">
        <v>16</v>
      </c>
      <c r="D281" s="38" t="s">
        <v>11</v>
      </c>
      <c r="E281" s="38">
        <v>96</v>
      </c>
      <c r="F281" s="38">
        <f>E281*1500</f>
        <v>144000</v>
      </c>
      <c r="G281" s="38">
        <f>E281*500</f>
        <v>48000</v>
      </c>
      <c r="H281" s="38">
        <v>96000</v>
      </c>
    </row>
    <row r="282" spans="1:8" x14ac:dyDescent="0.25">
      <c r="A282" s="38"/>
      <c r="B282" s="49"/>
      <c r="C282" s="38"/>
      <c r="D282" s="38" t="s">
        <v>12</v>
      </c>
      <c r="E282" s="38">
        <v>13</v>
      </c>
      <c r="F282" s="38">
        <f>E282*3000</f>
        <v>39000</v>
      </c>
      <c r="G282" s="38">
        <f>E282*2000</f>
        <v>26000</v>
      </c>
      <c r="H282" s="38">
        <v>13000</v>
      </c>
    </row>
    <row r="283" spans="1:8" x14ac:dyDescent="0.25">
      <c r="A283" s="38"/>
      <c r="B283" s="49"/>
      <c r="C283" s="38"/>
      <c r="D283" s="38" t="s">
        <v>13</v>
      </c>
      <c r="E283" s="38">
        <v>5</v>
      </c>
      <c r="F283" s="38">
        <f>E283*6500</f>
        <v>32500</v>
      </c>
      <c r="G283" s="38">
        <f>E283*4500</f>
        <v>22500</v>
      </c>
      <c r="H283" s="38">
        <f>E283*2000</f>
        <v>10000</v>
      </c>
    </row>
    <row r="284" spans="1:8" x14ac:dyDescent="0.25">
      <c r="A284" s="38"/>
      <c r="B284" s="49"/>
      <c r="C284" s="38"/>
      <c r="D284" s="38" t="s">
        <v>14</v>
      </c>
      <c r="E284" s="38">
        <v>5</v>
      </c>
      <c r="F284" s="38">
        <f>E284*10000</f>
        <v>50000</v>
      </c>
      <c r="G284" s="38">
        <f>E284*5500</f>
        <v>27500</v>
      </c>
      <c r="H284" s="38">
        <f>E284*4500</f>
        <v>22500</v>
      </c>
    </row>
    <row r="285" spans="1:8" x14ac:dyDescent="0.25">
      <c r="A285" s="38"/>
      <c r="B285" s="49"/>
      <c r="C285" s="38" t="s">
        <v>127</v>
      </c>
      <c r="D285" s="38" t="s">
        <v>243</v>
      </c>
      <c r="E285" s="38">
        <v>1</v>
      </c>
      <c r="F285" s="38">
        <v>13000</v>
      </c>
      <c r="G285" s="38">
        <v>10000</v>
      </c>
      <c r="H285" s="38">
        <v>3000</v>
      </c>
    </row>
    <row r="286" spans="1:8" x14ac:dyDescent="0.25">
      <c r="A286" s="38"/>
      <c r="B286" s="49"/>
      <c r="C286" s="38"/>
      <c r="D286" s="38" t="s">
        <v>21</v>
      </c>
      <c r="E286" s="38">
        <v>5</v>
      </c>
      <c r="F286" s="38">
        <f>E286*15000</f>
        <v>75000</v>
      </c>
      <c r="G286" s="38">
        <f>E286*10000</f>
        <v>50000</v>
      </c>
      <c r="H286" s="38">
        <v>25000</v>
      </c>
    </row>
    <row r="287" spans="1:8" x14ac:dyDescent="0.25">
      <c r="A287" s="38"/>
      <c r="B287" s="49"/>
      <c r="C287" s="38" t="s">
        <v>24</v>
      </c>
      <c r="D287" s="38" t="s">
        <v>243</v>
      </c>
      <c r="E287" s="38">
        <v>4</v>
      </c>
      <c r="F287" s="38">
        <f>E287*13000</f>
        <v>52000</v>
      </c>
      <c r="G287" s="38">
        <f>E287*10000</f>
        <v>40000</v>
      </c>
      <c r="H287" s="38">
        <v>12000</v>
      </c>
    </row>
    <row r="288" spans="1:8" x14ac:dyDescent="0.25">
      <c r="A288" s="125" t="s">
        <v>17</v>
      </c>
      <c r="B288" s="125"/>
      <c r="C288" s="125"/>
      <c r="D288" s="125"/>
      <c r="E288" s="17">
        <f>SUM(E281:E287)</f>
        <v>129</v>
      </c>
      <c r="F288" s="17">
        <f>SUM(F281:F287)</f>
        <v>405500</v>
      </c>
      <c r="G288" s="17">
        <f>SUM(G281:G287)</f>
        <v>224000</v>
      </c>
      <c r="H288" s="17">
        <f>SUM(H281:H287)</f>
        <v>181500</v>
      </c>
    </row>
    <row r="289" spans="1:8" x14ac:dyDescent="0.25">
      <c r="A289" s="38" t="s">
        <v>18</v>
      </c>
      <c r="B289" s="49" t="s">
        <v>564</v>
      </c>
      <c r="C289" s="38" t="s">
        <v>16</v>
      </c>
      <c r="D289" s="38" t="s">
        <v>11</v>
      </c>
      <c r="E289" s="38">
        <v>100</v>
      </c>
      <c r="F289" s="38">
        <f>E289*1500</f>
        <v>150000</v>
      </c>
      <c r="G289" s="38">
        <f>E289*500</f>
        <v>50000</v>
      </c>
      <c r="H289" s="38">
        <v>100000</v>
      </c>
    </row>
    <row r="290" spans="1:8" x14ac:dyDescent="0.25">
      <c r="A290" s="38"/>
      <c r="B290" s="49"/>
      <c r="C290" s="38"/>
      <c r="D290" s="38" t="s">
        <v>12</v>
      </c>
      <c r="E290" s="38">
        <v>17</v>
      </c>
      <c r="F290" s="38">
        <f>E290*3000</f>
        <v>51000</v>
      </c>
      <c r="G290" s="38">
        <f>E290*2000</f>
        <v>34000</v>
      </c>
      <c r="H290" s="38">
        <v>17000</v>
      </c>
    </row>
    <row r="291" spans="1:8" x14ac:dyDescent="0.25">
      <c r="A291" s="38"/>
      <c r="B291" s="49"/>
      <c r="C291" s="38"/>
      <c r="D291" s="38" t="s">
        <v>13</v>
      </c>
      <c r="E291" s="38">
        <v>5</v>
      </c>
      <c r="F291" s="38">
        <f>E291*6500</f>
        <v>32500</v>
      </c>
      <c r="G291" s="38">
        <f>E291*4500</f>
        <v>22500</v>
      </c>
      <c r="H291" s="38">
        <f>E291*2000</f>
        <v>10000</v>
      </c>
    </row>
    <row r="292" spans="1:8" x14ac:dyDescent="0.25">
      <c r="A292" s="38"/>
      <c r="B292" s="49"/>
      <c r="C292" s="38"/>
      <c r="D292" s="38" t="s">
        <v>14</v>
      </c>
      <c r="E292" s="38">
        <v>2</v>
      </c>
      <c r="F292" s="38">
        <f>E292*10000</f>
        <v>20000</v>
      </c>
      <c r="G292" s="38">
        <f>E292*5500</f>
        <v>11000</v>
      </c>
      <c r="H292" s="38">
        <f>E292*4500</f>
        <v>9000</v>
      </c>
    </row>
    <row r="293" spans="1:8" x14ac:dyDescent="0.25">
      <c r="A293" s="38"/>
      <c r="B293" s="49"/>
      <c r="C293" s="38"/>
      <c r="D293" s="38" t="s">
        <v>243</v>
      </c>
      <c r="E293" s="38">
        <v>1</v>
      </c>
      <c r="F293" s="38">
        <v>13000</v>
      </c>
      <c r="G293" s="38">
        <v>10000</v>
      </c>
      <c r="H293" s="38">
        <v>3000</v>
      </c>
    </row>
    <row r="294" spans="1:8" x14ac:dyDescent="0.25">
      <c r="A294" s="38"/>
      <c r="B294" s="49"/>
      <c r="C294" s="38" t="s">
        <v>217</v>
      </c>
      <c r="D294" s="38" t="s">
        <v>11</v>
      </c>
      <c r="E294" s="38">
        <v>4</v>
      </c>
      <c r="F294" s="38">
        <f>E294*1500</f>
        <v>6000</v>
      </c>
      <c r="G294" s="38">
        <f>E294*500</f>
        <v>2000</v>
      </c>
      <c r="H294" s="38">
        <v>4000</v>
      </c>
    </row>
    <row r="295" spans="1:8" x14ac:dyDescent="0.25">
      <c r="A295" s="38"/>
      <c r="B295" s="49"/>
      <c r="C295" s="38"/>
      <c r="D295" s="38" t="s">
        <v>13</v>
      </c>
      <c r="E295" s="38">
        <v>6</v>
      </c>
      <c r="F295" s="38">
        <f>E295*6500</f>
        <v>39000</v>
      </c>
      <c r="G295" s="38">
        <f>E295*4500</f>
        <v>27000</v>
      </c>
      <c r="H295" s="38">
        <f>E295*2000</f>
        <v>12000</v>
      </c>
    </row>
    <row r="296" spans="1:8" x14ac:dyDescent="0.25">
      <c r="A296" s="131" t="s">
        <v>17</v>
      </c>
      <c r="B296" s="132"/>
      <c r="C296" s="132"/>
      <c r="D296" s="133"/>
      <c r="E296" s="17">
        <f>SUM(E289:E295)</f>
        <v>135</v>
      </c>
      <c r="F296" s="17">
        <f>SUM(F289:F295)</f>
        <v>311500</v>
      </c>
      <c r="G296" s="17">
        <f>SUM(G289:G295)</f>
        <v>156500</v>
      </c>
      <c r="H296" s="17">
        <f>SUM(H289:H295)</f>
        <v>155000</v>
      </c>
    </row>
    <row r="297" spans="1:8" x14ac:dyDescent="0.25">
      <c r="A297" s="38"/>
      <c r="B297" s="49"/>
      <c r="C297" s="38" t="s">
        <v>554</v>
      </c>
      <c r="D297" s="38" t="s">
        <v>13</v>
      </c>
      <c r="E297" s="38">
        <v>7</v>
      </c>
      <c r="F297" s="38">
        <f>E297*6500</f>
        <v>45500</v>
      </c>
      <c r="G297" s="38">
        <f>E297*4500</f>
        <v>31500</v>
      </c>
      <c r="H297" s="38">
        <f>E297*2000</f>
        <v>14000</v>
      </c>
    </row>
    <row r="298" spans="1:8" x14ac:dyDescent="0.25">
      <c r="A298" s="38"/>
      <c r="B298" s="49"/>
      <c r="C298" s="38"/>
      <c r="D298" s="38" t="s">
        <v>14</v>
      </c>
      <c r="E298" s="38">
        <v>8</v>
      </c>
      <c r="F298" s="38">
        <f>E298*10000</f>
        <v>80000</v>
      </c>
      <c r="G298" s="38">
        <f>E298*5500</f>
        <v>44000</v>
      </c>
      <c r="H298" s="38">
        <f>E298*4500</f>
        <v>36000</v>
      </c>
    </row>
    <row r="299" spans="1:8" x14ac:dyDescent="0.25">
      <c r="A299" s="38"/>
      <c r="B299" s="49"/>
      <c r="C299" s="38"/>
      <c r="D299" s="38" t="s">
        <v>13</v>
      </c>
      <c r="E299" s="38">
        <v>1</v>
      </c>
      <c r="F299" s="38">
        <v>6500</v>
      </c>
      <c r="G299" s="38">
        <v>4500</v>
      </c>
      <c r="H299" s="38">
        <v>2000</v>
      </c>
    </row>
    <row r="300" spans="1:8" x14ac:dyDescent="0.25">
      <c r="A300" s="38"/>
      <c r="B300" s="49"/>
      <c r="C300" s="38"/>
      <c r="D300" s="38" t="s">
        <v>14</v>
      </c>
      <c r="E300" s="38">
        <v>2</v>
      </c>
      <c r="F300" s="38">
        <v>20000</v>
      </c>
      <c r="G300" s="38">
        <f>E300*5500</f>
        <v>11000</v>
      </c>
      <c r="H300" s="38">
        <f>E300*4500</f>
        <v>9000</v>
      </c>
    </row>
    <row r="301" spans="1:8" x14ac:dyDescent="0.25">
      <c r="A301" s="38" t="s">
        <v>22</v>
      </c>
      <c r="B301" s="49" t="s">
        <v>565</v>
      </c>
      <c r="C301" s="38" t="s">
        <v>16</v>
      </c>
      <c r="D301" s="38" t="s">
        <v>11</v>
      </c>
      <c r="E301" s="38">
        <v>66</v>
      </c>
      <c r="F301" s="38">
        <f>E301*1500</f>
        <v>99000</v>
      </c>
      <c r="G301" s="38">
        <f>E301*500</f>
        <v>33000</v>
      </c>
      <c r="H301" s="38">
        <v>66000</v>
      </c>
    </row>
    <row r="302" spans="1:8" x14ac:dyDescent="0.25">
      <c r="A302" s="38"/>
      <c r="B302" s="49"/>
      <c r="C302" s="38"/>
      <c r="D302" s="38" t="s">
        <v>12</v>
      </c>
      <c r="E302" s="38">
        <v>15</v>
      </c>
      <c r="F302" s="38">
        <f>E302*3000</f>
        <v>45000</v>
      </c>
      <c r="G302" s="38">
        <f>E302*2000</f>
        <v>30000</v>
      </c>
      <c r="H302" s="38">
        <v>15000</v>
      </c>
    </row>
    <row r="303" spans="1:8" x14ac:dyDescent="0.25">
      <c r="A303" s="38"/>
      <c r="B303" s="49"/>
      <c r="C303" s="38"/>
      <c r="D303" s="38" t="s">
        <v>13</v>
      </c>
      <c r="E303" s="38">
        <v>4</v>
      </c>
      <c r="F303" s="38">
        <f>E303*6500</f>
        <v>26000</v>
      </c>
      <c r="G303" s="38">
        <f>E303*4500</f>
        <v>18000</v>
      </c>
      <c r="H303" s="38">
        <f>E303*2000</f>
        <v>8000</v>
      </c>
    </row>
    <row r="304" spans="1:8" x14ac:dyDescent="0.25">
      <c r="A304" s="38"/>
      <c r="B304" s="49"/>
      <c r="C304" s="38"/>
      <c r="D304" s="38" t="s">
        <v>14</v>
      </c>
      <c r="E304" s="38">
        <v>4</v>
      </c>
      <c r="F304" s="38">
        <f>E304*10000</f>
        <v>40000</v>
      </c>
      <c r="G304" s="38">
        <f>E304*5500</f>
        <v>22000</v>
      </c>
      <c r="H304" s="38">
        <f>E304*4500</f>
        <v>18000</v>
      </c>
    </row>
    <row r="305" spans="1:8" x14ac:dyDescent="0.25">
      <c r="A305" s="38"/>
      <c r="B305" s="49"/>
      <c r="C305" s="38"/>
      <c r="D305" s="38" t="s">
        <v>243</v>
      </c>
      <c r="E305" s="38">
        <v>1</v>
      </c>
      <c r="F305" s="38">
        <v>13000</v>
      </c>
      <c r="G305" s="38">
        <v>10000</v>
      </c>
      <c r="H305" s="38">
        <v>3000</v>
      </c>
    </row>
    <row r="306" spans="1:8" x14ac:dyDescent="0.25">
      <c r="A306" s="38"/>
      <c r="B306" s="49"/>
      <c r="C306" s="38" t="s">
        <v>15</v>
      </c>
      <c r="D306" s="38" t="s">
        <v>11</v>
      </c>
      <c r="E306" s="38">
        <v>11</v>
      </c>
      <c r="F306" s="38">
        <f>E306*1500</f>
        <v>16500</v>
      </c>
      <c r="G306" s="38">
        <f>E306*500</f>
        <v>5500</v>
      </c>
      <c r="H306" s="38">
        <v>11000</v>
      </c>
    </row>
    <row r="307" spans="1:8" x14ac:dyDescent="0.25">
      <c r="A307" s="38"/>
      <c r="B307" s="49"/>
      <c r="C307" s="38"/>
      <c r="D307" s="38" t="s">
        <v>13</v>
      </c>
      <c r="E307" s="38">
        <v>15</v>
      </c>
      <c r="F307" s="38">
        <f>E307*6500</f>
        <v>97500</v>
      </c>
      <c r="G307" s="38">
        <f>E307*4500</f>
        <v>67500</v>
      </c>
      <c r="H307" s="38">
        <f>E307*2000</f>
        <v>30000</v>
      </c>
    </row>
    <row r="308" spans="1:8" x14ac:dyDescent="0.25">
      <c r="A308" s="38"/>
      <c r="B308" s="49"/>
      <c r="C308" s="38"/>
      <c r="D308" s="38" t="s">
        <v>14</v>
      </c>
      <c r="E308" s="38">
        <v>4</v>
      </c>
      <c r="F308" s="38">
        <f>E308*10000</f>
        <v>40000</v>
      </c>
      <c r="G308" s="38">
        <f>E308*5500</f>
        <v>22000</v>
      </c>
      <c r="H308" s="38">
        <f>E308*4500</f>
        <v>18000</v>
      </c>
    </row>
    <row r="309" spans="1:8" x14ac:dyDescent="0.25">
      <c r="A309" s="38"/>
      <c r="B309" s="49"/>
      <c r="C309" s="38"/>
      <c r="D309" s="38" t="s">
        <v>11</v>
      </c>
      <c r="E309" s="38">
        <v>6</v>
      </c>
      <c r="F309" s="38">
        <f>E309*1500</f>
        <v>9000</v>
      </c>
      <c r="G309" s="38">
        <f>E309*500</f>
        <v>3000</v>
      </c>
      <c r="H309" s="38">
        <v>6000</v>
      </c>
    </row>
    <row r="310" spans="1:8" x14ac:dyDescent="0.25">
      <c r="A310" s="38"/>
      <c r="B310" s="49"/>
      <c r="C310" s="38"/>
      <c r="D310" s="38" t="s">
        <v>13</v>
      </c>
      <c r="E310" s="38">
        <v>17</v>
      </c>
      <c r="F310" s="38">
        <f>E310*6500</f>
        <v>110500</v>
      </c>
      <c r="G310" s="38">
        <f>E310*4500</f>
        <v>76500</v>
      </c>
      <c r="H310" s="38">
        <f>E310*2000</f>
        <v>34000</v>
      </c>
    </row>
    <row r="311" spans="1:8" x14ac:dyDescent="0.25">
      <c r="A311" s="38"/>
      <c r="B311" s="49"/>
      <c r="C311" s="38"/>
      <c r="D311" s="38" t="s">
        <v>14</v>
      </c>
      <c r="E311" s="38">
        <v>5</v>
      </c>
      <c r="F311" s="38">
        <f>E311*8000</f>
        <v>40000</v>
      </c>
      <c r="G311" s="38">
        <f>E311*5500</f>
        <v>27500</v>
      </c>
      <c r="H311" s="38">
        <f>E311*2500</f>
        <v>12500</v>
      </c>
    </row>
    <row r="312" spans="1:8" x14ac:dyDescent="0.25">
      <c r="A312" s="38"/>
      <c r="B312" s="49"/>
      <c r="C312" s="38"/>
      <c r="D312" s="38" t="s">
        <v>14</v>
      </c>
      <c r="E312" s="38">
        <v>10</v>
      </c>
      <c r="F312" s="38">
        <f>E312*10000</f>
        <v>100000</v>
      </c>
      <c r="G312" s="38">
        <f>E312*5500</f>
        <v>55000</v>
      </c>
      <c r="H312" s="38">
        <f>E312*4500</f>
        <v>45000</v>
      </c>
    </row>
    <row r="313" spans="1:8" x14ac:dyDescent="0.25">
      <c r="A313" s="56"/>
      <c r="B313" s="56"/>
      <c r="C313" s="55" t="s">
        <v>217</v>
      </c>
      <c r="D313" s="55" t="s">
        <v>11</v>
      </c>
      <c r="E313" s="40">
        <v>6</v>
      </c>
      <c r="F313" s="40">
        <f>E313*1500</f>
        <v>9000</v>
      </c>
      <c r="G313" s="40">
        <f>E313*500</f>
        <v>3000</v>
      </c>
      <c r="H313" s="40">
        <v>6000</v>
      </c>
    </row>
    <row r="314" spans="1:8" x14ac:dyDescent="0.25">
      <c r="A314" s="38"/>
      <c r="B314" s="49"/>
      <c r="C314" s="38"/>
      <c r="D314" s="38" t="s">
        <v>13</v>
      </c>
      <c r="E314" s="38">
        <v>6</v>
      </c>
      <c r="F314" s="38">
        <f>E314*6500</f>
        <v>39000</v>
      </c>
      <c r="G314" s="38">
        <f>E314*4500</f>
        <v>27000</v>
      </c>
      <c r="H314" s="38">
        <f>E314*2000</f>
        <v>12000</v>
      </c>
    </row>
    <row r="315" spans="1:8" x14ac:dyDescent="0.25">
      <c r="A315" s="38"/>
      <c r="B315" s="49"/>
      <c r="C315" s="38"/>
      <c r="D315" s="38" t="s">
        <v>14</v>
      </c>
      <c r="E315" s="38">
        <v>1</v>
      </c>
      <c r="F315" s="38">
        <v>10000</v>
      </c>
      <c r="G315" s="38">
        <v>5500</v>
      </c>
      <c r="H315" s="38">
        <v>4500</v>
      </c>
    </row>
    <row r="316" spans="1:8" x14ac:dyDescent="0.25">
      <c r="A316" s="38"/>
      <c r="B316" s="49"/>
      <c r="C316" s="38"/>
      <c r="D316" s="38" t="s">
        <v>404</v>
      </c>
      <c r="E316" s="38">
        <v>12</v>
      </c>
      <c r="F316" s="38">
        <f>E316*2000</f>
        <v>24000</v>
      </c>
      <c r="G316" s="38">
        <v>12000</v>
      </c>
      <c r="H316" s="38">
        <v>12000</v>
      </c>
    </row>
    <row r="317" spans="1:8" x14ac:dyDescent="0.25">
      <c r="A317" s="38"/>
      <c r="B317" s="49"/>
      <c r="C317" s="38"/>
      <c r="D317" s="38" t="s">
        <v>432</v>
      </c>
      <c r="E317" s="38">
        <v>6</v>
      </c>
      <c r="F317" s="38">
        <f>E317*5000</f>
        <v>30000</v>
      </c>
      <c r="G317" s="38">
        <v>15000</v>
      </c>
      <c r="H317" s="38">
        <v>15000</v>
      </c>
    </row>
    <row r="318" spans="1:8" x14ac:dyDescent="0.25">
      <c r="A318" s="38"/>
      <c r="B318" s="49"/>
      <c r="C318" s="38"/>
      <c r="D318" s="38" t="s">
        <v>415</v>
      </c>
      <c r="E318" s="38">
        <v>1</v>
      </c>
      <c r="F318" s="38">
        <v>5000</v>
      </c>
      <c r="G318" s="38">
        <v>2500</v>
      </c>
      <c r="H318" s="38">
        <v>2500</v>
      </c>
    </row>
    <row r="319" spans="1:8" x14ac:dyDescent="0.25">
      <c r="A319" s="38"/>
      <c r="B319" s="49"/>
      <c r="C319" s="38" t="s">
        <v>544</v>
      </c>
      <c r="D319" s="38" t="s">
        <v>11</v>
      </c>
      <c r="E319" s="38">
        <v>7</v>
      </c>
      <c r="F319" s="38">
        <f>E319*1500</f>
        <v>10500</v>
      </c>
      <c r="G319" s="38">
        <f>E319*500</f>
        <v>3500</v>
      </c>
      <c r="H319" s="38">
        <v>7000</v>
      </c>
    </row>
    <row r="320" spans="1:8" x14ac:dyDescent="0.25">
      <c r="A320" s="38"/>
      <c r="B320" s="49"/>
      <c r="C320" s="38"/>
      <c r="D320" s="38" t="s">
        <v>13</v>
      </c>
      <c r="E320" s="38">
        <v>1</v>
      </c>
      <c r="F320" s="38">
        <v>6500</v>
      </c>
      <c r="G320" s="38">
        <v>4500</v>
      </c>
      <c r="H320" s="38">
        <v>2000</v>
      </c>
    </row>
    <row r="321" spans="1:9" x14ac:dyDescent="0.25">
      <c r="A321" s="56"/>
      <c r="B321" s="56"/>
      <c r="C321" s="56"/>
      <c r="D321" s="55" t="s">
        <v>14</v>
      </c>
      <c r="E321" s="40">
        <v>1</v>
      </c>
      <c r="F321" s="40">
        <v>10000</v>
      </c>
      <c r="G321" s="40">
        <v>5500</v>
      </c>
      <c r="H321" s="40">
        <v>4500</v>
      </c>
    </row>
    <row r="322" spans="1:9" x14ac:dyDescent="0.25">
      <c r="A322" s="131" t="s">
        <v>17</v>
      </c>
      <c r="B322" s="132"/>
      <c r="C322" s="132"/>
      <c r="D322" s="133"/>
      <c r="E322" s="17">
        <f>SUM(E301:E321)</f>
        <v>199</v>
      </c>
      <c r="F322" s="17">
        <f>SUM(F301:F321)</f>
        <v>780500</v>
      </c>
      <c r="G322" s="17">
        <f>SUM(G301:G321)</f>
        <v>448500</v>
      </c>
      <c r="H322" s="17">
        <f>SUM(H301:H321)</f>
        <v>332000</v>
      </c>
    </row>
    <row r="323" spans="1:9" x14ac:dyDescent="0.25">
      <c r="A323" s="38" t="s">
        <v>26</v>
      </c>
      <c r="B323" s="49" t="s">
        <v>566</v>
      </c>
      <c r="C323" s="38" t="s">
        <v>217</v>
      </c>
      <c r="D323" s="38" t="s">
        <v>11</v>
      </c>
      <c r="E323" s="38">
        <v>4</v>
      </c>
      <c r="F323" s="38">
        <f>E323*1500</f>
        <v>6000</v>
      </c>
      <c r="G323" s="38">
        <f>E323*500</f>
        <v>2000</v>
      </c>
      <c r="H323" s="38">
        <v>4000</v>
      </c>
      <c r="I323" s="64"/>
    </row>
    <row r="324" spans="1:9" x14ac:dyDescent="0.25">
      <c r="A324" s="38"/>
      <c r="B324" s="49"/>
      <c r="C324" s="38"/>
      <c r="D324" s="38" t="s">
        <v>13</v>
      </c>
      <c r="E324" s="38">
        <v>5</v>
      </c>
      <c r="F324" s="38">
        <f>E324*6500</f>
        <v>32500</v>
      </c>
      <c r="G324" s="38">
        <f>E324*4500</f>
        <v>22500</v>
      </c>
      <c r="H324" s="38">
        <f>E324*2000</f>
        <v>10000</v>
      </c>
    </row>
    <row r="325" spans="1:9" x14ac:dyDescent="0.25">
      <c r="A325" s="38"/>
      <c r="B325" s="49"/>
      <c r="C325" s="38"/>
      <c r="D325" s="38" t="s">
        <v>14</v>
      </c>
      <c r="E325" s="38">
        <v>2</v>
      </c>
      <c r="F325" s="38">
        <f>E325*10000</f>
        <v>20000</v>
      </c>
      <c r="G325" s="38">
        <f>E325*5500</f>
        <v>11000</v>
      </c>
      <c r="H325" s="38">
        <f>E325*4500</f>
        <v>9000</v>
      </c>
    </row>
    <row r="326" spans="1:9" x14ac:dyDescent="0.25">
      <c r="A326" s="38"/>
      <c r="B326" s="49"/>
      <c r="C326" s="38"/>
      <c r="D326" s="38" t="s">
        <v>441</v>
      </c>
      <c r="E326" s="38">
        <v>1</v>
      </c>
      <c r="F326" s="38">
        <v>3000</v>
      </c>
      <c r="G326" s="38">
        <v>1500</v>
      </c>
      <c r="H326" s="38">
        <v>1500</v>
      </c>
    </row>
    <row r="327" spans="1:9" x14ac:dyDescent="0.25">
      <c r="A327" s="38"/>
      <c r="B327" s="49"/>
      <c r="C327" s="38"/>
      <c r="D327" s="38" t="s">
        <v>432</v>
      </c>
      <c r="E327" s="38">
        <v>1</v>
      </c>
      <c r="F327" s="38">
        <v>5000</v>
      </c>
      <c r="G327" s="38">
        <v>2500</v>
      </c>
      <c r="H327" s="38">
        <v>2500</v>
      </c>
    </row>
    <row r="328" spans="1:9" x14ac:dyDescent="0.25">
      <c r="A328" s="38"/>
      <c r="B328" s="49"/>
      <c r="C328" s="38"/>
      <c r="D328" s="38" t="s">
        <v>415</v>
      </c>
      <c r="E328" s="38">
        <v>1</v>
      </c>
      <c r="F328" s="38">
        <v>5000</v>
      </c>
      <c r="G328" s="38">
        <v>2500</v>
      </c>
      <c r="H328" s="38">
        <v>2500</v>
      </c>
    </row>
    <row r="329" spans="1:9" x14ac:dyDescent="0.25">
      <c r="A329" s="38"/>
      <c r="B329" s="49"/>
      <c r="C329" s="38"/>
      <c r="D329" s="38" t="s">
        <v>545</v>
      </c>
      <c r="E329" s="38">
        <v>1</v>
      </c>
      <c r="F329" s="38">
        <v>5000</v>
      </c>
      <c r="G329" s="38">
        <v>2500</v>
      </c>
      <c r="H329" s="38">
        <v>2500</v>
      </c>
    </row>
    <row r="330" spans="1:9" x14ac:dyDescent="0.25">
      <c r="A330" s="38"/>
      <c r="B330" s="49"/>
      <c r="C330" s="38" t="s">
        <v>24</v>
      </c>
      <c r="D330" s="38" t="s">
        <v>243</v>
      </c>
      <c r="E330" s="38">
        <v>4</v>
      </c>
      <c r="F330" s="38">
        <f>E330*13000</f>
        <v>52000</v>
      </c>
      <c r="G330" s="38">
        <f>E330*10000</f>
        <v>40000</v>
      </c>
      <c r="H330" s="38">
        <f>E330*3000</f>
        <v>12000</v>
      </c>
    </row>
    <row r="331" spans="1:9" x14ac:dyDescent="0.25">
      <c r="A331" s="38"/>
      <c r="B331" s="49"/>
      <c r="C331" s="38"/>
      <c r="D331" s="38"/>
      <c r="E331" s="38">
        <v>3</v>
      </c>
      <c r="F331" s="38">
        <f>E331*13000</f>
        <v>39000</v>
      </c>
      <c r="G331" s="38">
        <f>E331*10000</f>
        <v>30000</v>
      </c>
      <c r="H331" s="38">
        <f>E331*3000</f>
        <v>9000</v>
      </c>
    </row>
    <row r="332" spans="1:9" x14ac:dyDescent="0.25">
      <c r="A332" s="131" t="s">
        <v>17</v>
      </c>
      <c r="B332" s="132"/>
      <c r="C332" s="132"/>
      <c r="D332" s="133"/>
      <c r="E332" s="17">
        <f>SUM(E323:E331)</f>
        <v>22</v>
      </c>
      <c r="F332" s="17">
        <f>SUM(F323:F331)</f>
        <v>167500</v>
      </c>
      <c r="G332" s="17">
        <f>SUM(G323:G331)</f>
        <v>114500</v>
      </c>
      <c r="H332" s="17">
        <f>SUM(H323:H331)</f>
        <v>53000</v>
      </c>
    </row>
    <row r="333" spans="1:9" x14ac:dyDescent="0.25">
      <c r="A333" s="38" t="s">
        <v>28</v>
      </c>
      <c r="B333" s="49" t="s">
        <v>567</v>
      </c>
      <c r="C333" s="38" t="s">
        <v>16</v>
      </c>
      <c r="D333" s="38" t="s">
        <v>11</v>
      </c>
      <c r="E333" s="38">
        <v>100</v>
      </c>
      <c r="F333" s="38">
        <f>E333*1500</f>
        <v>150000</v>
      </c>
      <c r="G333" s="38">
        <f>E333*500</f>
        <v>50000</v>
      </c>
      <c r="H333" s="38">
        <v>100000</v>
      </c>
    </row>
    <row r="334" spans="1:9" x14ac:dyDescent="0.25">
      <c r="A334" s="38"/>
      <c r="B334" s="49"/>
      <c r="C334" s="38"/>
      <c r="D334" s="38" t="s">
        <v>12</v>
      </c>
      <c r="E334" s="38">
        <v>14</v>
      </c>
      <c r="F334" s="38">
        <f>E334*3000</f>
        <v>42000</v>
      </c>
      <c r="G334" s="38">
        <f>E334*2000</f>
        <v>28000</v>
      </c>
      <c r="H334" s="38">
        <v>14000</v>
      </c>
    </row>
    <row r="335" spans="1:9" x14ac:dyDescent="0.25">
      <c r="A335" s="38"/>
      <c r="B335" s="49"/>
      <c r="C335" s="38"/>
      <c r="D335" s="38" t="s">
        <v>13</v>
      </c>
      <c r="E335" s="38">
        <v>4</v>
      </c>
      <c r="F335" s="38">
        <f>E335*6500</f>
        <v>26000</v>
      </c>
      <c r="G335" s="38">
        <f>E335*4500</f>
        <v>18000</v>
      </c>
      <c r="H335" s="38">
        <f>E335*2000</f>
        <v>8000</v>
      </c>
    </row>
    <row r="336" spans="1:9" x14ac:dyDescent="0.25">
      <c r="A336" s="38"/>
      <c r="B336" s="49"/>
      <c r="C336" s="38"/>
      <c r="D336" s="38" t="s">
        <v>14</v>
      </c>
      <c r="E336" s="38">
        <v>3</v>
      </c>
      <c r="F336" s="38">
        <f>E336*10000</f>
        <v>30000</v>
      </c>
      <c r="G336" s="38">
        <f>E336*5500</f>
        <v>16500</v>
      </c>
      <c r="H336" s="38">
        <f>E336*4500</f>
        <v>13500</v>
      </c>
    </row>
    <row r="337" spans="1:8" x14ac:dyDescent="0.25">
      <c r="A337" s="38"/>
      <c r="B337" s="49"/>
      <c r="C337" s="38" t="s">
        <v>217</v>
      </c>
      <c r="D337" s="38" t="s">
        <v>11</v>
      </c>
      <c r="E337" s="38">
        <v>23</v>
      </c>
      <c r="F337" s="38">
        <f>E337*1500</f>
        <v>34500</v>
      </c>
      <c r="G337" s="38">
        <f>E337*500</f>
        <v>11500</v>
      </c>
      <c r="H337" s="38">
        <f>E337*1000</f>
        <v>23000</v>
      </c>
    </row>
    <row r="338" spans="1:8" x14ac:dyDescent="0.25">
      <c r="A338" s="38"/>
      <c r="B338" s="49"/>
      <c r="C338" s="38"/>
      <c r="D338" s="38" t="s">
        <v>13</v>
      </c>
      <c r="E338" s="38">
        <v>13</v>
      </c>
      <c r="F338" s="38">
        <f>E338*6500</f>
        <v>84500</v>
      </c>
      <c r="G338" s="38">
        <f>E338*4500</f>
        <v>58500</v>
      </c>
      <c r="H338" s="38">
        <f>E338*2000</f>
        <v>26000</v>
      </c>
    </row>
    <row r="339" spans="1:8" x14ac:dyDescent="0.25">
      <c r="A339" s="38"/>
      <c r="B339" s="49"/>
      <c r="C339" s="38"/>
      <c r="D339" s="38" t="s">
        <v>14</v>
      </c>
      <c r="E339" s="38">
        <v>6</v>
      </c>
      <c r="F339" s="38">
        <f>E339*10000</f>
        <v>60000</v>
      </c>
      <c r="G339" s="38">
        <f>E339*5500</f>
        <v>33000</v>
      </c>
      <c r="H339" s="38">
        <f>E339*4500</f>
        <v>27000</v>
      </c>
    </row>
    <row r="340" spans="1:8" x14ac:dyDescent="0.25">
      <c r="A340" s="45"/>
      <c r="B340" s="56"/>
      <c r="C340" s="56"/>
      <c r="D340" s="55" t="s">
        <v>415</v>
      </c>
      <c r="E340" s="40">
        <v>4</v>
      </c>
      <c r="F340" s="40">
        <f>E340*5000</f>
        <v>20000</v>
      </c>
      <c r="G340" s="40">
        <v>10000</v>
      </c>
      <c r="H340" s="40">
        <v>10000</v>
      </c>
    </row>
    <row r="341" spans="1:8" x14ac:dyDescent="0.25">
      <c r="A341" s="38"/>
      <c r="B341" s="49"/>
      <c r="C341" s="38"/>
      <c r="D341" s="38" t="s">
        <v>436</v>
      </c>
      <c r="E341" s="38">
        <v>2</v>
      </c>
      <c r="F341" s="38">
        <f>E341*3000</f>
        <v>6000</v>
      </c>
      <c r="G341" s="38">
        <v>3000</v>
      </c>
      <c r="H341" s="38">
        <v>3000</v>
      </c>
    </row>
    <row r="342" spans="1:8" x14ac:dyDescent="0.25">
      <c r="A342" s="38"/>
      <c r="B342" s="49"/>
      <c r="C342" s="38" t="s">
        <v>20</v>
      </c>
      <c r="D342" s="38" t="s">
        <v>11</v>
      </c>
      <c r="E342" s="38">
        <v>10</v>
      </c>
      <c r="F342" s="38">
        <f>E342*1500</f>
        <v>15000</v>
      </c>
      <c r="G342" s="38">
        <f>E342*500</f>
        <v>5000</v>
      </c>
      <c r="H342" s="38">
        <v>10000</v>
      </c>
    </row>
    <row r="343" spans="1:8" x14ac:dyDescent="0.25">
      <c r="A343" s="38"/>
      <c r="B343" s="49"/>
      <c r="C343" s="38"/>
      <c r="D343" s="38" t="s">
        <v>13</v>
      </c>
      <c r="E343" s="38">
        <v>8</v>
      </c>
      <c r="F343" s="38">
        <f>E343*6500</f>
        <v>52000</v>
      </c>
      <c r="G343" s="38">
        <f>E343*4500</f>
        <v>36000</v>
      </c>
      <c r="H343" s="38">
        <f>E343*2000</f>
        <v>16000</v>
      </c>
    </row>
    <row r="344" spans="1:8" x14ac:dyDescent="0.25">
      <c r="A344" s="38"/>
      <c r="B344" s="49"/>
      <c r="C344" s="38"/>
      <c r="D344" s="38" t="s">
        <v>14</v>
      </c>
      <c r="E344" s="38">
        <v>10</v>
      </c>
      <c r="F344" s="38">
        <f>E344*10000</f>
        <v>100000</v>
      </c>
      <c r="G344" s="38">
        <f>E344*5500</f>
        <v>55000</v>
      </c>
      <c r="H344" s="38">
        <f>E344*4500</f>
        <v>45000</v>
      </c>
    </row>
    <row r="345" spans="1:8" x14ac:dyDescent="0.25">
      <c r="A345" s="131" t="s">
        <v>17</v>
      </c>
      <c r="B345" s="132"/>
      <c r="C345" s="132"/>
      <c r="D345" s="133"/>
      <c r="E345" s="17">
        <f>SUM(E333:E344)</f>
        <v>197</v>
      </c>
      <c r="F345" s="17">
        <f>SUM(F333:F344)</f>
        <v>620000</v>
      </c>
      <c r="G345" s="17">
        <f>SUM(G333:G344)</f>
        <v>324500</v>
      </c>
      <c r="H345" s="17">
        <f>SUM(H333:H344)</f>
        <v>295500</v>
      </c>
    </row>
    <row r="346" spans="1:8" x14ac:dyDescent="0.25">
      <c r="A346" s="38"/>
      <c r="B346" s="49"/>
      <c r="C346" s="38" t="s">
        <v>15</v>
      </c>
      <c r="D346" s="38" t="s">
        <v>11</v>
      </c>
      <c r="E346" s="38">
        <v>8</v>
      </c>
      <c r="F346" s="38">
        <f>E346*1500</f>
        <v>12000</v>
      </c>
      <c r="G346" s="38">
        <f>E346*500</f>
        <v>4000</v>
      </c>
      <c r="H346" s="38">
        <v>8000</v>
      </c>
    </row>
    <row r="347" spans="1:8" x14ac:dyDescent="0.25">
      <c r="A347" s="38"/>
      <c r="B347" s="49"/>
      <c r="C347" s="38"/>
      <c r="D347" s="38" t="s">
        <v>13</v>
      </c>
      <c r="E347" s="38">
        <v>13</v>
      </c>
      <c r="F347" s="38">
        <f>E347*6500</f>
        <v>84500</v>
      </c>
      <c r="G347" s="38">
        <f>E347*4500</f>
        <v>58500</v>
      </c>
      <c r="H347" s="38">
        <f>E347*2000</f>
        <v>26000</v>
      </c>
    </row>
    <row r="348" spans="1:8" x14ac:dyDescent="0.25">
      <c r="A348" s="38"/>
      <c r="B348" s="49"/>
      <c r="C348" s="38"/>
      <c r="D348" s="38" t="s">
        <v>14</v>
      </c>
      <c r="E348" s="38">
        <v>9</v>
      </c>
      <c r="F348" s="38">
        <f>E348*10000</f>
        <v>90000</v>
      </c>
      <c r="G348" s="38">
        <f>E348*5500</f>
        <v>49500</v>
      </c>
      <c r="H348" s="38">
        <f>E348*4500</f>
        <v>40500</v>
      </c>
    </row>
    <row r="349" spans="1:8" x14ac:dyDescent="0.25">
      <c r="A349" s="38"/>
      <c r="B349" s="49"/>
      <c r="C349" s="38" t="s">
        <v>217</v>
      </c>
      <c r="D349" s="38" t="s">
        <v>11</v>
      </c>
      <c r="E349" s="38">
        <v>2</v>
      </c>
      <c r="F349" s="38">
        <f>E349*1500</f>
        <v>3000</v>
      </c>
      <c r="G349" s="38">
        <f>E349*500</f>
        <v>1000</v>
      </c>
      <c r="H349" s="38">
        <v>2000</v>
      </c>
    </row>
    <row r="350" spans="1:8" x14ac:dyDescent="0.25">
      <c r="A350" s="38"/>
      <c r="B350" s="49"/>
      <c r="C350" s="38"/>
      <c r="D350" s="38" t="s">
        <v>13</v>
      </c>
      <c r="E350" s="38">
        <v>4</v>
      </c>
      <c r="F350" s="38">
        <f>E350*6500</f>
        <v>26000</v>
      </c>
      <c r="G350" s="38">
        <f>E350*4500</f>
        <v>18000</v>
      </c>
      <c r="H350" s="38">
        <f>E350*2000</f>
        <v>8000</v>
      </c>
    </row>
    <row r="351" spans="1:8" x14ac:dyDescent="0.25">
      <c r="A351" s="38"/>
      <c r="B351" s="49"/>
      <c r="C351" s="38"/>
      <c r="D351" s="38" t="s">
        <v>424</v>
      </c>
      <c r="E351" s="38">
        <v>1</v>
      </c>
      <c r="F351" s="38">
        <v>5000</v>
      </c>
      <c r="G351" s="38">
        <v>2500</v>
      </c>
      <c r="H351" s="38">
        <v>2500</v>
      </c>
    </row>
    <row r="352" spans="1:8" x14ac:dyDescent="0.25">
      <c r="A352" s="38"/>
      <c r="B352" s="49"/>
      <c r="C352" s="38"/>
      <c r="D352" s="38" t="s">
        <v>404</v>
      </c>
      <c r="E352" s="38">
        <v>5</v>
      </c>
      <c r="F352" s="38">
        <f>E352*2000</f>
        <v>10000</v>
      </c>
      <c r="G352" s="38">
        <v>5000</v>
      </c>
      <c r="H352" s="38">
        <v>5000</v>
      </c>
    </row>
    <row r="353" spans="1:8" x14ac:dyDescent="0.25">
      <c r="A353" s="38"/>
      <c r="B353" s="49"/>
      <c r="C353" s="38"/>
      <c r="D353" s="38" t="s">
        <v>415</v>
      </c>
      <c r="E353" s="38">
        <v>2</v>
      </c>
      <c r="F353" s="38">
        <f>E353*5000</f>
        <v>10000</v>
      </c>
      <c r="G353" s="38">
        <v>5000</v>
      </c>
      <c r="H353" s="38">
        <v>5000</v>
      </c>
    </row>
    <row r="354" spans="1:8" x14ac:dyDescent="0.25">
      <c r="A354" s="38"/>
      <c r="B354" s="49"/>
      <c r="C354" s="38" t="s">
        <v>544</v>
      </c>
      <c r="D354" s="38" t="s">
        <v>11</v>
      </c>
      <c r="E354" s="38">
        <v>3</v>
      </c>
      <c r="F354" s="38">
        <f>E354*1500</f>
        <v>4500</v>
      </c>
      <c r="G354" s="38">
        <f>E354*500</f>
        <v>1500</v>
      </c>
      <c r="H354" s="38">
        <v>3000</v>
      </c>
    </row>
    <row r="355" spans="1:8" x14ac:dyDescent="0.25">
      <c r="A355" s="38"/>
      <c r="B355" s="49"/>
      <c r="C355" s="38"/>
      <c r="D355" s="38" t="s">
        <v>13</v>
      </c>
      <c r="E355" s="38">
        <v>3</v>
      </c>
      <c r="F355" s="38">
        <f>E355*6500</f>
        <v>19500</v>
      </c>
      <c r="G355" s="38">
        <f>E355*4500</f>
        <v>13500</v>
      </c>
      <c r="H355" s="38">
        <f>E355*2000</f>
        <v>6000</v>
      </c>
    </row>
    <row r="356" spans="1:8" x14ac:dyDescent="0.25">
      <c r="A356" s="38"/>
      <c r="B356" s="49"/>
      <c r="C356" s="38"/>
      <c r="D356" s="38" t="s">
        <v>14</v>
      </c>
      <c r="E356" s="38">
        <v>3</v>
      </c>
      <c r="F356" s="38">
        <f>E356*10000</f>
        <v>30000</v>
      </c>
      <c r="G356" s="38">
        <f>E356*5500</f>
        <v>16500</v>
      </c>
      <c r="H356" s="38">
        <f>E356*4500</f>
        <v>13500</v>
      </c>
    </row>
    <row r="357" spans="1:8" x14ac:dyDescent="0.25">
      <c r="A357" s="131" t="s">
        <v>17</v>
      </c>
      <c r="B357" s="132"/>
      <c r="C357" s="132"/>
      <c r="D357" s="133"/>
      <c r="E357" s="17">
        <f>SUM(E346:E356)</f>
        <v>53</v>
      </c>
      <c r="F357" s="17">
        <f>SUM(F346:F356)</f>
        <v>294500</v>
      </c>
      <c r="G357" s="17">
        <f>SUM(G346:G356)</f>
        <v>175000</v>
      </c>
      <c r="H357" s="17">
        <f>SUM(H346:H356)</f>
        <v>119500</v>
      </c>
    </row>
    <row r="358" spans="1:8" x14ac:dyDescent="0.25">
      <c r="A358" s="38"/>
      <c r="B358" s="49"/>
      <c r="C358" s="38"/>
      <c r="D358" s="38"/>
      <c r="E358" s="38"/>
      <c r="F358" s="38"/>
      <c r="G358" s="38"/>
      <c r="H358" s="38"/>
    </row>
    <row r="359" spans="1:8" x14ac:dyDescent="0.25">
      <c r="A359" s="38"/>
      <c r="B359" s="49"/>
      <c r="C359" s="38"/>
      <c r="D359" s="38"/>
      <c r="E359" s="38"/>
      <c r="F359" s="38"/>
      <c r="G359" s="38"/>
      <c r="H359" s="38"/>
    </row>
    <row r="360" spans="1:8" x14ac:dyDescent="0.25">
      <c r="A360" s="38"/>
      <c r="B360" s="49"/>
      <c r="C360" s="38"/>
      <c r="D360" s="38"/>
      <c r="E360" s="38"/>
      <c r="F360" s="38"/>
      <c r="G360" s="38"/>
      <c r="H360" s="38"/>
    </row>
    <row r="361" spans="1:8" x14ac:dyDescent="0.25">
      <c r="A361" s="38"/>
      <c r="B361" s="49"/>
      <c r="C361" s="38"/>
      <c r="D361" s="38"/>
      <c r="E361" s="38"/>
      <c r="F361" s="38"/>
      <c r="G361" s="38"/>
      <c r="H361" s="38"/>
    </row>
    <row r="362" spans="1:8" x14ac:dyDescent="0.25">
      <c r="A362" s="38"/>
      <c r="B362" s="49"/>
      <c r="C362" s="38"/>
      <c r="D362" s="38"/>
      <c r="E362" s="38"/>
      <c r="F362" s="38"/>
      <c r="G362" s="38"/>
      <c r="H362" s="38"/>
    </row>
    <row r="363" spans="1:8" x14ac:dyDescent="0.25">
      <c r="A363" s="131"/>
      <c r="B363" s="132"/>
      <c r="C363" s="132"/>
      <c r="D363" s="133"/>
      <c r="E363" s="17"/>
      <c r="F363" s="17"/>
      <c r="G363" s="17"/>
      <c r="H363" s="17"/>
    </row>
    <row r="364" spans="1:8" x14ac:dyDescent="0.25">
      <c r="A364" s="38"/>
      <c r="B364" s="49"/>
      <c r="C364" s="38"/>
      <c r="D364" s="38"/>
      <c r="E364" s="38"/>
      <c r="F364" s="38"/>
      <c r="G364" s="38"/>
      <c r="H364" s="38"/>
    </row>
    <row r="365" spans="1:8" x14ac:dyDescent="0.25">
      <c r="A365" s="38"/>
      <c r="B365" s="49"/>
      <c r="C365" s="38"/>
      <c r="D365" s="38"/>
      <c r="E365" s="38"/>
      <c r="F365" s="38"/>
      <c r="G365" s="38"/>
      <c r="H365" s="38"/>
    </row>
    <row r="366" spans="1:8" x14ac:dyDescent="0.25">
      <c r="A366" s="38"/>
      <c r="B366" s="49"/>
      <c r="C366" s="38"/>
      <c r="D366" s="38"/>
      <c r="E366" s="38"/>
      <c r="F366" s="38"/>
      <c r="G366" s="38"/>
      <c r="H366" s="38"/>
    </row>
    <row r="367" spans="1:8" x14ac:dyDescent="0.25">
      <c r="A367" s="38"/>
      <c r="B367" s="49"/>
      <c r="C367" s="38"/>
      <c r="D367" s="38"/>
      <c r="E367" s="38"/>
      <c r="F367" s="38"/>
      <c r="G367" s="38"/>
      <c r="H367" s="38"/>
    </row>
    <row r="368" spans="1:8" x14ac:dyDescent="0.25">
      <c r="A368" s="38"/>
      <c r="B368" s="49"/>
      <c r="C368" s="38"/>
      <c r="D368" s="38"/>
      <c r="E368" s="38"/>
      <c r="F368" s="38"/>
      <c r="G368" s="38"/>
      <c r="H368" s="38"/>
    </row>
    <row r="369" spans="1:8" x14ac:dyDescent="0.25">
      <c r="A369" s="38"/>
      <c r="B369" s="49"/>
      <c r="C369" s="38"/>
      <c r="D369" s="38"/>
      <c r="E369" s="38"/>
      <c r="F369" s="38"/>
      <c r="G369" s="38"/>
      <c r="H369" s="38"/>
    </row>
    <row r="370" spans="1:8" x14ac:dyDescent="0.25">
      <c r="A370" s="38"/>
      <c r="B370" s="49"/>
      <c r="C370" s="38"/>
      <c r="D370" s="38"/>
      <c r="E370" s="38"/>
      <c r="F370" s="38"/>
      <c r="G370" s="38"/>
      <c r="H370" s="38"/>
    </row>
    <row r="371" spans="1:8" x14ac:dyDescent="0.25">
      <c r="A371" s="38"/>
      <c r="B371" s="49"/>
      <c r="C371" s="38"/>
      <c r="D371" s="38"/>
      <c r="E371" s="38"/>
      <c r="F371" s="38"/>
      <c r="G371" s="38"/>
      <c r="H371" s="38"/>
    </row>
    <row r="372" spans="1:8" x14ac:dyDescent="0.25">
      <c r="A372" s="38"/>
      <c r="B372" s="49"/>
      <c r="C372" s="38"/>
      <c r="D372" s="38"/>
      <c r="E372" s="38"/>
      <c r="F372" s="38"/>
      <c r="G372" s="38"/>
      <c r="H372" s="38"/>
    </row>
    <row r="373" spans="1:8" x14ac:dyDescent="0.25">
      <c r="A373" s="38"/>
      <c r="B373" s="49"/>
      <c r="C373" s="38"/>
      <c r="D373" s="38"/>
      <c r="E373" s="38"/>
      <c r="F373" s="38"/>
      <c r="G373" s="38"/>
      <c r="H373" s="38"/>
    </row>
    <row r="374" spans="1:8" x14ac:dyDescent="0.25">
      <c r="A374" s="38"/>
      <c r="B374" s="49"/>
      <c r="C374" s="38"/>
      <c r="D374" s="38"/>
      <c r="E374" s="38"/>
      <c r="F374" s="38"/>
      <c r="G374" s="38"/>
      <c r="H374" s="38"/>
    </row>
    <row r="375" spans="1:8" x14ac:dyDescent="0.25">
      <c r="A375" s="38"/>
      <c r="B375" s="49"/>
      <c r="C375" s="38"/>
      <c r="D375" s="38"/>
      <c r="E375" s="38"/>
      <c r="F375" s="38"/>
      <c r="G375" s="38"/>
      <c r="H375" s="38"/>
    </row>
    <row r="376" spans="1:8" x14ac:dyDescent="0.25">
      <c r="A376" s="38"/>
      <c r="B376" s="49"/>
      <c r="C376" s="38"/>
      <c r="D376" s="38"/>
      <c r="E376" s="38"/>
      <c r="F376" s="38"/>
      <c r="G376" s="38"/>
      <c r="H376" s="38"/>
    </row>
    <row r="377" spans="1:8" x14ac:dyDescent="0.25">
      <c r="A377" s="131"/>
      <c r="B377" s="132"/>
      <c r="C377" s="132"/>
      <c r="D377" s="133"/>
      <c r="E377" s="17"/>
      <c r="F377" s="17"/>
      <c r="G377" s="17"/>
      <c r="H377" s="17"/>
    </row>
    <row r="378" spans="1:8" x14ac:dyDescent="0.25">
      <c r="A378" s="38"/>
      <c r="B378" s="49"/>
      <c r="C378" s="38"/>
      <c r="D378" s="38"/>
      <c r="E378" s="38"/>
      <c r="F378" s="38"/>
      <c r="G378" s="38"/>
      <c r="H378" s="38"/>
    </row>
    <row r="379" spans="1:8" x14ac:dyDescent="0.25">
      <c r="A379" s="38"/>
      <c r="B379" s="49"/>
      <c r="C379" s="38"/>
      <c r="D379" s="38"/>
      <c r="E379" s="38"/>
      <c r="F379" s="38"/>
      <c r="G379" s="38"/>
      <c r="H379" s="38"/>
    </row>
    <row r="380" spans="1:8" x14ac:dyDescent="0.25">
      <c r="A380" s="38"/>
      <c r="B380" s="49"/>
      <c r="C380" s="38"/>
      <c r="D380" s="38"/>
      <c r="E380" s="38"/>
      <c r="F380" s="38"/>
      <c r="G380" s="38"/>
      <c r="H380" s="38"/>
    </row>
    <row r="381" spans="1:8" x14ac:dyDescent="0.25">
      <c r="A381" s="38"/>
      <c r="B381" s="49"/>
      <c r="C381" s="38"/>
      <c r="D381" s="38"/>
      <c r="E381" s="38"/>
      <c r="F381" s="38"/>
      <c r="G381" s="38"/>
      <c r="H381" s="38"/>
    </row>
    <row r="382" spans="1:8" x14ac:dyDescent="0.25">
      <c r="A382" s="38"/>
      <c r="B382" s="49"/>
      <c r="C382" s="38"/>
      <c r="D382" s="38"/>
      <c r="E382" s="38"/>
      <c r="F382" s="38"/>
      <c r="G382" s="38"/>
      <c r="H382" s="38"/>
    </row>
    <row r="383" spans="1:8" x14ac:dyDescent="0.25">
      <c r="A383" s="38"/>
      <c r="B383" s="49"/>
      <c r="C383" s="38"/>
      <c r="D383" s="38"/>
      <c r="E383" s="38"/>
      <c r="F383" s="38"/>
      <c r="G383" s="38"/>
      <c r="H383" s="38"/>
    </row>
    <row r="384" spans="1:8" x14ac:dyDescent="0.25">
      <c r="A384" s="38"/>
      <c r="B384" s="49"/>
      <c r="C384" s="38"/>
      <c r="D384" s="38"/>
      <c r="E384" s="38"/>
      <c r="F384" s="38"/>
      <c r="G384" s="38"/>
      <c r="H384" s="38"/>
    </row>
    <row r="385" spans="1:8" x14ac:dyDescent="0.25">
      <c r="A385" s="131"/>
      <c r="B385" s="132"/>
      <c r="C385" s="132"/>
      <c r="D385" s="133"/>
      <c r="E385" s="17"/>
      <c r="F385" s="17"/>
      <c r="G385" s="17"/>
      <c r="H385" s="17"/>
    </row>
    <row r="386" spans="1:8" x14ac:dyDescent="0.25">
      <c r="A386" s="38"/>
      <c r="B386" s="49"/>
      <c r="C386" s="38"/>
      <c r="D386" s="38"/>
      <c r="E386" s="38"/>
      <c r="F386" s="38"/>
      <c r="G386" s="38"/>
      <c r="H386" s="38"/>
    </row>
    <row r="387" spans="1:8" x14ac:dyDescent="0.25">
      <c r="A387" s="38"/>
      <c r="B387" s="49"/>
      <c r="C387" s="38"/>
      <c r="D387" s="38"/>
      <c r="E387" s="38"/>
      <c r="F387" s="38"/>
      <c r="G387" s="38"/>
      <c r="H387" s="38"/>
    </row>
    <row r="388" spans="1:8" x14ac:dyDescent="0.25">
      <c r="A388" s="38"/>
      <c r="B388" s="49"/>
      <c r="C388" s="38"/>
      <c r="D388" s="38"/>
      <c r="E388" s="38"/>
      <c r="F388" s="38"/>
      <c r="G388" s="38"/>
      <c r="H388" s="38"/>
    </row>
    <row r="389" spans="1:8" x14ac:dyDescent="0.25">
      <c r="A389" s="38"/>
      <c r="B389" s="49"/>
      <c r="C389" s="38"/>
      <c r="D389" s="38"/>
      <c r="E389" s="38"/>
      <c r="F389" s="38"/>
      <c r="G389" s="38"/>
      <c r="H389" s="38"/>
    </row>
    <row r="390" spans="1:8" x14ac:dyDescent="0.25">
      <c r="A390" s="38"/>
      <c r="B390" s="49"/>
      <c r="C390" s="38"/>
      <c r="D390" s="38"/>
      <c r="E390" s="38"/>
      <c r="F390" s="38"/>
      <c r="G390" s="38"/>
      <c r="H390" s="38"/>
    </row>
    <row r="391" spans="1:8" x14ac:dyDescent="0.25">
      <c r="A391" s="38"/>
      <c r="B391" s="49"/>
      <c r="C391" s="38"/>
      <c r="D391" s="38"/>
      <c r="E391" s="38"/>
      <c r="F391" s="38"/>
      <c r="G391" s="38"/>
      <c r="H391" s="38"/>
    </row>
    <row r="392" spans="1:8" x14ac:dyDescent="0.25">
      <c r="A392" s="38"/>
      <c r="B392" s="49"/>
      <c r="C392" s="38"/>
      <c r="D392" s="38"/>
      <c r="E392" s="38"/>
      <c r="F392" s="38"/>
      <c r="G392" s="38"/>
      <c r="H392" s="38"/>
    </row>
    <row r="393" spans="1:8" x14ac:dyDescent="0.25">
      <c r="A393" s="38"/>
      <c r="B393" s="49"/>
      <c r="C393" s="38"/>
      <c r="D393" s="38"/>
      <c r="E393" s="38"/>
      <c r="F393" s="38"/>
      <c r="G393" s="38"/>
      <c r="H393" s="38"/>
    </row>
    <row r="394" spans="1:8" x14ac:dyDescent="0.25">
      <c r="A394" s="38"/>
      <c r="B394" s="49"/>
      <c r="C394" s="38"/>
      <c r="D394" s="38"/>
      <c r="E394" s="38"/>
      <c r="F394" s="38"/>
      <c r="G394" s="38"/>
      <c r="H394" s="38"/>
    </row>
    <row r="395" spans="1:8" x14ac:dyDescent="0.25">
      <c r="A395" s="38"/>
      <c r="B395" s="49"/>
      <c r="C395" s="38"/>
      <c r="D395" s="38"/>
      <c r="E395" s="38"/>
      <c r="F395" s="38"/>
      <c r="G395" s="38"/>
      <c r="H395" s="38"/>
    </row>
    <row r="396" spans="1:8" x14ac:dyDescent="0.25">
      <c r="A396" s="38"/>
      <c r="B396" s="49"/>
      <c r="C396" s="38"/>
      <c r="D396" s="38"/>
      <c r="E396" s="38"/>
      <c r="F396" s="38"/>
      <c r="G396" s="38"/>
      <c r="H396" s="38"/>
    </row>
    <row r="397" spans="1:8" x14ac:dyDescent="0.25">
      <c r="A397" s="131"/>
      <c r="B397" s="132"/>
      <c r="C397" s="132"/>
      <c r="D397" s="133"/>
      <c r="E397" s="17"/>
      <c r="F397" s="17"/>
      <c r="G397" s="17"/>
      <c r="H397" s="17"/>
    </row>
    <row r="398" spans="1:8" x14ac:dyDescent="0.25">
      <c r="A398" s="38"/>
      <c r="B398" s="49"/>
      <c r="C398" s="38"/>
      <c r="D398" s="38"/>
      <c r="E398" s="38"/>
      <c r="F398" s="38"/>
      <c r="G398" s="38"/>
      <c r="H398" s="38"/>
    </row>
    <row r="399" spans="1:8" x14ac:dyDescent="0.25">
      <c r="A399" s="38"/>
      <c r="B399" s="49"/>
      <c r="C399" s="38"/>
      <c r="D399" s="38"/>
      <c r="E399" s="38"/>
      <c r="F399" s="38"/>
      <c r="G399" s="38"/>
      <c r="H399" s="38"/>
    </row>
    <row r="400" spans="1:8" x14ac:dyDescent="0.25">
      <c r="A400" s="38"/>
      <c r="B400" s="49"/>
      <c r="C400" s="38"/>
      <c r="D400" s="38"/>
      <c r="E400" s="38"/>
      <c r="F400" s="38"/>
      <c r="G400" s="38"/>
      <c r="H400" s="38"/>
    </row>
    <row r="401" spans="1:8" x14ac:dyDescent="0.25">
      <c r="A401" s="38"/>
      <c r="B401" s="49"/>
      <c r="C401" s="38"/>
      <c r="D401" s="38"/>
      <c r="E401" s="38"/>
      <c r="F401" s="38"/>
      <c r="G401" s="38"/>
      <c r="H401" s="38"/>
    </row>
    <row r="402" spans="1:8" x14ac:dyDescent="0.25">
      <c r="A402" s="38"/>
      <c r="B402" s="49"/>
      <c r="C402" s="38"/>
      <c r="D402" s="38"/>
      <c r="E402" s="38"/>
      <c r="F402" s="38"/>
      <c r="G402" s="38"/>
      <c r="H402" s="38"/>
    </row>
    <row r="403" spans="1:8" x14ac:dyDescent="0.25">
      <c r="A403" s="38"/>
      <c r="B403" s="49"/>
      <c r="C403" s="38"/>
      <c r="D403" s="38"/>
      <c r="E403" s="38"/>
      <c r="F403" s="38"/>
      <c r="G403" s="38"/>
      <c r="H403" s="38"/>
    </row>
    <row r="404" spans="1:8" x14ac:dyDescent="0.25">
      <c r="A404" s="38"/>
      <c r="B404" s="49"/>
      <c r="C404" s="38"/>
      <c r="D404" s="38"/>
      <c r="E404" s="38"/>
      <c r="F404" s="38"/>
      <c r="G404" s="38"/>
      <c r="H404" s="38"/>
    </row>
    <row r="405" spans="1:8" x14ac:dyDescent="0.25">
      <c r="A405" s="38"/>
      <c r="B405" s="49"/>
      <c r="C405" s="38"/>
      <c r="D405" s="38"/>
      <c r="E405" s="38"/>
      <c r="F405" s="38"/>
      <c r="G405" s="38"/>
      <c r="H405" s="38"/>
    </row>
    <row r="406" spans="1:8" x14ac:dyDescent="0.25">
      <c r="A406" s="38"/>
      <c r="B406" s="49"/>
      <c r="C406" s="38"/>
      <c r="D406" s="38"/>
      <c r="E406" s="38"/>
      <c r="F406" s="38"/>
      <c r="G406" s="38"/>
      <c r="H406" s="38"/>
    </row>
    <row r="407" spans="1:8" x14ac:dyDescent="0.25">
      <c r="A407" s="38"/>
      <c r="B407" s="49"/>
      <c r="C407" s="38"/>
      <c r="D407" s="38"/>
      <c r="E407" s="38"/>
      <c r="F407" s="38"/>
      <c r="G407" s="38"/>
      <c r="H407" s="38"/>
    </row>
    <row r="408" spans="1:8" x14ac:dyDescent="0.25">
      <c r="A408" s="38"/>
      <c r="B408" s="49"/>
      <c r="C408" s="38"/>
      <c r="D408" s="38"/>
      <c r="E408" s="38"/>
      <c r="F408" s="38"/>
      <c r="G408" s="38"/>
      <c r="H408" s="38"/>
    </row>
    <row r="409" spans="1:8" x14ac:dyDescent="0.25">
      <c r="A409" s="38"/>
      <c r="B409" s="49"/>
      <c r="C409" s="38"/>
      <c r="D409" s="38"/>
      <c r="E409" s="38"/>
      <c r="F409" s="38"/>
      <c r="G409" s="38"/>
      <c r="H409" s="38"/>
    </row>
    <row r="410" spans="1:8" x14ac:dyDescent="0.25">
      <c r="A410" s="38"/>
      <c r="B410" s="49"/>
      <c r="C410" s="38"/>
      <c r="D410" s="38"/>
      <c r="E410" s="38"/>
      <c r="F410" s="38"/>
      <c r="G410" s="38"/>
      <c r="H410" s="38"/>
    </row>
    <row r="411" spans="1:8" x14ac:dyDescent="0.25">
      <c r="A411" s="38"/>
      <c r="B411" s="49"/>
      <c r="C411" s="38"/>
      <c r="D411" s="38"/>
      <c r="E411" s="38"/>
      <c r="F411" s="38"/>
      <c r="G411" s="38"/>
      <c r="H411" s="38"/>
    </row>
    <row r="412" spans="1:8" x14ac:dyDescent="0.25">
      <c r="A412" s="38"/>
      <c r="B412" s="49"/>
      <c r="C412" s="38"/>
      <c r="D412" s="38"/>
      <c r="E412" s="38"/>
      <c r="F412" s="38"/>
      <c r="G412" s="38"/>
      <c r="H412" s="38"/>
    </row>
    <row r="413" spans="1:8" x14ac:dyDescent="0.25">
      <c r="A413" s="38"/>
      <c r="B413" s="49"/>
      <c r="C413" s="38"/>
      <c r="D413" s="38"/>
      <c r="E413" s="38"/>
      <c r="F413" s="38"/>
      <c r="G413" s="38"/>
      <c r="H413" s="38"/>
    </row>
    <row r="414" spans="1:8" x14ac:dyDescent="0.25">
      <c r="A414" s="38"/>
      <c r="B414" s="49"/>
      <c r="C414" s="38"/>
      <c r="D414" s="38"/>
      <c r="E414" s="38"/>
      <c r="F414" s="38"/>
      <c r="G414" s="38"/>
      <c r="H414" s="38"/>
    </row>
    <row r="415" spans="1:8" x14ac:dyDescent="0.25">
      <c r="A415" s="38"/>
      <c r="B415" s="49"/>
      <c r="C415" s="38"/>
      <c r="D415" s="38"/>
      <c r="E415" s="38"/>
      <c r="F415" s="38"/>
      <c r="G415" s="38"/>
      <c r="H415" s="38"/>
    </row>
    <row r="416" spans="1:8" x14ac:dyDescent="0.25">
      <c r="A416" s="38"/>
      <c r="B416" s="49"/>
      <c r="C416" s="38"/>
      <c r="D416" s="38"/>
      <c r="E416" s="38"/>
      <c r="F416" s="38"/>
      <c r="G416" s="38"/>
      <c r="H416" s="38"/>
    </row>
    <row r="417" spans="1:8" x14ac:dyDescent="0.25">
      <c r="A417" s="38"/>
      <c r="B417" s="49"/>
      <c r="C417" s="38"/>
      <c r="D417" s="38"/>
      <c r="E417" s="38"/>
      <c r="F417" s="38"/>
      <c r="G417" s="38"/>
      <c r="H417" s="38"/>
    </row>
    <row r="418" spans="1:8" x14ac:dyDescent="0.25">
      <c r="A418" s="38"/>
      <c r="B418" s="49"/>
      <c r="C418" s="38"/>
      <c r="D418" s="38"/>
      <c r="E418" s="38"/>
      <c r="F418" s="38"/>
      <c r="G418" s="38"/>
      <c r="H418" s="38"/>
    </row>
    <row r="419" spans="1:8" x14ac:dyDescent="0.25">
      <c r="A419" s="38"/>
      <c r="B419" s="49"/>
      <c r="C419" s="38"/>
      <c r="D419" s="38"/>
      <c r="E419" s="38"/>
      <c r="F419" s="38"/>
      <c r="G419" s="38"/>
      <c r="H419" s="38"/>
    </row>
    <row r="420" spans="1:8" x14ac:dyDescent="0.25">
      <c r="A420" s="38"/>
      <c r="B420" s="49"/>
      <c r="C420" s="38"/>
      <c r="D420" s="38"/>
      <c r="E420" s="38"/>
      <c r="F420" s="38"/>
      <c r="G420" s="38"/>
      <c r="H420" s="38"/>
    </row>
    <row r="421" spans="1:8" x14ac:dyDescent="0.25">
      <c r="A421" s="38"/>
      <c r="B421" s="49"/>
      <c r="C421" s="38"/>
      <c r="D421" s="38"/>
      <c r="E421" s="38"/>
      <c r="F421" s="38"/>
      <c r="G421" s="38"/>
      <c r="H421" s="38"/>
    </row>
    <row r="422" spans="1:8" x14ac:dyDescent="0.25">
      <c r="A422" s="38"/>
      <c r="B422" s="49"/>
      <c r="C422" s="38"/>
      <c r="D422" s="38"/>
      <c r="E422" s="38"/>
      <c r="F422" s="38"/>
      <c r="G422" s="38"/>
      <c r="H422" s="38"/>
    </row>
    <row r="423" spans="1:8" x14ac:dyDescent="0.25">
      <c r="A423" s="38"/>
      <c r="B423" s="49"/>
      <c r="C423" s="38"/>
      <c r="D423" s="38"/>
      <c r="E423" s="38"/>
      <c r="F423" s="38"/>
      <c r="G423" s="38"/>
      <c r="H423" s="38"/>
    </row>
    <row r="424" spans="1:8" x14ac:dyDescent="0.25">
      <c r="A424" s="38"/>
      <c r="B424" s="49"/>
      <c r="C424" s="38"/>
      <c r="D424" s="38"/>
      <c r="E424" s="38"/>
      <c r="F424" s="38"/>
      <c r="G424" s="38"/>
      <c r="H424" s="38"/>
    </row>
    <row r="425" spans="1:8" x14ac:dyDescent="0.25">
      <c r="A425" s="38"/>
      <c r="B425" s="49"/>
      <c r="C425" s="38"/>
      <c r="D425" s="38"/>
      <c r="E425" s="38"/>
      <c r="F425" s="38"/>
      <c r="G425" s="38"/>
      <c r="H425" s="38"/>
    </row>
    <row r="426" spans="1:8" x14ac:dyDescent="0.25">
      <c r="A426" s="38"/>
      <c r="B426" s="49"/>
      <c r="C426" s="38"/>
      <c r="D426" s="38"/>
      <c r="E426" s="38"/>
      <c r="F426" s="38"/>
      <c r="G426" s="38"/>
      <c r="H426" s="38"/>
    </row>
    <row r="427" spans="1:8" x14ac:dyDescent="0.25">
      <c r="A427" s="38"/>
      <c r="B427" s="49"/>
      <c r="C427" s="38"/>
      <c r="D427" s="38"/>
      <c r="E427" s="38"/>
      <c r="F427" s="38"/>
      <c r="G427" s="38"/>
      <c r="H427" s="38"/>
    </row>
    <row r="428" spans="1:8" x14ac:dyDescent="0.25">
      <c r="A428" s="38"/>
      <c r="B428" s="49"/>
      <c r="C428" s="38"/>
      <c r="D428" s="38"/>
      <c r="E428" s="38"/>
      <c r="F428" s="38"/>
      <c r="G428" s="38"/>
      <c r="H428" s="38"/>
    </row>
    <row r="429" spans="1:8" x14ac:dyDescent="0.25">
      <c r="A429" s="38"/>
      <c r="B429" s="49"/>
      <c r="C429" s="38"/>
      <c r="D429" s="38"/>
      <c r="E429" s="38"/>
      <c r="F429" s="38"/>
      <c r="G429" s="38"/>
      <c r="H429" s="38"/>
    </row>
    <row r="430" spans="1:8" x14ac:dyDescent="0.25">
      <c r="A430" s="38"/>
      <c r="B430" s="49"/>
      <c r="C430" s="38"/>
      <c r="D430" s="38"/>
      <c r="E430" s="38"/>
      <c r="F430" s="38"/>
      <c r="G430" s="38"/>
      <c r="H430" s="38"/>
    </row>
    <row r="431" spans="1:8" x14ac:dyDescent="0.25">
      <c r="A431" s="38"/>
      <c r="B431" s="49"/>
      <c r="C431" s="38"/>
      <c r="D431" s="38"/>
      <c r="E431" s="38"/>
      <c r="F431" s="38"/>
      <c r="G431" s="38"/>
      <c r="H431" s="38"/>
    </row>
    <row r="432" spans="1:8" x14ac:dyDescent="0.25">
      <c r="A432" s="38"/>
      <c r="B432" s="49"/>
      <c r="C432" s="38"/>
      <c r="D432" s="38"/>
      <c r="E432" s="38"/>
      <c r="F432" s="38"/>
      <c r="G432" s="38"/>
      <c r="H432" s="38"/>
    </row>
    <row r="433" spans="1:8" x14ac:dyDescent="0.25">
      <c r="A433" s="38"/>
      <c r="B433" s="49"/>
      <c r="C433" s="38"/>
      <c r="D433" s="38"/>
      <c r="E433" s="38"/>
      <c r="F433" s="38"/>
      <c r="G433" s="38"/>
      <c r="H433" s="38"/>
    </row>
    <row r="434" spans="1:8" x14ac:dyDescent="0.25">
      <c r="A434" s="38"/>
      <c r="B434" s="49"/>
      <c r="C434" s="38"/>
      <c r="D434" s="38"/>
      <c r="E434" s="38"/>
      <c r="F434" s="38"/>
      <c r="G434" s="38"/>
      <c r="H434" s="38"/>
    </row>
    <row r="435" spans="1:8" x14ac:dyDescent="0.25">
      <c r="A435" s="38"/>
      <c r="B435" s="49"/>
      <c r="C435" s="38"/>
      <c r="D435" s="38"/>
      <c r="E435" s="38"/>
      <c r="F435" s="38"/>
      <c r="G435" s="38"/>
      <c r="H435" s="38"/>
    </row>
    <row r="436" spans="1:8" x14ac:dyDescent="0.25">
      <c r="A436" s="38"/>
      <c r="B436" s="49"/>
      <c r="C436" s="38"/>
      <c r="D436" s="38"/>
      <c r="E436" s="38"/>
      <c r="F436" s="38"/>
      <c r="G436" s="38"/>
      <c r="H436" s="38"/>
    </row>
    <row r="437" spans="1:8" x14ac:dyDescent="0.25">
      <c r="A437" s="38"/>
      <c r="B437" s="49"/>
      <c r="C437" s="38"/>
      <c r="D437" s="38"/>
      <c r="E437" s="38"/>
      <c r="F437" s="38"/>
      <c r="G437" s="38"/>
      <c r="H437" s="38"/>
    </row>
    <row r="438" spans="1:8" x14ac:dyDescent="0.25">
      <c r="A438" s="38"/>
      <c r="B438" s="49"/>
      <c r="C438" s="38"/>
      <c r="D438" s="38"/>
      <c r="E438" s="38"/>
      <c r="F438" s="38"/>
      <c r="G438" s="38"/>
      <c r="H438" s="38"/>
    </row>
    <row r="439" spans="1:8" x14ac:dyDescent="0.25">
      <c r="A439" s="38"/>
      <c r="B439" s="49"/>
      <c r="C439" s="38"/>
      <c r="D439" s="38"/>
      <c r="E439" s="38"/>
      <c r="F439" s="38"/>
      <c r="G439" s="38"/>
      <c r="H439" s="38"/>
    </row>
    <row r="440" spans="1:8" x14ac:dyDescent="0.25">
      <c r="A440" s="38"/>
      <c r="B440" s="49"/>
      <c r="C440" s="38"/>
      <c r="D440" s="38"/>
      <c r="E440" s="38"/>
      <c r="F440" s="38"/>
      <c r="G440" s="38"/>
      <c r="H440" s="38"/>
    </row>
    <row r="441" spans="1:8" x14ac:dyDescent="0.25">
      <c r="A441" s="38"/>
      <c r="B441" s="49"/>
      <c r="C441" s="38"/>
      <c r="D441" s="38"/>
      <c r="E441" s="38"/>
      <c r="F441" s="38"/>
      <c r="G441" s="38"/>
      <c r="H441" s="38"/>
    </row>
    <row r="442" spans="1:8" x14ac:dyDescent="0.25">
      <c r="A442" s="38"/>
      <c r="B442" s="49"/>
      <c r="C442" s="38"/>
      <c r="D442" s="38"/>
      <c r="E442" s="38"/>
      <c r="F442" s="38"/>
      <c r="G442" s="38"/>
      <c r="H442" s="38"/>
    </row>
    <row r="443" spans="1:8" x14ac:dyDescent="0.25">
      <c r="A443" s="38"/>
      <c r="B443" s="49"/>
      <c r="C443" s="38"/>
      <c r="D443" s="38"/>
      <c r="E443" s="38"/>
      <c r="F443" s="38"/>
      <c r="G443" s="38"/>
      <c r="H443" s="38"/>
    </row>
    <row r="444" spans="1:8" x14ac:dyDescent="0.25">
      <c r="A444" s="38"/>
      <c r="B444" s="49"/>
      <c r="C444" s="38"/>
      <c r="D444" s="38"/>
      <c r="E444" s="38"/>
      <c r="F444" s="38"/>
      <c r="G444" s="38"/>
      <c r="H444" s="38"/>
    </row>
    <row r="445" spans="1:8" x14ac:dyDescent="0.25">
      <c r="A445" s="38"/>
      <c r="B445" s="49"/>
      <c r="C445" s="38"/>
      <c r="D445" s="38"/>
      <c r="E445" s="38"/>
      <c r="F445" s="38"/>
      <c r="G445" s="38"/>
      <c r="H445" s="38"/>
    </row>
    <row r="446" spans="1:8" x14ac:dyDescent="0.25">
      <c r="A446" s="38"/>
      <c r="B446" s="49"/>
      <c r="C446" s="38"/>
      <c r="D446" s="38"/>
      <c r="E446" s="38"/>
      <c r="F446" s="38"/>
      <c r="G446" s="38"/>
      <c r="H446" s="38"/>
    </row>
    <row r="447" spans="1:8" x14ac:dyDescent="0.25">
      <c r="A447" s="38"/>
      <c r="B447" s="49"/>
      <c r="C447" s="38"/>
      <c r="D447" s="38"/>
      <c r="E447" s="38"/>
      <c r="F447" s="38"/>
      <c r="G447" s="38"/>
      <c r="H447" s="38"/>
    </row>
    <row r="448" spans="1:8" x14ac:dyDescent="0.25">
      <c r="A448" s="38"/>
      <c r="B448" s="49"/>
      <c r="C448" s="38"/>
      <c r="D448" s="38"/>
      <c r="E448" s="38"/>
      <c r="F448" s="38"/>
      <c r="G448" s="38"/>
      <c r="H448" s="38"/>
    </row>
    <row r="449" spans="1:8" x14ac:dyDescent="0.25">
      <c r="A449" s="38"/>
      <c r="B449" s="49"/>
      <c r="C449" s="38"/>
      <c r="D449" s="38"/>
      <c r="E449" s="38"/>
      <c r="F449" s="38"/>
      <c r="G449" s="38"/>
      <c r="H449" s="38"/>
    </row>
    <row r="450" spans="1:8" x14ac:dyDescent="0.25">
      <c r="A450" s="38"/>
      <c r="B450" s="49"/>
      <c r="C450" s="38"/>
      <c r="D450" s="38"/>
      <c r="E450" s="38"/>
      <c r="F450" s="38"/>
      <c r="G450" s="38"/>
      <c r="H450" s="38"/>
    </row>
    <row r="451" spans="1:8" x14ac:dyDescent="0.25">
      <c r="A451" s="38"/>
      <c r="B451" s="49"/>
      <c r="C451" s="38"/>
      <c r="D451" s="38"/>
      <c r="E451" s="38"/>
      <c r="F451" s="38"/>
      <c r="G451" s="38"/>
      <c r="H451" s="38"/>
    </row>
    <row r="452" spans="1:8" x14ac:dyDescent="0.25">
      <c r="A452" s="38"/>
      <c r="B452" s="49"/>
      <c r="C452" s="38"/>
      <c r="D452" s="38"/>
      <c r="E452" s="38"/>
      <c r="F452" s="38"/>
      <c r="G452" s="38"/>
      <c r="H452" s="38"/>
    </row>
    <row r="453" spans="1:8" x14ac:dyDescent="0.25">
      <c r="A453" s="38"/>
      <c r="B453" s="49"/>
      <c r="C453" s="38"/>
      <c r="D453" s="38"/>
      <c r="E453" s="38"/>
      <c r="F453" s="38"/>
      <c r="G453" s="38"/>
      <c r="H453" s="38"/>
    </row>
    <row r="454" spans="1:8" x14ac:dyDescent="0.25">
      <c r="A454" s="38"/>
      <c r="B454" s="49"/>
      <c r="C454" s="38"/>
      <c r="D454" s="38"/>
      <c r="E454" s="38"/>
      <c r="F454" s="38"/>
      <c r="G454" s="38"/>
      <c r="H454" s="38"/>
    </row>
    <row r="455" spans="1:8" x14ac:dyDescent="0.25">
      <c r="A455" s="38"/>
      <c r="B455" s="49"/>
      <c r="C455" s="38"/>
      <c r="D455" s="38"/>
      <c r="E455" s="38"/>
      <c r="F455" s="38"/>
      <c r="G455" s="38"/>
      <c r="H455" s="38"/>
    </row>
    <row r="456" spans="1:8" x14ac:dyDescent="0.25">
      <c r="A456" s="38"/>
      <c r="B456" s="49"/>
      <c r="C456" s="38"/>
      <c r="D456" s="38"/>
      <c r="E456" s="38"/>
      <c r="F456" s="38"/>
      <c r="G456" s="38"/>
      <c r="H456" s="38"/>
    </row>
    <row r="457" spans="1:8" x14ac:dyDescent="0.25">
      <c r="A457" s="38"/>
      <c r="B457" s="49"/>
      <c r="C457" s="38"/>
      <c r="D457" s="38"/>
      <c r="E457" s="38"/>
      <c r="F457" s="38"/>
      <c r="G457" s="38"/>
      <c r="H457" s="38"/>
    </row>
    <row r="458" spans="1:8" x14ac:dyDescent="0.25">
      <c r="A458" s="38"/>
      <c r="B458" s="49"/>
      <c r="C458" s="38"/>
      <c r="D458" s="38"/>
      <c r="E458" s="38"/>
      <c r="F458" s="38"/>
      <c r="G458" s="38"/>
      <c r="H458" s="38"/>
    </row>
    <row r="459" spans="1:8" x14ac:dyDescent="0.25">
      <c r="A459" s="38"/>
      <c r="B459" s="49"/>
      <c r="C459" s="38"/>
      <c r="D459" s="38"/>
      <c r="E459" s="38"/>
      <c r="F459" s="38"/>
      <c r="G459" s="38"/>
      <c r="H459" s="38"/>
    </row>
    <row r="460" spans="1:8" x14ac:dyDescent="0.25">
      <c r="A460" s="38"/>
      <c r="B460" s="49"/>
      <c r="C460" s="38"/>
      <c r="D460" s="38"/>
      <c r="E460" s="38"/>
      <c r="F460" s="38"/>
      <c r="G460" s="38"/>
      <c r="H460" s="38"/>
    </row>
    <row r="461" spans="1:8" x14ac:dyDescent="0.25">
      <c r="A461" s="38"/>
      <c r="B461" s="49"/>
      <c r="C461" s="38"/>
      <c r="D461" s="38"/>
      <c r="E461" s="38"/>
      <c r="F461" s="38"/>
      <c r="G461" s="38"/>
      <c r="H461" s="38"/>
    </row>
    <row r="462" spans="1:8" x14ac:dyDescent="0.25">
      <c r="A462" s="38"/>
      <c r="B462" s="49"/>
      <c r="C462" s="38"/>
      <c r="D462" s="38"/>
      <c r="E462" s="38"/>
      <c r="F462" s="38"/>
      <c r="G462" s="38"/>
      <c r="H462" s="38"/>
    </row>
    <row r="463" spans="1:8" x14ac:dyDescent="0.25">
      <c r="A463" s="38"/>
      <c r="B463" s="49"/>
      <c r="C463" s="38"/>
      <c r="D463" s="38"/>
      <c r="E463" s="38"/>
      <c r="F463" s="38"/>
      <c r="G463" s="38"/>
      <c r="H463" s="38"/>
    </row>
    <row r="464" spans="1:8" x14ac:dyDescent="0.25">
      <c r="A464" s="38"/>
      <c r="B464" s="49"/>
      <c r="C464" s="38"/>
      <c r="D464" s="38"/>
      <c r="E464" s="38"/>
      <c r="F464" s="38"/>
      <c r="G464" s="38"/>
      <c r="H464" s="38"/>
    </row>
    <row r="465" spans="1:8" x14ac:dyDescent="0.25">
      <c r="A465" s="38"/>
      <c r="B465" s="49"/>
      <c r="C465" s="38"/>
      <c r="D465" s="38"/>
      <c r="E465" s="38"/>
      <c r="F465" s="38"/>
      <c r="G465" s="38"/>
      <c r="H465" s="38"/>
    </row>
    <row r="466" spans="1:8" x14ac:dyDescent="0.25">
      <c r="A466" s="38"/>
      <c r="B466" s="49"/>
      <c r="C466" s="38"/>
      <c r="D466" s="38"/>
      <c r="E466" s="38"/>
      <c r="F466" s="38"/>
      <c r="G466" s="38"/>
      <c r="H466" s="38"/>
    </row>
    <row r="467" spans="1:8" x14ac:dyDescent="0.25">
      <c r="A467" s="38"/>
      <c r="B467" s="49"/>
      <c r="C467" s="38"/>
      <c r="D467" s="38"/>
      <c r="E467" s="38"/>
      <c r="F467" s="38"/>
      <c r="G467" s="38"/>
      <c r="H467" s="38"/>
    </row>
    <row r="468" spans="1:8" x14ac:dyDescent="0.25">
      <c r="A468" s="38"/>
      <c r="B468" s="49"/>
      <c r="C468" s="38"/>
      <c r="D468" s="38"/>
      <c r="E468" s="38"/>
      <c r="F468" s="38"/>
      <c r="G468" s="38"/>
      <c r="H468" s="38"/>
    </row>
    <row r="469" spans="1:8" x14ac:dyDescent="0.25">
      <c r="A469" s="38"/>
      <c r="B469" s="49"/>
      <c r="C469" s="38"/>
      <c r="D469" s="38"/>
      <c r="E469" s="38"/>
      <c r="F469" s="38"/>
      <c r="G469" s="38"/>
      <c r="H469" s="38"/>
    </row>
    <row r="470" spans="1:8" x14ac:dyDescent="0.25">
      <c r="A470" s="38"/>
      <c r="B470" s="49"/>
      <c r="C470" s="38"/>
      <c r="D470" s="38"/>
      <c r="E470" s="38"/>
      <c r="F470" s="38"/>
      <c r="G470" s="38"/>
      <c r="H470" s="38"/>
    </row>
    <row r="471" spans="1:8" x14ac:dyDescent="0.25">
      <c r="A471" s="38"/>
      <c r="B471" s="49"/>
      <c r="C471" s="38"/>
      <c r="D471" s="38"/>
      <c r="E471" s="38"/>
      <c r="F471" s="38"/>
      <c r="G471" s="38"/>
      <c r="H471" s="38"/>
    </row>
    <row r="472" spans="1:8" x14ac:dyDescent="0.25">
      <c r="A472" s="38"/>
      <c r="B472" s="49"/>
      <c r="C472" s="38"/>
      <c r="D472" s="38"/>
      <c r="E472" s="38"/>
      <c r="F472" s="38"/>
      <c r="G472" s="38"/>
      <c r="H472" s="38"/>
    </row>
    <row r="473" spans="1:8" x14ac:dyDescent="0.25">
      <c r="A473" s="38"/>
      <c r="B473" s="49"/>
      <c r="C473" s="38"/>
      <c r="D473" s="38"/>
      <c r="E473" s="38"/>
      <c r="F473" s="38"/>
      <c r="G473" s="38"/>
      <c r="H473" s="38"/>
    </row>
    <row r="474" spans="1:8" x14ac:dyDescent="0.25">
      <c r="A474" s="38"/>
      <c r="B474" s="49"/>
      <c r="C474" s="38"/>
      <c r="D474" s="38"/>
      <c r="E474" s="38"/>
      <c r="F474" s="38"/>
      <c r="G474" s="38"/>
      <c r="H474" s="38"/>
    </row>
    <row r="475" spans="1:8" x14ac:dyDescent="0.25">
      <c r="A475" s="38"/>
      <c r="B475" s="49"/>
      <c r="C475" s="38"/>
      <c r="D475" s="38"/>
      <c r="E475" s="38"/>
      <c r="F475" s="38"/>
      <c r="G475" s="38"/>
      <c r="H475" s="38"/>
    </row>
    <row r="476" spans="1:8" x14ac:dyDescent="0.25">
      <c r="A476" s="38"/>
      <c r="B476" s="49"/>
      <c r="C476" s="38"/>
      <c r="D476" s="38"/>
      <c r="E476" s="38"/>
      <c r="F476" s="38"/>
      <c r="G476" s="38"/>
      <c r="H476" s="38"/>
    </row>
    <row r="477" spans="1:8" x14ac:dyDescent="0.25">
      <c r="A477" s="38"/>
      <c r="B477" s="49"/>
      <c r="C477" s="38"/>
      <c r="D477" s="38"/>
      <c r="E477" s="38"/>
      <c r="F477" s="38"/>
      <c r="G477" s="38"/>
      <c r="H477" s="38"/>
    </row>
    <row r="478" spans="1:8" x14ac:dyDescent="0.25">
      <c r="A478" s="38"/>
      <c r="B478" s="49"/>
      <c r="C478" s="38"/>
      <c r="D478" s="38"/>
      <c r="E478" s="38"/>
      <c r="F478" s="38"/>
      <c r="G478" s="38"/>
      <c r="H478" s="38"/>
    </row>
    <row r="479" spans="1:8" x14ac:dyDescent="0.25">
      <c r="A479" s="38"/>
      <c r="B479" s="49"/>
      <c r="C479" s="38"/>
      <c r="D479" s="38"/>
      <c r="E479" s="38"/>
      <c r="F479" s="38"/>
      <c r="G479" s="38"/>
      <c r="H479" s="38"/>
    </row>
    <row r="480" spans="1:8" x14ac:dyDescent="0.25">
      <c r="A480" s="38"/>
      <c r="B480" s="49"/>
      <c r="C480" s="38"/>
      <c r="D480" s="38"/>
      <c r="E480" s="38"/>
      <c r="F480" s="38"/>
      <c r="G480" s="38"/>
      <c r="H480" s="38"/>
    </row>
    <row r="481" spans="1:8" x14ac:dyDescent="0.25">
      <c r="A481" s="38"/>
      <c r="B481" s="49"/>
      <c r="C481" s="38"/>
      <c r="D481" s="38"/>
      <c r="E481" s="38"/>
      <c r="F481" s="38"/>
      <c r="G481" s="38"/>
      <c r="H481" s="38"/>
    </row>
    <row r="482" spans="1:8" x14ac:dyDescent="0.25">
      <c r="A482" s="38"/>
      <c r="B482" s="49"/>
      <c r="C482" s="38"/>
      <c r="D482" s="38"/>
      <c r="E482" s="38"/>
      <c r="F482" s="38"/>
      <c r="G482" s="38"/>
      <c r="H482" s="38"/>
    </row>
    <row r="483" spans="1:8" x14ac:dyDescent="0.25">
      <c r="A483" s="38"/>
      <c r="B483" s="49"/>
      <c r="C483" s="38"/>
      <c r="D483" s="38"/>
      <c r="E483" s="38"/>
      <c r="F483" s="38"/>
      <c r="G483" s="38"/>
      <c r="H483" s="38"/>
    </row>
    <row r="484" spans="1:8" x14ac:dyDescent="0.25">
      <c r="A484" s="38"/>
      <c r="B484" s="49"/>
      <c r="C484" s="38"/>
      <c r="D484" s="38"/>
      <c r="E484" s="38"/>
      <c r="F484" s="38"/>
      <c r="G484" s="38"/>
      <c r="H484" s="38"/>
    </row>
    <row r="485" spans="1:8" x14ac:dyDescent="0.25">
      <c r="A485" s="38"/>
      <c r="B485" s="49"/>
      <c r="C485" s="38"/>
      <c r="D485" s="38"/>
      <c r="E485" s="38"/>
      <c r="F485" s="38"/>
      <c r="G485" s="38"/>
      <c r="H485" s="38"/>
    </row>
    <row r="486" spans="1:8" x14ac:dyDescent="0.25">
      <c r="A486" s="38"/>
      <c r="B486" s="49"/>
      <c r="C486" s="38"/>
      <c r="D486" s="38"/>
      <c r="E486" s="38"/>
      <c r="F486" s="38"/>
      <c r="G486" s="38"/>
      <c r="H486" s="38"/>
    </row>
    <row r="487" spans="1:8" x14ac:dyDescent="0.25">
      <c r="A487" s="38"/>
      <c r="B487" s="49"/>
      <c r="C487" s="38"/>
      <c r="D487" s="38"/>
      <c r="E487" s="38"/>
      <c r="F487" s="38"/>
      <c r="G487" s="38"/>
      <c r="H487" s="38"/>
    </row>
    <row r="488" spans="1:8" x14ac:dyDescent="0.25">
      <c r="A488" s="38"/>
      <c r="B488" s="49"/>
      <c r="C488" s="38"/>
      <c r="D488" s="38"/>
      <c r="E488" s="38"/>
      <c r="F488" s="38"/>
      <c r="G488" s="38"/>
      <c r="H488" s="38"/>
    </row>
    <row r="489" spans="1:8" x14ac:dyDescent="0.25">
      <c r="A489" s="38"/>
      <c r="B489" s="49"/>
      <c r="C489" s="38"/>
      <c r="D489" s="38"/>
      <c r="E489" s="38"/>
      <c r="F489" s="38"/>
      <c r="G489" s="38"/>
      <c r="H489" s="38"/>
    </row>
    <row r="490" spans="1:8" x14ac:dyDescent="0.25">
      <c r="A490" s="38"/>
      <c r="B490" s="49"/>
      <c r="C490" s="38"/>
      <c r="D490" s="38"/>
      <c r="E490" s="38"/>
      <c r="F490" s="38"/>
      <c r="G490" s="38"/>
      <c r="H490" s="38"/>
    </row>
    <row r="491" spans="1:8" x14ac:dyDescent="0.25">
      <c r="A491" s="38"/>
      <c r="B491" s="49"/>
      <c r="C491" s="38"/>
      <c r="D491" s="38"/>
      <c r="E491" s="38"/>
      <c r="F491" s="38"/>
      <c r="G491" s="38"/>
      <c r="H491" s="38"/>
    </row>
    <row r="492" spans="1:8" x14ac:dyDescent="0.25">
      <c r="A492" s="38"/>
      <c r="B492" s="49"/>
      <c r="C492" s="38"/>
      <c r="D492" s="38"/>
      <c r="E492" s="38"/>
      <c r="F492" s="38"/>
      <c r="G492" s="38"/>
      <c r="H492" s="38"/>
    </row>
    <row r="493" spans="1:8" x14ac:dyDescent="0.25">
      <c r="A493" s="38"/>
      <c r="B493" s="49"/>
      <c r="C493" s="38"/>
      <c r="D493" s="38"/>
      <c r="E493" s="38"/>
      <c r="F493" s="38"/>
      <c r="G493" s="38"/>
      <c r="H493" s="38"/>
    </row>
    <row r="494" spans="1:8" x14ac:dyDescent="0.25">
      <c r="A494" s="38"/>
      <c r="B494" s="49"/>
      <c r="C494" s="38"/>
      <c r="D494" s="38"/>
      <c r="E494" s="38"/>
      <c r="F494" s="38"/>
      <c r="G494" s="38"/>
      <c r="H494" s="38"/>
    </row>
    <row r="495" spans="1:8" x14ac:dyDescent="0.25">
      <c r="A495" s="38"/>
      <c r="B495" s="49"/>
      <c r="C495" s="38"/>
      <c r="D495" s="38"/>
      <c r="E495" s="38"/>
      <c r="F495" s="38"/>
      <c r="G495" s="38"/>
      <c r="H495" s="38"/>
    </row>
    <row r="496" spans="1:8" x14ac:dyDescent="0.25">
      <c r="A496" s="38"/>
      <c r="B496" s="49"/>
      <c r="C496" s="38"/>
      <c r="D496" s="38"/>
      <c r="E496" s="38"/>
      <c r="F496" s="38"/>
      <c r="G496" s="38"/>
      <c r="H496" s="38"/>
    </row>
    <row r="497" spans="1:8" x14ac:dyDescent="0.25">
      <c r="A497" s="38"/>
      <c r="B497" s="49"/>
      <c r="C497" s="38"/>
      <c r="D497" s="38"/>
      <c r="E497" s="38"/>
      <c r="F497" s="38"/>
      <c r="G497" s="38"/>
      <c r="H497" s="38"/>
    </row>
    <row r="498" spans="1:8" x14ac:dyDescent="0.25">
      <c r="A498" s="38"/>
      <c r="B498" s="49"/>
      <c r="C498" s="38"/>
      <c r="D498" s="38"/>
      <c r="E498" s="38"/>
      <c r="F498" s="38"/>
      <c r="G498" s="38"/>
      <c r="H498" s="38"/>
    </row>
    <row r="499" spans="1:8" x14ac:dyDescent="0.25">
      <c r="A499" s="38"/>
      <c r="B499" s="49"/>
      <c r="C499" s="38"/>
      <c r="D499" s="38"/>
      <c r="E499" s="38"/>
      <c r="F499" s="38"/>
      <c r="G499" s="38"/>
      <c r="H499" s="38"/>
    </row>
    <row r="500" spans="1:8" x14ac:dyDescent="0.25">
      <c r="A500" s="38"/>
      <c r="B500" s="49"/>
      <c r="C500" s="38"/>
      <c r="D500" s="38"/>
      <c r="E500" s="38"/>
      <c r="F500" s="38"/>
      <c r="G500" s="38"/>
      <c r="H500" s="38"/>
    </row>
    <row r="501" spans="1:8" x14ac:dyDescent="0.25">
      <c r="A501" s="38"/>
      <c r="B501" s="49"/>
      <c r="C501" s="38"/>
      <c r="D501" s="38"/>
      <c r="E501" s="38"/>
      <c r="F501" s="38"/>
      <c r="G501" s="38"/>
      <c r="H501" s="38"/>
    </row>
    <row r="502" spans="1:8" x14ac:dyDescent="0.25">
      <c r="A502" s="38"/>
      <c r="B502" s="49"/>
      <c r="C502" s="38"/>
      <c r="D502" s="38"/>
      <c r="E502" s="38"/>
      <c r="F502" s="38"/>
      <c r="G502" s="38"/>
      <c r="H502" s="38"/>
    </row>
    <row r="503" spans="1:8" x14ac:dyDescent="0.25">
      <c r="A503" s="38"/>
      <c r="B503" s="49"/>
      <c r="C503" s="38"/>
      <c r="D503" s="38"/>
      <c r="E503" s="38"/>
      <c r="F503" s="38"/>
      <c r="G503" s="38"/>
      <c r="H503" s="38"/>
    </row>
    <row r="504" spans="1:8" x14ac:dyDescent="0.25">
      <c r="A504" s="38"/>
      <c r="B504" s="49"/>
      <c r="C504" s="38"/>
      <c r="D504" s="38"/>
      <c r="E504" s="38"/>
      <c r="F504" s="38"/>
      <c r="G504" s="38"/>
      <c r="H504" s="38"/>
    </row>
    <row r="505" spans="1:8" x14ac:dyDescent="0.25">
      <c r="A505" s="38"/>
      <c r="B505" s="49"/>
      <c r="C505" s="38"/>
      <c r="D505" s="38"/>
      <c r="E505" s="38"/>
      <c r="F505" s="38"/>
      <c r="G505" s="38"/>
      <c r="H505" s="38"/>
    </row>
    <row r="506" spans="1:8" x14ac:dyDescent="0.25">
      <c r="A506" s="38"/>
      <c r="B506" s="49"/>
      <c r="C506" s="38"/>
      <c r="D506" s="38"/>
      <c r="E506" s="38"/>
      <c r="F506" s="38"/>
      <c r="G506" s="38"/>
      <c r="H506" s="38"/>
    </row>
    <row r="507" spans="1:8" x14ac:dyDescent="0.25">
      <c r="A507" s="38"/>
      <c r="B507" s="49"/>
      <c r="C507" s="38"/>
      <c r="D507" s="38"/>
      <c r="E507" s="38"/>
      <c r="F507" s="38"/>
      <c r="G507" s="38"/>
      <c r="H507" s="38"/>
    </row>
    <row r="508" spans="1:8" x14ac:dyDescent="0.25">
      <c r="A508" s="38"/>
      <c r="B508" s="49"/>
      <c r="C508" s="38"/>
      <c r="D508" s="38"/>
      <c r="E508" s="38"/>
      <c r="F508" s="38"/>
      <c r="G508" s="38"/>
      <c r="H508" s="38"/>
    </row>
    <row r="509" spans="1:8" x14ac:dyDescent="0.25">
      <c r="A509" s="38"/>
      <c r="B509" s="49"/>
      <c r="C509" s="38"/>
      <c r="D509" s="38"/>
      <c r="E509" s="38"/>
      <c r="F509" s="38"/>
      <c r="G509" s="38"/>
      <c r="H509" s="38"/>
    </row>
    <row r="510" spans="1:8" x14ac:dyDescent="0.25">
      <c r="A510" s="38"/>
      <c r="B510" s="49"/>
      <c r="C510" s="38"/>
      <c r="D510" s="38"/>
      <c r="E510" s="38"/>
      <c r="F510" s="38"/>
      <c r="G510" s="38"/>
      <c r="H510" s="38"/>
    </row>
    <row r="511" spans="1:8" x14ac:dyDescent="0.25">
      <c r="A511" s="38"/>
      <c r="B511" s="49"/>
      <c r="C511" s="38"/>
      <c r="D511" s="38"/>
      <c r="E511" s="38"/>
      <c r="F511" s="38"/>
      <c r="G511" s="38"/>
      <c r="H511" s="38"/>
    </row>
    <row r="512" spans="1:8" x14ac:dyDescent="0.25">
      <c r="A512" s="38"/>
      <c r="B512" s="49"/>
      <c r="C512" s="38"/>
      <c r="D512" s="38"/>
      <c r="E512" s="38"/>
      <c r="F512" s="38"/>
      <c r="G512" s="38"/>
      <c r="H512" s="38"/>
    </row>
    <row r="513" spans="1:8" x14ac:dyDescent="0.25">
      <c r="A513" s="38"/>
      <c r="B513" s="49"/>
      <c r="C513" s="38"/>
      <c r="D513" s="38"/>
      <c r="E513" s="38"/>
      <c r="F513" s="38"/>
      <c r="G513" s="38"/>
      <c r="H513" s="38"/>
    </row>
    <row r="514" spans="1:8" x14ac:dyDescent="0.25">
      <c r="A514" s="38"/>
      <c r="B514" s="49"/>
      <c r="C514" s="38"/>
      <c r="D514" s="38"/>
      <c r="E514" s="38"/>
      <c r="F514" s="38"/>
      <c r="G514" s="38"/>
      <c r="H514" s="38"/>
    </row>
    <row r="515" spans="1:8" x14ac:dyDescent="0.25">
      <c r="A515" s="38"/>
      <c r="B515" s="49"/>
      <c r="C515" s="38"/>
      <c r="D515" s="38"/>
      <c r="E515" s="38"/>
      <c r="F515" s="38"/>
      <c r="G515" s="38"/>
      <c r="H515" s="38"/>
    </row>
    <row r="516" spans="1:8" x14ac:dyDescent="0.25">
      <c r="A516" s="38"/>
      <c r="B516" s="49"/>
      <c r="C516" s="38"/>
      <c r="D516" s="38"/>
      <c r="E516" s="38"/>
      <c r="F516" s="38"/>
      <c r="G516" s="38"/>
      <c r="H516" s="38"/>
    </row>
    <row r="517" spans="1:8" x14ac:dyDescent="0.25">
      <c r="A517" s="38"/>
      <c r="B517" s="49"/>
      <c r="C517" s="38"/>
      <c r="D517" s="38"/>
      <c r="E517" s="38"/>
      <c r="F517" s="38"/>
      <c r="G517" s="38"/>
      <c r="H517" s="38"/>
    </row>
    <row r="518" spans="1:8" x14ac:dyDescent="0.25">
      <c r="A518" s="38"/>
      <c r="B518" s="49"/>
      <c r="C518" s="38"/>
      <c r="D518" s="38"/>
      <c r="E518" s="38"/>
      <c r="F518" s="38"/>
      <c r="G518" s="38"/>
      <c r="H518" s="38"/>
    </row>
    <row r="519" spans="1:8" x14ac:dyDescent="0.25">
      <c r="A519" s="38"/>
      <c r="B519" s="49"/>
      <c r="C519" s="38"/>
      <c r="D519" s="38"/>
      <c r="E519" s="38"/>
      <c r="F519" s="38"/>
      <c r="G519" s="38"/>
      <c r="H519" s="38"/>
    </row>
    <row r="520" spans="1:8" x14ac:dyDescent="0.25">
      <c r="A520" s="38"/>
      <c r="B520" s="49"/>
      <c r="C520" s="38"/>
      <c r="D520" s="38"/>
      <c r="E520" s="38"/>
      <c r="F520" s="38"/>
      <c r="G520" s="38"/>
      <c r="H520" s="38"/>
    </row>
    <row r="521" spans="1:8" x14ac:dyDescent="0.25">
      <c r="A521" s="38"/>
      <c r="B521" s="49"/>
      <c r="C521" s="38"/>
      <c r="D521" s="38"/>
      <c r="E521" s="38"/>
      <c r="F521" s="38"/>
      <c r="G521" s="38"/>
      <c r="H521" s="38"/>
    </row>
    <row r="522" spans="1:8" x14ac:dyDescent="0.25">
      <c r="A522" s="38"/>
      <c r="B522" s="49"/>
      <c r="C522" s="38"/>
      <c r="D522" s="38"/>
      <c r="E522" s="38"/>
      <c r="F522" s="38"/>
      <c r="G522" s="38"/>
      <c r="H522" s="38"/>
    </row>
    <row r="523" spans="1:8" x14ac:dyDescent="0.25">
      <c r="A523" s="38"/>
      <c r="B523" s="49"/>
      <c r="C523" s="38"/>
      <c r="D523" s="38"/>
      <c r="E523" s="38"/>
      <c r="F523" s="38"/>
      <c r="G523" s="38"/>
      <c r="H523" s="38"/>
    </row>
    <row r="524" spans="1:8" x14ac:dyDescent="0.25">
      <c r="A524" s="38"/>
      <c r="B524" s="49"/>
      <c r="C524" s="38"/>
      <c r="D524" s="38"/>
      <c r="E524" s="38"/>
      <c r="F524" s="38"/>
      <c r="G524" s="38"/>
      <c r="H524" s="38"/>
    </row>
    <row r="525" spans="1:8" x14ac:dyDescent="0.25">
      <c r="A525" s="38"/>
      <c r="B525" s="49"/>
      <c r="C525" s="38"/>
      <c r="D525" s="38"/>
      <c r="E525" s="38"/>
      <c r="F525" s="38"/>
      <c r="G525" s="38"/>
      <c r="H525" s="38"/>
    </row>
    <row r="526" spans="1:8" x14ac:dyDescent="0.25">
      <c r="A526" s="38"/>
      <c r="B526" s="49"/>
      <c r="C526" s="38"/>
      <c r="D526" s="38"/>
      <c r="E526" s="38"/>
      <c r="F526" s="38"/>
      <c r="G526" s="38"/>
      <c r="H526" s="38"/>
    </row>
    <row r="527" spans="1:8" x14ac:dyDescent="0.25">
      <c r="A527" s="38"/>
      <c r="B527" s="49"/>
      <c r="C527" s="38"/>
      <c r="D527" s="38"/>
      <c r="E527" s="38"/>
      <c r="F527" s="38"/>
      <c r="G527" s="38"/>
      <c r="H527" s="38"/>
    </row>
    <row r="528" spans="1:8" x14ac:dyDescent="0.25">
      <c r="A528" s="38"/>
      <c r="B528" s="49"/>
      <c r="C528" s="38"/>
      <c r="D528" s="38"/>
      <c r="E528" s="38"/>
      <c r="F528" s="38"/>
      <c r="G528" s="38"/>
      <c r="H528" s="38"/>
    </row>
    <row r="529" spans="1:8" x14ac:dyDescent="0.25">
      <c r="A529" s="38"/>
      <c r="B529" s="49"/>
      <c r="C529" s="38"/>
      <c r="D529" s="38"/>
      <c r="E529" s="38"/>
      <c r="F529" s="38"/>
      <c r="G529" s="38"/>
      <c r="H529" s="38"/>
    </row>
    <row r="530" spans="1:8" x14ac:dyDescent="0.25">
      <c r="A530" s="38"/>
      <c r="B530" s="49"/>
      <c r="C530" s="38"/>
      <c r="D530" s="38"/>
      <c r="E530" s="38"/>
      <c r="F530" s="38"/>
      <c r="G530" s="38"/>
      <c r="H530" s="38"/>
    </row>
    <row r="531" spans="1:8" x14ac:dyDescent="0.25">
      <c r="A531" s="38"/>
      <c r="B531" s="49"/>
      <c r="C531" s="38"/>
      <c r="D531" s="38"/>
      <c r="E531" s="38"/>
      <c r="F531" s="38"/>
      <c r="G531" s="38"/>
      <c r="H531" s="38"/>
    </row>
    <row r="532" spans="1:8" x14ac:dyDescent="0.25">
      <c r="A532" s="38"/>
      <c r="B532" s="49"/>
      <c r="C532" s="38"/>
      <c r="D532" s="38"/>
      <c r="E532" s="38"/>
      <c r="F532" s="38"/>
      <c r="G532" s="38"/>
      <c r="H532" s="38"/>
    </row>
    <row r="533" spans="1:8" x14ac:dyDescent="0.25">
      <c r="A533" s="38"/>
      <c r="B533" s="49"/>
      <c r="C533" s="38"/>
      <c r="D533" s="38"/>
      <c r="E533" s="38"/>
      <c r="F533" s="38"/>
      <c r="G533" s="38"/>
      <c r="H533" s="38"/>
    </row>
    <row r="534" spans="1:8" x14ac:dyDescent="0.25">
      <c r="A534" s="38"/>
      <c r="B534" s="49"/>
      <c r="C534" s="38"/>
      <c r="D534" s="38"/>
      <c r="E534" s="38"/>
      <c r="F534" s="38"/>
      <c r="G534" s="38"/>
      <c r="H534" s="38"/>
    </row>
    <row r="535" spans="1:8" x14ac:dyDescent="0.25">
      <c r="A535" s="38"/>
      <c r="B535" s="49"/>
      <c r="C535" s="38"/>
      <c r="D535" s="38"/>
      <c r="E535" s="38"/>
      <c r="F535" s="38"/>
      <c r="G535" s="38"/>
      <c r="H535" s="38"/>
    </row>
    <row r="536" spans="1:8" x14ac:dyDescent="0.25">
      <c r="A536" s="38"/>
      <c r="B536" s="49"/>
      <c r="C536" s="38"/>
      <c r="D536" s="38"/>
      <c r="E536" s="38"/>
      <c r="F536" s="38"/>
      <c r="G536" s="38"/>
      <c r="H536" s="38"/>
    </row>
    <row r="537" spans="1:8" x14ac:dyDescent="0.25">
      <c r="A537" s="38"/>
      <c r="B537" s="49"/>
      <c r="C537" s="38"/>
      <c r="D537" s="38"/>
      <c r="E537" s="38"/>
      <c r="F537" s="38"/>
      <c r="G537" s="38"/>
      <c r="H537" s="38"/>
    </row>
    <row r="538" spans="1:8" x14ac:dyDescent="0.25">
      <c r="A538" s="38"/>
      <c r="B538" s="49"/>
      <c r="C538" s="38"/>
      <c r="D538" s="38"/>
      <c r="E538" s="38"/>
      <c r="F538" s="38"/>
      <c r="G538" s="38"/>
      <c r="H538" s="38"/>
    </row>
    <row r="539" spans="1:8" x14ac:dyDescent="0.25">
      <c r="A539" s="38"/>
      <c r="B539" s="49"/>
      <c r="C539" s="38"/>
      <c r="D539" s="38"/>
      <c r="E539" s="38"/>
      <c r="F539" s="38"/>
      <c r="G539" s="38"/>
      <c r="H539" s="38"/>
    </row>
    <row r="540" spans="1:8" x14ac:dyDescent="0.25">
      <c r="A540" s="38"/>
      <c r="B540" s="49"/>
      <c r="C540" s="38"/>
      <c r="D540" s="38"/>
      <c r="E540" s="38"/>
      <c r="F540" s="38"/>
      <c r="G540" s="38"/>
      <c r="H540" s="38"/>
    </row>
    <row r="541" spans="1:8" x14ac:dyDescent="0.25">
      <c r="A541" s="38"/>
      <c r="B541" s="49"/>
      <c r="C541" s="38"/>
      <c r="D541" s="38"/>
      <c r="E541" s="38"/>
      <c r="F541" s="38"/>
      <c r="G541" s="38"/>
      <c r="H541" s="38"/>
    </row>
    <row r="542" spans="1:8" x14ac:dyDescent="0.25">
      <c r="A542" s="38"/>
      <c r="B542" s="49"/>
      <c r="C542" s="38"/>
      <c r="D542" s="38"/>
      <c r="E542" s="38"/>
      <c r="F542" s="38"/>
      <c r="G542" s="38"/>
      <c r="H542" s="38"/>
    </row>
    <row r="543" spans="1:8" x14ac:dyDescent="0.25">
      <c r="A543" s="38"/>
      <c r="B543" s="49"/>
      <c r="C543" s="38"/>
      <c r="D543" s="38"/>
      <c r="E543" s="38"/>
      <c r="F543" s="38"/>
      <c r="G543" s="38"/>
      <c r="H543" s="38"/>
    </row>
    <row r="544" spans="1:8" x14ac:dyDescent="0.25">
      <c r="A544" s="38"/>
      <c r="B544" s="49"/>
      <c r="C544" s="38"/>
      <c r="D544" s="38"/>
      <c r="E544" s="38"/>
      <c r="F544" s="38"/>
      <c r="G544" s="38"/>
      <c r="H544" s="38"/>
    </row>
    <row r="545" spans="1:8" x14ac:dyDescent="0.25">
      <c r="A545" s="38"/>
      <c r="B545" s="49"/>
      <c r="C545" s="38"/>
      <c r="D545" s="38"/>
      <c r="E545" s="38"/>
      <c r="F545" s="38"/>
      <c r="G545" s="38"/>
      <c r="H545" s="38"/>
    </row>
    <row r="546" spans="1:8" x14ac:dyDescent="0.25">
      <c r="A546" s="38"/>
      <c r="B546" s="49"/>
      <c r="C546" s="38"/>
      <c r="D546" s="38"/>
      <c r="E546" s="38"/>
      <c r="F546" s="38"/>
      <c r="G546" s="38"/>
      <c r="H546" s="38"/>
    </row>
    <row r="547" spans="1:8" x14ac:dyDescent="0.25">
      <c r="A547" s="38"/>
      <c r="B547" s="49"/>
      <c r="C547" s="38"/>
      <c r="D547" s="38"/>
      <c r="E547" s="38"/>
      <c r="F547" s="38"/>
      <c r="G547" s="38"/>
      <c r="H547" s="38"/>
    </row>
    <row r="548" spans="1:8" x14ac:dyDescent="0.25">
      <c r="A548" s="38"/>
      <c r="B548" s="49"/>
      <c r="C548" s="38"/>
      <c r="D548" s="38"/>
      <c r="E548" s="38"/>
      <c r="F548" s="38"/>
      <c r="G548" s="38"/>
      <c r="H548" s="38"/>
    </row>
    <row r="549" spans="1:8" x14ac:dyDescent="0.25">
      <c r="A549" s="38"/>
      <c r="B549" s="49"/>
      <c r="C549" s="38"/>
      <c r="D549" s="38"/>
      <c r="E549" s="38"/>
      <c r="F549" s="38"/>
      <c r="G549" s="38"/>
      <c r="H549" s="38"/>
    </row>
    <row r="550" spans="1:8" x14ac:dyDescent="0.25">
      <c r="A550" s="38"/>
      <c r="B550" s="49"/>
      <c r="C550" s="38"/>
      <c r="D550" s="38"/>
      <c r="E550" s="38"/>
      <c r="F550" s="38"/>
      <c r="G550" s="38"/>
      <c r="H550" s="38"/>
    </row>
    <row r="551" spans="1:8" x14ac:dyDescent="0.25">
      <c r="A551" s="38"/>
      <c r="B551" s="49"/>
      <c r="C551" s="38"/>
      <c r="D551" s="38"/>
      <c r="E551" s="38"/>
      <c r="F551" s="38"/>
      <c r="G551" s="38"/>
      <c r="H551" s="38"/>
    </row>
    <row r="552" spans="1:8" x14ac:dyDescent="0.25">
      <c r="A552" s="38"/>
      <c r="B552" s="49"/>
      <c r="C552" s="38"/>
      <c r="D552" s="38"/>
      <c r="E552" s="38"/>
      <c r="F552" s="38"/>
      <c r="G552" s="38"/>
      <c r="H552" s="38"/>
    </row>
    <row r="553" spans="1:8" x14ac:dyDescent="0.25">
      <c r="A553" s="38"/>
      <c r="B553" s="49"/>
      <c r="C553" s="38"/>
      <c r="D553" s="38"/>
      <c r="E553" s="38"/>
      <c r="F553" s="38"/>
      <c r="G553" s="38"/>
      <c r="H553" s="38"/>
    </row>
    <row r="554" spans="1:8" x14ac:dyDescent="0.25">
      <c r="A554" s="38"/>
      <c r="B554" s="49"/>
      <c r="C554" s="38"/>
      <c r="D554" s="38"/>
      <c r="E554" s="38"/>
      <c r="F554" s="38"/>
      <c r="G554" s="38"/>
      <c r="H554" s="38"/>
    </row>
    <row r="555" spans="1:8" x14ac:dyDescent="0.25">
      <c r="A555" s="38"/>
      <c r="B555" s="49"/>
      <c r="C555" s="38"/>
      <c r="D555" s="38"/>
      <c r="E555" s="38"/>
      <c r="F555" s="38"/>
      <c r="G555" s="38"/>
      <c r="H555" s="38"/>
    </row>
    <row r="556" spans="1:8" x14ac:dyDescent="0.25">
      <c r="A556" s="38"/>
      <c r="B556" s="49"/>
      <c r="C556" s="38"/>
      <c r="D556" s="38"/>
      <c r="E556" s="38"/>
      <c r="F556" s="38"/>
      <c r="G556" s="38"/>
      <c r="H556" s="38"/>
    </row>
    <row r="557" spans="1:8" x14ac:dyDescent="0.25">
      <c r="A557" s="38"/>
      <c r="B557" s="49"/>
      <c r="C557" s="38"/>
      <c r="D557" s="38"/>
      <c r="E557" s="38"/>
      <c r="F557" s="38"/>
      <c r="G557" s="38"/>
      <c r="H557" s="38"/>
    </row>
    <row r="558" spans="1:8" x14ac:dyDescent="0.25">
      <c r="A558" s="38"/>
      <c r="B558" s="49"/>
      <c r="C558" s="38"/>
      <c r="D558" s="38"/>
      <c r="E558" s="38"/>
      <c r="F558" s="38"/>
      <c r="G558" s="38"/>
      <c r="H558" s="38"/>
    </row>
    <row r="559" spans="1:8" x14ac:dyDescent="0.25">
      <c r="A559" s="38"/>
      <c r="B559" s="49"/>
      <c r="C559" s="38"/>
      <c r="D559" s="38"/>
      <c r="E559" s="38"/>
      <c r="F559" s="38"/>
      <c r="G559" s="38"/>
      <c r="H559" s="38"/>
    </row>
    <row r="560" spans="1:8" x14ac:dyDescent="0.25">
      <c r="A560" s="38"/>
      <c r="B560" s="49"/>
      <c r="C560" s="38"/>
      <c r="D560" s="38"/>
      <c r="E560" s="38"/>
      <c r="F560" s="38"/>
      <c r="G560" s="38"/>
      <c r="H560" s="38"/>
    </row>
    <row r="561" spans="1:8" x14ac:dyDescent="0.25">
      <c r="A561" s="38"/>
      <c r="B561" s="49"/>
      <c r="C561" s="38"/>
      <c r="D561" s="38"/>
      <c r="E561" s="38"/>
      <c r="F561" s="38"/>
      <c r="G561" s="38"/>
      <c r="H561" s="38"/>
    </row>
    <row r="562" spans="1:8" x14ac:dyDescent="0.25">
      <c r="A562" s="38"/>
      <c r="B562" s="49"/>
      <c r="C562" s="38"/>
      <c r="D562" s="38"/>
      <c r="E562" s="38"/>
      <c r="F562" s="38"/>
      <c r="G562" s="38"/>
      <c r="H562" s="38"/>
    </row>
    <row r="563" spans="1:8" x14ac:dyDescent="0.25">
      <c r="A563" s="38"/>
      <c r="B563" s="49"/>
      <c r="C563" s="38"/>
      <c r="D563" s="38"/>
      <c r="E563" s="38"/>
      <c r="F563" s="38"/>
      <c r="G563" s="38"/>
      <c r="H563" s="38"/>
    </row>
    <row r="564" spans="1:8" x14ac:dyDescent="0.25">
      <c r="A564" s="38"/>
      <c r="B564" s="49"/>
      <c r="C564" s="38"/>
      <c r="D564" s="38"/>
      <c r="E564" s="38"/>
      <c r="F564" s="38"/>
      <c r="G564" s="38"/>
      <c r="H564" s="38"/>
    </row>
    <row r="565" spans="1:8" x14ac:dyDescent="0.25">
      <c r="A565" s="38"/>
      <c r="B565" s="49"/>
      <c r="C565" s="38"/>
      <c r="D565" s="38"/>
      <c r="E565" s="38"/>
      <c r="F565" s="38"/>
      <c r="G565" s="38"/>
      <c r="H565" s="38"/>
    </row>
    <row r="566" spans="1:8" x14ac:dyDescent="0.25">
      <c r="A566" s="38"/>
      <c r="B566" s="49"/>
      <c r="C566" s="38"/>
      <c r="D566" s="38"/>
      <c r="E566" s="38"/>
      <c r="F566" s="38"/>
      <c r="G566" s="38"/>
      <c r="H566" s="38"/>
    </row>
    <row r="567" spans="1:8" x14ac:dyDescent="0.25">
      <c r="A567" s="38"/>
      <c r="B567" s="49"/>
      <c r="C567" s="38"/>
      <c r="D567" s="38"/>
      <c r="E567" s="38"/>
      <c r="F567" s="38"/>
      <c r="G567" s="38"/>
      <c r="H567" s="38"/>
    </row>
    <row r="568" spans="1:8" x14ac:dyDescent="0.25">
      <c r="A568" s="38"/>
      <c r="B568" s="49"/>
      <c r="C568" s="38"/>
      <c r="D568" s="38"/>
      <c r="E568" s="38"/>
      <c r="F568" s="38"/>
      <c r="G568" s="38"/>
      <c r="H568" s="38"/>
    </row>
    <row r="569" spans="1:8" x14ac:dyDescent="0.25">
      <c r="A569" s="38"/>
      <c r="B569" s="49"/>
      <c r="C569" s="38"/>
      <c r="D569" s="38"/>
      <c r="E569" s="38"/>
      <c r="F569" s="38"/>
      <c r="G569" s="38"/>
      <c r="H569" s="38"/>
    </row>
    <row r="570" spans="1:8" x14ac:dyDescent="0.25">
      <c r="A570" s="38"/>
      <c r="B570" s="49"/>
      <c r="C570" s="38"/>
      <c r="D570" s="38"/>
      <c r="E570" s="38"/>
      <c r="F570" s="38"/>
      <c r="G570" s="38"/>
      <c r="H570" s="38"/>
    </row>
    <row r="571" spans="1:8" x14ac:dyDescent="0.25">
      <c r="A571" s="38"/>
      <c r="B571" s="49"/>
      <c r="C571" s="38"/>
      <c r="D571" s="38"/>
      <c r="E571" s="38"/>
      <c r="F571" s="38"/>
      <c r="G571" s="38"/>
      <c r="H571" s="38"/>
    </row>
    <row r="572" spans="1:8" x14ac:dyDescent="0.25">
      <c r="A572" s="38"/>
      <c r="B572" s="49"/>
      <c r="C572" s="38"/>
      <c r="D572" s="38"/>
      <c r="E572" s="38"/>
      <c r="F572" s="38"/>
      <c r="G572" s="38"/>
      <c r="H572" s="38"/>
    </row>
    <row r="573" spans="1:8" x14ac:dyDescent="0.25">
      <c r="A573" s="38"/>
      <c r="B573" s="49"/>
      <c r="C573" s="38"/>
      <c r="D573" s="38"/>
      <c r="E573" s="38"/>
      <c r="F573" s="38"/>
      <c r="G573" s="38"/>
      <c r="H573" s="38"/>
    </row>
    <row r="574" spans="1:8" x14ac:dyDescent="0.25">
      <c r="A574" s="38"/>
      <c r="B574" s="49"/>
      <c r="C574" s="38"/>
      <c r="D574" s="38"/>
      <c r="E574" s="38"/>
      <c r="F574" s="38"/>
      <c r="G574" s="38"/>
      <c r="H574" s="38"/>
    </row>
    <row r="575" spans="1:8" x14ac:dyDescent="0.25">
      <c r="A575" s="38"/>
      <c r="B575" s="49"/>
      <c r="C575" s="38"/>
      <c r="D575" s="38"/>
      <c r="E575" s="38"/>
      <c r="F575" s="38"/>
      <c r="G575" s="38"/>
      <c r="H575" s="38"/>
    </row>
    <row r="576" spans="1:8" x14ac:dyDescent="0.25">
      <c r="A576" s="38"/>
      <c r="B576" s="49"/>
      <c r="C576" s="38"/>
      <c r="D576" s="38"/>
      <c r="E576" s="38"/>
      <c r="F576" s="38"/>
      <c r="G576" s="38"/>
      <c r="H576" s="38"/>
    </row>
  </sheetData>
  <autoFilter ref="A1:H177" xr:uid="{00000000-0009-0000-0000-000011000000}">
    <filterColumn colId="3">
      <filters>
        <filter val="ES COKLAT"/>
        <filter val="ES STRAWBERRY"/>
        <filter val="ES SUSU COKLAT"/>
        <filter val="ES SUSU ORI"/>
        <filter val="SUSU COKLAT"/>
        <filter val="SUSU ORI"/>
      </filters>
    </filterColumn>
  </autoFilter>
  <mergeCells count="35">
    <mergeCell ref="A280:D280"/>
    <mergeCell ref="A216:D216"/>
    <mergeCell ref="A202:D202"/>
    <mergeCell ref="A262:D262"/>
    <mergeCell ref="A385:D385"/>
    <mergeCell ref="A397:D397"/>
    <mergeCell ref="A345:D345"/>
    <mergeCell ref="A357:D357"/>
    <mergeCell ref="A363:D363"/>
    <mergeCell ref="A377:D377"/>
    <mergeCell ref="A9:D9"/>
    <mergeCell ref="A322:D322"/>
    <mergeCell ref="A332:D332"/>
    <mergeCell ref="A227:D227"/>
    <mergeCell ref="A232:D232"/>
    <mergeCell ref="A100:D100"/>
    <mergeCell ref="A17:D17"/>
    <mergeCell ref="A245:D245"/>
    <mergeCell ref="A109:D109"/>
    <mergeCell ref="A28:D28"/>
    <mergeCell ref="A38:D38"/>
    <mergeCell ref="A288:D288"/>
    <mergeCell ref="A154:D154"/>
    <mergeCell ref="A296:D296"/>
    <mergeCell ref="A179:D179"/>
    <mergeCell ref="A190:D190"/>
    <mergeCell ref="A164:D164"/>
    <mergeCell ref="A59:D59"/>
    <mergeCell ref="A51:D51"/>
    <mergeCell ref="A86:D86"/>
    <mergeCell ref="A74:D74"/>
    <mergeCell ref="A144:D144"/>
    <mergeCell ref="A115:D115"/>
    <mergeCell ref="A126:D126"/>
    <mergeCell ref="A135:D135"/>
  </mergeCells>
  <pageMargins left="0.7" right="0.7" top="0.75" bottom="0.75" header="0.3" footer="0.3"/>
  <pageSetup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690"/>
  <sheetViews>
    <sheetView topLeftCell="A3" workbookViewId="0">
      <selection activeCell="A27" sqref="A27"/>
    </sheetView>
  </sheetViews>
  <sheetFormatPr defaultRowHeight="15" x14ac:dyDescent="0.25"/>
  <cols>
    <col min="2" max="2" width="9.7109375" bestFit="1" customWidth="1"/>
    <col min="5" max="5" width="9.28515625" bestFit="1" customWidth="1"/>
    <col min="6" max="6" width="13.28515625" bestFit="1" customWidth="1"/>
    <col min="7" max="8" width="11.7109375" bestFit="1" customWidth="1"/>
  </cols>
  <sheetData>
    <row r="1" spans="1:8" x14ac:dyDescent="0.25">
      <c r="A1" s="36" t="s">
        <v>612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s="29" t="s">
        <v>30</v>
      </c>
      <c r="B2" s="37">
        <v>44931</v>
      </c>
      <c r="C2" s="29" t="s">
        <v>16</v>
      </c>
      <c r="D2" s="29" t="s">
        <v>11</v>
      </c>
      <c r="E2" s="29">
        <v>68</v>
      </c>
      <c r="F2" s="38">
        <f>E2*1500</f>
        <v>102000</v>
      </c>
      <c r="G2" s="38">
        <f>E2*500</f>
        <v>34000</v>
      </c>
      <c r="H2" s="38">
        <f>E2*1000</f>
        <v>68000</v>
      </c>
    </row>
    <row r="3" spans="1:8" x14ac:dyDescent="0.25">
      <c r="A3" s="29"/>
      <c r="B3" s="29"/>
      <c r="C3" s="29"/>
      <c r="D3" s="29" t="s">
        <v>12</v>
      </c>
      <c r="E3" s="29">
        <v>3</v>
      </c>
      <c r="F3" s="38">
        <f>E3*3000</f>
        <v>9000</v>
      </c>
      <c r="G3" s="38">
        <f>E3*2000</f>
        <v>6000</v>
      </c>
      <c r="H3" s="38">
        <v>3000</v>
      </c>
    </row>
    <row r="4" spans="1:8" x14ac:dyDescent="0.25">
      <c r="A4" s="29"/>
      <c r="B4" s="29"/>
      <c r="C4" s="29"/>
      <c r="D4" s="29" t="s">
        <v>13</v>
      </c>
      <c r="E4" s="29">
        <v>3</v>
      </c>
      <c r="F4" s="38">
        <f>E4*6500</f>
        <v>19500</v>
      </c>
      <c r="G4" s="38">
        <f>E4*4500</f>
        <v>13500</v>
      </c>
      <c r="H4" s="38">
        <f>E4*2000</f>
        <v>6000</v>
      </c>
    </row>
    <row r="5" spans="1:8" x14ac:dyDescent="0.25">
      <c r="A5" s="29"/>
      <c r="B5" s="29"/>
      <c r="C5" s="29"/>
      <c r="D5" s="29" t="s">
        <v>14</v>
      </c>
      <c r="E5" s="29">
        <v>2</v>
      </c>
      <c r="F5" s="38">
        <f>E5*10000</f>
        <v>20000</v>
      </c>
      <c r="G5" s="38">
        <f>E5*5500</f>
        <v>11000</v>
      </c>
      <c r="H5" s="38">
        <f>E5*4500</f>
        <v>9000</v>
      </c>
    </row>
    <row r="6" spans="1:8" x14ac:dyDescent="0.25">
      <c r="A6" s="29"/>
      <c r="B6" s="29"/>
      <c r="C6" s="29" t="s">
        <v>217</v>
      </c>
      <c r="D6" s="29" t="s">
        <v>11</v>
      </c>
      <c r="E6" s="29">
        <v>8</v>
      </c>
      <c r="F6" s="38">
        <f>E6*1500</f>
        <v>12000</v>
      </c>
      <c r="G6" s="38">
        <f>E6*500</f>
        <v>4000</v>
      </c>
      <c r="H6" s="38">
        <v>8000</v>
      </c>
    </row>
    <row r="7" spans="1:8" x14ac:dyDescent="0.25">
      <c r="A7" s="29"/>
      <c r="B7" s="29"/>
      <c r="C7" s="29"/>
      <c r="D7" s="29" t="s">
        <v>13</v>
      </c>
      <c r="E7" s="29">
        <v>2</v>
      </c>
      <c r="F7" s="38">
        <f>E7*6500</f>
        <v>13000</v>
      </c>
      <c r="G7" s="38">
        <f>E7*4500</f>
        <v>9000</v>
      </c>
      <c r="H7" s="38">
        <v>4000</v>
      </c>
    </row>
    <row r="8" spans="1:8" x14ac:dyDescent="0.25">
      <c r="A8" s="29"/>
      <c r="B8" s="29"/>
      <c r="C8" s="29"/>
      <c r="D8" s="29" t="s">
        <v>14</v>
      </c>
      <c r="E8" s="29">
        <v>1</v>
      </c>
      <c r="F8" s="38">
        <f>E8*10000</f>
        <v>10000</v>
      </c>
      <c r="G8" s="38">
        <v>5500</v>
      </c>
      <c r="H8" s="38">
        <v>4500</v>
      </c>
    </row>
    <row r="9" spans="1:8" x14ac:dyDescent="0.25">
      <c r="A9" s="29"/>
      <c r="B9" s="29"/>
      <c r="C9" s="29"/>
      <c r="D9" s="29" t="s">
        <v>404</v>
      </c>
      <c r="E9" s="29">
        <v>3</v>
      </c>
      <c r="F9" s="38">
        <f>E9*2000</f>
        <v>6000</v>
      </c>
      <c r="G9" s="38">
        <v>3000</v>
      </c>
      <c r="H9" s="38">
        <v>3000</v>
      </c>
    </row>
    <row r="10" spans="1:8" x14ac:dyDescent="0.25">
      <c r="A10" s="29"/>
      <c r="B10" s="29"/>
      <c r="C10" s="29"/>
      <c r="D10" s="29" t="s">
        <v>415</v>
      </c>
      <c r="E10" s="29">
        <v>1</v>
      </c>
      <c r="F10" s="38">
        <v>5000</v>
      </c>
      <c r="G10" s="38">
        <v>2500</v>
      </c>
      <c r="H10" s="38">
        <v>2500</v>
      </c>
    </row>
    <row r="11" spans="1:8" x14ac:dyDescent="0.25">
      <c r="A11" s="29"/>
      <c r="B11" s="29"/>
      <c r="C11" s="29" t="s">
        <v>544</v>
      </c>
      <c r="D11" s="29" t="s">
        <v>11</v>
      </c>
      <c r="E11" s="29">
        <v>3</v>
      </c>
      <c r="F11" s="38">
        <f>E11*1500</f>
        <v>4500</v>
      </c>
      <c r="G11" s="38">
        <f>E11*500</f>
        <v>1500</v>
      </c>
      <c r="H11" s="38">
        <v>3000</v>
      </c>
    </row>
    <row r="12" spans="1:8" x14ac:dyDescent="0.25">
      <c r="A12" s="29"/>
      <c r="B12" s="29"/>
      <c r="C12" s="29"/>
      <c r="D12" s="29" t="s">
        <v>13</v>
      </c>
      <c r="E12" s="29">
        <v>1</v>
      </c>
      <c r="F12" s="38">
        <v>6500</v>
      </c>
      <c r="G12" s="38">
        <v>4500</v>
      </c>
      <c r="H12" s="38">
        <v>2000</v>
      </c>
    </row>
    <row r="13" spans="1:8" x14ac:dyDescent="0.25">
      <c r="A13" s="29"/>
      <c r="B13" s="29"/>
      <c r="C13" s="29" t="s">
        <v>568</v>
      </c>
      <c r="D13" s="29" t="s">
        <v>11</v>
      </c>
      <c r="E13" s="29">
        <v>50</v>
      </c>
      <c r="F13" s="38">
        <f>E13*1500</f>
        <v>75000</v>
      </c>
      <c r="G13" s="38">
        <f>E13*500</f>
        <v>25000</v>
      </c>
      <c r="H13" s="38">
        <v>50000</v>
      </c>
    </row>
    <row r="14" spans="1:8" x14ac:dyDescent="0.25">
      <c r="A14" s="128" t="s">
        <v>17</v>
      </c>
      <c r="B14" s="129"/>
      <c r="C14" s="129"/>
      <c r="D14" s="130"/>
      <c r="E14" s="16">
        <f>SUM(E2:E13)</f>
        <v>145</v>
      </c>
      <c r="F14" s="17">
        <f>SUM(F2:F13)</f>
        <v>282500</v>
      </c>
      <c r="G14" s="17">
        <f>SUM(G2:G13)</f>
        <v>119500</v>
      </c>
      <c r="H14" s="17">
        <f>SUM(H2:H13)</f>
        <v>163000</v>
      </c>
    </row>
    <row r="15" spans="1:8" x14ac:dyDescent="0.25">
      <c r="A15" s="16"/>
      <c r="B15" s="16"/>
      <c r="C15" s="16" t="s">
        <v>554</v>
      </c>
      <c r="D15" s="16" t="s">
        <v>14</v>
      </c>
      <c r="E15" s="16">
        <v>2</v>
      </c>
      <c r="F15" s="17"/>
      <c r="G15" s="17"/>
      <c r="H15" s="17"/>
    </row>
    <row r="16" spans="1:8" x14ac:dyDescent="0.25">
      <c r="A16" s="16"/>
      <c r="B16" s="16"/>
      <c r="C16" s="16"/>
      <c r="D16" s="16" t="s">
        <v>11</v>
      </c>
      <c r="E16" s="16">
        <v>3</v>
      </c>
      <c r="F16" s="17"/>
      <c r="G16" s="17"/>
      <c r="H16" s="17"/>
    </row>
    <row r="17" spans="1:8" x14ac:dyDescent="0.25">
      <c r="A17" s="16"/>
      <c r="B17" s="16"/>
      <c r="C17" s="16"/>
      <c r="D17" s="16" t="s">
        <v>415</v>
      </c>
      <c r="E17" s="16">
        <v>1</v>
      </c>
      <c r="F17" s="17"/>
      <c r="G17" s="17"/>
      <c r="H17" s="17"/>
    </row>
    <row r="18" spans="1:8" x14ac:dyDescent="0.25">
      <c r="A18" s="29"/>
      <c r="B18" s="29"/>
      <c r="C18" s="16"/>
      <c r="D18" s="16" t="s">
        <v>432</v>
      </c>
      <c r="E18" s="16">
        <v>1</v>
      </c>
      <c r="F18" s="17"/>
      <c r="G18" s="17"/>
      <c r="H18" s="17"/>
    </row>
    <row r="19" spans="1:8" x14ac:dyDescent="0.25">
      <c r="A19" s="29"/>
      <c r="B19" s="29"/>
      <c r="C19" s="16" t="s">
        <v>568</v>
      </c>
      <c r="D19" s="16" t="s">
        <v>11</v>
      </c>
      <c r="E19" s="16">
        <v>50</v>
      </c>
      <c r="F19" s="17"/>
      <c r="G19" s="17"/>
      <c r="H19" s="17"/>
    </row>
    <row r="20" spans="1:8" x14ac:dyDescent="0.25">
      <c r="A20" s="29" t="s">
        <v>32</v>
      </c>
      <c r="B20" s="37">
        <v>44962</v>
      </c>
      <c r="C20" s="29" t="s">
        <v>16</v>
      </c>
      <c r="D20" s="29" t="s">
        <v>11</v>
      </c>
      <c r="E20" s="29">
        <v>70</v>
      </c>
      <c r="F20" s="38">
        <f>E20*1500</f>
        <v>105000</v>
      </c>
      <c r="G20" s="38">
        <f>E20*500</f>
        <v>35000</v>
      </c>
      <c r="H20" s="38">
        <v>70000</v>
      </c>
    </row>
    <row r="21" spans="1:8" x14ac:dyDescent="0.25">
      <c r="A21" s="29"/>
      <c r="B21" s="29"/>
      <c r="C21" s="29"/>
      <c r="D21" s="29" t="s">
        <v>12</v>
      </c>
      <c r="E21" s="29">
        <v>9</v>
      </c>
      <c r="F21" s="38">
        <f>E21*3000</f>
        <v>27000</v>
      </c>
      <c r="G21" s="38">
        <f>E21*2000</f>
        <v>18000</v>
      </c>
      <c r="H21" s="38">
        <v>9000</v>
      </c>
    </row>
    <row r="22" spans="1:8" x14ac:dyDescent="0.25">
      <c r="A22" s="29"/>
      <c r="B22" s="29"/>
      <c r="C22" s="29"/>
      <c r="D22" s="29" t="s">
        <v>13</v>
      </c>
      <c r="E22" s="29">
        <v>2</v>
      </c>
      <c r="F22" s="38">
        <f>E22*6500</f>
        <v>13000</v>
      </c>
      <c r="G22" s="38">
        <f>E22*4500</f>
        <v>9000</v>
      </c>
      <c r="H22" s="38">
        <f>E22*2000</f>
        <v>4000</v>
      </c>
    </row>
    <row r="23" spans="1:8" x14ac:dyDescent="0.25">
      <c r="A23" s="29"/>
      <c r="B23" s="29"/>
      <c r="C23" s="29" t="s">
        <v>217</v>
      </c>
      <c r="D23" s="29" t="s">
        <v>11</v>
      </c>
      <c r="E23" s="29">
        <v>1</v>
      </c>
      <c r="F23" s="38">
        <v>1500</v>
      </c>
      <c r="G23" s="38">
        <v>500</v>
      </c>
      <c r="H23" s="38">
        <v>1000</v>
      </c>
    </row>
    <row r="24" spans="1:8" x14ac:dyDescent="0.25">
      <c r="A24" s="29"/>
      <c r="B24" s="29"/>
      <c r="C24" s="29"/>
      <c r="D24" s="29" t="s">
        <v>13</v>
      </c>
      <c r="E24" s="29">
        <v>5</v>
      </c>
      <c r="F24" s="38">
        <f>E24*6500</f>
        <v>32500</v>
      </c>
      <c r="G24" s="38">
        <f>E24*4500</f>
        <v>22500</v>
      </c>
      <c r="H24" s="38">
        <f>E24*2000</f>
        <v>10000</v>
      </c>
    </row>
    <row r="25" spans="1:8" x14ac:dyDescent="0.25">
      <c r="A25" s="29"/>
      <c r="B25" s="29"/>
      <c r="C25" s="29"/>
      <c r="D25" s="29" t="s">
        <v>569</v>
      </c>
      <c r="E25" s="29">
        <v>1</v>
      </c>
      <c r="F25" s="38">
        <v>5000</v>
      </c>
      <c r="G25" s="38">
        <v>2500</v>
      </c>
      <c r="H25" s="38">
        <v>2500</v>
      </c>
    </row>
    <row r="26" spans="1:8" x14ac:dyDescent="0.25">
      <c r="A26" s="29"/>
      <c r="B26" s="29"/>
      <c r="C26" s="29"/>
      <c r="D26" s="29" t="s">
        <v>424</v>
      </c>
      <c r="E26" s="29">
        <v>2</v>
      </c>
      <c r="F26" s="38">
        <f>E26*5000</f>
        <v>10000</v>
      </c>
      <c r="G26" s="38">
        <v>5000</v>
      </c>
      <c r="H26" s="38">
        <v>5000</v>
      </c>
    </row>
    <row r="27" spans="1:8" x14ac:dyDescent="0.25">
      <c r="A27" s="29"/>
      <c r="B27" s="29"/>
      <c r="C27" s="29"/>
      <c r="D27" s="29" t="s">
        <v>570</v>
      </c>
      <c r="E27" s="29">
        <v>3</v>
      </c>
      <c r="F27" s="38">
        <f>E27*5000</f>
        <v>15000</v>
      </c>
      <c r="G27" s="38">
        <v>7500</v>
      </c>
      <c r="H27" s="38">
        <v>7500</v>
      </c>
    </row>
    <row r="28" spans="1:8" x14ac:dyDescent="0.25">
      <c r="A28" s="29"/>
      <c r="B28" s="29"/>
      <c r="C28" s="29"/>
      <c r="D28" s="29" t="s">
        <v>425</v>
      </c>
      <c r="E28" s="29">
        <v>2</v>
      </c>
      <c r="F28" s="38">
        <f>E28*2000</f>
        <v>4000</v>
      </c>
      <c r="G28" s="38">
        <v>2000</v>
      </c>
      <c r="H28" s="38">
        <v>2000</v>
      </c>
    </row>
    <row r="29" spans="1:8" x14ac:dyDescent="0.25">
      <c r="A29" s="29"/>
      <c r="B29" s="29"/>
      <c r="C29" s="29"/>
      <c r="D29" s="29" t="s">
        <v>415</v>
      </c>
      <c r="E29" s="29">
        <v>1</v>
      </c>
      <c r="F29" s="38">
        <v>5000</v>
      </c>
      <c r="G29" s="38">
        <v>2500</v>
      </c>
      <c r="H29" s="38">
        <v>2500</v>
      </c>
    </row>
    <row r="30" spans="1:8" x14ac:dyDescent="0.25">
      <c r="A30" s="29"/>
      <c r="B30" s="29"/>
      <c r="C30" s="29" t="s">
        <v>544</v>
      </c>
      <c r="D30" s="29" t="s">
        <v>11</v>
      </c>
      <c r="E30" s="29">
        <v>2</v>
      </c>
      <c r="F30" s="38">
        <f>E30*1500</f>
        <v>3000</v>
      </c>
      <c r="G30" s="38">
        <f>E30*500</f>
        <v>1000</v>
      </c>
      <c r="H30" s="38">
        <v>2000</v>
      </c>
    </row>
    <row r="31" spans="1:8" x14ac:dyDescent="0.25">
      <c r="A31" s="29"/>
      <c r="B31" s="29"/>
      <c r="C31" s="29"/>
      <c r="D31" s="29" t="s">
        <v>13</v>
      </c>
      <c r="E31" s="29">
        <v>1</v>
      </c>
      <c r="F31" s="38">
        <v>6500</v>
      </c>
      <c r="G31" s="38">
        <v>4500</v>
      </c>
      <c r="H31" s="38">
        <v>2000</v>
      </c>
    </row>
    <row r="32" spans="1:8" x14ac:dyDescent="0.25">
      <c r="A32" s="131" t="s">
        <v>17</v>
      </c>
      <c r="B32" s="132"/>
      <c r="C32" s="132"/>
      <c r="D32" s="133"/>
      <c r="E32" s="17">
        <f>SUM(E20:E31)</f>
        <v>99</v>
      </c>
      <c r="F32" s="17">
        <f>SUM(F20:F31)</f>
        <v>227500</v>
      </c>
      <c r="G32" s="17">
        <f>SUM(G20:G31)</f>
        <v>110000</v>
      </c>
      <c r="H32" s="17">
        <f>SUM(H20:H31)</f>
        <v>117500</v>
      </c>
    </row>
    <row r="33" spans="1:8" x14ac:dyDescent="0.25">
      <c r="A33" s="29" t="s">
        <v>8</v>
      </c>
      <c r="B33" s="37">
        <v>44990</v>
      </c>
      <c r="C33" s="29" t="s">
        <v>571</v>
      </c>
      <c r="D33" s="29" t="s">
        <v>11</v>
      </c>
      <c r="E33" s="29">
        <v>80</v>
      </c>
      <c r="F33" s="38">
        <f>E33*1700</f>
        <v>136000</v>
      </c>
      <c r="G33" s="38">
        <f>E33*500</f>
        <v>40000</v>
      </c>
      <c r="H33" s="38">
        <f>E33*1200</f>
        <v>96000</v>
      </c>
    </row>
    <row r="34" spans="1:8" x14ac:dyDescent="0.25">
      <c r="A34" s="29"/>
      <c r="B34" s="29"/>
      <c r="C34" s="29" t="s">
        <v>217</v>
      </c>
      <c r="D34" s="29" t="s">
        <v>11</v>
      </c>
      <c r="E34" s="29">
        <v>3</v>
      </c>
      <c r="F34" s="38">
        <f>E34*1500</f>
        <v>4500</v>
      </c>
      <c r="G34" s="38">
        <f>E34*500</f>
        <v>1500</v>
      </c>
      <c r="H34" s="38">
        <v>3000</v>
      </c>
    </row>
    <row r="35" spans="1:8" x14ac:dyDescent="0.25">
      <c r="A35" s="29"/>
      <c r="B35" s="29"/>
      <c r="C35" s="29"/>
      <c r="D35" s="29" t="s">
        <v>13</v>
      </c>
      <c r="E35" s="29">
        <v>5</v>
      </c>
      <c r="F35" s="38">
        <f>E35*6500</f>
        <v>32500</v>
      </c>
      <c r="G35" s="38">
        <f>E35*4500</f>
        <v>22500</v>
      </c>
      <c r="H35" s="38">
        <f>E35*2000</f>
        <v>10000</v>
      </c>
    </row>
    <row r="36" spans="1:8" x14ac:dyDescent="0.25">
      <c r="A36" s="29"/>
      <c r="B36" s="29"/>
      <c r="C36" s="29"/>
      <c r="D36" s="29" t="s">
        <v>14</v>
      </c>
      <c r="E36" s="29">
        <v>4</v>
      </c>
      <c r="F36" s="38">
        <f>E36*10000</f>
        <v>40000</v>
      </c>
      <c r="G36" s="38">
        <f>E36*5500</f>
        <v>22000</v>
      </c>
      <c r="H36" s="38">
        <f>E36*4500</f>
        <v>18000</v>
      </c>
    </row>
    <row r="37" spans="1:8" x14ac:dyDescent="0.25">
      <c r="A37" s="29"/>
      <c r="B37" s="29"/>
      <c r="C37" s="29" t="s">
        <v>15</v>
      </c>
      <c r="D37" s="29" t="s">
        <v>11</v>
      </c>
      <c r="E37" s="29">
        <v>6</v>
      </c>
      <c r="F37" s="38">
        <f>E37*1500</f>
        <v>9000</v>
      </c>
      <c r="G37" s="38">
        <f>E37*500</f>
        <v>3000</v>
      </c>
      <c r="H37" s="38">
        <v>6000</v>
      </c>
    </row>
    <row r="38" spans="1:8" x14ac:dyDescent="0.25">
      <c r="A38" s="29"/>
      <c r="B38" s="29"/>
      <c r="C38" s="29"/>
      <c r="D38" s="29" t="s">
        <v>13</v>
      </c>
      <c r="E38" s="29">
        <v>2</v>
      </c>
      <c r="F38" s="38">
        <f>E38*6500</f>
        <v>13000</v>
      </c>
      <c r="G38" s="38">
        <f>E38*4500</f>
        <v>9000</v>
      </c>
      <c r="H38" s="38">
        <f>E38*2000</f>
        <v>4000</v>
      </c>
    </row>
    <row r="39" spans="1:8" x14ac:dyDescent="0.25">
      <c r="A39" s="29"/>
      <c r="B39" s="29"/>
      <c r="C39" s="29"/>
      <c r="D39" s="29" t="s">
        <v>14</v>
      </c>
      <c r="E39" s="29">
        <v>6</v>
      </c>
      <c r="F39" s="38">
        <f>E39*10000</f>
        <v>60000</v>
      </c>
      <c r="G39" s="38">
        <f>E39*5500</f>
        <v>33000</v>
      </c>
      <c r="H39" s="38">
        <f>E39*4500</f>
        <v>27000</v>
      </c>
    </row>
    <row r="40" spans="1:8" x14ac:dyDescent="0.25">
      <c r="A40" s="29"/>
      <c r="B40" s="29"/>
      <c r="C40" s="29" t="s">
        <v>127</v>
      </c>
      <c r="D40" s="29" t="s">
        <v>243</v>
      </c>
      <c r="E40" s="29">
        <v>1</v>
      </c>
      <c r="F40" s="38">
        <v>15000</v>
      </c>
      <c r="G40" s="38">
        <v>10000</v>
      </c>
      <c r="H40" s="38">
        <v>5000</v>
      </c>
    </row>
    <row r="41" spans="1:8" x14ac:dyDescent="0.25">
      <c r="A41" s="29"/>
      <c r="B41" s="29"/>
      <c r="C41" s="29"/>
      <c r="D41" s="29" t="s">
        <v>21</v>
      </c>
      <c r="E41" s="29">
        <v>5</v>
      </c>
      <c r="F41" s="38">
        <f>E41*13000</f>
        <v>65000</v>
      </c>
      <c r="G41" s="38">
        <v>50000</v>
      </c>
      <c r="H41" s="38">
        <v>15000</v>
      </c>
    </row>
    <row r="42" spans="1:8" x14ac:dyDescent="0.25">
      <c r="A42" s="29"/>
      <c r="B42" s="29"/>
      <c r="C42" s="29" t="s">
        <v>24</v>
      </c>
      <c r="D42" s="29" t="s">
        <v>243</v>
      </c>
      <c r="E42" s="29">
        <v>5</v>
      </c>
      <c r="F42" s="38">
        <f>E42*15000</f>
        <v>75000</v>
      </c>
      <c r="G42" s="38">
        <f>E42*10000</f>
        <v>50000</v>
      </c>
      <c r="H42" s="38">
        <v>25000</v>
      </c>
    </row>
    <row r="43" spans="1:8" x14ac:dyDescent="0.25">
      <c r="A43" s="29"/>
      <c r="B43" s="29"/>
      <c r="C43" s="29" t="s">
        <v>16</v>
      </c>
      <c r="D43" s="29" t="s">
        <v>11</v>
      </c>
      <c r="E43" s="29">
        <v>57</v>
      </c>
      <c r="F43" s="38">
        <f>E43*1500</f>
        <v>85500</v>
      </c>
      <c r="G43" s="38">
        <f>E43*500</f>
        <v>28500</v>
      </c>
      <c r="H43" s="38">
        <v>57000</v>
      </c>
    </row>
    <row r="44" spans="1:8" x14ac:dyDescent="0.25">
      <c r="A44" s="29"/>
      <c r="B44" s="29"/>
      <c r="C44" s="29"/>
      <c r="D44" s="29" t="s">
        <v>12</v>
      </c>
      <c r="E44" s="29">
        <v>4</v>
      </c>
      <c r="F44" s="38">
        <f>E44*3000</f>
        <v>12000</v>
      </c>
      <c r="G44" s="38">
        <f>E44*2000</f>
        <v>8000</v>
      </c>
      <c r="H44" s="38">
        <v>4000</v>
      </c>
    </row>
    <row r="45" spans="1:8" x14ac:dyDescent="0.25">
      <c r="A45" s="29"/>
      <c r="B45" s="29"/>
      <c r="C45" s="29"/>
      <c r="D45" s="29" t="s">
        <v>14</v>
      </c>
      <c r="E45" s="29">
        <v>1</v>
      </c>
      <c r="F45" s="38">
        <v>10000</v>
      </c>
      <c r="G45" s="38">
        <v>5500</v>
      </c>
      <c r="H45" s="38">
        <v>4500</v>
      </c>
    </row>
    <row r="46" spans="1:8" x14ac:dyDescent="0.25">
      <c r="A46" s="29"/>
      <c r="B46" s="29"/>
      <c r="C46" s="29" t="s">
        <v>568</v>
      </c>
      <c r="D46" s="29" t="s">
        <v>11</v>
      </c>
      <c r="E46" s="29">
        <v>50</v>
      </c>
      <c r="F46" s="38">
        <f>E46*1500</f>
        <v>75000</v>
      </c>
      <c r="G46" s="38">
        <f>E46*500</f>
        <v>25000</v>
      </c>
      <c r="H46" s="38">
        <v>50000</v>
      </c>
    </row>
    <row r="47" spans="1:8" x14ac:dyDescent="0.25">
      <c r="A47" s="131" t="s">
        <v>17</v>
      </c>
      <c r="B47" s="132"/>
      <c r="C47" s="132"/>
      <c r="D47" s="133"/>
      <c r="E47" s="17">
        <f>SUM(E33:E46)</f>
        <v>229</v>
      </c>
      <c r="F47" s="17">
        <f>SUM(F33:F46)</f>
        <v>632500</v>
      </c>
      <c r="G47" s="17">
        <f>SUM(G33:G46)</f>
        <v>308000</v>
      </c>
      <c r="H47" s="17">
        <f>SUM(H33:H46)</f>
        <v>324500</v>
      </c>
    </row>
    <row r="48" spans="1:8" x14ac:dyDescent="0.25">
      <c r="A48" s="29" t="s">
        <v>18</v>
      </c>
      <c r="B48" s="37">
        <v>45021</v>
      </c>
      <c r="C48" s="29" t="s">
        <v>338</v>
      </c>
      <c r="D48" s="29" t="s">
        <v>11</v>
      </c>
      <c r="E48" s="29">
        <v>75</v>
      </c>
      <c r="F48" s="38">
        <f>E48*1800</f>
        <v>135000</v>
      </c>
      <c r="G48" s="38">
        <f t="shared" ref="G48:G54" si="0">E48*500</f>
        <v>37500</v>
      </c>
      <c r="H48" s="38">
        <f>E48*1300</f>
        <v>97500</v>
      </c>
    </row>
    <row r="49" spans="1:8" x14ac:dyDescent="0.25">
      <c r="A49" s="29"/>
      <c r="B49" s="29"/>
      <c r="C49" s="29" t="s">
        <v>306</v>
      </c>
      <c r="D49" s="29" t="s">
        <v>11</v>
      </c>
      <c r="E49" s="29">
        <v>35</v>
      </c>
      <c r="F49" s="38">
        <f>E49*1800</f>
        <v>63000</v>
      </c>
      <c r="G49" s="38">
        <f t="shared" si="0"/>
        <v>17500</v>
      </c>
      <c r="H49" s="38">
        <f>E49*1300</f>
        <v>45500</v>
      </c>
    </row>
    <row r="50" spans="1:8" x14ac:dyDescent="0.25">
      <c r="A50" s="29"/>
      <c r="B50" s="29"/>
      <c r="C50" s="29" t="s">
        <v>572</v>
      </c>
      <c r="D50" s="29" t="s">
        <v>11</v>
      </c>
      <c r="E50" s="29">
        <v>50</v>
      </c>
      <c r="F50" s="38">
        <f>E50*1700</f>
        <v>85000</v>
      </c>
      <c r="G50" s="38">
        <f t="shared" si="0"/>
        <v>25000</v>
      </c>
      <c r="H50" s="38">
        <f>E50*1200</f>
        <v>60000</v>
      </c>
    </row>
    <row r="51" spans="1:8" x14ac:dyDescent="0.25">
      <c r="A51" s="29"/>
      <c r="B51" s="29"/>
      <c r="C51" s="29" t="s">
        <v>571</v>
      </c>
      <c r="D51" s="29" t="s">
        <v>11</v>
      </c>
      <c r="E51" s="29">
        <v>50</v>
      </c>
      <c r="F51" s="38">
        <f>E51*1700</f>
        <v>85000</v>
      </c>
      <c r="G51" s="38">
        <f t="shared" si="0"/>
        <v>25000</v>
      </c>
      <c r="H51" s="38">
        <f>E51*1200</f>
        <v>60000</v>
      </c>
    </row>
    <row r="52" spans="1:8" x14ac:dyDescent="0.25">
      <c r="A52" s="29"/>
      <c r="B52" s="29"/>
      <c r="C52" s="29" t="s">
        <v>308</v>
      </c>
      <c r="D52" s="29" t="s">
        <v>11</v>
      </c>
      <c r="E52" s="29">
        <v>20</v>
      </c>
      <c r="F52" s="38">
        <f>SUM(E52*1500)</f>
        <v>30000</v>
      </c>
      <c r="G52" s="38">
        <f t="shared" si="0"/>
        <v>10000</v>
      </c>
      <c r="H52" s="38">
        <v>20000</v>
      </c>
    </row>
    <row r="53" spans="1:8" x14ac:dyDescent="0.25">
      <c r="A53" s="29"/>
      <c r="B53" s="29"/>
      <c r="C53" s="29" t="s">
        <v>217</v>
      </c>
      <c r="D53" s="29" t="s">
        <v>11</v>
      </c>
      <c r="E53" s="29">
        <v>37</v>
      </c>
      <c r="F53" s="38">
        <f>SUM(E53*1500)</f>
        <v>55500</v>
      </c>
      <c r="G53" s="38">
        <f t="shared" si="0"/>
        <v>18500</v>
      </c>
      <c r="H53" s="38">
        <v>20000</v>
      </c>
    </row>
    <row r="54" spans="1:8" x14ac:dyDescent="0.25">
      <c r="A54" s="29"/>
      <c r="B54" s="29"/>
      <c r="C54" s="29"/>
      <c r="D54" s="29" t="s">
        <v>11</v>
      </c>
      <c r="E54" s="29">
        <v>10</v>
      </c>
      <c r="F54" s="38">
        <f>SUM(E54*1500)</f>
        <v>15000</v>
      </c>
      <c r="G54" s="38">
        <f t="shared" si="0"/>
        <v>5000</v>
      </c>
      <c r="H54" s="38">
        <v>20000</v>
      </c>
    </row>
    <row r="55" spans="1:8" x14ac:dyDescent="0.25">
      <c r="A55" s="29"/>
      <c r="B55" s="29"/>
      <c r="C55" s="29"/>
      <c r="D55" s="29" t="s">
        <v>13</v>
      </c>
      <c r="E55" s="29">
        <v>4</v>
      </c>
      <c r="F55" s="38">
        <f>E55*6500</f>
        <v>26000</v>
      </c>
      <c r="G55" s="38">
        <f>E55*4500</f>
        <v>18000</v>
      </c>
      <c r="H55" s="38">
        <f>E55*2000</f>
        <v>8000</v>
      </c>
    </row>
    <row r="56" spans="1:8" x14ac:dyDescent="0.25">
      <c r="A56" s="29"/>
      <c r="B56" s="29"/>
      <c r="C56" s="29"/>
      <c r="D56" s="29" t="s">
        <v>11</v>
      </c>
      <c r="E56" s="29">
        <v>1</v>
      </c>
      <c r="F56" s="38">
        <v>1500</v>
      </c>
      <c r="G56" s="38">
        <v>500</v>
      </c>
      <c r="H56" s="38">
        <v>1000</v>
      </c>
    </row>
    <row r="57" spans="1:8" x14ac:dyDescent="0.25">
      <c r="A57" s="29"/>
      <c r="B57" s="29"/>
      <c r="C57" s="29"/>
      <c r="D57" s="29" t="s">
        <v>13</v>
      </c>
      <c r="E57" s="29">
        <v>1</v>
      </c>
      <c r="F57" s="38">
        <v>6500</v>
      </c>
      <c r="G57" s="38">
        <v>4500</v>
      </c>
      <c r="H57" s="38">
        <v>2000</v>
      </c>
    </row>
    <row r="58" spans="1:8" x14ac:dyDescent="0.25">
      <c r="A58" s="29"/>
      <c r="B58" s="29"/>
      <c r="C58" s="29" t="s">
        <v>16</v>
      </c>
      <c r="D58" s="29" t="s">
        <v>11</v>
      </c>
      <c r="E58" s="29">
        <v>41</v>
      </c>
      <c r="F58" s="38">
        <f>E58*1500</f>
        <v>61500</v>
      </c>
      <c r="G58" s="38">
        <f>E58*500</f>
        <v>20500</v>
      </c>
      <c r="H58" s="38">
        <v>41000</v>
      </c>
    </row>
    <row r="59" spans="1:8" x14ac:dyDescent="0.25">
      <c r="A59" s="29"/>
      <c r="B59" s="29"/>
      <c r="C59" s="29" t="s">
        <v>568</v>
      </c>
      <c r="D59" s="29" t="s">
        <v>11</v>
      </c>
      <c r="E59" s="29">
        <v>50</v>
      </c>
      <c r="F59" s="38">
        <f>E59*1500</f>
        <v>75000</v>
      </c>
      <c r="G59" s="38">
        <f>E59*500</f>
        <v>25000</v>
      </c>
      <c r="H59" s="38">
        <v>41000</v>
      </c>
    </row>
    <row r="60" spans="1:8" x14ac:dyDescent="0.25">
      <c r="A60" s="131" t="s">
        <v>17</v>
      </c>
      <c r="B60" s="132"/>
      <c r="C60" s="132"/>
      <c r="D60" s="133"/>
      <c r="E60" s="17">
        <f>SUM(E48:E59)</f>
        <v>374</v>
      </c>
      <c r="F60" s="17">
        <f>SUM(F48:F59)</f>
        <v>639000</v>
      </c>
      <c r="G60" s="17">
        <f>SUM(G48:G59)</f>
        <v>207000</v>
      </c>
      <c r="H60" s="17">
        <f>SUM(H48:H59)</f>
        <v>416000</v>
      </c>
    </row>
    <row r="61" spans="1:8" x14ac:dyDescent="0.25">
      <c r="A61" s="29" t="s">
        <v>22</v>
      </c>
      <c r="B61" s="37">
        <v>45051</v>
      </c>
      <c r="C61" s="29" t="s">
        <v>338</v>
      </c>
      <c r="D61" s="29" t="s">
        <v>11</v>
      </c>
      <c r="E61" s="29">
        <v>74</v>
      </c>
      <c r="F61" s="38">
        <f>E61*1800</f>
        <v>133200</v>
      </c>
      <c r="G61" s="38">
        <f t="shared" ref="G61:G66" si="1">E61*500</f>
        <v>37000</v>
      </c>
      <c r="H61" s="38">
        <f>E61*1300</f>
        <v>96200</v>
      </c>
    </row>
    <row r="62" spans="1:8" x14ac:dyDescent="0.25">
      <c r="A62" s="29"/>
      <c r="B62" s="29"/>
      <c r="C62" s="29" t="s">
        <v>306</v>
      </c>
      <c r="D62" s="29" t="s">
        <v>11</v>
      </c>
      <c r="E62" s="29">
        <v>40</v>
      </c>
      <c r="F62" s="38">
        <f>E62*1800</f>
        <v>72000</v>
      </c>
      <c r="G62" s="38">
        <f t="shared" si="1"/>
        <v>20000</v>
      </c>
      <c r="H62" s="38">
        <f>E62*1300</f>
        <v>52000</v>
      </c>
    </row>
    <row r="63" spans="1:8" x14ac:dyDescent="0.25">
      <c r="A63" s="29"/>
      <c r="B63" s="29"/>
      <c r="C63" s="29" t="s">
        <v>572</v>
      </c>
      <c r="D63" s="29" t="s">
        <v>11</v>
      </c>
      <c r="E63" s="29">
        <v>50</v>
      </c>
      <c r="F63" s="38">
        <f>E63*1700</f>
        <v>85000</v>
      </c>
      <c r="G63" s="38">
        <f t="shared" si="1"/>
        <v>25000</v>
      </c>
      <c r="H63" s="38">
        <f>E63*1200</f>
        <v>60000</v>
      </c>
    </row>
    <row r="64" spans="1:8" x14ac:dyDescent="0.25">
      <c r="A64" s="29"/>
      <c r="B64" s="29"/>
      <c r="C64" s="29" t="s">
        <v>573</v>
      </c>
      <c r="D64" s="29" t="s">
        <v>11</v>
      </c>
      <c r="E64" s="29">
        <v>50</v>
      </c>
      <c r="F64" s="38">
        <f>E64*1700</f>
        <v>85000</v>
      </c>
      <c r="G64" s="38">
        <f t="shared" si="1"/>
        <v>25000</v>
      </c>
      <c r="H64" s="38">
        <f>E64*1200</f>
        <v>60000</v>
      </c>
    </row>
    <row r="65" spans="1:8" x14ac:dyDescent="0.25">
      <c r="A65" s="29"/>
      <c r="B65" s="29"/>
      <c r="C65" s="29" t="s">
        <v>308</v>
      </c>
      <c r="D65" s="29" t="s">
        <v>11</v>
      </c>
      <c r="E65" s="29">
        <v>20</v>
      </c>
      <c r="F65" s="38">
        <f>E65*1500</f>
        <v>30000</v>
      </c>
      <c r="G65" s="38">
        <f t="shared" si="1"/>
        <v>10000</v>
      </c>
      <c r="H65" s="38">
        <v>20000</v>
      </c>
    </row>
    <row r="66" spans="1:8" x14ac:dyDescent="0.25">
      <c r="A66" s="29"/>
      <c r="B66" s="29"/>
      <c r="C66" s="29" t="s">
        <v>217</v>
      </c>
      <c r="D66" s="29" t="s">
        <v>11</v>
      </c>
      <c r="E66" s="29">
        <v>51</v>
      </c>
      <c r="F66" s="38">
        <f>E66*1500</f>
        <v>76500</v>
      </c>
      <c r="G66" s="38">
        <f t="shared" si="1"/>
        <v>25500</v>
      </c>
      <c r="H66" s="38">
        <v>51000</v>
      </c>
    </row>
    <row r="67" spans="1:8" x14ac:dyDescent="0.25">
      <c r="A67" s="29"/>
      <c r="B67" s="29"/>
      <c r="C67" s="29"/>
      <c r="D67" s="29" t="s">
        <v>13</v>
      </c>
      <c r="E67" s="29">
        <v>2</v>
      </c>
      <c r="F67" s="38">
        <f>E67*6500</f>
        <v>13000</v>
      </c>
      <c r="G67" s="38">
        <f>E67*4500</f>
        <v>9000</v>
      </c>
      <c r="H67" s="38">
        <v>4000</v>
      </c>
    </row>
    <row r="68" spans="1:8" x14ac:dyDescent="0.25">
      <c r="A68" s="29"/>
      <c r="B68" s="29"/>
      <c r="C68" s="29"/>
      <c r="D68" s="29" t="s">
        <v>14</v>
      </c>
      <c r="E68" s="29">
        <v>2</v>
      </c>
      <c r="F68" s="38">
        <f>E68*10000</f>
        <v>20000</v>
      </c>
      <c r="G68" s="38">
        <f>E68*5500</f>
        <v>11000</v>
      </c>
      <c r="H68" s="38">
        <f>E68*4500</f>
        <v>9000</v>
      </c>
    </row>
    <row r="69" spans="1:8" x14ac:dyDescent="0.25">
      <c r="A69" s="29"/>
      <c r="B69" s="29"/>
      <c r="C69" s="29" t="s">
        <v>16</v>
      </c>
      <c r="D69" s="29" t="s">
        <v>11</v>
      </c>
      <c r="E69" s="29">
        <v>42</v>
      </c>
      <c r="F69" s="38">
        <f>E69*1500</f>
        <v>63000</v>
      </c>
      <c r="G69" s="38">
        <f>E69*500</f>
        <v>21000</v>
      </c>
      <c r="H69" s="38">
        <v>42000</v>
      </c>
    </row>
    <row r="70" spans="1:8" x14ac:dyDescent="0.25">
      <c r="A70" s="29"/>
      <c r="B70" s="29"/>
      <c r="C70" s="29"/>
      <c r="D70" s="29" t="s">
        <v>12</v>
      </c>
      <c r="E70" s="29">
        <v>6</v>
      </c>
      <c r="F70" s="38">
        <f>E70*3000</f>
        <v>18000</v>
      </c>
      <c r="G70" s="38">
        <v>12000</v>
      </c>
      <c r="H70" s="38">
        <v>6000</v>
      </c>
    </row>
    <row r="71" spans="1:8" x14ac:dyDescent="0.25">
      <c r="A71" s="29"/>
      <c r="B71" s="29"/>
      <c r="C71" s="29"/>
      <c r="D71" s="29" t="s">
        <v>14</v>
      </c>
      <c r="E71" s="29">
        <v>1</v>
      </c>
      <c r="F71" s="38">
        <v>10000</v>
      </c>
      <c r="G71" s="38">
        <v>5500</v>
      </c>
      <c r="H71" s="38">
        <v>4500</v>
      </c>
    </row>
    <row r="72" spans="1:8" x14ac:dyDescent="0.25">
      <c r="A72" s="29"/>
      <c r="B72" s="29"/>
      <c r="C72" s="29"/>
      <c r="D72" s="29" t="s">
        <v>243</v>
      </c>
      <c r="E72" s="29">
        <v>1</v>
      </c>
      <c r="F72" s="38">
        <v>13000</v>
      </c>
      <c r="G72" s="38">
        <v>10000</v>
      </c>
      <c r="H72" s="38">
        <v>3000</v>
      </c>
    </row>
    <row r="73" spans="1:8" x14ac:dyDescent="0.25">
      <c r="A73" s="29"/>
      <c r="B73" s="29"/>
      <c r="C73" s="29" t="s">
        <v>568</v>
      </c>
      <c r="D73" s="29" t="s">
        <v>11</v>
      </c>
      <c r="E73" s="29">
        <v>50</v>
      </c>
      <c r="F73" s="38">
        <f>E73*1500</f>
        <v>75000</v>
      </c>
      <c r="G73" s="38">
        <f>E73*500</f>
        <v>25000</v>
      </c>
      <c r="H73" s="38">
        <v>50000</v>
      </c>
    </row>
    <row r="74" spans="1:8" x14ac:dyDescent="0.25">
      <c r="A74" s="128" t="s">
        <v>17</v>
      </c>
      <c r="B74" s="129"/>
      <c r="C74" s="129"/>
      <c r="D74" s="130"/>
      <c r="E74" s="16">
        <f>SUM(E61:E73)</f>
        <v>389</v>
      </c>
      <c r="F74" s="17">
        <f>SUM(F61:F73)</f>
        <v>693700</v>
      </c>
      <c r="G74" s="17">
        <f>SUM(G61:G73)</f>
        <v>236000</v>
      </c>
      <c r="H74" s="17">
        <f>SUM(H61:H73)</f>
        <v>457700</v>
      </c>
    </row>
    <row r="75" spans="1:8" x14ac:dyDescent="0.25">
      <c r="A75" s="29" t="s">
        <v>26</v>
      </c>
      <c r="B75" s="37">
        <v>45082</v>
      </c>
      <c r="C75" s="29" t="s">
        <v>338</v>
      </c>
      <c r="D75" s="29" t="s">
        <v>11</v>
      </c>
      <c r="E75" s="29">
        <v>75</v>
      </c>
      <c r="F75" s="38">
        <f>E75*1800</f>
        <v>135000</v>
      </c>
      <c r="G75" s="38">
        <f>E75*500</f>
        <v>37500</v>
      </c>
      <c r="H75" s="38">
        <f>E75*1300</f>
        <v>97500</v>
      </c>
    </row>
    <row r="76" spans="1:8" x14ac:dyDescent="0.25">
      <c r="A76" s="29"/>
      <c r="B76" s="29"/>
      <c r="C76" s="29" t="s">
        <v>306</v>
      </c>
      <c r="D76" s="29" t="s">
        <v>11</v>
      </c>
      <c r="E76" s="29">
        <v>40</v>
      </c>
      <c r="F76" s="38">
        <f>E76*1800</f>
        <v>72000</v>
      </c>
      <c r="G76" s="38">
        <f>E76*500</f>
        <v>20000</v>
      </c>
      <c r="H76" s="38">
        <f>E76*1300</f>
        <v>52000</v>
      </c>
    </row>
    <row r="77" spans="1:8" x14ac:dyDescent="0.25">
      <c r="A77" s="29"/>
      <c r="B77" s="29"/>
      <c r="C77" s="29" t="s">
        <v>209</v>
      </c>
      <c r="D77" s="29" t="s">
        <v>11</v>
      </c>
      <c r="E77" s="29">
        <v>115</v>
      </c>
      <c r="F77" s="38">
        <f>E77*1500</f>
        <v>172500</v>
      </c>
      <c r="G77" s="38">
        <f>E77*500</f>
        <v>57500</v>
      </c>
      <c r="H77" s="38">
        <v>115000</v>
      </c>
    </row>
    <row r="78" spans="1:8" x14ac:dyDescent="0.25">
      <c r="A78" s="29"/>
      <c r="B78" s="29"/>
      <c r="C78" s="29" t="s">
        <v>308</v>
      </c>
      <c r="D78" s="29" t="s">
        <v>11</v>
      </c>
      <c r="E78" s="29">
        <v>18</v>
      </c>
      <c r="F78" s="38">
        <f>E78*1500</f>
        <v>27000</v>
      </c>
      <c r="G78" s="38">
        <f>E78*500</f>
        <v>9000</v>
      </c>
      <c r="H78" s="38">
        <v>18000</v>
      </c>
    </row>
    <row r="79" spans="1:8" x14ac:dyDescent="0.25">
      <c r="A79" s="29"/>
      <c r="B79" s="29"/>
      <c r="C79" s="29" t="s">
        <v>16</v>
      </c>
      <c r="D79" s="29" t="s">
        <v>11</v>
      </c>
      <c r="E79" s="29">
        <v>60</v>
      </c>
      <c r="F79" s="38">
        <f>E79*1500</f>
        <v>90000</v>
      </c>
      <c r="G79" s="38">
        <f>E79*500</f>
        <v>30000</v>
      </c>
      <c r="H79" s="38">
        <v>60000</v>
      </c>
    </row>
    <row r="80" spans="1:8" x14ac:dyDescent="0.25">
      <c r="A80" s="29"/>
      <c r="B80" s="29"/>
      <c r="C80" s="29"/>
      <c r="D80" s="29" t="s">
        <v>12</v>
      </c>
      <c r="E80" s="29">
        <v>8</v>
      </c>
      <c r="F80" s="38">
        <f>E80*3000</f>
        <v>24000</v>
      </c>
      <c r="G80" s="38">
        <f>E80*2000</f>
        <v>16000</v>
      </c>
      <c r="H80" s="38">
        <v>8000</v>
      </c>
    </row>
    <row r="81" spans="1:8" x14ac:dyDescent="0.25">
      <c r="A81" s="29"/>
      <c r="B81" s="29"/>
      <c r="C81" s="29"/>
      <c r="D81" s="29" t="s">
        <v>14</v>
      </c>
      <c r="E81" s="29">
        <v>1</v>
      </c>
      <c r="F81" s="38">
        <v>10000</v>
      </c>
      <c r="G81" s="38">
        <v>5500</v>
      </c>
      <c r="H81" s="38">
        <v>4500</v>
      </c>
    </row>
    <row r="82" spans="1:8" x14ac:dyDescent="0.25">
      <c r="A82" s="131" t="s">
        <v>17</v>
      </c>
      <c r="B82" s="132"/>
      <c r="C82" s="132"/>
      <c r="D82" s="133"/>
      <c r="E82" s="17">
        <f>SUM(E75:E81)</f>
        <v>317</v>
      </c>
      <c r="F82" s="17">
        <f>SUM(F75:F81)</f>
        <v>530500</v>
      </c>
      <c r="G82" s="17">
        <f>SUM(G75:G81)</f>
        <v>175500</v>
      </c>
      <c r="H82" s="17">
        <f>SUM(H75:H81)</f>
        <v>355000</v>
      </c>
    </row>
    <row r="83" spans="1:8" x14ac:dyDescent="0.25">
      <c r="A83" s="29" t="s">
        <v>28</v>
      </c>
      <c r="B83" s="37">
        <v>45112</v>
      </c>
      <c r="C83" s="29" t="s">
        <v>376</v>
      </c>
      <c r="D83" s="29" t="s">
        <v>11</v>
      </c>
      <c r="E83" s="29">
        <v>63</v>
      </c>
      <c r="F83" s="38">
        <f>E83*1500</f>
        <v>94500</v>
      </c>
      <c r="G83" s="38">
        <f>E83*500</f>
        <v>31500</v>
      </c>
      <c r="H83" s="38">
        <f>E83*1000</f>
        <v>63000</v>
      </c>
    </row>
    <row r="84" spans="1:8" x14ac:dyDescent="0.25">
      <c r="A84" s="29"/>
      <c r="B84" s="29"/>
      <c r="C84" s="29" t="s">
        <v>376</v>
      </c>
      <c r="D84" s="29" t="s">
        <v>11</v>
      </c>
      <c r="E84" s="29">
        <v>69</v>
      </c>
      <c r="F84" s="38">
        <f>E84*1500</f>
        <v>103500</v>
      </c>
      <c r="G84" s="38">
        <f>E84*500</f>
        <v>34500</v>
      </c>
      <c r="H84" s="38">
        <f>E84*1000</f>
        <v>69000</v>
      </c>
    </row>
    <row r="85" spans="1:8" x14ac:dyDescent="0.25">
      <c r="A85" s="29"/>
      <c r="B85" s="29"/>
      <c r="C85" s="29" t="s">
        <v>376</v>
      </c>
      <c r="D85" s="29" t="s">
        <v>11</v>
      </c>
      <c r="E85" s="29">
        <v>58</v>
      </c>
      <c r="F85" s="38">
        <f>E85*1500</f>
        <v>87000</v>
      </c>
      <c r="G85" s="38">
        <f>E85*500</f>
        <v>29000</v>
      </c>
      <c r="H85" s="38">
        <f>E85*1000</f>
        <v>58000</v>
      </c>
    </row>
    <row r="86" spans="1:8" x14ac:dyDescent="0.25">
      <c r="A86" s="29"/>
      <c r="B86" s="29"/>
      <c r="C86" s="29" t="s">
        <v>376</v>
      </c>
      <c r="D86" s="29" t="s">
        <v>11</v>
      </c>
      <c r="E86" s="29">
        <v>57</v>
      </c>
      <c r="F86" s="38">
        <f>E86*1500</f>
        <v>85500</v>
      </c>
      <c r="G86" s="38">
        <f>E86*500</f>
        <v>28500</v>
      </c>
      <c r="H86" s="38">
        <f>E86*1000</f>
        <v>57000</v>
      </c>
    </row>
    <row r="87" spans="1:8" x14ac:dyDescent="0.25">
      <c r="A87" s="29"/>
      <c r="B87" s="29"/>
      <c r="C87" s="29" t="s">
        <v>217</v>
      </c>
      <c r="D87" s="29" t="s">
        <v>11</v>
      </c>
      <c r="E87" s="29">
        <v>26</v>
      </c>
      <c r="F87" s="38">
        <f>E87*1500</f>
        <v>39000</v>
      </c>
      <c r="G87" s="38">
        <f>E87*500</f>
        <v>13000</v>
      </c>
      <c r="H87" s="38">
        <f>E87*1000</f>
        <v>26000</v>
      </c>
    </row>
    <row r="88" spans="1:8" x14ac:dyDescent="0.25">
      <c r="A88" s="29"/>
      <c r="B88" s="29"/>
      <c r="C88" s="29"/>
      <c r="D88" s="29" t="s">
        <v>13</v>
      </c>
      <c r="E88" s="29">
        <v>15</v>
      </c>
      <c r="F88" s="38">
        <f>E88*6500</f>
        <v>97500</v>
      </c>
      <c r="G88" s="38">
        <f>E88*4500</f>
        <v>67500</v>
      </c>
      <c r="H88" s="38">
        <f>E88*2000</f>
        <v>30000</v>
      </c>
    </row>
    <row r="89" spans="1:8" x14ac:dyDescent="0.25">
      <c r="A89" s="29"/>
      <c r="B89" s="29"/>
      <c r="C89" s="29"/>
      <c r="D89" s="29" t="s">
        <v>14</v>
      </c>
      <c r="E89" s="29">
        <v>4</v>
      </c>
      <c r="F89" s="38">
        <f>E89*8000</f>
        <v>32000</v>
      </c>
      <c r="G89" s="38">
        <f>E89*5500</f>
        <v>22000</v>
      </c>
      <c r="H89" s="38">
        <f>E89*2500</f>
        <v>10000</v>
      </c>
    </row>
    <row r="90" spans="1:8" x14ac:dyDescent="0.25">
      <c r="A90" s="29"/>
      <c r="B90" s="29"/>
      <c r="C90" s="29"/>
      <c r="D90" s="29" t="s">
        <v>14</v>
      </c>
      <c r="E90" s="29">
        <v>4</v>
      </c>
      <c r="F90" s="38">
        <f>E90*10000</f>
        <v>40000</v>
      </c>
      <c r="G90" s="38">
        <f>E90*5500</f>
        <v>22000</v>
      </c>
      <c r="H90" s="38">
        <f>E90*4500</f>
        <v>18000</v>
      </c>
    </row>
    <row r="91" spans="1:8" x14ac:dyDescent="0.25">
      <c r="A91" s="29"/>
      <c r="B91" s="29"/>
      <c r="C91" s="29"/>
      <c r="D91" s="29" t="s">
        <v>404</v>
      </c>
      <c r="E91" s="29">
        <v>8</v>
      </c>
      <c r="F91" s="38">
        <f>E91*2000</f>
        <v>16000</v>
      </c>
      <c r="G91" s="38">
        <v>8000</v>
      </c>
      <c r="H91" s="38">
        <v>8000</v>
      </c>
    </row>
    <row r="92" spans="1:8" x14ac:dyDescent="0.25">
      <c r="A92" s="29"/>
      <c r="B92" s="29"/>
      <c r="C92" s="29"/>
      <c r="D92" s="29" t="s">
        <v>441</v>
      </c>
      <c r="E92" s="29">
        <v>1</v>
      </c>
      <c r="F92" s="38">
        <v>3000</v>
      </c>
      <c r="G92" s="38">
        <v>1500</v>
      </c>
      <c r="H92" s="38">
        <v>1500</v>
      </c>
    </row>
    <row r="93" spans="1:8" x14ac:dyDescent="0.25">
      <c r="A93" s="29"/>
      <c r="B93" s="29"/>
      <c r="C93" s="29"/>
      <c r="D93" s="29" t="s">
        <v>432</v>
      </c>
      <c r="E93" s="29">
        <v>3</v>
      </c>
      <c r="F93" s="38">
        <f>E93*5000</f>
        <v>15000</v>
      </c>
      <c r="G93" s="38">
        <v>7500</v>
      </c>
      <c r="H93" s="38">
        <v>7500</v>
      </c>
    </row>
    <row r="94" spans="1:8" x14ac:dyDescent="0.25">
      <c r="A94" s="29"/>
      <c r="B94" s="29"/>
      <c r="C94" s="29"/>
      <c r="D94" s="29" t="s">
        <v>569</v>
      </c>
      <c r="E94" s="29">
        <v>1</v>
      </c>
      <c r="F94" s="38">
        <v>5000</v>
      </c>
      <c r="G94" s="38">
        <v>2500</v>
      </c>
      <c r="H94" s="38">
        <v>2500</v>
      </c>
    </row>
    <row r="95" spans="1:8" x14ac:dyDescent="0.25">
      <c r="A95" s="29"/>
      <c r="B95" s="29"/>
      <c r="C95" s="29" t="s">
        <v>20</v>
      </c>
      <c r="D95" s="29" t="s">
        <v>13</v>
      </c>
      <c r="E95" s="29">
        <v>20</v>
      </c>
      <c r="F95" s="38">
        <f>E95*6500</f>
        <v>130000</v>
      </c>
      <c r="G95" s="38">
        <f>E95*4500</f>
        <v>90000</v>
      </c>
      <c r="H95" s="38">
        <f>E95*2000</f>
        <v>40000</v>
      </c>
    </row>
    <row r="96" spans="1:8" x14ac:dyDescent="0.25">
      <c r="A96" s="29"/>
      <c r="B96" s="29"/>
      <c r="C96" s="29"/>
      <c r="D96" s="29" t="s">
        <v>14</v>
      </c>
      <c r="E96" s="29">
        <v>21</v>
      </c>
      <c r="F96" s="38">
        <f>E96*10000</f>
        <v>210000</v>
      </c>
      <c r="G96" s="38">
        <f>E96*5500</f>
        <v>115500</v>
      </c>
      <c r="H96" s="38">
        <f>E96*4500</f>
        <v>94500</v>
      </c>
    </row>
    <row r="97" spans="1:8" x14ac:dyDescent="0.25">
      <c r="A97" s="29"/>
      <c r="B97" s="29"/>
      <c r="C97" s="29"/>
      <c r="D97" s="29" t="s">
        <v>404</v>
      </c>
      <c r="E97" s="29">
        <v>2</v>
      </c>
      <c r="F97" s="38">
        <f>E97*2000</f>
        <v>4000</v>
      </c>
      <c r="G97" s="38">
        <v>2000</v>
      </c>
      <c r="H97" s="38">
        <v>2000</v>
      </c>
    </row>
    <row r="98" spans="1:8" x14ac:dyDescent="0.25">
      <c r="A98" s="29"/>
      <c r="B98" s="29"/>
      <c r="C98" s="29" t="s">
        <v>24</v>
      </c>
      <c r="D98" s="29" t="s">
        <v>21</v>
      </c>
      <c r="E98" s="29">
        <v>2</v>
      </c>
      <c r="F98" s="38">
        <f>E98*15000</f>
        <v>30000</v>
      </c>
      <c r="G98" s="38">
        <f>E98*10000</f>
        <v>20000</v>
      </c>
      <c r="H98" s="38">
        <v>10000</v>
      </c>
    </row>
    <row r="99" spans="1:8" x14ac:dyDescent="0.25">
      <c r="A99" s="29"/>
      <c r="B99" s="29"/>
      <c r="C99" s="29" t="s">
        <v>16</v>
      </c>
      <c r="D99" s="29" t="s">
        <v>11</v>
      </c>
      <c r="E99" s="29">
        <v>77</v>
      </c>
      <c r="F99" s="38">
        <f>E99*1500</f>
        <v>115500</v>
      </c>
      <c r="G99" s="38">
        <f>E99*500</f>
        <v>38500</v>
      </c>
      <c r="H99" s="38">
        <v>77000</v>
      </c>
    </row>
    <row r="100" spans="1:8" x14ac:dyDescent="0.25">
      <c r="A100" s="29"/>
      <c r="B100" s="29"/>
      <c r="C100" s="29"/>
      <c r="D100" s="29" t="s">
        <v>12</v>
      </c>
      <c r="E100" s="29">
        <v>6</v>
      </c>
      <c r="F100" s="38">
        <f>E100*3000</f>
        <v>18000</v>
      </c>
      <c r="G100" s="38">
        <f>E100*2000</f>
        <v>12000</v>
      </c>
      <c r="H100" s="38">
        <v>6000</v>
      </c>
    </row>
    <row r="101" spans="1:8" x14ac:dyDescent="0.25">
      <c r="A101" s="29"/>
      <c r="B101" s="29"/>
      <c r="C101" s="29"/>
      <c r="D101" s="29" t="s">
        <v>13</v>
      </c>
      <c r="E101" s="29">
        <v>1</v>
      </c>
      <c r="F101" s="38">
        <v>6500</v>
      </c>
      <c r="G101" s="38">
        <v>4500</v>
      </c>
      <c r="H101" s="38">
        <v>2000</v>
      </c>
    </row>
    <row r="102" spans="1:8" x14ac:dyDescent="0.25">
      <c r="A102" s="29"/>
      <c r="B102" s="29"/>
      <c r="C102" s="29"/>
      <c r="D102" s="29" t="s">
        <v>14</v>
      </c>
      <c r="E102" s="29">
        <v>2</v>
      </c>
      <c r="F102" s="38">
        <f>E102*10000</f>
        <v>20000</v>
      </c>
      <c r="G102" s="38">
        <f>E102*5500</f>
        <v>11000</v>
      </c>
      <c r="H102" s="38">
        <f>E102*4500</f>
        <v>9000</v>
      </c>
    </row>
    <row r="103" spans="1:8" x14ac:dyDescent="0.25">
      <c r="A103" s="29"/>
      <c r="B103" s="29"/>
      <c r="C103" s="29"/>
      <c r="D103" s="29" t="s">
        <v>243</v>
      </c>
      <c r="E103" s="29">
        <v>1</v>
      </c>
      <c r="F103" s="38">
        <v>13000</v>
      </c>
      <c r="G103" s="38">
        <v>10000</v>
      </c>
      <c r="H103" s="38">
        <v>3000</v>
      </c>
    </row>
    <row r="104" spans="1:8" x14ac:dyDescent="0.25">
      <c r="A104" s="29"/>
      <c r="B104" s="29"/>
      <c r="C104" s="29" t="s">
        <v>568</v>
      </c>
      <c r="D104" s="29" t="s">
        <v>11</v>
      </c>
      <c r="E104" s="29">
        <v>50</v>
      </c>
      <c r="F104" s="38">
        <f>E104*1500</f>
        <v>75000</v>
      </c>
      <c r="G104" s="38">
        <f>E104*500</f>
        <v>25000</v>
      </c>
      <c r="H104" s="38">
        <v>50000</v>
      </c>
    </row>
    <row r="105" spans="1:8" x14ac:dyDescent="0.25">
      <c r="A105" s="131" t="s">
        <v>17</v>
      </c>
      <c r="B105" s="132"/>
      <c r="C105" s="132"/>
      <c r="D105" s="133"/>
      <c r="E105" s="17">
        <f>SUM(E83:E104)</f>
        <v>491</v>
      </c>
      <c r="F105" s="17">
        <f>SUM(F83:F104)</f>
        <v>1240000</v>
      </c>
      <c r="G105" s="17">
        <f>SUM(G83:G104)</f>
        <v>596000</v>
      </c>
      <c r="H105" s="17">
        <f>SUM(H83:H104)</f>
        <v>644000</v>
      </c>
    </row>
    <row r="106" spans="1:8" x14ac:dyDescent="0.25">
      <c r="A106" s="29" t="s">
        <v>30</v>
      </c>
      <c r="B106" s="37">
        <v>45143</v>
      </c>
      <c r="C106" s="29" t="s">
        <v>338</v>
      </c>
      <c r="D106" s="29" t="s">
        <v>11</v>
      </c>
      <c r="E106" s="29">
        <v>68</v>
      </c>
      <c r="F106" s="38">
        <f>E106*1800</f>
        <v>122400</v>
      </c>
      <c r="G106" s="38">
        <f t="shared" ref="G106:G111" si="2">E106*500</f>
        <v>34000</v>
      </c>
      <c r="H106" s="38">
        <f>E106*1300</f>
        <v>88400</v>
      </c>
    </row>
    <row r="107" spans="1:8" x14ac:dyDescent="0.25">
      <c r="A107" s="29"/>
      <c r="B107" s="29"/>
      <c r="C107" s="29" t="s">
        <v>306</v>
      </c>
      <c r="D107" s="29" t="s">
        <v>11</v>
      </c>
      <c r="E107" s="29">
        <v>5</v>
      </c>
      <c r="F107" s="38">
        <f>E107*1800</f>
        <v>9000</v>
      </c>
      <c r="G107" s="38">
        <f t="shared" si="2"/>
        <v>2500</v>
      </c>
      <c r="H107" s="38">
        <f>E107*1300</f>
        <v>6500</v>
      </c>
    </row>
    <row r="108" spans="1:8" x14ac:dyDescent="0.25">
      <c r="A108" s="29"/>
      <c r="B108" s="29"/>
      <c r="C108" s="29" t="s">
        <v>572</v>
      </c>
      <c r="D108" s="29" t="s">
        <v>11</v>
      </c>
      <c r="E108" s="29">
        <v>50</v>
      </c>
      <c r="F108" s="38">
        <f>E108*1700</f>
        <v>85000</v>
      </c>
      <c r="G108" s="38">
        <f t="shared" si="2"/>
        <v>25000</v>
      </c>
      <c r="H108" s="38">
        <f>E108*1200</f>
        <v>60000</v>
      </c>
    </row>
    <row r="109" spans="1:8" x14ac:dyDescent="0.25">
      <c r="A109" s="29"/>
      <c r="B109" s="29"/>
      <c r="C109" s="29" t="s">
        <v>571</v>
      </c>
      <c r="D109" s="29" t="s">
        <v>11</v>
      </c>
      <c r="E109" s="29">
        <v>47</v>
      </c>
      <c r="F109" s="38">
        <f>E109*1700</f>
        <v>79900</v>
      </c>
      <c r="G109" s="38">
        <f t="shared" si="2"/>
        <v>23500</v>
      </c>
      <c r="H109" s="38">
        <f>E109*1200</f>
        <v>56400</v>
      </c>
    </row>
    <row r="110" spans="1:8" x14ac:dyDescent="0.25">
      <c r="A110" s="29"/>
      <c r="B110" s="29"/>
      <c r="C110" s="29" t="s">
        <v>308</v>
      </c>
      <c r="D110" s="29" t="s">
        <v>11</v>
      </c>
      <c r="E110" s="29">
        <v>16</v>
      </c>
      <c r="F110" s="38">
        <f>E110*1500</f>
        <v>24000</v>
      </c>
      <c r="G110" s="38">
        <f t="shared" si="2"/>
        <v>8000</v>
      </c>
      <c r="H110" s="38">
        <v>16000</v>
      </c>
    </row>
    <row r="111" spans="1:8" x14ac:dyDescent="0.25">
      <c r="A111" s="29"/>
      <c r="B111" s="29"/>
      <c r="C111" s="29" t="s">
        <v>217</v>
      </c>
      <c r="D111" s="29" t="s">
        <v>11</v>
      </c>
      <c r="E111" s="29">
        <v>7</v>
      </c>
      <c r="F111" s="38">
        <f>E111*1500</f>
        <v>10500</v>
      </c>
      <c r="G111" s="38">
        <f t="shared" si="2"/>
        <v>3500</v>
      </c>
      <c r="H111" s="38">
        <v>7000</v>
      </c>
    </row>
    <row r="112" spans="1:8" x14ac:dyDescent="0.25">
      <c r="A112" s="29"/>
      <c r="B112" s="29"/>
      <c r="C112" s="29"/>
      <c r="D112" s="29" t="s">
        <v>13</v>
      </c>
      <c r="E112" s="29">
        <v>1</v>
      </c>
      <c r="F112" s="38">
        <v>6500</v>
      </c>
      <c r="G112" s="38">
        <v>4500</v>
      </c>
      <c r="H112" s="38">
        <v>2000</v>
      </c>
    </row>
    <row r="113" spans="1:9" x14ac:dyDescent="0.25">
      <c r="A113" s="29"/>
      <c r="B113" s="29"/>
      <c r="C113" s="29"/>
      <c r="D113" s="29" t="s">
        <v>11</v>
      </c>
      <c r="E113" s="29">
        <v>20</v>
      </c>
      <c r="F113" s="38">
        <f>E113*1500</f>
        <v>30000</v>
      </c>
      <c r="G113" s="38">
        <f>E113*500</f>
        <v>10000</v>
      </c>
      <c r="H113" s="38">
        <v>20000</v>
      </c>
    </row>
    <row r="114" spans="1:9" x14ac:dyDescent="0.25">
      <c r="A114" s="29"/>
      <c r="B114" s="29"/>
      <c r="C114" s="29"/>
      <c r="D114" s="29" t="s">
        <v>13</v>
      </c>
      <c r="E114" s="29">
        <v>3</v>
      </c>
      <c r="F114" s="38">
        <f>E114*6500</f>
        <v>19500</v>
      </c>
      <c r="G114" s="38">
        <f>E114*4500</f>
        <v>13500</v>
      </c>
      <c r="H114" s="38">
        <f>E114*2000</f>
        <v>6000</v>
      </c>
    </row>
    <row r="115" spans="1:9" x14ac:dyDescent="0.25">
      <c r="A115" s="29"/>
      <c r="B115" s="29"/>
      <c r="C115" s="29"/>
      <c r="D115" s="29" t="s">
        <v>14</v>
      </c>
      <c r="E115" s="29">
        <v>2</v>
      </c>
      <c r="F115" s="38">
        <f>E115*8000</f>
        <v>16000</v>
      </c>
      <c r="G115" s="38">
        <f>E115*5500</f>
        <v>11000</v>
      </c>
      <c r="H115" s="38">
        <f>E115*2500</f>
        <v>5000</v>
      </c>
    </row>
    <row r="116" spans="1:9" x14ac:dyDescent="0.25">
      <c r="A116" s="29"/>
      <c r="B116" s="29"/>
      <c r="C116" s="29"/>
      <c r="D116" s="29"/>
      <c r="E116" s="29">
        <v>3</v>
      </c>
      <c r="F116" s="38">
        <f>E116*10000</f>
        <v>30000</v>
      </c>
      <c r="G116" s="38">
        <f>E116*5500</f>
        <v>16500</v>
      </c>
      <c r="H116" s="38">
        <f>E116*4500</f>
        <v>13500</v>
      </c>
    </row>
    <row r="117" spans="1:9" x14ac:dyDescent="0.25">
      <c r="A117" s="29"/>
      <c r="B117" s="29"/>
      <c r="C117" s="29"/>
      <c r="D117" s="29" t="s">
        <v>404</v>
      </c>
      <c r="E117" s="29">
        <v>4</v>
      </c>
      <c r="F117" s="38">
        <f>E117*2000</f>
        <v>8000</v>
      </c>
      <c r="G117" s="38">
        <v>4000</v>
      </c>
      <c r="H117" s="38">
        <v>4000</v>
      </c>
    </row>
    <row r="118" spans="1:9" x14ac:dyDescent="0.25">
      <c r="A118" s="29"/>
      <c r="B118" s="29"/>
      <c r="C118" s="29"/>
      <c r="D118" s="29" t="s">
        <v>415</v>
      </c>
      <c r="E118" s="29">
        <v>1</v>
      </c>
      <c r="F118" s="38">
        <v>5000</v>
      </c>
      <c r="G118" s="38">
        <v>2500</v>
      </c>
      <c r="H118" s="38">
        <v>2500</v>
      </c>
    </row>
    <row r="119" spans="1:9" x14ac:dyDescent="0.25">
      <c r="A119" s="29"/>
      <c r="B119" s="29"/>
      <c r="C119" s="29" t="s">
        <v>16</v>
      </c>
      <c r="D119" s="29" t="s">
        <v>11</v>
      </c>
      <c r="E119" s="29">
        <v>42</v>
      </c>
      <c r="F119" s="38">
        <f>E119*1500</f>
        <v>63000</v>
      </c>
      <c r="G119" s="38">
        <f>E119*500</f>
        <v>21000</v>
      </c>
      <c r="H119" s="38">
        <v>42000</v>
      </c>
    </row>
    <row r="120" spans="1:9" x14ac:dyDescent="0.25">
      <c r="A120" s="29"/>
      <c r="B120" s="29"/>
      <c r="C120" s="29"/>
      <c r="D120" s="29" t="s">
        <v>12</v>
      </c>
      <c r="E120" s="29">
        <v>2</v>
      </c>
      <c r="F120" s="38">
        <f>E120*3000</f>
        <v>6000</v>
      </c>
      <c r="G120" s="38">
        <v>4000</v>
      </c>
      <c r="H120" s="38">
        <v>2000</v>
      </c>
    </row>
    <row r="121" spans="1:9" x14ac:dyDescent="0.25">
      <c r="A121" s="131" t="s">
        <v>17</v>
      </c>
      <c r="B121" s="132"/>
      <c r="C121" s="132"/>
      <c r="D121" s="133"/>
      <c r="E121" s="17">
        <f>SUM(E106:E120)</f>
        <v>271</v>
      </c>
      <c r="F121" s="17">
        <f>SUM(F106:F120)</f>
        <v>514800</v>
      </c>
      <c r="G121" s="17">
        <f>SUM(G106:G120)</f>
        <v>183500</v>
      </c>
      <c r="H121" s="17">
        <f>SUM(H106:H120)</f>
        <v>331300</v>
      </c>
    </row>
    <row r="122" spans="1:9" x14ac:dyDescent="0.25">
      <c r="A122" s="29" t="s">
        <v>32</v>
      </c>
      <c r="B122" s="37">
        <v>45174</v>
      </c>
      <c r="C122" s="29" t="s">
        <v>338</v>
      </c>
      <c r="D122" s="29" t="s">
        <v>11</v>
      </c>
      <c r="E122" s="29">
        <v>75</v>
      </c>
      <c r="F122" s="38">
        <f>75*1800</f>
        <v>135000</v>
      </c>
      <c r="G122" s="38">
        <f>E122*500</f>
        <v>37500</v>
      </c>
      <c r="H122" s="38">
        <f>75*1300</f>
        <v>97500</v>
      </c>
      <c r="I122" s="35"/>
    </row>
    <row r="123" spans="1:9" x14ac:dyDescent="0.25">
      <c r="A123" s="29"/>
      <c r="B123" s="29"/>
      <c r="C123" s="29" t="s">
        <v>306</v>
      </c>
      <c r="D123" s="29" t="s">
        <v>11</v>
      </c>
      <c r="E123" s="29">
        <v>26</v>
      </c>
      <c r="F123" s="38">
        <f>E123*1500</f>
        <v>39000</v>
      </c>
      <c r="G123" s="38">
        <f>E123*500</f>
        <v>13000</v>
      </c>
      <c r="H123" s="38">
        <v>26000</v>
      </c>
      <c r="I123" s="35"/>
    </row>
    <row r="124" spans="1:9" x14ac:dyDescent="0.25">
      <c r="A124" s="29"/>
      <c r="B124" s="29"/>
      <c r="C124" s="29" t="s">
        <v>572</v>
      </c>
      <c r="D124" s="29" t="s">
        <v>11</v>
      </c>
      <c r="E124" s="29">
        <v>46</v>
      </c>
      <c r="F124" s="38">
        <f>E124*1500</f>
        <v>69000</v>
      </c>
      <c r="G124" s="38">
        <f>E124*500</f>
        <v>23000</v>
      </c>
      <c r="H124" s="38">
        <v>46000</v>
      </c>
      <c r="I124" s="35"/>
    </row>
    <row r="125" spans="1:9" x14ac:dyDescent="0.25">
      <c r="A125" s="29"/>
      <c r="B125" s="29"/>
      <c r="C125" s="29" t="s">
        <v>571</v>
      </c>
      <c r="D125" s="29" t="s">
        <v>11</v>
      </c>
      <c r="E125" s="29">
        <v>26</v>
      </c>
      <c r="F125" s="38">
        <f>E125*1500</f>
        <v>39000</v>
      </c>
      <c r="G125" s="38">
        <f>E125*500</f>
        <v>13000</v>
      </c>
      <c r="H125" s="38">
        <v>26000</v>
      </c>
      <c r="I125" s="35"/>
    </row>
    <row r="126" spans="1:9" x14ac:dyDescent="0.25">
      <c r="A126" s="29"/>
      <c r="B126" s="29"/>
      <c r="C126" s="29" t="s">
        <v>217</v>
      </c>
      <c r="D126" s="29" t="s">
        <v>11</v>
      </c>
      <c r="E126" s="29">
        <v>26</v>
      </c>
      <c r="F126" s="38">
        <f>E126*1500</f>
        <v>39000</v>
      </c>
      <c r="G126" s="38">
        <f>E126*500</f>
        <v>13000</v>
      </c>
      <c r="H126" s="38">
        <v>26000</v>
      </c>
      <c r="I126" s="35"/>
    </row>
    <row r="127" spans="1:9" x14ac:dyDescent="0.25">
      <c r="A127" s="29"/>
      <c r="B127" s="29"/>
      <c r="C127" s="29"/>
      <c r="D127" s="29" t="s">
        <v>13</v>
      </c>
      <c r="E127" s="29">
        <v>4</v>
      </c>
      <c r="F127" s="38">
        <f>4*6500</f>
        <v>26000</v>
      </c>
      <c r="G127" s="38">
        <v>18000</v>
      </c>
      <c r="H127" s="38">
        <v>8000</v>
      </c>
      <c r="I127" s="35"/>
    </row>
    <row r="128" spans="1:9" x14ac:dyDescent="0.25">
      <c r="A128" s="29"/>
      <c r="B128" s="29"/>
      <c r="C128" s="29"/>
      <c r="D128" s="29" t="s">
        <v>14</v>
      </c>
      <c r="E128" s="29">
        <v>2</v>
      </c>
      <c r="F128" s="38">
        <v>20000</v>
      </c>
      <c r="G128" s="38">
        <v>11000</v>
      </c>
      <c r="H128" s="38">
        <v>9000</v>
      </c>
      <c r="I128" s="35"/>
    </row>
    <row r="129" spans="1:9" x14ac:dyDescent="0.25">
      <c r="A129" s="29"/>
      <c r="B129" s="29"/>
      <c r="C129" s="29" t="s">
        <v>16</v>
      </c>
      <c r="D129" s="29" t="s">
        <v>11</v>
      </c>
      <c r="E129" s="29">
        <v>78</v>
      </c>
      <c r="F129" s="38">
        <f>78*1500</f>
        <v>117000</v>
      </c>
      <c r="G129" s="38">
        <f>78*500</f>
        <v>39000</v>
      </c>
      <c r="H129" s="38">
        <v>78000</v>
      </c>
      <c r="I129" s="35"/>
    </row>
    <row r="130" spans="1:9" x14ac:dyDescent="0.25">
      <c r="A130" s="29"/>
      <c r="B130" s="29"/>
      <c r="C130" s="29"/>
      <c r="D130" s="29" t="s">
        <v>12</v>
      </c>
      <c r="E130" s="29">
        <v>2</v>
      </c>
      <c r="F130" s="38">
        <v>6000</v>
      </c>
      <c r="G130" s="38">
        <v>4000</v>
      </c>
      <c r="H130" s="38">
        <v>2000</v>
      </c>
      <c r="I130" s="35"/>
    </row>
    <row r="131" spans="1:9" x14ac:dyDescent="0.25">
      <c r="A131" s="29"/>
      <c r="B131" s="29"/>
      <c r="C131" s="29"/>
      <c r="D131" s="29" t="s">
        <v>13</v>
      </c>
      <c r="E131" s="29">
        <v>2</v>
      </c>
      <c r="F131" s="38">
        <v>13000</v>
      </c>
      <c r="G131" s="38">
        <v>9000</v>
      </c>
      <c r="H131" s="38">
        <v>4000</v>
      </c>
      <c r="I131" s="35"/>
    </row>
    <row r="132" spans="1:9" x14ac:dyDescent="0.25">
      <c r="A132" s="29"/>
      <c r="B132" s="29"/>
      <c r="C132" s="29" t="s">
        <v>574</v>
      </c>
      <c r="D132" s="29" t="s">
        <v>14</v>
      </c>
      <c r="E132" s="29">
        <v>3</v>
      </c>
      <c r="F132" s="38">
        <v>30000</v>
      </c>
      <c r="G132" s="38">
        <f>3*5500</f>
        <v>16500</v>
      </c>
      <c r="H132" s="38">
        <f>3*4500</f>
        <v>13500</v>
      </c>
      <c r="I132" s="35"/>
    </row>
    <row r="133" spans="1:9" x14ac:dyDescent="0.25">
      <c r="A133" s="65"/>
      <c r="B133" s="66"/>
      <c r="C133" s="66" t="s">
        <v>568</v>
      </c>
      <c r="D133" s="67" t="s">
        <v>11</v>
      </c>
      <c r="E133" s="29">
        <v>30</v>
      </c>
      <c r="F133" s="38">
        <f>E133*1500</f>
        <v>45000</v>
      </c>
      <c r="G133" s="38">
        <f>E133*500</f>
        <v>15000</v>
      </c>
      <c r="H133" s="38">
        <v>30000</v>
      </c>
      <c r="I133" s="35"/>
    </row>
    <row r="134" spans="1:9" x14ac:dyDescent="0.25">
      <c r="A134" s="131" t="s">
        <v>17</v>
      </c>
      <c r="B134" s="132"/>
      <c r="C134" s="132"/>
      <c r="D134" s="133"/>
      <c r="E134" s="17">
        <f>SUM(E122:E133)</f>
        <v>320</v>
      </c>
      <c r="F134" s="17">
        <f>SUM(F122:F133)</f>
        <v>578000</v>
      </c>
      <c r="G134" s="17">
        <f>SUM(G122:G133)</f>
        <v>212000</v>
      </c>
      <c r="H134" s="17">
        <f>SUM(H122:H133)</f>
        <v>366000</v>
      </c>
    </row>
    <row r="135" spans="1:9" x14ac:dyDescent="0.25">
      <c r="A135" s="29" t="s">
        <v>8</v>
      </c>
      <c r="B135" s="37">
        <v>45204</v>
      </c>
      <c r="C135" s="29" t="s">
        <v>338</v>
      </c>
      <c r="D135" s="29" t="s">
        <v>11</v>
      </c>
      <c r="E135" s="29">
        <v>75</v>
      </c>
      <c r="F135" s="38">
        <f>E135*1800</f>
        <v>135000</v>
      </c>
      <c r="G135" s="38">
        <f t="shared" ref="G135:G140" si="3">E135*500</f>
        <v>37500</v>
      </c>
      <c r="H135" s="38">
        <f>E135*1300</f>
        <v>97500</v>
      </c>
    </row>
    <row r="136" spans="1:9" x14ac:dyDescent="0.25">
      <c r="A136" s="29"/>
      <c r="B136" s="29"/>
      <c r="C136" s="29" t="s">
        <v>209</v>
      </c>
      <c r="D136" s="29" t="s">
        <v>11</v>
      </c>
      <c r="E136" s="29">
        <f>25-9</f>
        <v>16</v>
      </c>
      <c r="F136" s="38">
        <f>E136*1500</f>
        <v>24000</v>
      </c>
      <c r="G136" s="38">
        <f t="shared" si="3"/>
        <v>8000</v>
      </c>
      <c r="H136" s="38">
        <v>16000</v>
      </c>
    </row>
    <row r="137" spans="1:9" x14ac:dyDescent="0.25">
      <c r="A137" s="29"/>
      <c r="B137" s="29"/>
      <c r="C137" s="29" t="s">
        <v>571</v>
      </c>
      <c r="D137" s="29" t="s">
        <v>11</v>
      </c>
      <c r="E137" s="29">
        <v>42</v>
      </c>
      <c r="F137" s="38">
        <f>E137*1700</f>
        <v>71400</v>
      </c>
      <c r="G137" s="38">
        <f t="shared" si="3"/>
        <v>21000</v>
      </c>
      <c r="H137" s="38">
        <f>E137*1200</f>
        <v>50400</v>
      </c>
    </row>
    <row r="138" spans="1:9" x14ac:dyDescent="0.25">
      <c r="A138" s="29"/>
      <c r="B138" s="29"/>
      <c r="C138" s="29" t="s">
        <v>308</v>
      </c>
      <c r="D138" s="29" t="s">
        <v>11</v>
      </c>
      <c r="E138" s="29">
        <v>13</v>
      </c>
      <c r="F138" s="38">
        <f>E138*1500</f>
        <v>19500</v>
      </c>
      <c r="G138" s="38">
        <f t="shared" si="3"/>
        <v>6500</v>
      </c>
      <c r="H138" s="38">
        <v>13000</v>
      </c>
    </row>
    <row r="139" spans="1:9" x14ac:dyDescent="0.25">
      <c r="A139" s="29"/>
      <c r="B139" s="29"/>
      <c r="C139" s="29" t="s">
        <v>217</v>
      </c>
      <c r="D139" s="29" t="s">
        <v>11</v>
      </c>
      <c r="E139" s="29">
        <v>17</v>
      </c>
      <c r="F139" s="38">
        <f>E139*1500</f>
        <v>25500</v>
      </c>
      <c r="G139" s="38">
        <f t="shared" si="3"/>
        <v>8500</v>
      </c>
      <c r="H139" s="38">
        <v>17000</v>
      </c>
    </row>
    <row r="140" spans="1:9" x14ac:dyDescent="0.25">
      <c r="A140" s="29"/>
      <c r="B140" s="29"/>
      <c r="C140" s="29"/>
      <c r="D140" s="29" t="s">
        <v>13</v>
      </c>
      <c r="E140" s="29">
        <v>3</v>
      </c>
      <c r="F140" s="38">
        <f>E140*6500</f>
        <v>19500</v>
      </c>
      <c r="G140" s="38">
        <f t="shared" si="3"/>
        <v>1500</v>
      </c>
      <c r="H140" s="38">
        <f>E140*2000</f>
        <v>6000</v>
      </c>
    </row>
    <row r="141" spans="1:9" x14ac:dyDescent="0.25">
      <c r="A141" s="29"/>
      <c r="B141" s="29"/>
      <c r="C141" s="29"/>
      <c r="D141" s="29" t="s">
        <v>14</v>
      </c>
      <c r="E141" s="29">
        <v>1</v>
      </c>
      <c r="F141" s="38">
        <v>10000</v>
      </c>
      <c r="G141" s="38">
        <v>5500</v>
      </c>
      <c r="H141" s="38">
        <v>4500</v>
      </c>
    </row>
    <row r="142" spans="1:9" x14ac:dyDescent="0.25">
      <c r="A142" s="29"/>
      <c r="B142" s="29"/>
      <c r="C142" s="29"/>
      <c r="D142" s="29" t="s">
        <v>404</v>
      </c>
      <c r="E142" s="29">
        <v>4</v>
      </c>
      <c r="F142" s="38">
        <f>E142*2000</f>
        <v>8000</v>
      </c>
      <c r="G142" s="38">
        <v>4000</v>
      </c>
      <c r="H142" s="38">
        <v>4000</v>
      </c>
    </row>
    <row r="143" spans="1:9" x14ac:dyDescent="0.25">
      <c r="A143" s="29"/>
      <c r="B143" s="29"/>
      <c r="C143" s="29"/>
      <c r="D143" s="29" t="s">
        <v>441</v>
      </c>
      <c r="E143" s="29">
        <v>1</v>
      </c>
      <c r="F143" s="38">
        <v>3000</v>
      </c>
      <c r="G143" s="38">
        <v>1500</v>
      </c>
      <c r="H143" s="38">
        <v>1500</v>
      </c>
    </row>
    <row r="144" spans="1:9" x14ac:dyDescent="0.25">
      <c r="A144" s="29"/>
      <c r="B144" s="29"/>
      <c r="C144" s="29" t="s">
        <v>16</v>
      </c>
      <c r="D144" s="29" t="s">
        <v>11</v>
      </c>
      <c r="E144" s="29">
        <v>63</v>
      </c>
      <c r="F144" s="38">
        <f>E144*1500</f>
        <v>94500</v>
      </c>
      <c r="G144" s="38">
        <f>E144*500</f>
        <v>31500</v>
      </c>
      <c r="H144" s="38">
        <v>63000</v>
      </c>
    </row>
    <row r="145" spans="1:8" x14ac:dyDescent="0.25">
      <c r="A145" s="29"/>
      <c r="B145" s="29"/>
      <c r="C145" s="29"/>
      <c r="D145" s="29" t="s">
        <v>12</v>
      </c>
      <c r="E145" s="29">
        <v>4</v>
      </c>
      <c r="F145" s="38">
        <f>E145*3000</f>
        <v>12000</v>
      </c>
      <c r="G145" s="38">
        <f>E145*2000</f>
        <v>8000</v>
      </c>
      <c r="H145" s="38">
        <v>4000</v>
      </c>
    </row>
    <row r="146" spans="1:8" x14ac:dyDescent="0.25">
      <c r="A146" s="29"/>
      <c r="B146" s="29"/>
      <c r="C146" s="29"/>
      <c r="D146" s="29" t="s">
        <v>13</v>
      </c>
      <c r="E146" s="29">
        <v>1</v>
      </c>
      <c r="F146" s="38">
        <v>6500</v>
      </c>
      <c r="G146" s="38">
        <v>4500</v>
      </c>
      <c r="H146" s="38">
        <v>2000</v>
      </c>
    </row>
    <row r="147" spans="1:8" x14ac:dyDescent="0.25">
      <c r="A147" s="29"/>
      <c r="B147" s="29"/>
      <c r="C147" s="29" t="s">
        <v>127</v>
      </c>
      <c r="D147" s="29" t="s">
        <v>21</v>
      </c>
      <c r="E147" s="29">
        <v>5</v>
      </c>
      <c r="F147" s="38">
        <f>E147*15000</f>
        <v>75000</v>
      </c>
      <c r="G147" s="38">
        <f>E147*10000</f>
        <v>50000</v>
      </c>
      <c r="H147" s="38">
        <f>E147*5000</f>
        <v>25000</v>
      </c>
    </row>
    <row r="148" spans="1:8" x14ac:dyDescent="0.25">
      <c r="A148" s="29"/>
      <c r="B148" s="29"/>
      <c r="C148" s="29"/>
      <c r="D148" s="29" t="s">
        <v>243</v>
      </c>
      <c r="E148" s="29">
        <v>1</v>
      </c>
      <c r="F148" s="38">
        <v>13000</v>
      </c>
      <c r="G148" s="38">
        <v>10000</v>
      </c>
      <c r="H148" s="38">
        <v>3000</v>
      </c>
    </row>
    <row r="149" spans="1:8" x14ac:dyDescent="0.25">
      <c r="A149" s="128" t="s">
        <v>17</v>
      </c>
      <c r="B149" s="129"/>
      <c r="C149" s="129"/>
      <c r="D149" s="130"/>
      <c r="E149" s="17">
        <f>SUM(E135:E148)</f>
        <v>246</v>
      </c>
      <c r="F149" s="17">
        <f>SUM(F135:F148)</f>
        <v>516900</v>
      </c>
      <c r="G149" s="17">
        <f>SUM(G135:G148)</f>
        <v>198000</v>
      </c>
      <c r="H149" s="17">
        <f>SUM(H135:H148)</f>
        <v>306900</v>
      </c>
    </row>
    <row r="150" spans="1:8" x14ac:dyDescent="0.25">
      <c r="A150" s="29" t="s">
        <v>18</v>
      </c>
      <c r="B150" s="37">
        <v>45235</v>
      </c>
      <c r="C150" s="29" t="s">
        <v>338</v>
      </c>
      <c r="D150" s="29" t="s">
        <v>11</v>
      </c>
      <c r="E150" s="29">
        <v>75</v>
      </c>
      <c r="F150" s="38">
        <f>E150*1800</f>
        <v>135000</v>
      </c>
      <c r="G150" s="38">
        <f t="shared" ref="G150:G155" si="4">E150*500</f>
        <v>37500</v>
      </c>
      <c r="H150" s="38">
        <f>E150*1300</f>
        <v>97500</v>
      </c>
    </row>
    <row r="151" spans="1:8" x14ac:dyDescent="0.25">
      <c r="A151" s="29"/>
      <c r="B151" s="29"/>
      <c r="C151" s="29" t="s">
        <v>306</v>
      </c>
      <c r="D151" s="29" t="s">
        <v>11</v>
      </c>
      <c r="E151" s="29">
        <v>50</v>
      </c>
      <c r="F151" s="38">
        <f>E151*1800</f>
        <v>90000</v>
      </c>
      <c r="G151" s="38">
        <f t="shared" si="4"/>
        <v>25000</v>
      </c>
      <c r="H151" s="38">
        <f>E151*1300</f>
        <v>65000</v>
      </c>
    </row>
    <row r="152" spans="1:8" x14ac:dyDescent="0.25">
      <c r="A152" s="29"/>
      <c r="B152" s="29"/>
      <c r="C152" s="29" t="s">
        <v>572</v>
      </c>
      <c r="D152" s="29" t="s">
        <v>11</v>
      </c>
      <c r="E152" s="29">
        <v>104</v>
      </c>
      <c r="F152" s="38">
        <f>E152*1700</f>
        <v>176800</v>
      </c>
      <c r="G152" s="38">
        <f t="shared" si="4"/>
        <v>52000</v>
      </c>
      <c r="H152" s="38">
        <f>E152*1200</f>
        <v>124800</v>
      </c>
    </row>
    <row r="153" spans="1:8" x14ac:dyDescent="0.25">
      <c r="A153" s="29"/>
      <c r="B153" s="29"/>
      <c r="C153" s="29" t="s">
        <v>571</v>
      </c>
      <c r="D153" s="29" t="s">
        <v>11</v>
      </c>
      <c r="E153" s="29">
        <v>38</v>
      </c>
      <c r="F153" s="38">
        <f>E153*1700</f>
        <v>64600</v>
      </c>
      <c r="G153" s="38">
        <f t="shared" si="4"/>
        <v>19000</v>
      </c>
      <c r="H153" s="38">
        <f>E153*1200</f>
        <v>45600</v>
      </c>
    </row>
    <row r="154" spans="1:8" x14ac:dyDescent="0.25">
      <c r="A154" s="29"/>
      <c r="B154" s="29"/>
      <c r="C154" s="29" t="s">
        <v>308</v>
      </c>
      <c r="D154" s="29" t="s">
        <v>11</v>
      </c>
      <c r="E154" s="29">
        <v>18</v>
      </c>
      <c r="F154" s="38">
        <f>E154*1500</f>
        <v>27000</v>
      </c>
      <c r="G154" s="38">
        <f t="shared" si="4"/>
        <v>9000</v>
      </c>
      <c r="H154" s="38">
        <v>18000</v>
      </c>
    </row>
    <row r="155" spans="1:8" x14ac:dyDescent="0.25">
      <c r="A155" s="29"/>
      <c r="B155" s="29"/>
      <c r="C155" s="29" t="s">
        <v>16</v>
      </c>
      <c r="D155" s="29" t="s">
        <v>11</v>
      </c>
      <c r="E155" s="29">
        <v>45</v>
      </c>
      <c r="F155" s="38">
        <f>E155*1500</f>
        <v>67500</v>
      </c>
      <c r="G155" s="38">
        <f t="shared" si="4"/>
        <v>22500</v>
      </c>
      <c r="H155" s="38">
        <v>18000</v>
      </c>
    </row>
    <row r="156" spans="1:8" x14ac:dyDescent="0.25">
      <c r="A156" s="29"/>
      <c r="B156" s="29"/>
      <c r="C156" s="29"/>
      <c r="D156" s="29" t="s">
        <v>12</v>
      </c>
      <c r="E156" s="29">
        <v>2</v>
      </c>
      <c r="F156" s="38">
        <f>SUM(E156*3000)</f>
        <v>6000</v>
      </c>
      <c r="G156" s="38">
        <v>4000</v>
      </c>
      <c r="H156" s="38">
        <v>2000</v>
      </c>
    </row>
    <row r="157" spans="1:8" x14ac:dyDescent="0.25">
      <c r="A157" s="29"/>
      <c r="B157" s="29"/>
      <c r="C157" s="29"/>
      <c r="D157" s="29" t="s">
        <v>13</v>
      </c>
      <c r="E157" s="29">
        <v>1</v>
      </c>
      <c r="F157" s="38">
        <v>6500</v>
      </c>
      <c r="G157" s="38">
        <v>4500</v>
      </c>
      <c r="H157" s="38">
        <v>2000</v>
      </c>
    </row>
    <row r="158" spans="1:8" x14ac:dyDescent="0.25">
      <c r="A158" s="29"/>
      <c r="B158" s="29"/>
      <c r="C158" s="29"/>
      <c r="D158" s="29" t="s">
        <v>243</v>
      </c>
      <c r="E158" s="29">
        <v>1</v>
      </c>
      <c r="F158" s="38">
        <v>13000</v>
      </c>
      <c r="G158" s="38">
        <v>10000</v>
      </c>
      <c r="H158" s="38">
        <v>3000</v>
      </c>
    </row>
    <row r="159" spans="1:8" x14ac:dyDescent="0.25">
      <c r="A159" s="29"/>
      <c r="B159" s="29"/>
      <c r="C159" s="29" t="s">
        <v>217</v>
      </c>
      <c r="D159" s="29" t="s">
        <v>11</v>
      </c>
      <c r="E159" s="29">
        <v>5</v>
      </c>
      <c r="F159" s="38">
        <f>E159*1500</f>
        <v>7500</v>
      </c>
      <c r="G159" s="38">
        <f>E159*500</f>
        <v>2500</v>
      </c>
      <c r="H159" s="38">
        <v>5000</v>
      </c>
    </row>
    <row r="160" spans="1:8" x14ac:dyDescent="0.25">
      <c r="A160" s="29"/>
      <c r="B160" s="29"/>
      <c r="C160" s="29"/>
      <c r="D160" s="29" t="s">
        <v>13</v>
      </c>
      <c r="E160" s="29">
        <v>4</v>
      </c>
      <c r="F160" s="38">
        <f>E160*6500</f>
        <v>26000</v>
      </c>
      <c r="G160" s="38">
        <f>E160*4500</f>
        <v>18000</v>
      </c>
      <c r="H160" s="38">
        <f>E160*2000</f>
        <v>8000</v>
      </c>
    </row>
    <row r="161" spans="1:8" x14ac:dyDescent="0.25">
      <c r="A161" s="29"/>
      <c r="B161" s="29"/>
      <c r="C161" s="29"/>
      <c r="D161" s="29" t="s">
        <v>14</v>
      </c>
      <c r="E161" s="29">
        <v>7</v>
      </c>
      <c r="F161" s="38">
        <f>E161*10000</f>
        <v>70000</v>
      </c>
      <c r="G161" s="38">
        <f>E161*5500</f>
        <v>38500</v>
      </c>
      <c r="H161" s="38">
        <f>E161*4500</f>
        <v>31500</v>
      </c>
    </row>
    <row r="162" spans="1:8" x14ac:dyDescent="0.25">
      <c r="A162" s="29"/>
      <c r="B162" s="29"/>
      <c r="C162" s="29" t="s">
        <v>568</v>
      </c>
      <c r="D162" s="29" t="s">
        <v>11</v>
      </c>
      <c r="E162" s="29">
        <v>50</v>
      </c>
      <c r="F162" s="38">
        <f>E162*1500</f>
        <v>75000</v>
      </c>
      <c r="G162" s="38">
        <f>E162*500</f>
        <v>25000</v>
      </c>
      <c r="H162" s="38">
        <v>50000</v>
      </c>
    </row>
    <row r="163" spans="1:8" x14ac:dyDescent="0.25">
      <c r="A163" s="131" t="s">
        <v>17</v>
      </c>
      <c r="B163" s="132"/>
      <c r="C163" s="132"/>
      <c r="D163" s="133"/>
      <c r="E163" s="17">
        <f>SUM(E150:E162)</f>
        <v>400</v>
      </c>
      <c r="F163" s="17">
        <f>SUM(F150:F162)</f>
        <v>764900</v>
      </c>
      <c r="G163" s="17">
        <f>SUM(G150:G162)</f>
        <v>267500</v>
      </c>
      <c r="H163" s="17">
        <f>SUM(H150:H162)</f>
        <v>470400</v>
      </c>
    </row>
    <row r="164" spans="1:8" x14ac:dyDescent="0.25">
      <c r="A164" s="29" t="s">
        <v>22</v>
      </c>
      <c r="B164" s="37">
        <v>45265</v>
      </c>
      <c r="C164" s="29" t="s">
        <v>16</v>
      </c>
      <c r="D164" s="29" t="s">
        <v>11</v>
      </c>
      <c r="E164" s="29">
        <v>45</v>
      </c>
      <c r="F164" s="38">
        <f>E164*1500</f>
        <v>67500</v>
      </c>
      <c r="G164" s="38">
        <f>E164*500</f>
        <v>22500</v>
      </c>
      <c r="H164" s="38">
        <v>45000</v>
      </c>
    </row>
    <row r="165" spans="1:8" x14ac:dyDescent="0.25">
      <c r="A165" s="29"/>
      <c r="B165" s="29"/>
      <c r="C165" s="29"/>
      <c r="D165" s="29" t="s">
        <v>12</v>
      </c>
      <c r="E165" s="29">
        <v>2</v>
      </c>
      <c r="F165" s="38">
        <f>E165*3000</f>
        <v>6000</v>
      </c>
      <c r="G165" s="38">
        <f>E165*2000</f>
        <v>4000</v>
      </c>
      <c r="H165" s="38">
        <v>2000</v>
      </c>
    </row>
    <row r="166" spans="1:8" x14ac:dyDescent="0.25">
      <c r="A166" s="29"/>
      <c r="B166" s="29"/>
      <c r="C166" s="29"/>
      <c r="D166" s="29" t="s">
        <v>13</v>
      </c>
      <c r="E166" s="29">
        <v>1</v>
      </c>
      <c r="F166" s="38">
        <v>6500</v>
      </c>
      <c r="G166" s="38">
        <v>4500</v>
      </c>
      <c r="H166" s="38">
        <v>2000</v>
      </c>
    </row>
    <row r="167" spans="1:8" x14ac:dyDescent="0.25">
      <c r="A167" s="29"/>
      <c r="B167" s="29"/>
      <c r="C167" s="29"/>
      <c r="D167" s="29" t="s">
        <v>243</v>
      </c>
      <c r="E167" s="29">
        <v>1</v>
      </c>
      <c r="F167" s="38">
        <v>13000</v>
      </c>
      <c r="G167" s="38">
        <v>10000</v>
      </c>
      <c r="H167" s="38">
        <v>3000</v>
      </c>
    </row>
    <row r="168" spans="1:8" x14ac:dyDescent="0.25">
      <c r="A168" s="29"/>
      <c r="B168" s="29"/>
      <c r="C168" s="29" t="s">
        <v>217</v>
      </c>
      <c r="D168" s="29" t="s">
        <v>11</v>
      </c>
      <c r="E168" s="29">
        <v>5</v>
      </c>
      <c r="F168" s="38">
        <f>E168*1500</f>
        <v>7500</v>
      </c>
      <c r="G168" s="38">
        <f>E168*500</f>
        <v>2500</v>
      </c>
      <c r="H168" s="38">
        <v>5000</v>
      </c>
    </row>
    <row r="169" spans="1:8" x14ac:dyDescent="0.25">
      <c r="A169" s="29"/>
      <c r="B169" s="29"/>
      <c r="C169" s="29"/>
      <c r="D169" s="29" t="s">
        <v>13</v>
      </c>
      <c r="E169" s="29">
        <v>4</v>
      </c>
      <c r="F169" s="38">
        <f>E169*6500</f>
        <v>26000</v>
      </c>
      <c r="G169" s="38">
        <f>E169*4500</f>
        <v>18000</v>
      </c>
      <c r="H169" s="38">
        <v>8000</v>
      </c>
    </row>
    <row r="170" spans="1:8" x14ac:dyDescent="0.25">
      <c r="A170" s="29"/>
      <c r="B170" s="29"/>
      <c r="C170" s="29"/>
      <c r="D170" s="29" t="s">
        <v>14</v>
      </c>
      <c r="E170" s="29">
        <v>7</v>
      </c>
      <c r="F170" s="38">
        <f>E170*10000</f>
        <v>70000</v>
      </c>
      <c r="G170" s="38">
        <f>E170*5500</f>
        <v>38500</v>
      </c>
      <c r="H170" s="38">
        <f>E170*4500</f>
        <v>31500</v>
      </c>
    </row>
    <row r="171" spans="1:8" x14ac:dyDescent="0.25">
      <c r="A171" s="29"/>
      <c r="B171" s="29"/>
      <c r="C171" s="29"/>
      <c r="D171" s="29" t="s">
        <v>404</v>
      </c>
      <c r="E171" s="29">
        <v>3</v>
      </c>
      <c r="F171" s="38">
        <f>E171*2000</f>
        <v>6000</v>
      </c>
      <c r="G171" s="38">
        <v>3000</v>
      </c>
      <c r="H171" s="38">
        <v>3000</v>
      </c>
    </row>
    <row r="172" spans="1:8" x14ac:dyDescent="0.25">
      <c r="A172" s="29"/>
      <c r="B172" s="29"/>
      <c r="C172" s="29"/>
      <c r="D172" s="29" t="s">
        <v>415</v>
      </c>
      <c r="E172" s="29">
        <v>2</v>
      </c>
      <c r="F172" s="38">
        <v>10000</v>
      </c>
      <c r="G172" s="38">
        <v>5000</v>
      </c>
      <c r="H172" s="38">
        <v>5000</v>
      </c>
    </row>
    <row r="173" spans="1:8" x14ac:dyDescent="0.25">
      <c r="A173" s="29"/>
      <c r="B173" s="29"/>
      <c r="C173" s="29" t="s">
        <v>338</v>
      </c>
      <c r="D173" s="29" t="s">
        <v>11</v>
      </c>
      <c r="E173" s="29">
        <v>75</v>
      </c>
      <c r="F173" s="38">
        <f>E173*1800</f>
        <v>135000</v>
      </c>
      <c r="G173" s="38">
        <f t="shared" ref="G173:G178" si="5">E173*500</f>
        <v>37500</v>
      </c>
      <c r="H173" s="38">
        <f>E173*1300</f>
        <v>97500</v>
      </c>
    </row>
    <row r="174" spans="1:8" x14ac:dyDescent="0.25">
      <c r="A174" s="29"/>
      <c r="B174" s="29"/>
      <c r="C174" s="29" t="s">
        <v>306</v>
      </c>
      <c r="D174" s="29" t="s">
        <v>11</v>
      </c>
      <c r="E174" s="29">
        <v>50</v>
      </c>
      <c r="F174" s="38">
        <f>E174*1800</f>
        <v>90000</v>
      </c>
      <c r="G174" s="38">
        <f t="shared" si="5"/>
        <v>25000</v>
      </c>
      <c r="H174" s="38">
        <f>E174*1300</f>
        <v>65000</v>
      </c>
    </row>
    <row r="175" spans="1:8" x14ac:dyDescent="0.25">
      <c r="A175" s="29"/>
      <c r="B175" s="29"/>
      <c r="C175" s="29" t="s">
        <v>572</v>
      </c>
      <c r="D175" s="29" t="s">
        <v>11</v>
      </c>
      <c r="E175" s="29">
        <v>103</v>
      </c>
      <c r="F175" s="38">
        <f>E175*1700</f>
        <v>175100</v>
      </c>
      <c r="G175" s="38">
        <f t="shared" si="5"/>
        <v>51500</v>
      </c>
      <c r="H175" s="38">
        <f>E175*1200</f>
        <v>123600</v>
      </c>
    </row>
    <row r="176" spans="1:8" x14ac:dyDescent="0.25">
      <c r="A176" s="29"/>
      <c r="B176" s="29"/>
      <c r="C176" s="29" t="s">
        <v>571</v>
      </c>
      <c r="D176" s="29" t="s">
        <v>11</v>
      </c>
      <c r="E176" s="29">
        <v>33</v>
      </c>
      <c r="F176" s="38">
        <f>E176*1700</f>
        <v>56100</v>
      </c>
      <c r="G176" s="38">
        <f t="shared" si="5"/>
        <v>16500</v>
      </c>
      <c r="H176" s="38">
        <f>E176*1200</f>
        <v>39600</v>
      </c>
    </row>
    <row r="177" spans="1:8" x14ac:dyDescent="0.25">
      <c r="A177" s="29"/>
      <c r="B177" s="29"/>
      <c r="C177" s="29" t="s">
        <v>209</v>
      </c>
      <c r="D177" s="29" t="s">
        <v>11</v>
      </c>
      <c r="E177" s="29">
        <v>25</v>
      </c>
      <c r="F177" s="38">
        <f>E177*1500</f>
        <v>37500</v>
      </c>
      <c r="G177" s="38">
        <f t="shared" si="5"/>
        <v>12500</v>
      </c>
      <c r="H177" s="38">
        <v>25000</v>
      </c>
    </row>
    <row r="178" spans="1:8" x14ac:dyDescent="0.25">
      <c r="A178" s="29"/>
      <c r="B178" s="29"/>
      <c r="C178" s="29" t="s">
        <v>308</v>
      </c>
      <c r="D178" s="29" t="s">
        <v>11</v>
      </c>
      <c r="E178" s="29">
        <v>18</v>
      </c>
      <c r="F178" s="38">
        <f>E178*1500</f>
        <v>27000</v>
      </c>
      <c r="G178" s="38">
        <f t="shared" si="5"/>
        <v>9000</v>
      </c>
      <c r="H178" s="38">
        <v>18000</v>
      </c>
    </row>
    <row r="179" spans="1:8" x14ac:dyDescent="0.25">
      <c r="A179" s="29"/>
      <c r="B179" s="131" t="s">
        <v>17</v>
      </c>
      <c r="C179" s="132"/>
      <c r="D179" s="133"/>
      <c r="E179" s="17">
        <f>SUM(E164:E178)</f>
        <v>374</v>
      </c>
      <c r="F179" s="17">
        <f>SUM(F164:F178)</f>
        <v>733200</v>
      </c>
      <c r="G179" s="17">
        <f>SUM(G164:G178)</f>
        <v>260000</v>
      </c>
      <c r="H179" s="17">
        <f>SUM(H164:H178)</f>
        <v>473200</v>
      </c>
    </row>
    <row r="180" spans="1:8" x14ac:dyDescent="0.25">
      <c r="A180" s="29" t="s">
        <v>26</v>
      </c>
      <c r="B180" s="29" t="s">
        <v>575</v>
      </c>
      <c r="C180" s="29" t="s">
        <v>16</v>
      </c>
      <c r="D180" s="29" t="s">
        <v>11</v>
      </c>
      <c r="E180" s="29">
        <v>32</v>
      </c>
      <c r="F180" s="38">
        <f>E180*1500</f>
        <v>48000</v>
      </c>
      <c r="G180" s="38">
        <f>E180*500</f>
        <v>16000</v>
      </c>
      <c r="H180" s="38">
        <v>32000</v>
      </c>
    </row>
    <row r="181" spans="1:8" x14ac:dyDescent="0.25">
      <c r="A181" s="29"/>
      <c r="B181" s="29"/>
      <c r="C181" s="29" t="s">
        <v>217</v>
      </c>
      <c r="D181" s="29" t="s">
        <v>11</v>
      </c>
      <c r="E181" s="29">
        <v>30</v>
      </c>
      <c r="F181" s="38">
        <f>E181*1500</f>
        <v>45000</v>
      </c>
      <c r="G181" s="38">
        <f>E181*500</f>
        <v>15000</v>
      </c>
      <c r="H181" s="38">
        <v>30000</v>
      </c>
    </row>
    <row r="182" spans="1:8" x14ac:dyDescent="0.25">
      <c r="A182" s="29"/>
      <c r="B182" s="29"/>
      <c r="C182" s="29"/>
      <c r="D182" s="29" t="s">
        <v>13</v>
      </c>
      <c r="E182" s="29">
        <v>11</v>
      </c>
      <c r="F182" s="38">
        <f>E182*6500</f>
        <v>71500</v>
      </c>
      <c r="G182" s="38">
        <f>E182*4500</f>
        <v>49500</v>
      </c>
      <c r="H182" s="38">
        <f>E182*2000</f>
        <v>22000</v>
      </c>
    </row>
    <row r="183" spans="1:8" x14ac:dyDescent="0.25">
      <c r="A183" s="29"/>
      <c r="B183" s="29"/>
      <c r="C183" s="29"/>
      <c r="D183" s="29" t="s">
        <v>14</v>
      </c>
      <c r="E183" s="29">
        <v>4</v>
      </c>
      <c r="F183" s="38">
        <f>E183*10000</f>
        <v>40000</v>
      </c>
      <c r="G183" s="38">
        <f>E183*5500</f>
        <v>22000</v>
      </c>
      <c r="H183" s="38">
        <f>E183*4500</f>
        <v>18000</v>
      </c>
    </row>
    <row r="184" spans="1:8" x14ac:dyDescent="0.25">
      <c r="A184" s="29"/>
      <c r="B184" s="29"/>
      <c r="C184" s="29"/>
      <c r="D184" s="29" t="s">
        <v>425</v>
      </c>
      <c r="E184" s="29">
        <v>11</v>
      </c>
      <c r="F184" s="38">
        <f>E184*2000</f>
        <v>22000</v>
      </c>
      <c r="G184" s="38">
        <v>11000</v>
      </c>
      <c r="H184" s="38">
        <v>11000</v>
      </c>
    </row>
    <row r="185" spans="1:8" x14ac:dyDescent="0.25">
      <c r="A185" s="29"/>
      <c r="B185" s="29"/>
      <c r="C185" s="29"/>
      <c r="D185" s="29" t="s">
        <v>432</v>
      </c>
      <c r="E185" s="29">
        <v>3</v>
      </c>
      <c r="F185" s="38">
        <f>E185*5000</f>
        <v>15000</v>
      </c>
      <c r="G185" s="38">
        <v>7500</v>
      </c>
      <c r="H185" s="38">
        <v>7500</v>
      </c>
    </row>
    <row r="186" spans="1:8" x14ac:dyDescent="0.25">
      <c r="A186" s="29"/>
      <c r="B186" s="29"/>
      <c r="C186" s="29"/>
      <c r="D186" s="29" t="s">
        <v>415</v>
      </c>
      <c r="E186" s="29">
        <v>1</v>
      </c>
      <c r="F186" s="38">
        <v>5000</v>
      </c>
      <c r="G186" s="38">
        <v>2500</v>
      </c>
      <c r="H186" s="38">
        <v>2500</v>
      </c>
    </row>
    <row r="187" spans="1:8" x14ac:dyDescent="0.25">
      <c r="A187" s="29"/>
      <c r="B187" s="29"/>
      <c r="C187" s="29" t="s">
        <v>568</v>
      </c>
      <c r="D187" s="29" t="s">
        <v>11</v>
      </c>
      <c r="E187" s="29">
        <v>50</v>
      </c>
      <c r="F187" s="38">
        <f>E187*1500</f>
        <v>75000</v>
      </c>
      <c r="G187" s="38">
        <f>E187*500</f>
        <v>25000</v>
      </c>
      <c r="H187" s="38">
        <v>25000</v>
      </c>
    </row>
    <row r="188" spans="1:8" x14ac:dyDescent="0.25">
      <c r="A188" s="131" t="s">
        <v>17</v>
      </c>
      <c r="B188" s="132"/>
      <c r="C188" s="132"/>
      <c r="D188" s="133"/>
      <c r="E188" s="17">
        <f>SUM(E180:E187)</f>
        <v>142</v>
      </c>
      <c r="F188" s="17">
        <f>SUM(F180:F187)</f>
        <v>321500</v>
      </c>
      <c r="G188" s="17">
        <f>SUM(G180:G187)</f>
        <v>148500</v>
      </c>
      <c r="H188" s="17">
        <f>SUM(H180:H187)</f>
        <v>148000</v>
      </c>
    </row>
    <row r="189" spans="1:8" x14ac:dyDescent="0.25">
      <c r="A189" s="29" t="s">
        <v>28</v>
      </c>
      <c r="B189" s="29" t="s">
        <v>576</v>
      </c>
      <c r="C189" s="29" t="s">
        <v>217</v>
      </c>
      <c r="D189" s="29" t="s">
        <v>11</v>
      </c>
      <c r="E189" s="29">
        <v>16</v>
      </c>
      <c r="F189" s="38">
        <f>E189*1500</f>
        <v>24000</v>
      </c>
      <c r="G189" s="38">
        <f>E189*500</f>
        <v>8000</v>
      </c>
      <c r="H189" s="38">
        <v>16000</v>
      </c>
    </row>
    <row r="190" spans="1:8" x14ac:dyDescent="0.25">
      <c r="A190" s="29"/>
      <c r="B190" s="29"/>
      <c r="C190" s="29"/>
      <c r="D190" s="29" t="s">
        <v>13</v>
      </c>
      <c r="E190" s="29">
        <v>14</v>
      </c>
      <c r="F190" s="38">
        <f>E190*6500</f>
        <v>91000</v>
      </c>
      <c r="G190" s="38">
        <f>E190*4500</f>
        <v>63000</v>
      </c>
      <c r="H190" s="38">
        <f>E190*2000</f>
        <v>28000</v>
      </c>
    </row>
    <row r="191" spans="1:8" x14ac:dyDescent="0.25">
      <c r="A191" s="29"/>
      <c r="B191" s="29"/>
      <c r="C191" s="29"/>
      <c r="D191" s="29" t="s">
        <v>14</v>
      </c>
      <c r="E191" s="29">
        <v>2</v>
      </c>
      <c r="F191" s="38">
        <f>E191*10000</f>
        <v>20000</v>
      </c>
      <c r="G191" s="38">
        <f>E191*5500</f>
        <v>11000</v>
      </c>
      <c r="H191" s="38">
        <f>E191*4500</f>
        <v>9000</v>
      </c>
    </row>
    <row r="192" spans="1:8" x14ac:dyDescent="0.25">
      <c r="A192" s="29"/>
      <c r="B192" s="29"/>
      <c r="C192" s="29"/>
      <c r="D192" s="29" t="s">
        <v>404</v>
      </c>
      <c r="E192" s="29">
        <v>3</v>
      </c>
      <c r="F192" s="38">
        <f>E192*2000</f>
        <v>6000</v>
      </c>
      <c r="G192" s="38">
        <v>3000</v>
      </c>
      <c r="H192" s="38">
        <v>3000</v>
      </c>
    </row>
    <row r="193" spans="1:26" x14ac:dyDescent="0.25">
      <c r="A193" s="29"/>
      <c r="B193" s="29"/>
      <c r="C193" s="29"/>
      <c r="D193" s="29" t="s">
        <v>432</v>
      </c>
      <c r="E193" s="29">
        <v>1</v>
      </c>
      <c r="F193" s="38">
        <v>5000</v>
      </c>
      <c r="G193" s="38">
        <v>2500</v>
      </c>
      <c r="H193" s="38">
        <v>2500</v>
      </c>
    </row>
    <row r="194" spans="1:26" x14ac:dyDescent="0.25">
      <c r="A194" s="29"/>
      <c r="B194" s="29"/>
      <c r="C194" s="29"/>
      <c r="D194" s="29" t="s">
        <v>577</v>
      </c>
      <c r="E194" s="29">
        <v>1</v>
      </c>
      <c r="F194" s="38">
        <v>5000</v>
      </c>
      <c r="G194" s="38">
        <v>2500</v>
      </c>
      <c r="H194" s="38">
        <v>2500</v>
      </c>
    </row>
    <row r="195" spans="1:26" x14ac:dyDescent="0.25">
      <c r="A195" s="29"/>
      <c r="B195" s="29"/>
      <c r="C195" s="29" t="s">
        <v>20</v>
      </c>
      <c r="D195" s="29" t="s">
        <v>11</v>
      </c>
      <c r="E195" s="29">
        <v>15</v>
      </c>
      <c r="F195" s="38">
        <f>E195*1500</f>
        <v>22500</v>
      </c>
      <c r="G195" s="38">
        <f>E195*500</f>
        <v>7500</v>
      </c>
      <c r="H195" s="38">
        <v>15000</v>
      </c>
    </row>
    <row r="196" spans="1:26" x14ac:dyDescent="0.25">
      <c r="A196" s="29"/>
      <c r="B196" s="29"/>
      <c r="C196" s="29"/>
      <c r="D196" s="29" t="s">
        <v>13</v>
      </c>
      <c r="E196" s="29">
        <v>21</v>
      </c>
      <c r="F196" s="38">
        <f>E196*6500</f>
        <v>136500</v>
      </c>
      <c r="G196" s="38">
        <f>E196*4500</f>
        <v>94500</v>
      </c>
      <c r="H196" s="38">
        <f>E196*2000</f>
        <v>42000</v>
      </c>
    </row>
    <row r="197" spans="1:26" x14ac:dyDescent="0.25">
      <c r="A197" s="29"/>
      <c r="B197" s="29"/>
      <c r="C197" s="29"/>
      <c r="D197" s="29" t="s">
        <v>14</v>
      </c>
      <c r="E197" s="29">
        <v>22</v>
      </c>
      <c r="F197" s="38">
        <f>E197*10000</f>
        <v>220000</v>
      </c>
      <c r="G197" s="38">
        <f>E197*5500</f>
        <v>121000</v>
      </c>
      <c r="H197" s="38">
        <f>E197*4500</f>
        <v>99000</v>
      </c>
    </row>
    <row r="198" spans="1:26" x14ac:dyDescent="0.25">
      <c r="A198" s="29"/>
      <c r="B198" s="29"/>
      <c r="C198" s="29"/>
      <c r="D198" s="29" t="s">
        <v>404</v>
      </c>
      <c r="E198" s="29">
        <v>2</v>
      </c>
      <c r="F198" s="38">
        <f>E198*2000</f>
        <v>4000</v>
      </c>
      <c r="G198" s="38">
        <v>2000</v>
      </c>
      <c r="H198" s="38">
        <v>2000</v>
      </c>
    </row>
    <row r="199" spans="1:26" x14ac:dyDescent="0.25">
      <c r="A199" s="29"/>
      <c r="B199" s="29"/>
      <c r="C199" s="29"/>
      <c r="D199" s="29" t="s">
        <v>441</v>
      </c>
      <c r="E199" s="29">
        <v>1</v>
      </c>
      <c r="F199" s="38">
        <v>5000</v>
      </c>
      <c r="G199" s="38">
        <v>2500</v>
      </c>
      <c r="H199" s="38">
        <v>2500</v>
      </c>
    </row>
    <row r="200" spans="1:26" x14ac:dyDescent="0.25">
      <c r="A200" s="68"/>
      <c r="B200" s="68"/>
      <c r="C200" s="68"/>
      <c r="D200" s="68" t="s">
        <v>432</v>
      </c>
      <c r="E200" s="68">
        <v>4</v>
      </c>
      <c r="F200" s="69">
        <v>20000</v>
      </c>
      <c r="G200" s="69">
        <v>10000</v>
      </c>
      <c r="H200" s="69">
        <v>10000</v>
      </c>
    </row>
    <row r="201" spans="1:26" s="29" customFormat="1" x14ac:dyDescent="0.25">
      <c r="C201" s="29" t="s">
        <v>24</v>
      </c>
      <c r="D201" s="29" t="s">
        <v>243</v>
      </c>
      <c r="E201" s="29">
        <v>2</v>
      </c>
      <c r="F201" s="38">
        <f>E201*15000</f>
        <v>30000</v>
      </c>
      <c r="G201" s="38">
        <v>20000</v>
      </c>
      <c r="H201" s="38">
        <v>10000</v>
      </c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</row>
    <row r="202" spans="1:26" x14ac:dyDescent="0.25">
      <c r="A202" s="29"/>
      <c r="B202" s="29"/>
      <c r="C202" s="29" t="s">
        <v>16</v>
      </c>
      <c r="D202" s="29" t="s">
        <v>11</v>
      </c>
      <c r="E202" s="71">
        <v>97</v>
      </c>
      <c r="F202" s="72">
        <f>E202*1500</f>
        <v>145500</v>
      </c>
      <c r="G202" s="72">
        <f>E202*500</f>
        <v>48500</v>
      </c>
      <c r="H202" s="72">
        <v>97000</v>
      </c>
    </row>
    <row r="203" spans="1:26" x14ac:dyDescent="0.25">
      <c r="A203" s="29"/>
      <c r="B203" s="29"/>
      <c r="C203" s="29"/>
      <c r="D203" s="29" t="s">
        <v>12</v>
      </c>
      <c r="E203" s="71">
        <v>7</v>
      </c>
      <c r="F203" s="72">
        <f>E203*3000</f>
        <v>21000</v>
      </c>
      <c r="G203" s="72">
        <f>E203*2000</f>
        <v>14000</v>
      </c>
      <c r="H203" s="72">
        <f>E203*1000</f>
        <v>7000</v>
      </c>
    </row>
    <row r="204" spans="1:26" x14ac:dyDescent="0.25">
      <c r="A204" s="29"/>
      <c r="B204" s="29"/>
      <c r="C204" s="29"/>
      <c r="D204" s="29" t="s">
        <v>14</v>
      </c>
      <c r="E204" s="71">
        <v>1</v>
      </c>
      <c r="F204" s="72">
        <v>10000</v>
      </c>
      <c r="G204" s="72">
        <v>5500</v>
      </c>
      <c r="H204" s="72">
        <v>4500</v>
      </c>
    </row>
    <row r="205" spans="1:26" x14ac:dyDescent="0.25">
      <c r="A205" s="29"/>
      <c r="B205" s="29"/>
      <c r="C205" s="29"/>
      <c r="D205" s="29" t="s">
        <v>243</v>
      </c>
      <c r="E205" s="71">
        <v>1</v>
      </c>
      <c r="F205" s="72">
        <v>13000</v>
      </c>
      <c r="G205" s="72">
        <v>10000</v>
      </c>
      <c r="H205" s="72">
        <v>3000</v>
      </c>
    </row>
    <row r="206" spans="1:26" x14ac:dyDescent="0.25">
      <c r="A206" s="29"/>
      <c r="B206" s="29"/>
      <c r="C206" s="29" t="s">
        <v>217</v>
      </c>
      <c r="D206" s="29" t="s">
        <v>13</v>
      </c>
      <c r="E206" s="71">
        <v>4</v>
      </c>
      <c r="F206" s="72">
        <f>E206*6500</f>
        <v>26000</v>
      </c>
      <c r="G206" s="72">
        <f>E206*4500</f>
        <v>18000</v>
      </c>
      <c r="H206" s="72">
        <f>E206*2000</f>
        <v>8000</v>
      </c>
    </row>
    <row r="207" spans="1:26" x14ac:dyDescent="0.25">
      <c r="A207" s="29"/>
      <c r="B207" s="29"/>
      <c r="C207" s="29"/>
      <c r="D207" s="29" t="s">
        <v>14</v>
      </c>
      <c r="E207" s="71">
        <v>2</v>
      </c>
      <c r="F207" s="72">
        <f>E207*8000</f>
        <v>16000</v>
      </c>
      <c r="G207" s="72">
        <f>E207*5500</f>
        <v>11000</v>
      </c>
      <c r="H207" s="72">
        <f>E207*2500</f>
        <v>5000</v>
      </c>
    </row>
    <row r="208" spans="1:26" x14ac:dyDescent="0.25">
      <c r="A208" s="29"/>
      <c r="B208" s="29"/>
      <c r="C208" s="29"/>
      <c r="D208" s="29" t="s">
        <v>404</v>
      </c>
      <c r="E208" s="71">
        <v>4</v>
      </c>
      <c r="F208" s="72">
        <f>E208*2000</f>
        <v>8000</v>
      </c>
      <c r="G208" s="72">
        <v>4000</v>
      </c>
      <c r="H208" s="72">
        <v>4000</v>
      </c>
    </row>
    <row r="209" spans="1:8" x14ac:dyDescent="0.25">
      <c r="A209" s="29"/>
      <c r="B209" s="29"/>
      <c r="C209" s="29"/>
      <c r="D209" s="29" t="s">
        <v>578</v>
      </c>
      <c r="E209" s="71">
        <v>1</v>
      </c>
      <c r="F209" s="72">
        <v>3000</v>
      </c>
      <c r="G209" s="72">
        <v>1500</v>
      </c>
      <c r="H209" s="72">
        <v>1500</v>
      </c>
    </row>
    <row r="210" spans="1:8" x14ac:dyDescent="0.25">
      <c r="A210" s="29"/>
      <c r="B210" s="29"/>
      <c r="C210" s="29"/>
      <c r="D210" s="29" t="s">
        <v>579</v>
      </c>
      <c r="E210" s="71">
        <v>2</v>
      </c>
      <c r="F210" s="72">
        <f>E210*5000</f>
        <v>10000</v>
      </c>
      <c r="G210" s="72">
        <v>5000</v>
      </c>
      <c r="H210" s="72">
        <v>5000</v>
      </c>
    </row>
    <row r="211" spans="1:8" x14ac:dyDescent="0.25">
      <c r="A211" s="29"/>
      <c r="B211" s="29"/>
      <c r="C211" s="29"/>
      <c r="D211" s="29" t="s">
        <v>432</v>
      </c>
      <c r="E211" s="71">
        <v>1</v>
      </c>
      <c r="F211" s="72">
        <v>5000</v>
      </c>
      <c r="G211" s="72">
        <v>2500</v>
      </c>
      <c r="H211" s="72">
        <v>2500</v>
      </c>
    </row>
    <row r="212" spans="1:8" x14ac:dyDescent="0.25">
      <c r="A212" s="29"/>
      <c r="B212" s="29"/>
      <c r="C212" s="29" t="s">
        <v>568</v>
      </c>
      <c r="D212" s="29" t="s">
        <v>11</v>
      </c>
      <c r="E212" s="71">
        <v>30</v>
      </c>
      <c r="F212" s="72">
        <f>E212*1500</f>
        <v>45000</v>
      </c>
      <c r="G212" s="72">
        <f>E212*500</f>
        <v>15000</v>
      </c>
      <c r="H212" s="72">
        <v>30000</v>
      </c>
    </row>
    <row r="213" spans="1:8" x14ac:dyDescent="0.25">
      <c r="A213" s="139" t="s">
        <v>17</v>
      </c>
      <c r="B213" s="140"/>
      <c r="C213" s="140"/>
      <c r="D213" s="141"/>
      <c r="E213" s="70">
        <f>SUM(E189:E212)</f>
        <v>254</v>
      </c>
      <c r="F213" s="70">
        <f>SUM(F189:F212)</f>
        <v>891500</v>
      </c>
      <c r="G213" s="70">
        <f>SUM(G189:G212)</f>
        <v>482500</v>
      </c>
      <c r="H213" s="70">
        <f>SUM(H189:H212)</f>
        <v>409000</v>
      </c>
    </row>
    <row r="214" spans="1:8" x14ac:dyDescent="0.25">
      <c r="A214" s="29" t="s">
        <v>30</v>
      </c>
      <c r="B214" s="29" t="s">
        <v>580</v>
      </c>
      <c r="C214" s="29" t="s">
        <v>16</v>
      </c>
      <c r="D214" s="29" t="s">
        <v>11</v>
      </c>
      <c r="E214" s="29">
        <v>73</v>
      </c>
      <c r="F214" s="38">
        <f>E214*1500</f>
        <v>109500</v>
      </c>
      <c r="G214" s="38">
        <f>E214*500</f>
        <v>36500</v>
      </c>
      <c r="H214" s="38">
        <v>73000</v>
      </c>
    </row>
    <row r="215" spans="1:8" x14ac:dyDescent="0.25">
      <c r="A215" s="29"/>
      <c r="B215" s="29"/>
      <c r="C215" s="29"/>
      <c r="D215" s="29" t="s">
        <v>12</v>
      </c>
      <c r="E215" s="29">
        <v>7</v>
      </c>
      <c r="F215" s="38">
        <f>E215*3000</f>
        <v>21000</v>
      </c>
      <c r="G215" s="38">
        <f>E215*2000</f>
        <v>14000</v>
      </c>
      <c r="H215" s="38">
        <v>7000</v>
      </c>
    </row>
    <row r="216" spans="1:8" x14ac:dyDescent="0.25">
      <c r="A216" s="29"/>
      <c r="B216" s="29"/>
      <c r="C216" s="29"/>
      <c r="D216" s="29" t="s">
        <v>13</v>
      </c>
      <c r="E216" s="29">
        <v>1</v>
      </c>
      <c r="F216" s="38">
        <v>6500</v>
      </c>
      <c r="G216" s="38">
        <v>4500</v>
      </c>
      <c r="H216" s="38">
        <v>2000</v>
      </c>
    </row>
    <row r="217" spans="1:8" x14ac:dyDescent="0.25">
      <c r="A217" s="29"/>
      <c r="B217" s="29"/>
      <c r="C217" s="29" t="s">
        <v>217</v>
      </c>
      <c r="D217" s="29" t="s">
        <v>11</v>
      </c>
      <c r="E217" s="29">
        <v>8</v>
      </c>
      <c r="F217" s="38">
        <f>E217*1500</f>
        <v>12000</v>
      </c>
      <c r="G217" s="38">
        <f>E217*500</f>
        <v>4000</v>
      </c>
      <c r="H217" s="38">
        <v>8000</v>
      </c>
    </row>
    <row r="218" spans="1:8" x14ac:dyDescent="0.25">
      <c r="A218" s="29"/>
      <c r="B218" s="29"/>
      <c r="C218" s="29"/>
      <c r="D218" s="29" t="s">
        <v>13</v>
      </c>
      <c r="E218" s="29">
        <v>3</v>
      </c>
      <c r="F218" s="38">
        <f>E218*6500</f>
        <v>19500</v>
      </c>
      <c r="G218" s="38">
        <f>E218*4500</f>
        <v>13500</v>
      </c>
      <c r="H218" s="38">
        <f>E218*2000</f>
        <v>6000</v>
      </c>
    </row>
    <row r="219" spans="1:8" x14ac:dyDescent="0.25">
      <c r="A219" s="29"/>
      <c r="B219" s="29"/>
      <c r="C219" s="29"/>
      <c r="D219" s="29" t="s">
        <v>14</v>
      </c>
      <c r="E219" s="29">
        <v>4</v>
      </c>
      <c r="F219" s="38">
        <f>E219*10000</f>
        <v>40000</v>
      </c>
      <c r="G219" s="38">
        <f>E219*5500</f>
        <v>22000</v>
      </c>
      <c r="H219" s="38">
        <f>E219*4500</f>
        <v>18000</v>
      </c>
    </row>
    <row r="220" spans="1:8" x14ac:dyDescent="0.25">
      <c r="A220" s="29"/>
      <c r="B220" s="29"/>
      <c r="C220" s="29" t="s">
        <v>581</v>
      </c>
      <c r="D220" s="29" t="s">
        <v>11</v>
      </c>
      <c r="E220" s="29">
        <v>60</v>
      </c>
      <c r="F220" s="38">
        <f t="shared" ref="F220:F225" si="6">E220*1500</f>
        <v>90000</v>
      </c>
      <c r="G220" s="38">
        <f>E220*500</f>
        <v>30000</v>
      </c>
      <c r="H220" s="38">
        <v>60000</v>
      </c>
    </row>
    <row r="221" spans="1:8" x14ac:dyDescent="0.25">
      <c r="A221" s="29"/>
      <c r="B221" s="29"/>
      <c r="C221" s="29"/>
      <c r="D221" s="29" t="s">
        <v>11</v>
      </c>
      <c r="E221" s="29">
        <v>51</v>
      </c>
      <c r="F221" s="38">
        <f t="shared" si="6"/>
        <v>76500</v>
      </c>
      <c r="G221" s="38">
        <f t="shared" ref="G221:G226" si="7">E221*500</f>
        <v>25500</v>
      </c>
      <c r="H221" s="38">
        <v>60000</v>
      </c>
    </row>
    <row r="222" spans="1:8" x14ac:dyDescent="0.25">
      <c r="A222" s="29"/>
      <c r="B222" s="29"/>
      <c r="C222" s="29"/>
      <c r="D222" s="29" t="s">
        <v>11</v>
      </c>
      <c r="E222" s="29">
        <v>68</v>
      </c>
      <c r="F222" s="38">
        <f t="shared" si="6"/>
        <v>102000</v>
      </c>
      <c r="G222" s="38">
        <f t="shared" si="7"/>
        <v>34000</v>
      </c>
      <c r="H222" s="38">
        <v>60000</v>
      </c>
    </row>
    <row r="223" spans="1:8" x14ac:dyDescent="0.25">
      <c r="A223" s="29"/>
      <c r="B223" s="29"/>
      <c r="C223" s="29"/>
      <c r="D223" s="29" t="s">
        <v>11</v>
      </c>
      <c r="E223" s="29">
        <v>70</v>
      </c>
      <c r="F223" s="38">
        <f t="shared" si="6"/>
        <v>105000</v>
      </c>
      <c r="G223" s="38">
        <f t="shared" si="7"/>
        <v>35000</v>
      </c>
      <c r="H223" s="38">
        <v>60000</v>
      </c>
    </row>
    <row r="224" spans="1:8" x14ac:dyDescent="0.25">
      <c r="A224" s="29"/>
      <c r="B224" s="29"/>
      <c r="C224" s="29"/>
      <c r="D224" s="29" t="s">
        <v>11</v>
      </c>
      <c r="E224" s="29">
        <v>53</v>
      </c>
      <c r="F224" s="38">
        <f t="shared" si="6"/>
        <v>79500</v>
      </c>
      <c r="G224" s="38">
        <f t="shared" si="7"/>
        <v>26500</v>
      </c>
      <c r="H224" s="38">
        <v>60000</v>
      </c>
    </row>
    <row r="225" spans="1:8" x14ac:dyDescent="0.25">
      <c r="A225" s="29"/>
      <c r="B225" s="29"/>
      <c r="C225" s="29"/>
      <c r="D225" s="29" t="s">
        <v>11</v>
      </c>
      <c r="E225" s="29">
        <v>33</v>
      </c>
      <c r="F225" s="38">
        <f t="shared" si="6"/>
        <v>49500</v>
      </c>
      <c r="G225" s="38">
        <f t="shared" si="7"/>
        <v>16500</v>
      </c>
      <c r="H225" s="38">
        <v>60000</v>
      </c>
    </row>
    <row r="226" spans="1:8" x14ac:dyDescent="0.25">
      <c r="A226" s="65"/>
      <c r="B226" s="66"/>
      <c r="C226" s="66" t="s">
        <v>571</v>
      </c>
      <c r="D226" s="67" t="s">
        <v>11</v>
      </c>
      <c r="E226" s="29">
        <v>32</v>
      </c>
      <c r="F226" s="38">
        <f>E226*1700</f>
        <v>54400</v>
      </c>
      <c r="G226" s="38">
        <f t="shared" si="7"/>
        <v>16000</v>
      </c>
      <c r="H226" s="38">
        <f>E226*1200</f>
        <v>38400</v>
      </c>
    </row>
    <row r="227" spans="1:8" x14ac:dyDescent="0.25">
      <c r="A227" s="131" t="s">
        <v>17</v>
      </c>
      <c r="B227" s="132"/>
      <c r="C227" s="132"/>
      <c r="D227" s="133"/>
      <c r="E227" s="17">
        <f>SUM(E214:E226)</f>
        <v>463</v>
      </c>
      <c r="F227" s="17">
        <f>SUM(F214:F226)</f>
        <v>765400</v>
      </c>
      <c r="G227" s="17">
        <f>SUM(G214:G226)</f>
        <v>278000</v>
      </c>
      <c r="H227" s="17">
        <f>SUM(H214:H226)</f>
        <v>512400</v>
      </c>
    </row>
    <row r="228" spans="1:8" x14ac:dyDescent="0.25">
      <c r="A228" s="29" t="s">
        <v>32</v>
      </c>
      <c r="B228" s="29" t="s">
        <v>582</v>
      </c>
      <c r="C228" s="29" t="s">
        <v>16</v>
      </c>
      <c r="D228" s="29" t="s">
        <v>11</v>
      </c>
      <c r="E228" s="29">
        <v>47</v>
      </c>
      <c r="F228" s="38">
        <f>E228*1500</f>
        <v>70500</v>
      </c>
      <c r="G228" s="38">
        <f>E228*500</f>
        <v>23500</v>
      </c>
      <c r="H228" s="38">
        <v>47000</v>
      </c>
    </row>
    <row r="229" spans="1:8" x14ac:dyDescent="0.25">
      <c r="A229" s="29"/>
      <c r="B229" s="29"/>
      <c r="C229" s="29"/>
      <c r="D229" s="29" t="s">
        <v>12</v>
      </c>
      <c r="E229" s="29">
        <v>6</v>
      </c>
      <c r="F229" s="38">
        <f>E229*3000</f>
        <v>18000</v>
      </c>
      <c r="G229" s="38">
        <f>E229*2000</f>
        <v>12000</v>
      </c>
      <c r="H229" s="38">
        <v>6000</v>
      </c>
    </row>
    <row r="230" spans="1:8" x14ac:dyDescent="0.25">
      <c r="A230" s="29"/>
      <c r="B230" s="29"/>
      <c r="C230" s="29" t="s">
        <v>217</v>
      </c>
      <c r="D230" s="29" t="s">
        <v>11</v>
      </c>
      <c r="E230" s="29">
        <v>4</v>
      </c>
      <c r="F230" s="38">
        <f>E230*1500</f>
        <v>6000</v>
      </c>
      <c r="G230" s="38">
        <f>E230*500</f>
        <v>2000</v>
      </c>
      <c r="H230" s="38">
        <v>4000</v>
      </c>
    </row>
    <row r="231" spans="1:8" x14ac:dyDescent="0.25">
      <c r="A231" s="29"/>
      <c r="B231" s="29"/>
      <c r="C231" s="29"/>
      <c r="D231" s="29" t="s">
        <v>13</v>
      </c>
      <c r="E231" s="29">
        <v>3</v>
      </c>
      <c r="F231" s="38">
        <f>E231*6500</f>
        <v>19500</v>
      </c>
      <c r="G231" s="38">
        <f>E231*4500</f>
        <v>13500</v>
      </c>
      <c r="H231" s="38">
        <f>E231*2000</f>
        <v>6000</v>
      </c>
    </row>
    <row r="232" spans="1:8" x14ac:dyDescent="0.25">
      <c r="A232" s="29"/>
      <c r="B232" s="29"/>
      <c r="C232" s="29"/>
      <c r="D232" s="29" t="s">
        <v>14</v>
      </c>
      <c r="E232" s="29">
        <v>1</v>
      </c>
      <c r="F232" s="38">
        <v>10000</v>
      </c>
      <c r="G232" s="38">
        <v>5500</v>
      </c>
      <c r="H232" s="38">
        <v>4500</v>
      </c>
    </row>
    <row r="233" spans="1:8" x14ac:dyDescent="0.25">
      <c r="A233" s="29"/>
      <c r="B233" s="29"/>
      <c r="C233" s="29"/>
      <c r="D233" s="29" t="s">
        <v>404</v>
      </c>
      <c r="E233" s="29">
        <v>2</v>
      </c>
      <c r="F233" s="38">
        <f>E233*2000</f>
        <v>4000</v>
      </c>
      <c r="G233" s="38">
        <v>2000</v>
      </c>
      <c r="H233" s="38">
        <v>2000</v>
      </c>
    </row>
    <row r="234" spans="1:8" x14ac:dyDescent="0.25">
      <c r="A234" s="29"/>
      <c r="B234" s="29"/>
      <c r="C234" s="29" t="s">
        <v>24</v>
      </c>
      <c r="D234" s="29" t="s">
        <v>243</v>
      </c>
      <c r="E234" s="29">
        <v>6</v>
      </c>
      <c r="F234" s="38">
        <f>E234*15000</f>
        <v>90000</v>
      </c>
      <c r="G234" s="38">
        <f>E234*10000</f>
        <v>60000</v>
      </c>
      <c r="H234" s="38">
        <v>30000</v>
      </c>
    </row>
    <row r="235" spans="1:8" x14ac:dyDescent="0.25">
      <c r="A235" s="136" t="s">
        <v>17</v>
      </c>
      <c r="B235" s="137"/>
      <c r="C235" s="137"/>
      <c r="D235" s="138"/>
      <c r="E235" s="17">
        <f>SUM(E228:E234)</f>
        <v>69</v>
      </c>
      <c r="F235" s="17">
        <f>SUM(F228:F234)</f>
        <v>218000</v>
      </c>
      <c r="G235" s="17">
        <f>SUM(G228:G234)</f>
        <v>118500</v>
      </c>
      <c r="H235" s="17">
        <f>SUM(H228:H234)</f>
        <v>99500</v>
      </c>
    </row>
    <row r="236" spans="1:8" x14ac:dyDescent="0.25">
      <c r="A236" s="29" t="s">
        <v>8</v>
      </c>
      <c r="B236" s="29" t="s">
        <v>583</v>
      </c>
      <c r="C236" s="29" t="s">
        <v>16</v>
      </c>
      <c r="D236" s="29" t="s">
        <v>11</v>
      </c>
      <c r="E236" s="29">
        <v>70</v>
      </c>
      <c r="F236" s="38">
        <f>E236*1500</f>
        <v>105000</v>
      </c>
      <c r="G236" s="38">
        <f>E236*500</f>
        <v>35000</v>
      </c>
      <c r="H236" s="38">
        <v>70000</v>
      </c>
    </row>
    <row r="237" spans="1:8" x14ac:dyDescent="0.25">
      <c r="A237" s="29"/>
      <c r="B237" s="29"/>
      <c r="C237" s="29"/>
      <c r="D237" s="29" t="s">
        <v>12</v>
      </c>
      <c r="E237" s="29">
        <v>7</v>
      </c>
      <c r="F237" s="38">
        <f>E237*3000</f>
        <v>21000</v>
      </c>
      <c r="G237" s="38">
        <f>E237*2000</f>
        <v>14000</v>
      </c>
      <c r="H237" s="38">
        <v>7000</v>
      </c>
    </row>
    <row r="238" spans="1:8" x14ac:dyDescent="0.25">
      <c r="A238" s="29"/>
      <c r="B238" s="29"/>
      <c r="C238" s="29"/>
      <c r="D238" s="29" t="s">
        <v>14</v>
      </c>
      <c r="E238" s="29">
        <v>1</v>
      </c>
      <c r="F238" s="38">
        <v>10000</v>
      </c>
      <c r="G238" s="38">
        <v>5500</v>
      </c>
      <c r="H238" s="38">
        <v>4500</v>
      </c>
    </row>
    <row r="239" spans="1:8" x14ac:dyDescent="0.25">
      <c r="A239" s="29"/>
      <c r="B239" s="29"/>
      <c r="C239" s="29" t="s">
        <v>217</v>
      </c>
      <c r="D239" s="29" t="s">
        <v>11</v>
      </c>
      <c r="E239" s="29">
        <v>6</v>
      </c>
      <c r="F239" s="38">
        <f>E239*1500</f>
        <v>9000</v>
      </c>
      <c r="G239" s="38">
        <f>E239*500</f>
        <v>3000</v>
      </c>
      <c r="H239" s="38">
        <v>6000</v>
      </c>
    </row>
    <row r="240" spans="1:8" x14ac:dyDescent="0.25">
      <c r="A240" s="29"/>
      <c r="B240" s="29"/>
      <c r="C240" s="29"/>
      <c r="D240" s="29" t="s">
        <v>13</v>
      </c>
      <c r="E240" s="29">
        <v>2</v>
      </c>
      <c r="F240" s="38">
        <f>E240*6500</f>
        <v>13000</v>
      </c>
      <c r="G240" s="38">
        <f>E240*4500</f>
        <v>9000</v>
      </c>
      <c r="H240" s="38">
        <f>E240*2000</f>
        <v>4000</v>
      </c>
    </row>
    <row r="241" spans="1:8" x14ac:dyDescent="0.25">
      <c r="A241" s="29"/>
      <c r="B241" s="29"/>
      <c r="C241" s="29"/>
      <c r="D241" s="29" t="s">
        <v>14</v>
      </c>
      <c r="E241" s="29">
        <v>3</v>
      </c>
      <c r="F241" s="38">
        <f>E241*10000</f>
        <v>30000</v>
      </c>
      <c r="G241" s="38">
        <f>E241*5500</f>
        <v>16500</v>
      </c>
      <c r="H241" s="38">
        <f>E241*4500</f>
        <v>13500</v>
      </c>
    </row>
    <row r="242" spans="1:8" x14ac:dyDescent="0.25">
      <c r="A242" s="29"/>
      <c r="B242" s="29"/>
      <c r="C242" s="29"/>
      <c r="D242" s="29" t="s">
        <v>415</v>
      </c>
      <c r="E242" s="29">
        <v>1</v>
      </c>
      <c r="F242" s="38">
        <v>5000</v>
      </c>
      <c r="G242" s="38">
        <v>2500</v>
      </c>
      <c r="H242" s="38">
        <v>2500</v>
      </c>
    </row>
    <row r="243" spans="1:8" x14ac:dyDescent="0.25">
      <c r="A243" s="131" t="s">
        <v>17</v>
      </c>
      <c r="B243" s="132"/>
      <c r="C243" s="132"/>
      <c r="D243" s="133"/>
      <c r="E243" s="17">
        <f>SUM(E236:E242)</f>
        <v>90</v>
      </c>
      <c r="F243" s="17">
        <f>SUM(F236:F242)</f>
        <v>193000</v>
      </c>
      <c r="G243" s="17">
        <f>SUM(G236:G242)</f>
        <v>85500</v>
      </c>
      <c r="H243" s="17">
        <f>SUM(H236:H242)</f>
        <v>107500</v>
      </c>
    </row>
    <row r="244" spans="1:8" x14ac:dyDescent="0.25">
      <c r="A244" s="29" t="s">
        <v>18</v>
      </c>
      <c r="B244" s="29" t="s">
        <v>584</v>
      </c>
      <c r="C244" s="29" t="s">
        <v>16</v>
      </c>
      <c r="D244" s="29" t="s">
        <v>11</v>
      </c>
      <c r="E244" s="29">
        <v>64</v>
      </c>
      <c r="F244" s="38">
        <f>E244*1500</f>
        <v>96000</v>
      </c>
      <c r="G244" s="38">
        <f>E244*500</f>
        <v>32000</v>
      </c>
      <c r="H244" s="38">
        <v>64000</v>
      </c>
    </row>
    <row r="245" spans="1:8" x14ac:dyDescent="0.25">
      <c r="A245" s="29"/>
      <c r="B245" s="29"/>
      <c r="C245" s="29"/>
      <c r="D245" s="29" t="s">
        <v>12</v>
      </c>
      <c r="E245" s="29">
        <v>6</v>
      </c>
      <c r="F245" s="38">
        <f>E245*3000</f>
        <v>18000</v>
      </c>
      <c r="G245" s="38">
        <f>E245*2000</f>
        <v>12000</v>
      </c>
      <c r="H245" s="38">
        <v>6000</v>
      </c>
    </row>
    <row r="246" spans="1:8" x14ac:dyDescent="0.25">
      <c r="A246" s="29"/>
      <c r="B246" s="29"/>
      <c r="C246" s="29"/>
      <c r="D246" s="29" t="s">
        <v>14</v>
      </c>
      <c r="E246" s="29">
        <v>2</v>
      </c>
      <c r="F246" s="38">
        <f>E246*10000</f>
        <v>20000</v>
      </c>
      <c r="G246" s="38">
        <f>E246*5500</f>
        <v>11000</v>
      </c>
      <c r="H246" s="38">
        <f>E246*4500</f>
        <v>9000</v>
      </c>
    </row>
    <row r="247" spans="1:8" x14ac:dyDescent="0.25">
      <c r="A247" s="29"/>
      <c r="B247" s="29"/>
      <c r="C247" s="29"/>
      <c r="D247" s="29" t="s">
        <v>243</v>
      </c>
      <c r="E247" s="29">
        <v>1</v>
      </c>
      <c r="F247" s="38">
        <v>13000</v>
      </c>
      <c r="G247" s="38">
        <v>10000</v>
      </c>
      <c r="H247" s="38">
        <v>3000</v>
      </c>
    </row>
    <row r="248" spans="1:8" x14ac:dyDescent="0.25">
      <c r="A248" s="29"/>
      <c r="B248" s="29"/>
      <c r="C248" s="29" t="s">
        <v>127</v>
      </c>
      <c r="D248" s="29" t="s">
        <v>21</v>
      </c>
      <c r="E248" s="29">
        <v>5</v>
      </c>
      <c r="F248" s="38">
        <f>E248*15000</f>
        <v>75000</v>
      </c>
      <c r="G248" s="38">
        <f>E248*10000</f>
        <v>50000</v>
      </c>
      <c r="H248" s="38">
        <v>25000</v>
      </c>
    </row>
    <row r="249" spans="1:8" x14ac:dyDescent="0.25">
      <c r="A249" s="29"/>
      <c r="B249" s="29"/>
      <c r="C249" s="29"/>
      <c r="D249" s="29" t="s">
        <v>243</v>
      </c>
      <c r="E249" s="29">
        <v>1</v>
      </c>
      <c r="F249" s="38">
        <v>13000</v>
      </c>
      <c r="G249" s="38">
        <v>10000</v>
      </c>
      <c r="H249" s="38">
        <v>3000</v>
      </c>
    </row>
    <row r="250" spans="1:8" x14ac:dyDescent="0.25">
      <c r="A250" s="136" t="s">
        <v>17</v>
      </c>
      <c r="B250" s="137"/>
      <c r="C250" s="137"/>
      <c r="D250" s="138"/>
      <c r="E250" s="17">
        <f>SUM(E244:E249)</f>
        <v>79</v>
      </c>
      <c r="F250" s="17">
        <f>SUM(F244:F249)</f>
        <v>235000</v>
      </c>
      <c r="G250" s="17">
        <f>SUM(G244:G249)</f>
        <v>125000</v>
      </c>
      <c r="H250" s="17">
        <f>SUM(H244:H249)</f>
        <v>110000</v>
      </c>
    </row>
    <row r="251" spans="1:8" x14ac:dyDescent="0.25">
      <c r="A251" s="29" t="s">
        <v>22</v>
      </c>
      <c r="B251" s="29" t="s">
        <v>585</v>
      </c>
      <c r="C251" s="29" t="s">
        <v>16</v>
      </c>
      <c r="D251" s="29" t="s">
        <v>11</v>
      </c>
      <c r="E251" s="29">
        <v>48</v>
      </c>
      <c r="F251" s="38">
        <f>E251*1500</f>
        <v>72000</v>
      </c>
      <c r="G251" s="38">
        <f>E251*500</f>
        <v>24000</v>
      </c>
      <c r="H251" s="38">
        <v>48000</v>
      </c>
    </row>
    <row r="252" spans="1:8" x14ac:dyDescent="0.25">
      <c r="A252" s="29"/>
      <c r="B252" s="29"/>
      <c r="C252" s="29"/>
      <c r="D252" s="29" t="s">
        <v>12</v>
      </c>
      <c r="E252" s="29">
        <v>3</v>
      </c>
      <c r="F252" s="38">
        <f>E252*3000</f>
        <v>9000</v>
      </c>
      <c r="G252" s="38">
        <f>E252*2000</f>
        <v>6000</v>
      </c>
      <c r="H252" s="38">
        <v>3000</v>
      </c>
    </row>
    <row r="253" spans="1:8" x14ac:dyDescent="0.25">
      <c r="A253" s="29"/>
      <c r="B253" s="29"/>
      <c r="C253" s="29"/>
      <c r="D253" s="29" t="s">
        <v>13</v>
      </c>
      <c r="E253" s="29">
        <v>2</v>
      </c>
      <c r="F253" s="38">
        <f>E253*6500</f>
        <v>13000</v>
      </c>
      <c r="G253" s="38">
        <f>E253*4500</f>
        <v>9000</v>
      </c>
      <c r="H253" s="38">
        <v>4000</v>
      </c>
    </row>
    <row r="254" spans="1:8" x14ac:dyDescent="0.25">
      <c r="A254" s="131" t="s">
        <v>17</v>
      </c>
      <c r="B254" s="132"/>
      <c r="C254" s="132"/>
      <c r="D254" s="133"/>
      <c r="E254" s="17">
        <f>SUM(E251:E253)</f>
        <v>53</v>
      </c>
      <c r="F254" s="17">
        <f>SUM(F251:F253)</f>
        <v>94000</v>
      </c>
      <c r="G254" s="17">
        <f>SUM(G251:G253)</f>
        <v>39000</v>
      </c>
      <c r="H254" s="17">
        <f>SUM(H251:H253)</f>
        <v>55000</v>
      </c>
    </row>
    <row r="255" spans="1:8" x14ac:dyDescent="0.25">
      <c r="A255" s="29" t="s">
        <v>26</v>
      </c>
      <c r="B255" s="29" t="s">
        <v>586</v>
      </c>
      <c r="C255" s="29" t="s">
        <v>16</v>
      </c>
      <c r="D255" s="29" t="s">
        <v>11</v>
      </c>
      <c r="E255" s="29">
        <v>49</v>
      </c>
      <c r="F255" s="38">
        <f>E255*1500</f>
        <v>73500</v>
      </c>
      <c r="G255" s="38">
        <f>E255*500</f>
        <v>24500</v>
      </c>
      <c r="H255" s="38">
        <v>49000</v>
      </c>
    </row>
    <row r="256" spans="1:8" x14ac:dyDescent="0.25">
      <c r="A256" s="29"/>
      <c r="B256" s="29"/>
      <c r="C256" s="29"/>
      <c r="D256" s="29" t="s">
        <v>12</v>
      </c>
      <c r="E256" s="29">
        <v>1</v>
      </c>
      <c r="F256" s="38">
        <v>3000</v>
      </c>
      <c r="G256" s="38">
        <v>2000</v>
      </c>
      <c r="H256" s="38">
        <v>1000</v>
      </c>
    </row>
    <row r="257" spans="1:8" x14ac:dyDescent="0.25">
      <c r="A257" s="29"/>
      <c r="B257" s="29"/>
      <c r="C257" s="29" t="s">
        <v>217</v>
      </c>
      <c r="D257" s="29" t="s">
        <v>11</v>
      </c>
      <c r="E257" s="29">
        <v>3</v>
      </c>
      <c r="F257" s="38">
        <f>E257*1500</f>
        <v>4500</v>
      </c>
      <c r="G257" s="38">
        <f>E257*500</f>
        <v>1500</v>
      </c>
      <c r="H257" s="38">
        <v>3000</v>
      </c>
    </row>
    <row r="258" spans="1:8" x14ac:dyDescent="0.25">
      <c r="A258" s="29"/>
      <c r="B258" s="29"/>
      <c r="C258" s="29"/>
      <c r="D258" s="29" t="s">
        <v>13</v>
      </c>
      <c r="E258" s="29">
        <v>5</v>
      </c>
      <c r="F258" s="38">
        <f>E258*6500</f>
        <v>32500</v>
      </c>
      <c r="G258" s="38">
        <f>E258*4500</f>
        <v>22500</v>
      </c>
      <c r="H258" s="38">
        <f>E258*2000</f>
        <v>10000</v>
      </c>
    </row>
    <row r="259" spans="1:8" x14ac:dyDescent="0.25">
      <c r="A259" s="29"/>
      <c r="B259" s="29"/>
      <c r="C259" s="29"/>
      <c r="D259" s="29" t="s">
        <v>14</v>
      </c>
      <c r="E259" s="29">
        <v>2</v>
      </c>
      <c r="F259" s="38">
        <f>E259*10000</f>
        <v>20000</v>
      </c>
      <c r="G259" s="38">
        <f>E259*5500</f>
        <v>11000</v>
      </c>
      <c r="H259" s="38">
        <f>E259*4500</f>
        <v>9000</v>
      </c>
    </row>
    <row r="260" spans="1:8" x14ac:dyDescent="0.25">
      <c r="A260" s="29"/>
      <c r="B260" s="29"/>
      <c r="C260" s="29"/>
      <c r="D260" s="29" t="s">
        <v>404</v>
      </c>
      <c r="E260" s="29">
        <v>6</v>
      </c>
      <c r="F260" s="38">
        <f>E260*2000</f>
        <v>12000</v>
      </c>
      <c r="G260" s="38">
        <v>6000</v>
      </c>
      <c r="H260" s="38">
        <v>6000</v>
      </c>
    </row>
    <row r="261" spans="1:8" x14ac:dyDescent="0.25">
      <c r="A261" s="29"/>
      <c r="B261" s="29"/>
      <c r="C261" s="29"/>
      <c r="D261" s="29" t="s">
        <v>415</v>
      </c>
      <c r="E261" s="29">
        <v>4</v>
      </c>
      <c r="F261" s="38">
        <f>E261*5000</f>
        <v>20000</v>
      </c>
      <c r="G261" s="38">
        <v>10000</v>
      </c>
      <c r="H261" s="38">
        <v>10000</v>
      </c>
    </row>
    <row r="262" spans="1:8" x14ac:dyDescent="0.25">
      <c r="A262" s="29"/>
      <c r="B262" s="29"/>
      <c r="C262" s="29"/>
      <c r="D262" s="29" t="s">
        <v>587</v>
      </c>
      <c r="E262" s="29">
        <v>1</v>
      </c>
      <c r="F262" s="38">
        <v>5000</v>
      </c>
      <c r="G262" s="38">
        <v>2500</v>
      </c>
      <c r="H262" s="38">
        <v>2500</v>
      </c>
    </row>
    <row r="263" spans="1:8" x14ac:dyDescent="0.25">
      <c r="A263" s="131" t="s">
        <v>17</v>
      </c>
      <c r="B263" s="132"/>
      <c r="C263" s="132"/>
      <c r="D263" s="133"/>
      <c r="E263" s="17">
        <f>SUM(E255:E262)</f>
        <v>71</v>
      </c>
      <c r="F263" s="17">
        <f>SUM(F255:F262)</f>
        <v>170500</v>
      </c>
      <c r="G263" s="17">
        <f>SUM(G255:G262)</f>
        <v>80000</v>
      </c>
      <c r="H263" s="17">
        <f>SUM(H255:H262)</f>
        <v>90500</v>
      </c>
    </row>
    <row r="264" spans="1:8" x14ac:dyDescent="0.25">
      <c r="A264" s="29" t="s">
        <v>28</v>
      </c>
      <c r="B264" s="29" t="s">
        <v>588</v>
      </c>
      <c r="C264" s="29" t="s">
        <v>217</v>
      </c>
      <c r="D264" s="29" t="s">
        <v>11</v>
      </c>
      <c r="E264" s="29">
        <v>16</v>
      </c>
      <c r="F264" s="38">
        <f>E264*1500</f>
        <v>24000</v>
      </c>
      <c r="G264" s="38">
        <f>E264*500</f>
        <v>8000</v>
      </c>
      <c r="H264" s="38">
        <v>16000</v>
      </c>
    </row>
    <row r="265" spans="1:8" x14ac:dyDescent="0.25">
      <c r="A265" s="29"/>
      <c r="B265" s="29"/>
      <c r="C265" s="29"/>
      <c r="D265" s="29" t="s">
        <v>13</v>
      </c>
      <c r="E265" s="29">
        <v>12</v>
      </c>
      <c r="F265" s="38">
        <f>E265*6500</f>
        <v>78000</v>
      </c>
      <c r="G265" s="38">
        <f>E265*4500</f>
        <v>54000</v>
      </c>
      <c r="H265" s="38">
        <f>E265*2000</f>
        <v>24000</v>
      </c>
    </row>
    <row r="266" spans="1:8" x14ac:dyDescent="0.25">
      <c r="A266" s="29"/>
      <c r="B266" s="29"/>
      <c r="C266" s="29"/>
      <c r="D266" s="29" t="s">
        <v>14</v>
      </c>
      <c r="E266" s="29">
        <v>3</v>
      </c>
      <c r="F266" s="38">
        <f>E266*8000</f>
        <v>24000</v>
      </c>
      <c r="G266" s="38">
        <f>E266*5500</f>
        <v>16500</v>
      </c>
      <c r="H266" s="38">
        <f>E266*2500</f>
        <v>7500</v>
      </c>
    </row>
    <row r="267" spans="1:8" x14ac:dyDescent="0.25">
      <c r="A267" s="29"/>
      <c r="B267" s="29"/>
      <c r="C267" s="29"/>
      <c r="D267" s="29"/>
      <c r="E267" s="29">
        <v>8</v>
      </c>
      <c r="F267" s="38">
        <f>E267*10000</f>
        <v>80000</v>
      </c>
      <c r="G267" s="38">
        <f>E267*5500</f>
        <v>44000</v>
      </c>
      <c r="H267" s="38">
        <f>E267*4500</f>
        <v>36000</v>
      </c>
    </row>
    <row r="268" spans="1:8" x14ac:dyDescent="0.25">
      <c r="A268" s="29"/>
      <c r="B268" s="29"/>
      <c r="C268" s="29"/>
      <c r="D268" s="29" t="s">
        <v>404</v>
      </c>
      <c r="E268" s="29">
        <v>4</v>
      </c>
      <c r="F268" s="38">
        <f>E268*2000</f>
        <v>8000</v>
      </c>
      <c r="G268" s="38">
        <v>4000</v>
      </c>
      <c r="H268" s="38">
        <v>4000</v>
      </c>
    </row>
    <row r="269" spans="1:8" x14ac:dyDescent="0.25">
      <c r="A269" s="29"/>
      <c r="B269" s="29"/>
      <c r="C269" s="29" t="s">
        <v>20</v>
      </c>
      <c r="D269" s="29" t="s">
        <v>11</v>
      </c>
      <c r="E269" s="29">
        <v>14</v>
      </c>
      <c r="F269" s="38">
        <f>E269*1500</f>
        <v>21000</v>
      </c>
      <c r="G269" s="38">
        <f>E269*500</f>
        <v>7000</v>
      </c>
      <c r="H269" s="38">
        <v>14000</v>
      </c>
    </row>
    <row r="270" spans="1:8" x14ac:dyDescent="0.25">
      <c r="A270" s="29"/>
      <c r="B270" s="29"/>
      <c r="C270" s="29"/>
      <c r="D270" s="29" t="s">
        <v>13</v>
      </c>
      <c r="E270" s="29">
        <v>28</v>
      </c>
      <c r="F270" s="38">
        <f>E270*6500</f>
        <v>182000</v>
      </c>
      <c r="G270" s="38">
        <f>E270*4500</f>
        <v>126000</v>
      </c>
      <c r="H270" s="38">
        <f>E270*2000</f>
        <v>56000</v>
      </c>
    </row>
    <row r="271" spans="1:8" x14ac:dyDescent="0.25">
      <c r="A271" s="29"/>
      <c r="B271" s="29"/>
      <c r="C271" s="29"/>
      <c r="D271" s="29" t="s">
        <v>14</v>
      </c>
      <c r="E271" s="29">
        <v>30</v>
      </c>
      <c r="F271" s="38">
        <f>E271*10000</f>
        <v>300000</v>
      </c>
      <c r="G271" s="38">
        <f>E271*5500</f>
        <v>165000</v>
      </c>
      <c r="H271" s="38">
        <f>E271*4500</f>
        <v>135000</v>
      </c>
    </row>
    <row r="272" spans="1:8" x14ac:dyDescent="0.25">
      <c r="A272" s="29"/>
      <c r="B272" s="29"/>
      <c r="C272" s="29" t="s">
        <v>16</v>
      </c>
      <c r="D272" s="29" t="s">
        <v>11</v>
      </c>
      <c r="E272" s="29">
        <v>100</v>
      </c>
      <c r="F272" s="38">
        <f>E272*1500</f>
        <v>150000</v>
      </c>
      <c r="G272" s="38">
        <f>E272*500</f>
        <v>50000</v>
      </c>
      <c r="H272" s="38">
        <v>100000</v>
      </c>
    </row>
    <row r="273" spans="1:8" x14ac:dyDescent="0.25">
      <c r="A273" s="29"/>
      <c r="B273" s="29"/>
      <c r="C273" s="29"/>
      <c r="D273" s="29" t="s">
        <v>12</v>
      </c>
      <c r="E273" s="29">
        <v>9</v>
      </c>
      <c r="F273" s="38">
        <f>E273*3000</f>
        <v>27000</v>
      </c>
      <c r="G273" s="38">
        <f>E273*2000</f>
        <v>18000</v>
      </c>
      <c r="H273" s="38">
        <v>9000</v>
      </c>
    </row>
    <row r="274" spans="1:8" x14ac:dyDescent="0.25">
      <c r="A274" s="29"/>
      <c r="B274" s="29"/>
      <c r="C274" s="29"/>
      <c r="D274" s="29" t="s">
        <v>13</v>
      </c>
      <c r="E274" s="29">
        <v>2</v>
      </c>
      <c r="F274" s="38">
        <f>E274*6500</f>
        <v>13000</v>
      </c>
      <c r="G274" s="38">
        <f>E274*4500</f>
        <v>9000</v>
      </c>
      <c r="H274" s="38">
        <f>E274*2000</f>
        <v>4000</v>
      </c>
    </row>
    <row r="275" spans="1:8" x14ac:dyDescent="0.25">
      <c r="A275" s="29"/>
      <c r="B275" s="29"/>
      <c r="C275" s="29"/>
      <c r="D275" s="29" t="s">
        <v>14</v>
      </c>
      <c r="E275" s="29">
        <v>1</v>
      </c>
      <c r="F275" s="38">
        <v>10000</v>
      </c>
      <c r="G275" s="38">
        <v>5500</v>
      </c>
      <c r="H275" s="38">
        <v>4500</v>
      </c>
    </row>
    <row r="276" spans="1:8" x14ac:dyDescent="0.25">
      <c r="A276" s="29"/>
      <c r="B276" s="29"/>
      <c r="C276" s="29" t="s">
        <v>589</v>
      </c>
      <c r="D276" s="29" t="s">
        <v>11</v>
      </c>
      <c r="E276" s="29">
        <v>21</v>
      </c>
      <c r="F276" s="38">
        <f>E276*1500</f>
        <v>31500</v>
      </c>
      <c r="G276" s="38">
        <f>E276*500</f>
        <v>10500</v>
      </c>
      <c r="H276" s="38">
        <f>E276*2000</f>
        <v>42000</v>
      </c>
    </row>
    <row r="277" spans="1:8" x14ac:dyDescent="0.25">
      <c r="A277" s="29"/>
      <c r="B277" s="29"/>
      <c r="C277" s="29"/>
      <c r="D277" s="29" t="s">
        <v>13</v>
      </c>
      <c r="E277" s="29">
        <v>18</v>
      </c>
      <c r="F277" s="38">
        <f>E277*6500</f>
        <v>117000</v>
      </c>
      <c r="G277" s="38">
        <f>E277*4500</f>
        <v>81000</v>
      </c>
      <c r="H277" s="38">
        <f>E277*2000</f>
        <v>36000</v>
      </c>
    </row>
    <row r="278" spans="1:8" x14ac:dyDescent="0.25">
      <c r="A278" s="29"/>
      <c r="B278" s="29"/>
      <c r="C278" s="29" t="s">
        <v>568</v>
      </c>
      <c r="D278" s="29" t="s">
        <v>11</v>
      </c>
      <c r="E278" s="29">
        <v>30</v>
      </c>
      <c r="F278" s="38">
        <f>E278*1500</f>
        <v>45000</v>
      </c>
      <c r="G278" s="38">
        <f>E278*500</f>
        <v>15000</v>
      </c>
      <c r="H278" s="38">
        <v>30000</v>
      </c>
    </row>
    <row r="279" spans="1:8" x14ac:dyDescent="0.25">
      <c r="A279" s="29"/>
      <c r="B279" s="29"/>
      <c r="C279" s="29" t="s">
        <v>217</v>
      </c>
      <c r="D279" s="29" t="s">
        <v>13</v>
      </c>
      <c r="E279" s="29">
        <v>1</v>
      </c>
      <c r="F279" s="38">
        <v>6500</v>
      </c>
      <c r="G279" s="38">
        <v>4500</v>
      </c>
      <c r="H279" s="38">
        <v>2000</v>
      </c>
    </row>
    <row r="280" spans="1:8" x14ac:dyDescent="0.25">
      <c r="A280" s="29"/>
      <c r="B280" s="29"/>
      <c r="C280" s="29"/>
      <c r="D280" s="29" t="s">
        <v>21</v>
      </c>
      <c r="E280" s="29">
        <v>1</v>
      </c>
      <c r="F280" s="38">
        <v>15000</v>
      </c>
      <c r="G280" s="38">
        <v>10000</v>
      </c>
      <c r="H280" s="38">
        <v>5000</v>
      </c>
    </row>
    <row r="281" spans="1:8" x14ac:dyDescent="0.25">
      <c r="A281" s="131" t="s">
        <v>17</v>
      </c>
      <c r="B281" s="132"/>
      <c r="C281" s="132"/>
      <c r="D281" s="133"/>
      <c r="E281" s="17">
        <f>SUM(E264:E280)</f>
        <v>298</v>
      </c>
      <c r="F281" s="17">
        <f>SUM(F264:F280)</f>
        <v>1132000</v>
      </c>
      <c r="G281" s="17">
        <f>SUM(G264:G280)</f>
        <v>628000</v>
      </c>
      <c r="H281" s="17">
        <f>SUM(H264:H280)</f>
        <v>525000</v>
      </c>
    </row>
    <row r="282" spans="1:8" x14ac:dyDescent="0.25">
      <c r="A282" s="29" t="s">
        <v>30</v>
      </c>
      <c r="B282" s="29" t="s">
        <v>590</v>
      </c>
      <c r="C282" s="29" t="s">
        <v>16</v>
      </c>
      <c r="D282" s="29" t="s">
        <v>11</v>
      </c>
      <c r="E282" s="29">
        <v>36</v>
      </c>
      <c r="F282" s="38">
        <f>E282*1500</f>
        <v>54000</v>
      </c>
      <c r="G282" s="38">
        <f>E282*500</f>
        <v>18000</v>
      </c>
      <c r="H282" s="38">
        <v>36000</v>
      </c>
    </row>
    <row r="283" spans="1:8" x14ac:dyDescent="0.25">
      <c r="A283" s="29"/>
      <c r="B283" s="29"/>
      <c r="C283" s="29"/>
      <c r="D283" s="29" t="s">
        <v>12</v>
      </c>
      <c r="E283" s="29">
        <v>6</v>
      </c>
      <c r="F283" s="38">
        <f>E283*3000</f>
        <v>18000</v>
      </c>
      <c r="G283" s="38">
        <f>E283*2000</f>
        <v>12000</v>
      </c>
      <c r="H283" s="38">
        <v>6000</v>
      </c>
    </row>
    <row r="284" spans="1:8" x14ac:dyDescent="0.25">
      <c r="A284" s="29"/>
      <c r="B284" s="29"/>
      <c r="C284" s="29"/>
      <c r="D284" s="29" t="s">
        <v>13</v>
      </c>
      <c r="E284" s="29">
        <v>1</v>
      </c>
      <c r="F284" s="38">
        <v>6500</v>
      </c>
      <c r="G284" s="38">
        <v>4500</v>
      </c>
      <c r="H284" s="38">
        <v>2000</v>
      </c>
    </row>
    <row r="285" spans="1:8" x14ac:dyDescent="0.25">
      <c r="A285" s="29"/>
      <c r="B285" s="29"/>
      <c r="C285" s="29" t="s">
        <v>338</v>
      </c>
      <c r="D285" s="29" t="s">
        <v>11</v>
      </c>
      <c r="E285" s="29">
        <v>75</v>
      </c>
      <c r="F285" s="38">
        <f>E285*1800</f>
        <v>135000</v>
      </c>
      <c r="G285" s="38">
        <f>E285*500</f>
        <v>37500</v>
      </c>
      <c r="H285" s="38">
        <f>E285*1300</f>
        <v>97500</v>
      </c>
    </row>
    <row r="286" spans="1:8" x14ac:dyDescent="0.25">
      <c r="A286" s="29"/>
      <c r="B286" s="29"/>
      <c r="C286" s="29" t="s">
        <v>306</v>
      </c>
      <c r="D286" s="29" t="s">
        <v>11</v>
      </c>
      <c r="E286" s="29">
        <v>5</v>
      </c>
      <c r="F286" s="38">
        <f>E286*1800</f>
        <v>9000</v>
      </c>
      <c r="G286" s="38">
        <f>E286*500</f>
        <v>2500</v>
      </c>
      <c r="H286" s="38">
        <f>E286*1300</f>
        <v>6500</v>
      </c>
    </row>
    <row r="287" spans="1:8" x14ac:dyDescent="0.25">
      <c r="A287" s="29"/>
      <c r="B287" s="29"/>
      <c r="C287" s="29" t="s">
        <v>572</v>
      </c>
      <c r="D287" s="29" t="s">
        <v>11</v>
      </c>
      <c r="E287" s="29">
        <v>37</v>
      </c>
      <c r="F287" s="38">
        <f>E287*1700</f>
        <v>62900</v>
      </c>
      <c r="G287" s="38">
        <f>E287*500</f>
        <v>18500</v>
      </c>
      <c r="H287" s="38">
        <f>E287*1200</f>
        <v>44400</v>
      </c>
    </row>
    <row r="288" spans="1:8" x14ac:dyDescent="0.25">
      <c r="A288" s="29"/>
      <c r="B288" s="29"/>
      <c r="C288" s="29" t="s">
        <v>571</v>
      </c>
      <c r="D288" s="29" t="s">
        <v>11</v>
      </c>
      <c r="E288" s="29">
        <v>2</v>
      </c>
      <c r="F288" s="38">
        <f>E288*1700</f>
        <v>3400</v>
      </c>
      <c r="G288" s="38">
        <f>E288*500</f>
        <v>1000</v>
      </c>
      <c r="H288" s="38">
        <f>E288*1200</f>
        <v>2400</v>
      </c>
    </row>
    <row r="289" spans="1:8" x14ac:dyDescent="0.25">
      <c r="A289" s="29"/>
      <c r="B289" s="29"/>
      <c r="C289" s="29" t="s">
        <v>217</v>
      </c>
      <c r="D289" s="29" t="s">
        <v>11</v>
      </c>
      <c r="E289" s="29">
        <v>4</v>
      </c>
      <c r="F289" s="38">
        <f>E289*1500</f>
        <v>6000</v>
      </c>
      <c r="G289" s="38">
        <f>E289*500</f>
        <v>2000</v>
      </c>
      <c r="H289" s="38">
        <v>4000</v>
      </c>
    </row>
    <row r="290" spans="1:8" x14ac:dyDescent="0.25">
      <c r="A290" s="29"/>
      <c r="B290" s="29"/>
      <c r="C290" s="29"/>
      <c r="D290" s="29" t="s">
        <v>13</v>
      </c>
      <c r="E290" s="29">
        <v>3</v>
      </c>
      <c r="F290" s="38">
        <f>E290*6500</f>
        <v>19500</v>
      </c>
      <c r="G290" s="38">
        <f>E290*4500</f>
        <v>13500</v>
      </c>
      <c r="H290" s="38">
        <f>E290*2000</f>
        <v>6000</v>
      </c>
    </row>
    <row r="291" spans="1:8" x14ac:dyDescent="0.25">
      <c r="A291" s="29"/>
      <c r="B291" s="29"/>
      <c r="C291" s="29"/>
      <c r="D291" s="29" t="s">
        <v>14</v>
      </c>
      <c r="E291" s="29">
        <v>3</v>
      </c>
      <c r="F291" s="38">
        <f>E291*8000</f>
        <v>24000</v>
      </c>
      <c r="G291" s="38">
        <f>E291*5500</f>
        <v>16500</v>
      </c>
      <c r="H291" s="38">
        <f>E291*2500</f>
        <v>7500</v>
      </c>
    </row>
    <row r="292" spans="1:8" x14ac:dyDescent="0.25">
      <c r="A292" s="29"/>
      <c r="B292" s="29"/>
      <c r="C292" s="29"/>
      <c r="D292" s="29"/>
      <c r="E292" s="29">
        <v>2</v>
      </c>
      <c r="F292" s="38">
        <f>E292*10000</f>
        <v>20000</v>
      </c>
      <c r="G292" s="38">
        <f>E292*5500</f>
        <v>11000</v>
      </c>
      <c r="H292" s="38">
        <f>E292*4500</f>
        <v>9000</v>
      </c>
    </row>
    <row r="293" spans="1:8" x14ac:dyDescent="0.25">
      <c r="A293" s="29"/>
      <c r="B293" s="29"/>
      <c r="C293" s="29" t="s">
        <v>24</v>
      </c>
      <c r="D293" s="29" t="s">
        <v>243</v>
      </c>
      <c r="E293" s="29">
        <v>5</v>
      </c>
      <c r="F293" s="38">
        <f>E293*13000</f>
        <v>65000</v>
      </c>
      <c r="G293" s="38">
        <f>E293*10000</f>
        <v>50000</v>
      </c>
      <c r="H293" s="38">
        <f>E293*3000</f>
        <v>15000</v>
      </c>
    </row>
    <row r="294" spans="1:8" x14ac:dyDescent="0.25">
      <c r="A294" s="131" t="s">
        <v>17</v>
      </c>
      <c r="B294" s="132"/>
      <c r="C294" s="132"/>
      <c r="D294" s="133"/>
      <c r="E294" s="17">
        <f>SUM(E282:E293)</f>
        <v>179</v>
      </c>
      <c r="F294" s="17">
        <f>SUM(F282:F293)</f>
        <v>423300</v>
      </c>
      <c r="G294" s="17">
        <f>SUM(G282:G293)</f>
        <v>187000</v>
      </c>
      <c r="H294" s="17">
        <f>SUM(H282:H293)</f>
        <v>236300</v>
      </c>
    </row>
    <row r="295" spans="1:8" x14ac:dyDescent="0.25">
      <c r="A295" s="29" t="s">
        <v>32</v>
      </c>
      <c r="B295" s="29" t="s">
        <v>591</v>
      </c>
      <c r="C295" s="29" t="s">
        <v>338</v>
      </c>
      <c r="D295" s="29" t="s">
        <v>11</v>
      </c>
      <c r="E295" s="29">
        <v>75</v>
      </c>
      <c r="F295" s="38">
        <f>E295*1800</f>
        <v>135000</v>
      </c>
      <c r="G295" s="38">
        <f t="shared" ref="G295:G300" si="8">E295*500</f>
        <v>37500</v>
      </c>
      <c r="H295" s="38">
        <f>E295*1300</f>
        <v>97500</v>
      </c>
    </row>
    <row r="296" spans="1:8" x14ac:dyDescent="0.25">
      <c r="A296" s="29"/>
      <c r="B296" s="29"/>
      <c r="C296" s="29" t="s">
        <v>306</v>
      </c>
      <c r="D296" s="29" t="s">
        <v>11</v>
      </c>
      <c r="E296" s="29">
        <v>24</v>
      </c>
      <c r="F296" s="38">
        <f>E296*1800</f>
        <v>43200</v>
      </c>
      <c r="G296" s="38">
        <f t="shared" si="8"/>
        <v>12000</v>
      </c>
      <c r="H296" s="38">
        <f>E296*1300</f>
        <v>31200</v>
      </c>
    </row>
    <row r="297" spans="1:8" x14ac:dyDescent="0.25">
      <c r="A297" s="29"/>
      <c r="B297" s="29"/>
      <c r="C297" s="29" t="s">
        <v>572</v>
      </c>
      <c r="D297" s="29" t="s">
        <v>11</v>
      </c>
      <c r="E297" s="29">
        <v>40</v>
      </c>
      <c r="F297" s="38">
        <f>E297*1700</f>
        <v>68000</v>
      </c>
      <c r="G297" s="38">
        <f t="shared" si="8"/>
        <v>20000</v>
      </c>
      <c r="H297" s="38">
        <f>E297*1200</f>
        <v>48000</v>
      </c>
    </row>
    <row r="298" spans="1:8" x14ac:dyDescent="0.25">
      <c r="A298" s="29"/>
      <c r="B298" s="29"/>
      <c r="C298" s="29" t="s">
        <v>571</v>
      </c>
      <c r="D298" s="29" t="s">
        <v>11</v>
      </c>
      <c r="E298" s="29">
        <v>21</v>
      </c>
      <c r="F298" s="38">
        <f>E298*1700</f>
        <v>35700</v>
      </c>
      <c r="G298" s="38">
        <f t="shared" si="8"/>
        <v>10500</v>
      </c>
      <c r="H298" s="38">
        <f>E298*1200</f>
        <v>25200</v>
      </c>
    </row>
    <row r="299" spans="1:8" x14ac:dyDescent="0.25">
      <c r="A299" s="29"/>
      <c r="B299" s="29"/>
      <c r="C299" s="29" t="s">
        <v>209</v>
      </c>
      <c r="D299" s="29" t="s">
        <v>11</v>
      </c>
      <c r="E299" s="29">
        <v>30</v>
      </c>
      <c r="F299" s="38">
        <f>E299*1500</f>
        <v>45000</v>
      </c>
      <c r="G299" s="38">
        <f t="shared" si="8"/>
        <v>15000</v>
      </c>
      <c r="H299" s="38">
        <v>30000</v>
      </c>
    </row>
    <row r="300" spans="1:8" x14ac:dyDescent="0.25">
      <c r="A300" s="29"/>
      <c r="B300" s="29"/>
      <c r="C300" s="29" t="s">
        <v>16</v>
      </c>
      <c r="D300" s="29" t="s">
        <v>11</v>
      </c>
      <c r="E300" s="29">
        <v>61</v>
      </c>
      <c r="F300" s="38">
        <f>E300*1500</f>
        <v>91500</v>
      </c>
      <c r="G300" s="38">
        <f t="shared" si="8"/>
        <v>30500</v>
      </c>
      <c r="H300" s="38">
        <v>61000</v>
      </c>
    </row>
    <row r="301" spans="1:8" x14ac:dyDescent="0.25">
      <c r="A301" s="29"/>
      <c r="B301" s="29"/>
      <c r="C301" s="29"/>
      <c r="D301" s="29" t="s">
        <v>12</v>
      </c>
      <c r="E301" s="29">
        <v>4</v>
      </c>
      <c r="F301" s="38">
        <f>E301*3000</f>
        <v>12000</v>
      </c>
      <c r="G301" s="38">
        <f>E301*2000</f>
        <v>8000</v>
      </c>
      <c r="H301" s="38">
        <v>4000</v>
      </c>
    </row>
    <row r="302" spans="1:8" x14ac:dyDescent="0.25">
      <c r="A302" s="29"/>
      <c r="B302" s="29"/>
      <c r="C302" s="29" t="s">
        <v>24</v>
      </c>
      <c r="D302" s="29" t="s">
        <v>592</v>
      </c>
      <c r="E302" s="29">
        <v>2</v>
      </c>
      <c r="F302" s="38">
        <f>E302*15000</f>
        <v>30000</v>
      </c>
      <c r="G302" s="38">
        <f>E302*10000</f>
        <v>20000</v>
      </c>
      <c r="H302" s="38">
        <f>E302*5000</f>
        <v>10000</v>
      </c>
    </row>
    <row r="303" spans="1:8" x14ac:dyDescent="0.25">
      <c r="A303" s="29"/>
      <c r="B303" s="29"/>
      <c r="C303" s="29"/>
      <c r="D303" s="29" t="s">
        <v>21</v>
      </c>
      <c r="E303" s="29">
        <v>1</v>
      </c>
      <c r="F303" s="38">
        <v>15000</v>
      </c>
      <c r="G303" s="38">
        <v>10000</v>
      </c>
      <c r="H303" s="38">
        <v>5000</v>
      </c>
    </row>
    <row r="304" spans="1:8" x14ac:dyDescent="0.25">
      <c r="A304" s="29"/>
      <c r="B304" s="29"/>
      <c r="C304" s="29" t="s">
        <v>24</v>
      </c>
      <c r="D304" s="29" t="s">
        <v>243</v>
      </c>
      <c r="E304" s="29">
        <v>2</v>
      </c>
      <c r="F304" s="38">
        <f>E304*13000</f>
        <v>26000</v>
      </c>
      <c r="G304" s="38">
        <f>E304*10000</f>
        <v>20000</v>
      </c>
      <c r="H304" s="38">
        <f>E304*3000</f>
        <v>6000</v>
      </c>
    </row>
    <row r="305" spans="1:8" x14ac:dyDescent="0.25">
      <c r="A305" s="131" t="s">
        <v>17</v>
      </c>
      <c r="B305" s="132"/>
      <c r="C305" s="132"/>
      <c r="D305" s="133"/>
      <c r="E305" s="17">
        <f>SUM(E295:E304)</f>
        <v>260</v>
      </c>
      <c r="F305" s="17">
        <f>SUM(F295:F304)</f>
        <v>501400</v>
      </c>
      <c r="G305" s="17">
        <f>SUM(G295:G304)</f>
        <v>183500</v>
      </c>
      <c r="H305" s="17">
        <f>SUM(H295:H304)</f>
        <v>317900</v>
      </c>
    </row>
    <row r="306" spans="1:8" x14ac:dyDescent="0.25">
      <c r="A306" s="29" t="s">
        <v>8</v>
      </c>
      <c r="B306" s="29" t="s">
        <v>593</v>
      </c>
      <c r="C306" s="29" t="s">
        <v>338</v>
      </c>
      <c r="D306" s="29" t="s">
        <v>11</v>
      </c>
      <c r="E306" s="29">
        <v>75</v>
      </c>
      <c r="F306" s="38">
        <f>E306*1800</f>
        <v>135000</v>
      </c>
      <c r="G306" s="38">
        <f>E306*500</f>
        <v>37500</v>
      </c>
      <c r="H306" s="38">
        <f>E306*1300</f>
        <v>97500</v>
      </c>
    </row>
    <row r="307" spans="1:8" x14ac:dyDescent="0.25">
      <c r="A307" s="29"/>
      <c r="B307" s="29"/>
      <c r="C307" s="29" t="s">
        <v>306</v>
      </c>
      <c r="D307" s="29" t="s">
        <v>11</v>
      </c>
      <c r="E307" s="29">
        <v>18</v>
      </c>
      <c r="F307" s="38">
        <f>E307*1800</f>
        <v>32400</v>
      </c>
      <c r="G307" s="38">
        <f>E307*500</f>
        <v>9000</v>
      </c>
      <c r="H307" s="38">
        <f>E307*1300</f>
        <v>23400</v>
      </c>
    </row>
    <row r="308" spans="1:8" x14ac:dyDescent="0.25">
      <c r="A308" s="29"/>
      <c r="B308" s="29"/>
      <c r="C308" s="29" t="s">
        <v>572</v>
      </c>
      <c r="D308" s="29" t="s">
        <v>11</v>
      </c>
      <c r="E308" s="29">
        <v>50</v>
      </c>
      <c r="F308" s="38">
        <f>E308*1700</f>
        <v>85000</v>
      </c>
      <c r="G308" s="38">
        <f>E308*500</f>
        <v>25000</v>
      </c>
      <c r="H308" s="38">
        <f>E308*1200</f>
        <v>60000</v>
      </c>
    </row>
    <row r="309" spans="1:8" x14ac:dyDescent="0.25">
      <c r="A309" s="29"/>
      <c r="B309" s="29"/>
      <c r="C309" s="29" t="s">
        <v>571</v>
      </c>
      <c r="D309" s="29" t="s">
        <v>11</v>
      </c>
      <c r="E309" s="29">
        <v>40</v>
      </c>
      <c r="F309" s="38">
        <f>E309*1700</f>
        <v>68000</v>
      </c>
      <c r="G309" s="38">
        <f>E309*500</f>
        <v>20000</v>
      </c>
      <c r="H309" s="38">
        <f>E309*1200</f>
        <v>48000</v>
      </c>
    </row>
    <row r="310" spans="1:8" x14ac:dyDescent="0.25">
      <c r="A310" s="29"/>
      <c r="B310" s="29"/>
      <c r="C310" s="29" t="s">
        <v>16</v>
      </c>
      <c r="D310" s="29" t="s">
        <v>11</v>
      </c>
      <c r="E310" s="29">
        <v>51</v>
      </c>
      <c r="F310" s="38">
        <f>E310*1500</f>
        <v>76500</v>
      </c>
      <c r="G310" s="38">
        <f>E310*500</f>
        <v>25500</v>
      </c>
      <c r="H310" s="38">
        <v>51000</v>
      </c>
    </row>
    <row r="311" spans="1:8" x14ac:dyDescent="0.25">
      <c r="A311" s="29"/>
      <c r="B311" s="29"/>
      <c r="C311" s="29"/>
      <c r="D311" s="29" t="s">
        <v>12</v>
      </c>
      <c r="E311" s="29">
        <v>2</v>
      </c>
      <c r="F311" s="38">
        <f>E311*3000</f>
        <v>6000</v>
      </c>
      <c r="G311" s="38">
        <v>4000</v>
      </c>
      <c r="H311" s="38">
        <v>2000</v>
      </c>
    </row>
    <row r="312" spans="1:8" x14ac:dyDescent="0.25">
      <c r="A312" s="29"/>
      <c r="B312" s="29"/>
      <c r="C312" s="29"/>
      <c r="D312" s="29" t="s">
        <v>13</v>
      </c>
      <c r="E312" s="29">
        <v>2</v>
      </c>
      <c r="F312" s="38">
        <f>E312*6500</f>
        <v>13000</v>
      </c>
      <c r="G312" s="38">
        <f>E312*4500</f>
        <v>9000</v>
      </c>
      <c r="H312" s="38">
        <v>4000</v>
      </c>
    </row>
    <row r="313" spans="1:8" x14ac:dyDescent="0.25">
      <c r="A313" s="29"/>
      <c r="B313" s="29"/>
      <c r="C313" s="29" t="s">
        <v>24</v>
      </c>
      <c r="D313" s="29" t="s">
        <v>21</v>
      </c>
      <c r="E313" s="29">
        <v>1</v>
      </c>
      <c r="F313" s="38">
        <v>15000</v>
      </c>
      <c r="G313" s="38">
        <v>10000</v>
      </c>
      <c r="H313" s="38">
        <v>5000</v>
      </c>
    </row>
    <row r="314" spans="1:8" x14ac:dyDescent="0.25">
      <c r="A314" s="131" t="s">
        <v>17</v>
      </c>
      <c r="B314" s="132"/>
      <c r="C314" s="132"/>
      <c r="D314" s="133"/>
      <c r="E314" s="17">
        <f>SUM(E306:E313)</f>
        <v>239</v>
      </c>
      <c r="F314" s="17">
        <f>SUM(F306:F313)</f>
        <v>430900</v>
      </c>
      <c r="G314" s="17">
        <f>SUM(G306:G313)</f>
        <v>140000</v>
      </c>
      <c r="H314" s="17">
        <f>SUM(H306:H313)</f>
        <v>290900</v>
      </c>
    </row>
    <row r="315" spans="1:8" x14ac:dyDescent="0.25">
      <c r="A315" s="29" t="s">
        <v>18</v>
      </c>
      <c r="B315" s="29" t="s">
        <v>594</v>
      </c>
      <c r="C315" s="29" t="s">
        <v>338</v>
      </c>
      <c r="D315" s="29" t="s">
        <v>11</v>
      </c>
      <c r="E315" s="29">
        <v>75</v>
      </c>
      <c r="F315" s="38">
        <f>E315*1800</f>
        <v>135000</v>
      </c>
      <c r="G315" s="38">
        <f t="shared" ref="G315:G321" si="9">E315*500</f>
        <v>37500</v>
      </c>
      <c r="H315" s="38">
        <f>E315*1300</f>
        <v>97500</v>
      </c>
    </row>
    <row r="316" spans="1:8" x14ac:dyDescent="0.25">
      <c r="A316" s="29"/>
      <c r="B316" s="29"/>
      <c r="C316" s="29" t="s">
        <v>306</v>
      </c>
      <c r="D316" s="29" t="s">
        <v>11</v>
      </c>
      <c r="E316" s="29">
        <f>57-19</f>
        <v>38</v>
      </c>
      <c r="F316" s="38">
        <f>E316*1800</f>
        <v>68400</v>
      </c>
      <c r="G316" s="38">
        <f t="shared" si="9"/>
        <v>19000</v>
      </c>
      <c r="H316" s="38">
        <f>E316*1300</f>
        <v>49400</v>
      </c>
    </row>
    <row r="317" spans="1:8" x14ac:dyDescent="0.25">
      <c r="A317" s="29"/>
      <c r="B317" s="29"/>
      <c r="C317" s="29" t="s">
        <v>572</v>
      </c>
      <c r="D317" s="29" t="s">
        <v>11</v>
      </c>
      <c r="E317" s="29">
        <f>50-3</f>
        <v>47</v>
      </c>
      <c r="F317" s="38">
        <f>E317*1700</f>
        <v>79900</v>
      </c>
      <c r="G317" s="38">
        <f t="shared" si="9"/>
        <v>23500</v>
      </c>
      <c r="H317" s="38">
        <f>E317*1200</f>
        <v>56400</v>
      </c>
    </row>
    <row r="318" spans="1:8" x14ac:dyDescent="0.25">
      <c r="A318" s="29"/>
      <c r="B318" s="29"/>
      <c r="C318" s="29" t="s">
        <v>571</v>
      </c>
      <c r="D318" s="29" t="s">
        <v>11</v>
      </c>
      <c r="E318" s="29">
        <v>30</v>
      </c>
      <c r="F318" s="38">
        <f>E318*1700</f>
        <v>51000</v>
      </c>
      <c r="G318" s="38">
        <f t="shared" si="9"/>
        <v>15000</v>
      </c>
      <c r="H318" s="38">
        <f>E318*1200</f>
        <v>36000</v>
      </c>
    </row>
    <row r="319" spans="1:8" x14ac:dyDescent="0.25">
      <c r="A319" s="29"/>
      <c r="B319" s="29"/>
      <c r="C319" s="29" t="s">
        <v>209</v>
      </c>
      <c r="D319" s="29" t="s">
        <v>11</v>
      </c>
      <c r="E319" s="29">
        <f>30-12</f>
        <v>18</v>
      </c>
      <c r="F319" s="38">
        <f>E319*1500</f>
        <v>27000</v>
      </c>
      <c r="G319" s="38">
        <f t="shared" si="9"/>
        <v>9000</v>
      </c>
      <c r="H319" s="38">
        <f>E319*1000</f>
        <v>18000</v>
      </c>
    </row>
    <row r="320" spans="1:8" x14ac:dyDescent="0.25">
      <c r="A320" s="29"/>
      <c r="B320" s="29"/>
      <c r="C320" s="29" t="s">
        <v>308</v>
      </c>
      <c r="D320" s="29" t="s">
        <v>11</v>
      </c>
      <c r="E320" s="29">
        <v>12</v>
      </c>
      <c r="F320" s="38">
        <f>E320*1500</f>
        <v>18000</v>
      </c>
      <c r="G320" s="38">
        <f t="shared" si="9"/>
        <v>6000</v>
      </c>
      <c r="H320" s="38">
        <f>E320*1000</f>
        <v>12000</v>
      </c>
    </row>
    <row r="321" spans="1:8" x14ac:dyDescent="0.25">
      <c r="A321" s="29"/>
      <c r="B321" s="29"/>
      <c r="C321" s="29" t="s">
        <v>16</v>
      </c>
      <c r="D321" s="29" t="s">
        <v>11</v>
      </c>
      <c r="E321" s="29">
        <v>61</v>
      </c>
      <c r="F321" s="38">
        <f>E321*1500</f>
        <v>91500</v>
      </c>
      <c r="G321" s="38">
        <f t="shared" si="9"/>
        <v>30500</v>
      </c>
      <c r="H321" s="38">
        <f>E321*1000</f>
        <v>61000</v>
      </c>
    </row>
    <row r="322" spans="1:8" x14ac:dyDescent="0.25">
      <c r="A322" s="29"/>
      <c r="B322" s="29"/>
      <c r="C322" s="29"/>
      <c r="D322" s="29" t="s">
        <v>12</v>
      </c>
      <c r="E322" s="29">
        <v>1</v>
      </c>
      <c r="F322" s="38">
        <v>3000</v>
      </c>
      <c r="G322" s="38">
        <v>2000</v>
      </c>
      <c r="H322" s="38">
        <v>1000</v>
      </c>
    </row>
    <row r="323" spans="1:8" x14ac:dyDescent="0.25">
      <c r="A323" s="29"/>
      <c r="B323" s="29"/>
      <c r="C323" s="29"/>
      <c r="D323" s="29" t="s">
        <v>14</v>
      </c>
      <c r="E323" s="29">
        <v>2</v>
      </c>
      <c r="F323" s="38">
        <f>E323*10000</f>
        <v>20000</v>
      </c>
      <c r="G323" s="38">
        <f>E323*5500</f>
        <v>11000</v>
      </c>
      <c r="H323" s="38">
        <f>E323*4500</f>
        <v>9000</v>
      </c>
    </row>
    <row r="324" spans="1:8" x14ac:dyDescent="0.25">
      <c r="A324" s="29"/>
      <c r="B324" s="29"/>
      <c r="C324" s="29" t="s">
        <v>217</v>
      </c>
      <c r="D324" s="29" t="s">
        <v>11</v>
      </c>
      <c r="E324" s="29">
        <v>11</v>
      </c>
      <c r="F324" s="38">
        <f>E324*1500</f>
        <v>16500</v>
      </c>
      <c r="G324" s="38">
        <f>E324*500</f>
        <v>5500</v>
      </c>
      <c r="H324" s="38">
        <v>11000</v>
      </c>
    </row>
    <row r="325" spans="1:8" x14ac:dyDescent="0.25">
      <c r="A325" s="29"/>
      <c r="B325" s="29"/>
      <c r="C325" s="29"/>
      <c r="D325" s="29" t="s">
        <v>13</v>
      </c>
      <c r="E325" s="29">
        <v>4</v>
      </c>
      <c r="F325" s="38">
        <f>E325*6500</f>
        <v>26000</v>
      </c>
      <c r="G325" s="38">
        <f>E325*4500</f>
        <v>18000</v>
      </c>
      <c r="H325" s="38">
        <f>E325*2000</f>
        <v>8000</v>
      </c>
    </row>
    <row r="326" spans="1:8" x14ac:dyDescent="0.25">
      <c r="A326" s="29"/>
      <c r="B326" s="29"/>
      <c r="C326" s="29"/>
      <c r="D326" s="29" t="s">
        <v>14</v>
      </c>
      <c r="E326" s="29">
        <v>3</v>
      </c>
      <c r="F326" s="38">
        <f>E326*8000</f>
        <v>24000</v>
      </c>
      <c r="G326" s="38">
        <f>E326*5500</f>
        <v>16500</v>
      </c>
      <c r="H326" s="38">
        <f>E326*2500</f>
        <v>7500</v>
      </c>
    </row>
    <row r="327" spans="1:8" x14ac:dyDescent="0.25">
      <c r="A327" s="29"/>
      <c r="B327" s="29"/>
      <c r="C327" s="29"/>
      <c r="D327" s="29"/>
      <c r="E327" s="29">
        <v>3</v>
      </c>
      <c r="F327" s="38">
        <f>E327*10000</f>
        <v>30000</v>
      </c>
      <c r="G327" s="38">
        <f>E327*5500</f>
        <v>16500</v>
      </c>
      <c r="H327" s="38">
        <f>E327*4500</f>
        <v>13500</v>
      </c>
    </row>
    <row r="328" spans="1:8" x14ac:dyDescent="0.25">
      <c r="A328" s="29"/>
      <c r="B328" s="29"/>
      <c r="C328" s="29"/>
      <c r="D328" s="29" t="s">
        <v>404</v>
      </c>
      <c r="E328" s="29">
        <v>8</v>
      </c>
      <c r="F328" s="38">
        <f>E328*2000</f>
        <v>16000</v>
      </c>
      <c r="G328" s="38">
        <v>8000</v>
      </c>
      <c r="H328" s="38">
        <v>8000</v>
      </c>
    </row>
    <row r="329" spans="1:8" x14ac:dyDescent="0.25">
      <c r="A329" s="29"/>
      <c r="B329" s="29"/>
      <c r="C329" s="29"/>
      <c r="D329" s="29" t="s">
        <v>420</v>
      </c>
      <c r="E329" s="29">
        <v>4</v>
      </c>
      <c r="F329" s="38">
        <f>E329*5000</f>
        <v>20000</v>
      </c>
      <c r="G329" s="38">
        <v>10000</v>
      </c>
      <c r="H329" s="38">
        <v>10000</v>
      </c>
    </row>
    <row r="330" spans="1:8" x14ac:dyDescent="0.25">
      <c r="A330" s="29"/>
      <c r="B330" s="29"/>
      <c r="C330" s="29"/>
      <c r="D330" s="29" t="s">
        <v>424</v>
      </c>
      <c r="E330" s="29">
        <v>1</v>
      </c>
      <c r="F330" s="38">
        <v>5000</v>
      </c>
      <c r="G330" s="38">
        <v>2500</v>
      </c>
      <c r="H330" s="38">
        <v>2500</v>
      </c>
    </row>
    <row r="331" spans="1:8" x14ac:dyDescent="0.25">
      <c r="A331" s="29"/>
      <c r="B331" s="29"/>
      <c r="C331" s="29" t="s">
        <v>568</v>
      </c>
      <c r="D331" s="29" t="s">
        <v>11</v>
      </c>
      <c r="E331" s="29">
        <v>50</v>
      </c>
      <c r="F331" s="38">
        <f>E331*1500</f>
        <v>75000</v>
      </c>
      <c r="G331" s="38">
        <f>E331*500</f>
        <v>25000</v>
      </c>
      <c r="H331" s="38">
        <v>50000</v>
      </c>
    </row>
    <row r="332" spans="1:8" x14ac:dyDescent="0.25">
      <c r="A332" s="131" t="s">
        <v>17</v>
      </c>
      <c r="B332" s="132"/>
      <c r="C332" s="132"/>
      <c r="D332" s="133"/>
      <c r="E332" s="17">
        <f>SUM(E315:E331)</f>
        <v>368</v>
      </c>
      <c r="F332" s="17">
        <f>SUM(F315:F331)</f>
        <v>706300</v>
      </c>
      <c r="G332" s="17">
        <f>SUM(G315:G331)</f>
        <v>255500</v>
      </c>
      <c r="H332" s="17">
        <f>SUM(H315:H331)</f>
        <v>450800</v>
      </c>
    </row>
    <row r="333" spans="1:8" x14ac:dyDescent="0.25">
      <c r="A333" s="29" t="s">
        <v>22</v>
      </c>
      <c r="B333" s="29" t="s">
        <v>595</v>
      </c>
      <c r="C333" s="29" t="s">
        <v>338</v>
      </c>
      <c r="D333" s="29" t="s">
        <v>11</v>
      </c>
      <c r="E333" s="29">
        <v>75</v>
      </c>
      <c r="F333" s="38">
        <f>E333*1800</f>
        <v>135000</v>
      </c>
      <c r="G333" s="38">
        <f>E333*500</f>
        <v>37500</v>
      </c>
      <c r="H333" s="38">
        <f>E333*1300</f>
        <v>97500</v>
      </c>
    </row>
    <row r="334" spans="1:8" x14ac:dyDescent="0.25">
      <c r="A334" s="29"/>
      <c r="B334" s="29"/>
      <c r="C334" s="29" t="s">
        <v>306</v>
      </c>
      <c r="D334" s="29" t="s">
        <v>11</v>
      </c>
      <c r="E334" s="29">
        <f>49-20</f>
        <v>29</v>
      </c>
      <c r="F334" s="38">
        <f>E334*1800</f>
        <v>52200</v>
      </c>
      <c r="G334" s="38">
        <f>E334*500</f>
        <v>14500</v>
      </c>
      <c r="H334" s="38">
        <f>E334*1300</f>
        <v>37700</v>
      </c>
    </row>
    <row r="335" spans="1:8" x14ac:dyDescent="0.25">
      <c r="A335" s="29"/>
      <c r="B335" s="29"/>
      <c r="C335" s="29" t="s">
        <v>572</v>
      </c>
      <c r="D335" s="29" t="s">
        <v>11</v>
      </c>
      <c r="E335" s="29">
        <v>51</v>
      </c>
      <c r="F335" s="38">
        <f>E335*1700</f>
        <v>86700</v>
      </c>
      <c r="G335" s="38">
        <f>E335*500</f>
        <v>25500</v>
      </c>
      <c r="H335" s="38">
        <f>E335*1200</f>
        <v>61200</v>
      </c>
    </row>
    <row r="336" spans="1:8" x14ac:dyDescent="0.25">
      <c r="A336" s="29"/>
      <c r="B336" s="29"/>
      <c r="C336" s="29" t="s">
        <v>571</v>
      </c>
      <c r="D336" s="29" t="s">
        <v>11</v>
      </c>
      <c r="E336" s="29">
        <v>10</v>
      </c>
      <c r="F336" s="38">
        <f>E336*1700</f>
        <v>17000</v>
      </c>
      <c r="G336" s="38">
        <f>E336*500</f>
        <v>5000</v>
      </c>
      <c r="H336" s="38">
        <f>E336*1200</f>
        <v>12000</v>
      </c>
    </row>
    <row r="337" spans="1:8" x14ac:dyDescent="0.25">
      <c r="A337" s="29"/>
      <c r="B337" s="29"/>
      <c r="C337" s="29" t="s">
        <v>308</v>
      </c>
      <c r="D337" s="29" t="s">
        <v>11</v>
      </c>
      <c r="E337" s="29">
        <v>8</v>
      </c>
      <c r="F337" s="38">
        <f>E337*1500</f>
        <v>12000</v>
      </c>
      <c r="G337" s="38">
        <f>E337*500</f>
        <v>4000</v>
      </c>
      <c r="H337" s="38">
        <v>8000</v>
      </c>
    </row>
    <row r="338" spans="1:8" x14ac:dyDescent="0.25">
      <c r="A338" s="29"/>
      <c r="B338" s="29"/>
      <c r="C338" s="29" t="s">
        <v>596</v>
      </c>
      <c r="D338" s="29" t="s">
        <v>415</v>
      </c>
      <c r="E338" s="29">
        <v>11</v>
      </c>
      <c r="F338" s="38">
        <f>E338*2000</f>
        <v>22000</v>
      </c>
      <c r="G338" s="38">
        <v>11000</v>
      </c>
      <c r="H338" s="38">
        <v>11000</v>
      </c>
    </row>
    <row r="339" spans="1:8" x14ac:dyDescent="0.25">
      <c r="A339" s="29"/>
      <c r="B339" s="29"/>
      <c r="C339" s="29"/>
      <c r="D339" s="29" t="s">
        <v>13</v>
      </c>
      <c r="E339" s="29">
        <v>6</v>
      </c>
      <c r="F339" s="38">
        <f>E339*6500</f>
        <v>39000</v>
      </c>
      <c r="G339" s="38">
        <f>E339*4500</f>
        <v>27000</v>
      </c>
      <c r="H339" s="38">
        <v>12000</v>
      </c>
    </row>
    <row r="340" spans="1:8" x14ac:dyDescent="0.25">
      <c r="A340" s="29"/>
      <c r="B340" s="29"/>
      <c r="C340" s="29" t="s">
        <v>24</v>
      </c>
      <c r="D340" s="29" t="s">
        <v>243</v>
      </c>
      <c r="E340" s="29">
        <v>1</v>
      </c>
      <c r="F340" s="38">
        <v>13000</v>
      </c>
      <c r="G340" s="38">
        <v>10000</v>
      </c>
      <c r="H340" s="38">
        <v>3000</v>
      </c>
    </row>
    <row r="341" spans="1:8" x14ac:dyDescent="0.25">
      <c r="A341" s="29"/>
      <c r="B341" s="29"/>
      <c r="C341" s="29" t="s">
        <v>217</v>
      </c>
      <c r="D341" s="29" t="s">
        <v>11</v>
      </c>
      <c r="E341" s="29">
        <v>30</v>
      </c>
      <c r="F341" s="38">
        <f>E341*1500</f>
        <v>45000</v>
      </c>
      <c r="G341" s="38">
        <f>E341*500</f>
        <v>15000</v>
      </c>
      <c r="H341" s="38">
        <v>30000</v>
      </c>
    </row>
    <row r="342" spans="1:8" x14ac:dyDescent="0.25">
      <c r="A342" s="29"/>
      <c r="B342" s="29"/>
      <c r="C342" s="29"/>
      <c r="D342" s="29" t="s">
        <v>13</v>
      </c>
      <c r="E342" s="29">
        <v>1</v>
      </c>
      <c r="F342" s="38">
        <v>6500</v>
      </c>
      <c r="G342" s="38">
        <v>4500</v>
      </c>
      <c r="H342" s="38">
        <v>2000</v>
      </c>
    </row>
    <row r="343" spans="1:8" x14ac:dyDescent="0.25">
      <c r="A343" s="29"/>
      <c r="B343" s="29"/>
      <c r="C343" s="29"/>
      <c r="D343" s="29" t="s">
        <v>14</v>
      </c>
      <c r="E343" s="29">
        <v>3</v>
      </c>
      <c r="F343" s="38">
        <f>E343*8000</f>
        <v>24000</v>
      </c>
      <c r="G343" s="38">
        <f>E343*5500</f>
        <v>16500</v>
      </c>
      <c r="H343" s="38">
        <f>E343*2500</f>
        <v>7500</v>
      </c>
    </row>
    <row r="344" spans="1:8" x14ac:dyDescent="0.25">
      <c r="A344" s="29"/>
      <c r="B344" s="29"/>
      <c r="C344" s="29"/>
      <c r="D344" s="29" t="s">
        <v>404</v>
      </c>
      <c r="E344" s="29">
        <v>4</v>
      </c>
      <c r="F344" s="38">
        <f>E344*2000</f>
        <v>8000</v>
      </c>
      <c r="G344" s="38">
        <v>4000</v>
      </c>
      <c r="H344" s="38">
        <v>4000</v>
      </c>
    </row>
    <row r="345" spans="1:8" x14ac:dyDescent="0.25">
      <c r="A345" s="29"/>
      <c r="B345" s="29"/>
      <c r="C345" s="29"/>
      <c r="D345" s="29" t="s">
        <v>415</v>
      </c>
      <c r="E345" s="29">
        <v>1</v>
      </c>
      <c r="F345" s="38">
        <v>5000</v>
      </c>
      <c r="G345" s="38">
        <v>2500</v>
      </c>
      <c r="H345" s="38">
        <v>2500</v>
      </c>
    </row>
    <row r="346" spans="1:8" x14ac:dyDescent="0.25">
      <c r="A346" s="131" t="s">
        <v>17</v>
      </c>
      <c r="B346" s="132"/>
      <c r="C346" s="132"/>
      <c r="D346" s="133"/>
      <c r="E346" s="17">
        <f>SUM(E333:E345)</f>
        <v>230</v>
      </c>
      <c r="F346" s="17">
        <f>SUM(F333:F345)</f>
        <v>465400</v>
      </c>
      <c r="G346" s="17">
        <f>SUM(G333:G345)</f>
        <v>177000</v>
      </c>
      <c r="H346" s="17">
        <f>SUM(H333:H345)</f>
        <v>288400</v>
      </c>
    </row>
    <row r="347" spans="1:8" x14ac:dyDescent="0.25">
      <c r="A347" s="29" t="s">
        <v>26</v>
      </c>
      <c r="B347" s="29" t="s">
        <v>597</v>
      </c>
      <c r="C347" s="29" t="s">
        <v>16</v>
      </c>
      <c r="D347" s="29" t="s">
        <v>11</v>
      </c>
      <c r="E347" s="29">
        <v>17</v>
      </c>
      <c r="F347" s="38">
        <f>E347*1500</f>
        <v>25500</v>
      </c>
      <c r="G347" s="38">
        <f>E347*500</f>
        <v>8500</v>
      </c>
      <c r="H347" s="38">
        <v>17000</v>
      </c>
    </row>
    <row r="348" spans="1:8" x14ac:dyDescent="0.25">
      <c r="A348" s="29"/>
      <c r="B348" s="29"/>
      <c r="C348" s="29"/>
      <c r="D348" s="29" t="s">
        <v>12</v>
      </c>
      <c r="E348" s="29">
        <v>1</v>
      </c>
      <c r="F348" s="38">
        <v>3000</v>
      </c>
      <c r="G348" s="38">
        <v>2000</v>
      </c>
      <c r="H348" s="38">
        <v>1000</v>
      </c>
    </row>
    <row r="349" spans="1:8" x14ac:dyDescent="0.25">
      <c r="A349" s="29"/>
      <c r="B349" s="29"/>
      <c r="C349" s="29" t="s">
        <v>338</v>
      </c>
      <c r="D349" s="29" t="s">
        <v>11</v>
      </c>
      <c r="E349" s="29">
        <v>75</v>
      </c>
      <c r="F349" s="38">
        <f>E349*1800</f>
        <v>135000</v>
      </c>
      <c r="G349" s="38">
        <f>E349*500</f>
        <v>37500</v>
      </c>
      <c r="H349" s="38">
        <f>E349*1300</f>
        <v>97500</v>
      </c>
    </row>
    <row r="350" spans="1:8" x14ac:dyDescent="0.25">
      <c r="A350" s="29"/>
      <c r="B350" s="29"/>
      <c r="C350" s="29" t="s">
        <v>308</v>
      </c>
      <c r="D350" s="29" t="s">
        <v>11</v>
      </c>
      <c r="E350" s="29">
        <v>8</v>
      </c>
      <c r="F350" s="38">
        <f>E350*1500</f>
        <v>12000</v>
      </c>
      <c r="G350" s="38">
        <f>E350*500</f>
        <v>4000</v>
      </c>
      <c r="H350" s="38">
        <f>E350*1000</f>
        <v>8000</v>
      </c>
    </row>
    <row r="351" spans="1:8" x14ac:dyDescent="0.25">
      <c r="A351" s="29"/>
      <c r="B351" s="29"/>
      <c r="C351" s="29" t="s">
        <v>217</v>
      </c>
      <c r="D351" s="29" t="s">
        <v>13</v>
      </c>
      <c r="E351" s="29">
        <v>6</v>
      </c>
      <c r="F351" s="38">
        <f>E351*6500</f>
        <v>39000</v>
      </c>
      <c r="G351" s="38">
        <f>E351*4500</f>
        <v>27000</v>
      </c>
      <c r="H351" s="38">
        <f>E351*2000</f>
        <v>12000</v>
      </c>
    </row>
    <row r="352" spans="1:8" x14ac:dyDescent="0.25">
      <c r="A352" s="29"/>
      <c r="B352" s="29"/>
      <c r="C352" s="29"/>
      <c r="D352" s="29" t="s">
        <v>14</v>
      </c>
      <c r="E352" s="29">
        <v>2</v>
      </c>
      <c r="F352" s="38">
        <f>E352*10000</f>
        <v>20000</v>
      </c>
      <c r="G352" s="38">
        <f>E352*5500</f>
        <v>11000</v>
      </c>
      <c r="H352" s="38">
        <f>E352*4500</f>
        <v>9000</v>
      </c>
    </row>
    <row r="353" spans="1:8" x14ac:dyDescent="0.25">
      <c r="A353" s="29"/>
      <c r="B353" s="29"/>
      <c r="C353" s="29"/>
      <c r="D353" s="29" t="s">
        <v>404</v>
      </c>
      <c r="E353" s="29">
        <v>4</v>
      </c>
      <c r="F353" s="38">
        <f>E353*2000</f>
        <v>8000</v>
      </c>
      <c r="G353" s="38">
        <v>4000</v>
      </c>
      <c r="H353" s="38">
        <v>4000</v>
      </c>
    </row>
    <row r="354" spans="1:8" x14ac:dyDescent="0.25">
      <c r="A354" s="29"/>
      <c r="B354" s="29"/>
      <c r="C354" s="29"/>
      <c r="D354" s="29" t="s">
        <v>415</v>
      </c>
      <c r="E354" s="29">
        <v>1</v>
      </c>
      <c r="F354" s="38">
        <v>5000</v>
      </c>
      <c r="G354" s="38">
        <v>2500</v>
      </c>
      <c r="H354" s="38">
        <v>2500</v>
      </c>
    </row>
    <row r="355" spans="1:8" x14ac:dyDescent="0.25">
      <c r="A355" s="131" t="s">
        <v>17</v>
      </c>
      <c r="B355" s="132"/>
      <c r="C355" s="132"/>
      <c r="D355" s="133"/>
      <c r="E355" s="17">
        <f>SUM(E347:E354)</f>
        <v>114</v>
      </c>
      <c r="F355" s="17">
        <f>SUM(F347:F354)</f>
        <v>247500</v>
      </c>
      <c r="G355" s="17">
        <f>SUM(G347:G354)</f>
        <v>96500</v>
      </c>
      <c r="H355" s="17">
        <f>SUM(H347:H354)</f>
        <v>151000</v>
      </c>
    </row>
    <row r="356" spans="1:8" x14ac:dyDescent="0.25">
      <c r="A356" s="29" t="s">
        <v>28</v>
      </c>
      <c r="B356" s="29" t="s">
        <v>598</v>
      </c>
      <c r="C356" s="29" t="s">
        <v>217</v>
      </c>
      <c r="D356" s="29" t="s">
        <v>11</v>
      </c>
      <c r="E356" s="29">
        <v>21</v>
      </c>
      <c r="F356" s="38">
        <f>E356*1500</f>
        <v>31500</v>
      </c>
      <c r="G356" s="38">
        <f>E356*500</f>
        <v>10500</v>
      </c>
      <c r="H356" s="38">
        <v>21000</v>
      </c>
    </row>
    <row r="357" spans="1:8" x14ac:dyDescent="0.25">
      <c r="A357" s="29"/>
      <c r="B357" s="29"/>
      <c r="C357" s="29"/>
      <c r="D357" s="29" t="s">
        <v>13</v>
      </c>
      <c r="E357" s="29">
        <v>15</v>
      </c>
      <c r="F357" s="38">
        <f>E357*6500</f>
        <v>97500</v>
      </c>
      <c r="G357" s="38">
        <f>E357*4500</f>
        <v>67500</v>
      </c>
      <c r="H357" s="38">
        <f>E357*2000</f>
        <v>30000</v>
      </c>
    </row>
    <row r="358" spans="1:8" x14ac:dyDescent="0.25">
      <c r="A358" s="29"/>
      <c r="B358" s="29"/>
      <c r="C358" s="29"/>
      <c r="D358" s="29" t="s">
        <v>14</v>
      </c>
      <c r="E358" s="29">
        <v>10</v>
      </c>
      <c r="F358" s="38">
        <f>E358*10000</f>
        <v>100000</v>
      </c>
      <c r="G358" s="38">
        <f>E358*5500</f>
        <v>55000</v>
      </c>
      <c r="H358" s="38">
        <f>E358*4500</f>
        <v>45000</v>
      </c>
    </row>
    <row r="359" spans="1:8" x14ac:dyDescent="0.25">
      <c r="A359" s="29"/>
      <c r="B359" s="29"/>
      <c r="C359" s="29"/>
      <c r="D359" s="29" t="s">
        <v>520</v>
      </c>
      <c r="E359" s="29">
        <v>1</v>
      </c>
      <c r="F359" s="38">
        <v>2000</v>
      </c>
      <c r="G359" s="38">
        <v>1000</v>
      </c>
      <c r="H359" s="38">
        <v>1000</v>
      </c>
    </row>
    <row r="360" spans="1:8" x14ac:dyDescent="0.25">
      <c r="A360" s="29"/>
      <c r="B360" s="29"/>
      <c r="C360" s="29"/>
      <c r="D360" s="29" t="s">
        <v>415</v>
      </c>
      <c r="E360" s="29">
        <v>2</v>
      </c>
      <c r="F360" s="38">
        <f>E360*5000</f>
        <v>10000</v>
      </c>
      <c r="G360" s="38">
        <v>5000</v>
      </c>
      <c r="H360" s="38">
        <v>5000</v>
      </c>
    </row>
    <row r="361" spans="1:8" x14ac:dyDescent="0.25">
      <c r="A361" s="29"/>
      <c r="B361" s="29"/>
      <c r="C361" s="29"/>
      <c r="D361" s="29" t="s">
        <v>436</v>
      </c>
      <c r="E361" s="29">
        <v>1</v>
      </c>
      <c r="F361" s="38">
        <v>3000</v>
      </c>
      <c r="G361" s="38">
        <v>1500</v>
      </c>
      <c r="H361" s="38">
        <v>1500</v>
      </c>
    </row>
    <row r="362" spans="1:8" x14ac:dyDescent="0.25">
      <c r="A362" s="29"/>
      <c r="B362" s="29"/>
      <c r="C362" s="29" t="s">
        <v>20</v>
      </c>
      <c r="D362" s="29" t="s">
        <v>11</v>
      </c>
      <c r="E362" s="29">
        <v>35</v>
      </c>
      <c r="F362" s="38">
        <f>E362*1500</f>
        <v>52500</v>
      </c>
      <c r="G362" s="38">
        <f>E362*500</f>
        <v>17500</v>
      </c>
      <c r="H362" s="38">
        <v>35000</v>
      </c>
    </row>
    <row r="363" spans="1:8" x14ac:dyDescent="0.25">
      <c r="A363" s="29"/>
      <c r="B363" s="29"/>
      <c r="C363" s="29"/>
      <c r="D363" s="29" t="s">
        <v>13</v>
      </c>
      <c r="E363" s="29">
        <v>32</v>
      </c>
      <c r="F363" s="38">
        <f>E363*6500</f>
        <v>208000</v>
      </c>
      <c r="G363" s="38">
        <f>E363*4500</f>
        <v>144000</v>
      </c>
      <c r="H363" s="38">
        <f>E363*2000</f>
        <v>64000</v>
      </c>
    </row>
    <row r="364" spans="1:8" x14ac:dyDescent="0.25">
      <c r="A364" s="29"/>
      <c r="B364" s="29"/>
      <c r="C364" s="29"/>
      <c r="D364" s="29" t="s">
        <v>14</v>
      </c>
      <c r="E364" s="29">
        <v>28</v>
      </c>
      <c r="F364" s="38">
        <f>E364*10000</f>
        <v>280000</v>
      </c>
      <c r="G364" s="38">
        <f>E364*5500</f>
        <v>154000</v>
      </c>
      <c r="H364" s="38">
        <f>E364*4500</f>
        <v>126000</v>
      </c>
    </row>
    <row r="365" spans="1:8" x14ac:dyDescent="0.25">
      <c r="A365" s="29"/>
      <c r="B365" s="29"/>
      <c r="C365" s="29"/>
      <c r="D365" s="29" t="s">
        <v>404</v>
      </c>
      <c r="E365" s="29">
        <v>5</v>
      </c>
      <c r="F365" s="38">
        <f>E365*3000</f>
        <v>15000</v>
      </c>
      <c r="G365" s="38">
        <v>7500</v>
      </c>
      <c r="H365" s="38">
        <v>7500</v>
      </c>
    </row>
    <row r="366" spans="1:8" x14ac:dyDescent="0.25">
      <c r="A366" s="29"/>
      <c r="B366" s="29"/>
      <c r="C366" s="29"/>
      <c r="D366" s="29" t="s">
        <v>415</v>
      </c>
      <c r="E366" s="29">
        <v>4</v>
      </c>
      <c r="F366" s="38">
        <f>E366*5000</f>
        <v>20000</v>
      </c>
      <c r="G366" s="38">
        <v>10000</v>
      </c>
      <c r="H366" s="38">
        <v>10000</v>
      </c>
    </row>
    <row r="367" spans="1:8" x14ac:dyDescent="0.25">
      <c r="A367" s="29"/>
      <c r="B367" s="29"/>
      <c r="C367" s="29"/>
      <c r="D367" s="29" t="s">
        <v>542</v>
      </c>
      <c r="E367" s="29">
        <v>2</v>
      </c>
      <c r="F367" s="38">
        <f>E367*5000</f>
        <v>10000</v>
      </c>
      <c r="G367" s="38">
        <v>5000</v>
      </c>
      <c r="H367" s="38">
        <v>5000</v>
      </c>
    </row>
    <row r="368" spans="1:8" x14ac:dyDescent="0.25">
      <c r="A368" s="29"/>
      <c r="B368" s="29"/>
      <c r="C368" s="29"/>
      <c r="D368" s="29" t="s">
        <v>433</v>
      </c>
      <c r="E368" s="29">
        <v>1</v>
      </c>
      <c r="F368" s="38">
        <v>5000</v>
      </c>
      <c r="G368" s="38">
        <v>2500</v>
      </c>
      <c r="H368" s="38">
        <v>2500</v>
      </c>
    </row>
    <row r="369" spans="1:8" x14ac:dyDescent="0.25">
      <c r="A369" s="29"/>
      <c r="B369" s="29"/>
      <c r="C369" s="29"/>
      <c r="D369" s="29" t="s">
        <v>432</v>
      </c>
      <c r="E369" s="29">
        <v>1</v>
      </c>
      <c r="F369" s="38">
        <v>5000</v>
      </c>
      <c r="G369" s="38">
        <v>2500</v>
      </c>
      <c r="H369" s="38">
        <v>2500</v>
      </c>
    </row>
    <row r="370" spans="1:8" x14ac:dyDescent="0.25">
      <c r="A370" s="29"/>
      <c r="B370" s="29"/>
      <c r="C370" s="29" t="s">
        <v>16</v>
      </c>
      <c r="D370" s="29" t="s">
        <v>11</v>
      </c>
      <c r="E370" s="29">
        <v>73</v>
      </c>
      <c r="F370" s="38">
        <f>E370*1500</f>
        <v>109500</v>
      </c>
      <c r="G370" s="38">
        <f>E370*500</f>
        <v>36500</v>
      </c>
      <c r="H370" s="38">
        <v>73000</v>
      </c>
    </row>
    <row r="371" spans="1:8" x14ac:dyDescent="0.25">
      <c r="A371" s="29"/>
      <c r="B371" s="29"/>
      <c r="C371" s="29"/>
      <c r="D371" s="29" t="s">
        <v>12</v>
      </c>
      <c r="E371" s="29">
        <v>6</v>
      </c>
      <c r="F371" s="38">
        <f>E371*3000</f>
        <v>18000</v>
      </c>
      <c r="G371" s="38">
        <f>E371*2000</f>
        <v>12000</v>
      </c>
      <c r="H371" s="38">
        <v>6000</v>
      </c>
    </row>
    <row r="372" spans="1:8" x14ac:dyDescent="0.25">
      <c r="A372" s="131" t="s">
        <v>17</v>
      </c>
      <c r="B372" s="132"/>
      <c r="C372" s="132"/>
      <c r="D372" s="133"/>
      <c r="E372" s="17">
        <f>SUM(E356:E371)</f>
        <v>237</v>
      </c>
      <c r="F372" s="17">
        <f>SUM(F356:F371)</f>
        <v>967000</v>
      </c>
      <c r="G372" s="17">
        <f>SUM(G356:G371)</f>
        <v>532000</v>
      </c>
      <c r="H372" s="17">
        <f>SUM(H356:H371)</f>
        <v>435000</v>
      </c>
    </row>
    <row r="373" spans="1:8" x14ac:dyDescent="0.25">
      <c r="A373" s="29" t="s">
        <v>30</v>
      </c>
      <c r="B373" s="29" t="s">
        <v>599</v>
      </c>
      <c r="C373" s="29" t="s">
        <v>338</v>
      </c>
      <c r="D373" s="29" t="s">
        <v>11</v>
      </c>
      <c r="E373" s="29">
        <v>75</v>
      </c>
      <c r="F373" s="38">
        <f>E373*1800</f>
        <v>135000</v>
      </c>
      <c r="G373" s="38">
        <f t="shared" ref="G373:G378" si="10">E373*500</f>
        <v>37500</v>
      </c>
      <c r="H373" s="38">
        <f>E373*1300</f>
        <v>97500</v>
      </c>
    </row>
    <row r="374" spans="1:8" x14ac:dyDescent="0.25">
      <c r="A374" s="29"/>
      <c r="B374" s="29"/>
      <c r="C374" s="29" t="s">
        <v>306</v>
      </c>
      <c r="D374" s="29" t="s">
        <v>11</v>
      </c>
      <c r="E374" s="29">
        <v>35</v>
      </c>
      <c r="F374" s="38">
        <f>E374*1800</f>
        <v>63000</v>
      </c>
      <c r="G374" s="38">
        <f t="shared" si="10"/>
        <v>17500</v>
      </c>
      <c r="H374" s="38">
        <f>E374*1300</f>
        <v>45500</v>
      </c>
    </row>
    <row r="375" spans="1:8" x14ac:dyDescent="0.25">
      <c r="A375" s="29"/>
      <c r="B375" s="29"/>
      <c r="C375" s="29" t="s">
        <v>572</v>
      </c>
      <c r="D375" s="29" t="s">
        <v>11</v>
      </c>
      <c r="E375" s="29">
        <v>42</v>
      </c>
      <c r="F375" s="38">
        <f>E375*1700</f>
        <v>71400</v>
      </c>
      <c r="G375" s="38">
        <f t="shared" si="10"/>
        <v>21000</v>
      </c>
      <c r="H375" s="38">
        <f>E375*1200</f>
        <v>50400</v>
      </c>
    </row>
    <row r="376" spans="1:8" x14ac:dyDescent="0.25">
      <c r="A376" s="29"/>
      <c r="B376" s="29"/>
      <c r="C376" s="29" t="s">
        <v>571</v>
      </c>
      <c r="D376" s="29" t="s">
        <v>11</v>
      </c>
      <c r="E376" s="29">
        <v>20</v>
      </c>
      <c r="F376" s="38">
        <f>E376*1700</f>
        <v>34000</v>
      </c>
      <c r="G376" s="38">
        <f t="shared" si="10"/>
        <v>10000</v>
      </c>
      <c r="H376" s="38">
        <f>E376*1200</f>
        <v>24000</v>
      </c>
    </row>
    <row r="377" spans="1:8" x14ac:dyDescent="0.25">
      <c r="A377" s="29"/>
      <c r="B377" s="29"/>
      <c r="C377" s="29" t="s">
        <v>209</v>
      </c>
      <c r="D377" s="29" t="s">
        <v>11</v>
      </c>
      <c r="E377" s="29">
        <v>27</v>
      </c>
      <c r="F377" s="38">
        <f>E377*1500</f>
        <v>40500</v>
      </c>
      <c r="G377" s="38">
        <f t="shared" si="10"/>
        <v>13500</v>
      </c>
      <c r="H377" s="38">
        <f>E377*1000</f>
        <v>27000</v>
      </c>
    </row>
    <row r="378" spans="1:8" x14ac:dyDescent="0.25">
      <c r="A378" s="29"/>
      <c r="B378" s="29"/>
      <c r="C378" s="29" t="s">
        <v>16</v>
      </c>
      <c r="D378" s="29" t="s">
        <v>11</v>
      </c>
      <c r="E378" s="29">
        <v>58</v>
      </c>
      <c r="F378" s="38">
        <f>E378*1500</f>
        <v>87000</v>
      </c>
      <c r="G378" s="38">
        <f t="shared" si="10"/>
        <v>29000</v>
      </c>
      <c r="H378" s="38">
        <f>E378*1000</f>
        <v>58000</v>
      </c>
    </row>
    <row r="379" spans="1:8" x14ac:dyDescent="0.25">
      <c r="A379" s="29"/>
      <c r="B379" s="29"/>
      <c r="C379" s="29"/>
      <c r="D379" s="29" t="s">
        <v>12</v>
      </c>
      <c r="E379" s="29">
        <v>2</v>
      </c>
      <c r="F379" s="38">
        <f>E379*3000</f>
        <v>6000</v>
      </c>
      <c r="G379" s="38">
        <f>E379*2000</f>
        <v>4000</v>
      </c>
      <c r="H379" s="38">
        <f>E379*1000</f>
        <v>2000</v>
      </c>
    </row>
    <row r="380" spans="1:8" x14ac:dyDescent="0.25">
      <c r="A380" s="29"/>
      <c r="B380" s="29"/>
      <c r="C380" s="29"/>
      <c r="D380" s="29" t="s">
        <v>13</v>
      </c>
      <c r="E380" s="29">
        <v>2</v>
      </c>
      <c r="F380" s="38">
        <f>E380*6500</f>
        <v>13000</v>
      </c>
      <c r="G380" s="38">
        <f>E380*4500</f>
        <v>9000</v>
      </c>
      <c r="H380" s="38">
        <f>E380*2000</f>
        <v>4000</v>
      </c>
    </row>
    <row r="381" spans="1:8" x14ac:dyDescent="0.25">
      <c r="A381" s="29"/>
      <c r="B381" s="29"/>
      <c r="C381" s="29" t="s">
        <v>217</v>
      </c>
      <c r="D381" s="29" t="s">
        <v>11</v>
      </c>
      <c r="E381" s="29">
        <v>19</v>
      </c>
      <c r="F381" s="38">
        <f>E381*1500</f>
        <v>28500</v>
      </c>
      <c r="G381" s="38">
        <f>E381*500</f>
        <v>9500</v>
      </c>
      <c r="H381" s="38">
        <v>19000</v>
      </c>
    </row>
    <row r="382" spans="1:8" x14ac:dyDescent="0.25">
      <c r="A382" s="29"/>
      <c r="B382" s="29"/>
      <c r="C382" s="29"/>
      <c r="D382" s="29" t="s">
        <v>13</v>
      </c>
      <c r="E382" s="29">
        <v>1</v>
      </c>
      <c r="F382" s="38">
        <v>6500</v>
      </c>
      <c r="G382" s="38">
        <v>4500</v>
      </c>
      <c r="H382" s="38">
        <v>2000</v>
      </c>
    </row>
    <row r="383" spans="1:8" x14ac:dyDescent="0.25">
      <c r="A383" s="29"/>
      <c r="B383" s="29"/>
      <c r="C383" s="29"/>
      <c r="D383" s="29" t="s">
        <v>14</v>
      </c>
      <c r="E383" s="29">
        <v>4</v>
      </c>
      <c r="F383" s="38">
        <f>E383*10000</f>
        <v>40000</v>
      </c>
      <c r="G383" s="38">
        <f>E383*5500</f>
        <v>22000</v>
      </c>
      <c r="H383" s="38">
        <f>E383*4500</f>
        <v>18000</v>
      </c>
    </row>
    <row r="384" spans="1:8" x14ac:dyDescent="0.25">
      <c r="A384" s="29"/>
      <c r="B384" s="29"/>
      <c r="C384" s="29"/>
      <c r="D384" s="29" t="s">
        <v>432</v>
      </c>
      <c r="E384" s="29">
        <v>1</v>
      </c>
      <c r="F384" s="38">
        <v>5000</v>
      </c>
      <c r="G384" s="38">
        <v>2500</v>
      </c>
      <c r="H384" s="38">
        <v>2500</v>
      </c>
    </row>
    <row r="385" spans="1:8" x14ac:dyDescent="0.25">
      <c r="A385" s="29"/>
      <c r="B385" s="29"/>
      <c r="C385" s="29" t="s">
        <v>24</v>
      </c>
      <c r="D385" s="29" t="s">
        <v>243</v>
      </c>
      <c r="E385" s="29">
        <v>5</v>
      </c>
      <c r="F385" s="38">
        <f>E385*15000</f>
        <v>75000</v>
      </c>
      <c r="G385" s="38">
        <f>E385*10000</f>
        <v>50000</v>
      </c>
      <c r="H385" s="38">
        <v>25000</v>
      </c>
    </row>
    <row r="386" spans="1:8" x14ac:dyDescent="0.25">
      <c r="A386" s="131" t="s">
        <v>17</v>
      </c>
      <c r="B386" s="132"/>
      <c r="C386" s="132"/>
      <c r="D386" s="133"/>
      <c r="E386" s="17">
        <f>SUM(E373:E385)</f>
        <v>291</v>
      </c>
      <c r="F386" s="17">
        <f>SUM(F373:F385)</f>
        <v>604900</v>
      </c>
      <c r="G386" s="17">
        <f>SUM(G373:G385)</f>
        <v>230000</v>
      </c>
      <c r="H386" s="17">
        <f>SUM(H373:H385)</f>
        <v>374900</v>
      </c>
    </row>
    <row r="387" spans="1:8" x14ac:dyDescent="0.25">
      <c r="A387" s="29" t="s">
        <v>32</v>
      </c>
      <c r="B387" s="29" t="s">
        <v>600</v>
      </c>
      <c r="C387" s="29" t="s">
        <v>338</v>
      </c>
      <c r="D387" s="29" t="s">
        <v>11</v>
      </c>
      <c r="E387" s="29">
        <v>75</v>
      </c>
      <c r="F387" s="38">
        <f>E387*1800</f>
        <v>135000</v>
      </c>
      <c r="G387" s="38">
        <f>E387*500</f>
        <v>37500</v>
      </c>
      <c r="H387" s="38">
        <f>E387*1300</f>
        <v>97500</v>
      </c>
    </row>
    <row r="388" spans="1:8" x14ac:dyDescent="0.25">
      <c r="A388" s="29"/>
      <c r="B388" s="29"/>
      <c r="C388" s="29" t="s">
        <v>306</v>
      </c>
      <c r="D388" s="29" t="s">
        <v>11</v>
      </c>
      <c r="E388" s="29">
        <f>45-6</f>
        <v>39</v>
      </c>
      <c r="F388" s="38">
        <f>E388*1800</f>
        <v>70200</v>
      </c>
      <c r="G388" s="38">
        <f>E388*500</f>
        <v>19500</v>
      </c>
      <c r="H388" s="38">
        <f>E388*1300</f>
        <v>50700</v>
      </c>
    </row>
    <row r="389" spans="1:8" x14ac:dyDescent="0.25">
      <c r="A389" s="29"/>
      <c r="B389" s="29"/>
      <c r="C389" s="29" t="s">
        <v>572</v>
      </c>
      <c r="D389" s="29" t="s">
        <v>11</v>
      </c>
      <c r="E389" s="29">
        <v>46</v>
      </c>
      <c r="F389" s="38">
        <f>E389*1700</f>
        <v>78200</v>
      </c>
      <c r="G389" s="38">
        <f>E389*500</f>
        <v>23000</v>
      </c>
      <c r="H389" s="38">
        <f>E389*1200</f>
        <v>55200</v>
      </c>
    </row>
    <row r="390" spans="1:8" x14ac:dyDescent="0.25">
      <c r="A390" s="29"/>
      <c r="B390" s="29"/>
      <c r="C390" s="29" t="s">
        <v>573</v>
      </c>
      <c r="D390" s="29" t="s">
        <v>11</v>
      </c>
      <c r="E390" s="29">
        <v>19</v>
      </c>
      <c r="F390" s="38">
        <f>E390*1700</f>
        <v>32300</v>
      </c>
      <c r="G390" s="38">
        <f>E390*500</f>
        <v>9500</v>
      </c>
      <c r="H390" s="38">
        <f>E390*1200</f>
        <v>22800</v>
      </c>
    </row>
    <row r="391" spans="1:8" x14ac:dyDescent="0.25">
      <c r="A391" s="29"/>
      <c r="B391" s="29"/>
      <c r="C391" s="29" t="s">
        <v>16</v>
      </c>
      <c r="D391" s="29" t="s">
        <v>11</v>
      </c>
      <c r="E391" s="29">
        <v>27</v>
      </c>
      <c r="F391" s="38">
        <f>E391*1500</f>
        <v>40500</v>
      </c>
      <c r="G391" s="38">
        <f>E391*500</f>
        <v>13500</v>
      </c>
      <c r="H391" s="38">
        <v>27000</v>
      </c>
    </row>
    <row r="392" spans="1:8" x14ac:dyDescent="0.25">
      <c r="A392" s="29"/>
      <c r="B392" s="29"/>
      <c r="C392" s="29"/>
      <c r="D392" s="29" t="s">
        <v>12</v>
      </c>
      <c r="E392" s="29">
        <v>2</v>
      </c>
      <c r="F392" s="38">
        <f>E392*3000</f>
        <v>6000</v>
      </c>
      <c r="G392" s="38">
        <f>E392*2000</f>
        <v>4000</v>
      </c>
      <c r="H392" s="38">
        <v>2000</v>
      </c>
    </row>
    <row r="393" spans="1:8" x14ac:dyDescent="0.25">
      <c r="A393" s="29"/>
      <c r="B393" s="29"/>
      <c r="C393" s="29"/>
      <c r="D393" s="29" t="s">
        <v>13</v>
      </c>
      <c r="E393" s="29">
        <v>11</v>
      </c>
      <c r="F393" s="38">
        <f>E393*6500</f>
        <v>71500</v>
      </c>
      <c r="G393" s="38">
        <f>E393*4500</f>
        <v>49500</v>
      </c>
      <c r="H393" s="38">
        <f>E393*2000</f>
        <v>22000</v>
      </c>
    </row>
    <row r="394" spans="1:8" x14ac:dyDescent="0.25">
      <c r="A394" s="29"/>
      <c r="B394" s="29"/>
      <c r="C394" s="29"/>
      <c r="D394" s="29" t="s">
        <v>14</v>
      </c>
      <c r="E394" s="29">
        <v>1</v>
      </c>
      <c r="F394" s="38">
        <v>10000</v>
      </c>
      <c r="G394" s="38">
        <v>5500</v>
      </c>
      <c r="H394" s="38">
        <v>4500</v>
      </c>
    </row>
    <row r="395" spans="1:8" x14ac:dyDescent="0.25">
      <c r="A395" s="128" t="s">
        <v>17</v>
      </c>
      <c r="B395" s="129"/>
      <c r="C395" s="129"/>
      <c r="D395" s="130"/>
      <c r="E395" s="16">
        <f>SUM(E387:E394)</f>
        <v>220</v>
      </c>
      <c r="F395" s="17">
        <f>SUM(F387:F394)</f>
        <v>443700</v>
      </c>
      <c r="G395" s="17">
        <f>SUM(G387:G394)</f>
        <v>162000</v>
      </c>
      <c r="H395" s="17">
        <f>SUM(H387:H394)</f>
        <v>281700</v>
      </c>
    </row>
    <row r="396" spans="1:8" x14ac:dyDescent="0.25">
      <c r="A396" s="29" t="s">
        <v>8</v>
      </c>
      <c r="B396" s="29" t="s">
        <v>601</v>
      </c>
      <c r="C396" s="29" t="s">
        <v>338</v>
      </c>
      <c r="D396" s="29" t="s">
        <v>11</v>
      </c>
      <c r="E396" s="29">
        <v>75</v>
      </c>
      <c r="F396" s="38">
        <f>E396*1800</f>
        <v>135000</v>
      </c>
      <c r="G396" s="38">
        <f>E396*500</f>
        <v>37500</v>
      </c>
      <c r="H396" s="38">
        <f>E396*1300</f>
        <v>97500</v>
      </c>
    </row>
    <row r="397" spans="1:8" x14ac:dyDescent="0.25">
      <c r="A397" s="29"/>
      <c r="B397" s="29"/>
      <c r="C397" s="29" t="s">
        <v>306</v>
      </c>
      <c r="D397" s="29" t="s">
        <v>11</v>
      </c>
      <c r="E397" s="29">
        <v>20</v>
      </c>
      <c r="F397" s="38">
        <f>E397*1800</f>
        <v>36000</v>
      </c>
      <c r="G397" s="38">
        <f>E397*500</f>
        <v>10000</v>
      </c>
      <c r="H397" s="38">
        <f>E397*1300</f>
        <v>26000</v>
      </c>
    </row>
    <row r="398" spans="1:8" x14ac:dyDescent="0.25">
      <c r="A398" s="29"/>
      <c r="B398" s="29"/>
      <c r="C398" s="29" t="s">
        <v>572</v>
      </c>
      <c r="D398" s="29" t="s">
        <v>11</v>
      </c>
      <c r="E398" s="29">
        <v>81</v>
      </c>
      <c r="F398" s="38">
        <f>E398*1700</f>
        <v>137700</v>
      </c>
      <c r="G398" s="38">
        <f>E398*500</f>
        <v>40500</v>
      </c>
      <c r="H398" s="38">
        <f>E398*1200</f>
        <v>97200</v>
      </c>
    </row>
    <row r="399" spans="1:8" x14ac:dyDescent="0.25">
      <c r="A399" s="29"/>
      <c r="B399" s="29"/>
      <c r="C399" s="29" t="s">
        <v>571</v>
      </c>
      <c r="D399" s="29" t="s">
        <v>11</v>
      </c>
      <c r="E399" s="29">
        <v>31</v>
      </c>
      <c r="F399" s="38">
        <f>E399*1700</f>
        <v>52700</v>
      </c>
      <c r="G399" s="38">
        <f>E399*500</f>
        <v>15500</v>
      </c>
      <c r="H399" s="38">
        <f>E399*1200</f>
        <v>37200</v>
      </c>
    </row>
    <row r="400" spans="1:8" x14ac:dyDescent="0.25">
      <c r="A400" s="29"/>
      <c r="B400" s="29"/>
      <c r="C400" s="29" t="s">
        <v>16</v>
      </c>
      <c r="D400" s="29" t="s">
        <v>11</v>
      </c>
      <c r="E400" s="29">
        <v>52</v>
      </c>
      <c r="F400" s="38">
        <f>E400*1500</f>
        <v>78000</v>
      </c>
      <c r="G400" s="38">
        <f>E400*500</f>
        <v>26000</v>
      </c>
      <c r="H400" s="38">
        <v>52000</v>
      </c>
    </row>
    <row r="401" spans="1:8" x14ac:dyDescent="0.25">
      <c r="A401" s="29"/>
      <c r="B401" s="29"/>
      <c r="C401" s="29"/>
      <c r="D401" s="29" t="s">
        <v>12</v>
      </c>
      <c r="E401" s="29">
        <v>8</v>
      </c>
      <c r="F401" s="38">
        <f>E401*3000</f>
        <v>24000</v>
      </c>
      <c r="G401" s="38">
        <f>E401*2000</f>
        <v>16000</v>
      </c>
      <c r="H401" s="38">
        <v>8000</v>
      </c>
    </row>
    <row r="402" spans="1:8" x14ac:dyDescent="0.25">
      <c r="A402" s="29"/>
      <c r="B402" s="29"/>
      <c r="C402" s="29" t="s">
        <v>24</v>
      </c>
      <c r="D402" s="29" t="s">
        <v>243</v>
      </c>
      <c r="E402" s="29">
        <v>2</v>
      </c>
      <c r="F402" s="38">
        <f>E402*13000</f>
        <v>26000</v>
      </c>
      <c r="G402" s="38">
        <f>E402*10000</f>
        <v>20000</v>
      </c>
      <c r="H402" s="38">
        <v>6000</v>
      </c>
    </row>
    <row r="403" spans="1:8" x14ac:dyDescent="0.25">
      <c r="A403" s="29"/>
      <c r="B403" s="29"/>
      <c r="C403" s="29"/>
      <c r="D403" s="29" t="s">
        <v>13</v>
      </c>
      <c r="E403" s="29">
        <v>2</v>
      </c>
      <c r="F403" s="38">
        <f>E403*6500</f>
        <v>13000</v>
      </c>
      <c r="G403" s="38">
        <f>E403*4500</f>
        <v>9000</v>
      </c>
      <c r="H403" s="38">
        <f>E403*2000</f>
        <v>4000</v>
      </c>
    </row>
    <row r="404" spans="1:8" x14ac:dyDescent="0.25">
      <c r="A404" s="29"/>
      <c r="B404" s="29"/>
      <c r="C404" s="29" t="s">
        <v>127</v>
      </c>
      <c r="D404" s="29" t="s">
        <v>21</v>
      </c>
      <c r="E404" s="29">
        <v>5</v>
      </c>
      <c r="F404" s="38">
        <f>E404*15000</f>
        <v>75000</v>
      </c>
      <c r="G404" s="38">
        <v>50000</v>
      </c>
      <c r="H404" s="38">
        <v>25000</v>
      </c>
    </row>
    <row r="405" spans="1:8" x14ac:dyDescent="0.25">
      <c r="A405" s="29"/>
      <c r="B405" s="29"/>
      <c r="C405" s="29"/>
      <c r="D405" s="29" t="s">
        <v>243</v>
      </c>
      <c r="E405" s="29">
        <v>1</v>
      </c>
      <c r="F405" s="38">
        <v>13000</v>
      </c>
      <c r="G405" s="38">
        <v>10000</v>
      </c>
      <c r="H405" s="38">
        <v>3000</v>
      </c>
    </row>
    <row r="406" spans="1:8" x14ac:dyDescent="0.25">
      <c r="A406" s="131" t="s">
        <v>17</v>
      </c>
      <c r="B406" s="132"/>
      <c r="C406" s="132"/>
      <c r="D406" s="133"/>
      <c r="E406" s="17">
        <f>SUM(E396:E405)</f>
        <v>277</v>
      </c>
      <c r="F406" s="17">
        <f>SUM(F396:F405)</f>
        <v>590400</v>
      </c>
      <c r="G406" s="17">
        <f>SUM(G396:G405)</f>
        <v>234500</v>
      </c>
      <c r="H406" s="17">
        <f>SUM(H396:H405)</f>
        <v>355900</v>
      </c>
    </row>
    <row r="407" spans="1:8" x14ac:dyDescent="0.25">
      <c r="A407" s="29"/>
      <c r="B407" s="29"/>
      <c r="C407" s="29"/>
      <c r="D407" s="29"/>
      <c r="E407" s="29"/>
      <c r="F407" s="38"/>
      <c r="G407" s="38"/>
      <c r="H407" s="38"/>
    </row>
    <row r="408" spans="1:8" x14ac:dyDescent="0.25">
      <c r="A408" s="29"/>
      <c r="B408" s="29"/>
      <c r="C408" s="29"/>
      <c r="D408" s="29"/>
      <c r="E408" s="29"/>
      <c r="F408" s="38"/>
      <c r="G408" s="38"/>
      <c r="H408" s="38"/>
    </row>
    <row r="409" spans="1:8" x14ac:dyDescent="0.25">
      <c r="A409" s="29"/>
      <c r="B409" s="29"/>
      <c r="C409" s="29"/>
      <c r="D409" s="29"/>
      <c r="E409" s="29"/>
      <c r="F409" s="38"/>
      <c r="G409" s="38"/>
      <c r="H409" s="38"/>
    </row>
    <row r="410" spans="1:8" x14ac:dyDescent="0.25">
      <c r="A410" s="29"/>
      <c r="B410" s="29"/>
      <c r="C410" s="29"/>
      <c r="D410" s="29"/>
      <c r="E410" s="29"/>
      <c r="F410" s="38"/>
      <c r="G410" s="38"/>
      <c r="H410" s="38"/>
    </row>
    <row r="411" spans="1:8" x14ac:dyDescent="0.25">
      <c r="A411" s="29"/>
      <c r="B411" s="29"/>
      <c r="C411" s="29"/>
      <c r="D411" s="29"/>
      <c r="E411" s="29"/>
      <c r="F411" s="38"/>
      <c r="G411" s="38"/>
      <c r="H411" s="38"/>
    </row>
    <row r="412" spans="1:8" x14ac:dyDescent="0.25">
      <c r="A412" s="29"/>
      <c r="B412" s="29"/>
      <c r="C412" s="29"/>
      <c r="D412" s="29"/>
      <c r="E412" s="29"/>
      <c r="F412" s="38"/>
      <c r="G412" s="38"/>
      <c r="H412" s="38"/>
    </row>
    <row r="413" spans="1:8" x14ac:dyDescent="0.25">
      <c r="A413" s="29"/>
      <c r="B413" s="29"/>
      <c r="C413" s="29"/>
      <c r="D413" s="29"/>
      <c r="E413" s="29"/>
      <c r="F413" s="38"/>
      <c r="G413" s="38"/>
      <c r="H413" s="38"/>
    </row>
    <row r="414" spans="1:8" x14ac:dyDescent="0.25">
      <c r="A414" s="29"/>
      <c r="B414" s="29"/>
      <c r="C414" s="29"/>
      <c r="D414" s="29"/>
      <c r="E414" s="29"/>
      <c r="F414" s="38"/>
      <c r="G414" s="38"/>
      <c r="H414" s="38"/>
    </row>
    <row r="415" spans="1:8" x14ac:dyDescent="0.25">
      <c r="A415" s="29"/>
      <c r="B415" s="29"/>
      <c r="C415" s="29"/>
      <c r="D415" s="29"/>
      <c r="E415" s="29"/>
      <c r="F415" s="38"/>
      <c r="G415" s="38"/>
      <c r="H415" s="38"/>
    </row>
    <row r="416" spans="1:8" x14ac:dyDescent="0.25">
      <c r="A416" s="29"/>
      <c r="B416" s="29"/>
      <c r="C416" s="29"/>
      <c r="D416" s="29"/>
      <c r="E416" s="29"/>
      <c r="F416" s="38"/>
      <c r="G416" s="38"/>
      <c r="H416" s="38"/>
    </row>
    <row r="417" spans="1:8" x14ac:dyDescent="0.25">
      <c r="A417" s="29"/>
      <c r="B417" s="29"/>
      <c r="C417" s="29"/>
      <c r="D417" s="29"/>
      <c r="E417" s="29"/>
      <c r="F417" s="38"/>
      <c r="G417" s="38"/>
      <c r="H417" s="38"/>
    </row>
    <row r="418" spans="1:8" x14ac:dyDescent="0.25">
      <c r="A418" s="29"/>
      <c r="B418" s="29"/>
      <c r="C418" s="29"/>
      <c r="D418" s="29"/>
      <c r="E418" s="29"/>
      <c r="F418" s="38"/>
      <c r="G418" s="38"/>
      <c r="H418" s="38"/>
    </row>
    <row r="419" spans="1:8" x14ac:dyDescent="0.25">
      <c r="A419" s="29"/>
      <c r="B419" s="29"/>
      <c r="C419" s="29"/>
      <c r="D419" s="29"/>
      <c r="E419" s="29"/>
      <c r="F419" s="38"/>
      <c r="G419" s="38"/>
      <c r="H419" s="29"/>
    </row>
    <row r="420" spans="1:8" x14ac:dyDescent="0.25">
      <c r="A420" s="29"/>
      <c r="B420" s="29"/>
      <c r="C420" s="29"/>
      <c r="D420" s="29"/>
      <c r="E420" s="29"/>
      <c r="F420" s="38"/>
      <c r="G420" s="38"/>
      <c r="H420" s="29"/>
    </row>
    <row r="421" spans="1:8" x14ac:dyDescent="0.25">
      <c r="A421" s="29"/>
      <c r="B421" s="29"/>
      <c r="C421" s="29"/>
      <c r="D421" s="29"/>
      <c r="E421" s="29"/>
      <c r="F421" s="38"/>
      <c r="G421" s="38"/>
      <c r="H421" s="29"/>
    </row>
    <row r="422" spans="1:8" x14ac:dyDescent="0.25">
      <c r="A422" s="29"/>
      <c r="B422" s="29"/>
      <c r="C422" s="29"/>
      <c r="D422" s="29"/>
      <c r="E422" s="29"/>
      <c r="F422" s="38"/>
      <c r="G422" s="38"/>
      <c r="H422" s="29"/>
    </row>
    <row r="423" spans="1:8" x14ac:dyDescent="0.25">
      <c r="A423" s="29"/>
      <c r="B423" s="29"/>
      <c r="C423" s="29"/>
      <c r="D423" s="29"/>
      <c r="E423" s="29"/>
      <c r="F423" s="38"/>
      <c r="G423" s="38"/>
      <c r="H423" s="29"/>
    </row>
    <row r="424" spans="1:8" x14ac:dyDescent="0.25">
      <c r="A424" s="29"/>
      <c r="B424" s="29"/>
      <c r="C424" s="29"/>
      <c r="D424" s="29"/>
      <c r="E424" s="29"/>
      <c r="F424" s="38"/>
      <c r="G424" s="38"/>
      <c r="H424" s="29"/>
    </row>
    <row r="425" spans="1:8" x14ac:dyDescent="0.25">
      <c r="A425" s="29"/>
      <c r="B425" s="29"/>
      <c r="C425" s="29"/>
      <c r="D425" s="29"/>
      <c r="E425" s="29"/>
      <c r="F425" s="38"/>
      <c r="G425" s="38"/>
      <c r="H425" s="29"/>
    </row>
    <row r="426" spans="1:8" x14ac:dyDescent="0.25">
      <c r="A426" s="29"/>
      <c r="B426" s="29"/>
      <c r="C426" s="29"/>
      <c r="D426" s="29"/>
      <c r="E426" s="29"/>
      <c r="F426" s="38"/>
      <c r="G426" s="38"/>
      <c r="H426" s="29"/>
    </row>
    <row r="427" spans="1:8" x14ac:dyDescent="0.25">
      <c r="A427" s="29"/>
      <c r="B427" s="29"/>
      <c r="C427" s="29"/>
      <c r="D427" s="29"/>
      <c r="E427" s="29"/>
      <c r="F427" s="38"/>
      <c r="G427" s="38"/>
      <c r="H427" s="29"/>
    </row>
    <row r="428" spans="1:8" x14ac:dyDescent="0.25">
      <c r="A428" s="29"/>
      <c r="B428" s="29"/>
      <c r="C428" s="29"/>
      <c r="D428" s="29"/>
      <c r="E428" s="29"/>
      <c r="F428" s="38"/>
      <c r="G428" s="38"/>
      <c r="H428" s="29"/>
    </row>
    <row r="429" spans="1:8" x14ac:dyDescent="0.25">
      <c r="A429" s="29"/>
      <c r="B429" s="29"/>
      <c r="C429" s="29"/>
      <c r="D429" s="29"/>
      <c r="E429" s="29"/>
      <c r="F429" s="38"/>
      <c r="G429" s="38"/>
      <c r="H429" s="29"/>
    </row>
    <row r="430" spans="1:8" x14ac:dyDescent="0.25">
      <c r="A430" s="29"/>
      <c r="B430" s="29"/>
      <c r="C430" s="29"/>
      <c r="D430" s="29"/>
      <c r="E430" s="29"/>
      <c r="F430" s="38"/>
      <c r="G430" s="38"/>
      <c r="H430" s="29"/>
    </row>
    <row r="431" spans="1:8" x14ac:dyDescent="0.25">
      <c r="A431" s="29"/>
      <c r="B431" s="29"/>
      <c r="C431" s="29"/>
      <c r="D431" s="29"/>
      <c r="E431" s="29"/>
      <c r="F431" s="38"/>
      <c r="G431" s="38"/>
      <c r="H431" s="29"/>
    </row>
    <row r="432" spans="1:8" x14ac:dyDescent="0.25">
      <c r="A432" s="29"/>
      <c r="B432" s="29"/>
      <c r="C432" s="29"/>
      <c r="D432" s="29"/>
      <c r="E432" s="29"/>
      <c r="F432" s="38"/>
      <c r="G432" s="38"/>
      <c r="H432" s="29"/>
    </row>
    <row r="433" spans="1:8" x14ac:dyDescent="0.25">
      <c r="A433" s="29"/>
      <c r="B433" s="29"/>
      <c r="C433" s="29"/>
      <c r="D433" s="29"/>
      <c r="E433" s="29"/>
      <c r="F433" s="38"/>
      <c r="G433" s="38"/>
      <c r="H433" s="29"/>
    </row>
    <row r="434" spans="1:8" x14ac:dyDescent="0.25">
      <c r="A434" s="29"/>
      <c r="B434" s="29"/>
      <c r="C434" s="29"/>
      <c r="D434" s="29"/>
      <c r="E434" s="29"/>
      <c r="F434" s="38"/>
      <c r="G434" s="38"/>
      <c r="H434" s="29"/>
    </row>
    <row r="435" spans="1:8" x14ac:dyDescent="0.25">
      <c r="A435" s="29"/>
      <c r="B435" s="29"/>
      <c r="C435" s="29"/>
      <c r="D435" s="29"/>
      <c r="E435" s="29"/>
      <c r="F435" s="38"/>
      <c r="G435" s="38"/>
      <c r="H435" s="29"/>
    </row>
    <row r="436" spans="1:8" x14ac:dyDescent="0.25">
      <c r="A436" s="29"/>
      <c r="B436" s="29"/>
      <c r="C436" s="29"/>
      <c r="D436" s="29"/>
      <c r="E436" s="29"/>
      <c r="F436" s="38"/>
      <c r="G436" s="38"/>
      <c r="H436" s="29"/>
    </row>
    <row r="437" spans="1:8" x14ac:dyDescent="0.25">
      <c r="A437" s="29"/>
      <c r="B437" s="29"/>
      <c r="C437" s="29"/>
      <c r="D437" s="29"/>
      <c r="E437" s="29"/>
      <c r="F437" s="38"/>
      <c r="G437" s="38"/>
      <c r="H437" s="29"/>
    </row>
    <row r="438" spans="1:8" x14ac:dyDescent="0.25">
      <c r="A438" s="29"/>
      <c r="B438" s="29"/>
      <c r="C438" s="29"/>
      <c r="D438" s="29"/>
      <c r="E438" s="29"/>
      <c r="F438" s="38"/>
      <c r="G438" s="38"/>
      <c r="H438" s="29"/>
    </row>
    <row r="439" spans="1:8" x14ac:dyDescent="0.25">
      <c r="A439" s="29"/>
      <c r="B439" s="29"/>
      <c r="C439" s="29"/>
      <c r="D439" s="29"/>
      <c r="E439" s="29"/>
      <c r="F439" s="38"/>
      <c r="G439" s="38"/>
      <c r="H439" s="29"/>
    </row>
    <row r="440" spans="1:8" x14ac:dyDescent="0.25">
      <c r="A440" s="29"/>
      <c r="B440" s="29"/>
      <c r="C440" s="29"/>
      <c r="D440" s="29"/>
      <c r="E440" s="29"/>
      <c r="F440" s="38"/>
      <c r="G440" s="38"/>
      <c r="H440" s="29"/>
    </row>
    <row r="441" spans="1:8" x14ac:dyDescent="0.25">
      <c r="A441" s="29"/>
      <c r="B441" s="29"/>
      <c r="C441" s="29"/>
      <c r="D441" s="29"/>
      <c r="E441" s="29"/>
      <c r="F441" s="38"/>
      <c r="G441" s="38"/>
      <c r="H441" s="29"/>
    </row>
    <row r="442" spans="1:8" x14ac:dyDescent="0.25">
      <c r="A442" s="29"/>
      <c r="B442" s="29"/>
      <c r="C442" s="29"/>
      <c r="D442" s="29"/>
      <c r="E442" s="29"/>
      <c r="F442" s="38"/>
      <c r="G442" s="38"/>
      <c r="H442" s="29"/>
    </row>
    <row r="443" spans="1:8" x14ac:dyDescent="0.25">
      <c r="A443" s="29"/>
      <c r="B443" s="29"/>
      <c r="C443" s="29"/>
      <c r="D443" s="29"/>
      <c r="E443" s="29"/>
      <c r="F443" s="38"/>
      <c r="G443" s="38"/>
      <c r="H443" s="29"/>
    </row>
    <row r="444" spans="1:8" x14ac:dyDescent="0.25">
      <c r="A444" s="29"/>
      <c r="B444" s="29"/>
      <c r="C444" s="29"/>
      <c r="D444" s="29"/>
      <c r="E444" s="29"/>
      <c r="F444" s="38"/>
      <c r="G444" s="38"/>
      <c r="H444" s="29"/>
    </row>
    <row r="445" spans="1:8" x14ac:dyDescent="0.25">
      <c r="A445" s="29"/>
      <c r="B445" s="29"/>
      <c r="C445" s="29"/>
      <c r="D445" s="29"/>
      <c r="E445" s="29"/>
      <c r="F445" s="38"/>
      <c r="G445" s="38"/>
      <c r="H445" s="29"/>
    </row>
    <row r="446" spans="1:8" x14ac:dyDescent="0.25">
      <c r="A446" s="29"/>
      <c r="B446" s="29"/>
      <c r="C446" s="29"/>
      <c r="D446" s="29"/>
      <c r="E446" s="29"/>
      <c r="F446" s="38"/>
      <c r="G446" s="38"/>
      <c r="H446" s="29"/>
    </row>
    <row r="447" spans="1:8" x14ac:dyDescent="0.25">
      <c r="A447" s="29"/>
      <c r="B447" s="29"/>
      <c r="C447" s="29"/>
      <c r="D447" s="29"/>
      <c r="E447" s="29"/>
      <c r="F447" s="38"/>
      <c r="G447" s="38"/>
      <c r="H447" s="29"/>
    </row>
    <row r="448" spans="1:8" x14ac:dyDescent="0.25">
      <c r="A448" s="29"/>
      <c r="B448" s="29"/>
      <c r="C448" s="29"/>
      <c r="D448" s="29"/>
      <c r="E448" s="29"/>
      <c r="F448" s="38"/>
      <c r="G448" s="38"/>
      <c r="H448" s="29"/>
    </row>
    <row r="449" spans="1:8" x14ac:dyDescent="0.25">
      <c r="A449" s="29"/>
      <c r="B449" s="29"/>
      <c r="C449" s="29"/>
      <c r="D449" s="29"/>
      <c r="E449" s="29"/>
      <c r="F449" s="38"/>
      <c r="G449" s="38"/>
      <c r="H449" s="29"/>
    </row>
    <row r="450" spans="1:8" x14ac:dyDescent="0.25">
      <c r="A450" s="29"/>
      <c r="B450" s="29"/>
      <c r="C450" s="29"/>
      <c r="D450" s="29"/>
      <c r="E450" s="29"/>
      <c r="F450" s="38"/>
      <c r="G450" s="38"/>
      <c r="H450" s="29"/>
    </row>
    <row r="451" spans="1:8" x14ac:dyDescent="0.25">
      <c r="A451" s="29"/>
      <c r="B451" s="29"/>
      <c r="C451" s="29"/>
      <c r="D451" s="29"/>
      <c r="E451" s="29"/>
      <c r="F451" s="38"/>
      <c r="G451" s="38"/>
      <c r="H451" s="29"/>
    </row>
    <row r="452" spans="1:8" x14ac:dyDescent="0.25">
      <c r="A452" s="29"/>
      <c r="B452" s="29"/>
      <c r="C452" s="29"/>
      <c r="D452" s="29"/>
      <c r="E452" s="29"/>
      <c r="F452" s="38"/>
      <c r="G452" s="38"/>
      <c r="H452" s="29"/>
    </row>
    <row r="453" spans="1:8" x14ac:dyDescent="0.25">
      <c r="A453" s="29"/>
      <c r="B453" s="29"/>
      <c r="C453" s="29"/>
      <c r="D453" s="29"/>
      <c r="E453" s="29"/>
      <c r="F453" s="38"/>
      <c r="G453" s="38"/>
      <c r="H453" s="29"/>
    </row>
    <row r="454" spans="1:8" x14ac:dyDescent="0.25">
      <c r="A454" s="29"/>
      <c r="B454" s="29"/>
      <c r="C454" s="29"/>
      <c r="D454" s="29"/>
      <c r="E454" s="29"/>
      <c r="F454" s="38"/>
      <c r="G454" s="38"/>
      <c r="H454" s="29"/>
    </row>
    <row r="455" spans="1:8" x14ac:dyDescent="0.25">
      <c r="A455" s="29"/>
      <c r="B455" s="29"/>
      <c r="C455" s="29"/>
      <c r="D455" s="29"/>
      <c r="E455" s="29"/>
      <c r="F455" s="38"/>
      <c r="G455" s="38"/>
      <c r="H455" s="29"/>
    </row>
    <row r="456" spans="1:8" x14ac:dyDescent="0.25">
      <c r="A456" s="29"/>
      <c r="B456" s="29"/>
      <c r="C456" s="29"/>
      <c r="D456" s="29"/>
      <c r="E456" s="29"/>
      <c r="F456" s="38"/>
      <c r="G456" s="38"/>
      <c r="H456" s="29"/>
    </row>
    <row r="457" spans="1:8" x14ac:dyDescent="0.25">
      <c r="A457" s="29"/>
      <c r="B457" s="29"/>
      <c r="C457" s="29"/>
      <c r="D457" s="29"/>
      <c r="E457" s="29"/>
      <c r="F457" s="38"/>
      <c r="G457" s="38"/>
      <c r="H457" s="29"/>
    </row>
    <row r="458" spans="1:8" x14ac:dyDescent="0.25">
      <c r="A458" s="29"/>
      <c r="B458" s="29"/>
      <c r="C458" s="29"/>
      <c r="D458" s="29"/>
      <c r="E458" s="29"/>
      <c r="F458" s="38"/>
      <c r="G458" s="38"/>
      <c r="H458" s="29"/>
    </row>
    <row r="459" spans="1:8" x14ac:dyDescent="0.25">
      <c r="A459" s="29"/>
      <c r="B459" s="29"/>
      <c r="C459" s="29"/>
      <c r="D459" s="29"/>
      <c r="E459" s="29"/>
      <c r="F459" s="38"/>
      <c r="G459" s="38"/>
      <c r="H459" s="29"/>
    </row>
    <row r="460" spans="1:8" x14ac:dyDescent="0.25">
      <c r="A460" s="29"/>
      <c r="B460" s="29"/>
      <c r="C460" s="29"/>
      <c r="D460" s="29"/>
      <c r="E460" s="29"/>
      <c r="F460" s="38"/>
      <c r="G460" s="38"/>
      <c r="H460" s="29"/>
    </row>
    <row r="461" spans="1:8" x14ac:dyDescent="0.25">
      <c r="A461" s="29"/>
      <c r="B461" s="29"/>
      <c r="C461" s="29"/>
      <c r="D461" s="29"/>
      <c r="E461" s="29"/>
      <c r="F461" s="38"/>
      <c r="G461" s="38"/>
      <c r="H461" s="29"/>
    </row>
    <row r="462" spans="1:8" x14ac:dyDescent="0.25">
      <c r="A462" s="29"/>
      <c r="B462" s="29"/>
      <c r="C462" s="29"/>
      <c r="D462" s="29"/>
      <c r="E462" s="29"/>
      <c r="F462" s="38"/>
      <c r="G462" s="38"/>
      <c r="H462" s="29"/>
    </row>
    <row r="463" spans="1:8" x14ac:dyDescent="0.25">
      <c r="A463" s="29"/>
      <c r="B463" s="29"/>
      <c r="C463" s="29"/>
      <c r="D463" s="29"/>
      <c r="E463" s="29"/>
      <c r="F463" s="38"/>
      <c r="G463" s="38"/>
      <c r="H463" s="29"/>
    </row>
    <row r="464" spans="1:8" x14ac:dyDescent="0.25">
      <c r="A464" s="29"/>
      <c r="B464" s="29"/>
      <c r="C464" s="29"/>
      <c r="D464" s="29"/>
      <c r="E464" s="29"/>
      <c r="F464" s="38"/>
      <c r="G464" s="38"/>
      <c r="H464" s="29"/>
    </row>
    <row r="465" spans="1:8" x14ac:dyDescent="0.25">
      <c r="A465" s="29"/>
      <c r="B465" s="29"/>
      <c r="C465" s="29"/>
      <c r="D465" s="29"/>
      <c r="E465" s="29"/>
      <c r="F465" s="38"/>
      <c r="G465" s="38"/>
      <c r="H465" s="29"/>
    </row>
    <row r="466" spans="1:8" x14ac:dyDescent="0.25">
      <c r="A466" s="29"/>
      <c r="B466" s="29"/>
      <c r="C466" s="29"/>
      <c r="D466" s="29"/>
      <c r="E466" s="29"/>
      <c r="F466" s="38"/>
      <c r="G466" s="38"/>
      <c r="H466" s="29"/>
    </row>
    <row r="467" spans="1:8" x14ac:dyDescent="0.25">
      <c r="A467" s="29"/>
      <c r="B467" s="29"/>
      <c r="C467" s="29"/>
      <c r="D467" s="29"/>
      <c r="E467" s="29"/>
      <c r="F467" s="38"/>
      <c r="G467" s="38"/>
      <c r="H467" s="29"/>
    </row>
    <row r="468" spans="1:8" x14ac:dyDescent="0.25">
      <c r="A468" s="29"/>
      <c r="B468" s="29"/>
      <c r="C468" s="29"/>
      <c r="D468" s="29"/>
      <c r="E468" s="29"/>
      <c r="F468" s="38"/>
      <c r="G468" s="38"/>
      <c r="H468" s="29"/>
    </row>
    <row r="469" spans="1:8" x14ac:dyDescent="0.25">
      <c r="A469" s="29"/>
      <c r="B469" s="29"/>
      <c r="C469" s="29"/>
      <c r="D469" s="29"/>
      <c r="E469" s="29"/>
      <c r="F469" s="38"/>
      <c r="G469" s="38"/>
      <c r="H469" s="29"/>
    </row>
    <row r="470" spans="1:8" x14ac:dyDescent="0.25">
      <c r="A470" s="29"/>
      <c r="B470" s="29"/>
      <c r="C470" s="29"/>
      <c r="D470" s="29"/>
      <c r="E470" s="29"/>
      <c r="F470" s="38"/>
      <c r="G470" s="38"/>
      <c r="H470" s="29"/>
    </row>
    <row r="471" spans="1:8" x14ac:dyDescent="0.25">
      <c r="A471" s="29"/>
      <c r="B471" s="29"/>
      <c r="C471" s="29"/>
      <c r="D471" s="29"/>
      <c r="E471" s="29"/>
      <c r="F471" s="38"/>
      <c r="G471" s="38"/>
      <c r="H471" s="29"/>
    </row>
    <row r="472" spans="1:8" x14ac:dyDescent="0.25">
      <c r="A472" s="29"/>
      <c r="B472" s="29"/>
      <c r="C472" s="29"/>
      <c r="D472" s="29"/>
      <c r="E472" s="29"/>
      <c r="F472" s="38"/>
      <c r="G472" s="38"/>
      <c r="H472" s="29"/>
    </row>
    <row r="473" spans="1:8" x14ac:dyDescent="0.25">
      <c r="A473" s="29"/>
      <c r="B473" s="29"/>
      <c r="C473" s="29"/>
      <c r="D473" s="29"/>
      <c r="E473" s="29"/>
      <c r="F473" s="38"/>
      <c r="G473" s="38"/>
      <c r="H473" s="29"/>
    </row>
    <row r="474" spans="1:8" x14ac:dyDescent="0.25">
      <c r="A474" s="29"/>
      <c r="B474" s="29"/>
      <c r="C474" s="29"/>
      <c r="D474" s="29"/>
      <c r="E474" s="29"/>
      <c r="F474" s="38"/>
      <c r="G474" s="38"/>
      <c r="H474" s="29"/>
    </row>
    <row r="475" spans="1:8" x14ac:dyDescent="0.25">
      <c r="A475" s="29"/>
      <c r="B475" s="29"/>
      <c r="C475" s="29"/>
      <c r="D475" s="29"/>
      <c r="E475" s="29"/>
      <c r="F475" s="38"/>
      <c r="G475" s="38"/>
      <c r="H475" s="29"/>
    </row>
    <row r="476" spans="1:8" x14ac:dyDescent="0.25">
      <c r="A476" s="29"/>
      <c r="B476" s="29"/>
      <c r="C476" s="29"/>
      <c r="D476" s="29"/>
      <c r="E476" s="29"/>
      <c r="F476" s="38"/>
      <c r="G476" s="38"/>
      <c r="H476" s="29"/>
    </row>
    <row r="477" spans="1:8" x14ac:dyDescent="0.25">
      <c r="A477" s="29"/>
      <c r="B477" s="29"/>
      <c r="C477" s="29"/>
      <c r="D477" s="29"/>
      <c r="E477" s="29"/>
      <c r="F477" s="38"/>
      <c r="G477" s="38"/>
      <c r="H477" s="29"/>
    </row>
    <row r="478" spans="1:8" x14ac:dyDescent="0.25">
      <c r="A478" s="29"/>
      <c r="B478" s="29"/>
      <c r="C478" s="29"/>
      <c r="D478" s="29"/>
      <c r="E478" s="29"/>
      <c r="F478" s="38"/>
      <c r="G478" s="38"/>
      <c r="H478" s="29"/>
    </row>
    <row r="479" spans="1:8" x14ac:dyDescent="0.25">
      <c r="A479" s="29"/>
      <c r="B479" s="29"/>
      <c r="C479" s="29"/>
      <c r="D479" s="29"/>
      <c r="E479" s="29"/>
      <c r="F479" s="38"/>
      <c r="G479" s="38"/>
      <c r="H479" s="29"/>
    </row>
    <row r="480" spans="1:8" x14ac:dyDescent="0.25">
      <c r="A480" s="29"/>
      <c r="B480" s="29"/>
      <c r="C480" s="29"/>
      <c r="D480" s="29"/>
      <c r="E480" s="29"/>
      <c r="F480" s="38"/>
      <c r="G480" s="38"/>
      <c r="H480" s="29"/>
    </row>
    <row r="481" spans="1:8" x14ac:dyDescent="0.25">
      <c r="A481" s="29"/>
      <c r="B481" s="29"/>
      <c r="C481" s="29"/>
      <c r="D481" s="29"/>
      <c r="E481" s="29"/>
      <c r="F481" s="38"/>
      <c r="G481" s="38"/>
      <c r="H481" s="29"/>
    </row>
    <row r="482" spans="1:8" x14ac:dyDescent="0.25">
      <c r="A482" s="29"/>
      <c r="B482" s="29"/>
      <c r="C482" s="29"/>
      <c r="D482" s="29"/>
      <c r="E482" s="29"/>
      <c r="F482" s="38"/>
      <c r="G482" s="38"/>
      <c r="H482" s="29"/>
    </row>
    <row r="483" spans="1:8" x14ac:dyDescent="0.25">
      <c r="A483" s="29"/>
      <c r="B483" s="29"/>
      <c r="C483" s="29"/>
      <c r="D483" s="29"/>
      <c r="E483" s="29"/>
      <c r="F483" s="38"/>
      <c r="G483" s="38"/>
      <c r="H483" s="29"/>
    </row>
    <row r="484" spans="1:8" x14ac:dyDescent="0.25">
      <c r="A484" s="29"/>
      <c r="B484" s="29"/>
      <c r="C484" s="29"/>
      <c r="D484" s="29"/>
      <c r="E484" s="29"/>
      <c r="F484" s="38"/>
      <c r="G484" s="38"/>
      <c r="H484" s="29"/>
    </row>
    <row r="485" spans="1:8" x14ac:dyDescent="0.25">
      <c r="A485" s="29"/>
      <c r="B485" s="29"/>
      <c r="C485" s="29"/>
      <c r="D485" s="29"/>
      <c r="E485" s="29"/>
      <c r="F485" s="38"/>
      <c r="G485" s="38"/>
      <c r="H485" s="29"/>
    </row>
    <row r="486" spans="1:8" x14ac:dyDescent="0.25">
      <c r="A486" s="29"/>
      <c r="B486" s="29"/>
      <c r="C486" s="29"/>
      <c r="D486" s="29"/>
      <c r="E486" s="29"/>
      <c r="F486" s="38"/>
      <c r="G486" s="38"/>
      <c r="H486" s="29"/>
    </row>
    <row r="487" spans="1:8" x14ac:dyDescent="0.25">
      <c r="A487" s="29"/>
      <c r="B487" s="29"/>
      <c r="C487" s="29"/>
      <c r="D487" s="29"/>
      <c r="E487" s="29"/>
      <c r="F487" s="38"/>
      <c r="G487" s="38"/>
      <c r="H487" s="29"/>
    </row>
    <row r="488" spans="1:8" x14ac:dyDescent="0.25">
      <c r="A488" s="29"/>
      <c r="B488" s="29"/>
      <c r="C488" s="29"/>
      <c r="D488" s="29"/>
      <c r="E488" s="29"/>
      <c r="F488" s="38"/>
      <c r="G488" s="38"/>
      <c r="H488" s="29"/>
    </row>
    <row r="489" spans="1:8" x14ac:dyDescent="0.25">
      <c r="A489" s="29"/>
      <c r="B489" s="29"/>
      <c r="C489" s="29"/>
      <c r="D489" s="29"/>
      <c r="E489" s="29"/>
      <c r="F489" s="38"/>
      <c r="G489" s="38"/>
      <c r="H489" s="29"/>
    </row>
    <row r="490" spans="1:8" x14ac:dyDescent="0.25">
      <c r="A490" s="29"/>
      <c r="B490" s="29"/>
      <c r="C490" s="29"/>
      <c r="D490" s="29"/>
      <c r="E490" s="29"/>
      <c r="F490" s="38"/>
      <c r="G490" s="38"/>
      <c r="H490" s="29"/>
    </row>
    <row r="491" spans="1:8" x14ac:dyDescent="0.25">
      <c r="A491" s="29"/>
      <c r="B491" s="29"/>
      <c r="C491" s="29"/>
      <c r="D491" s="29"/>
      <c r="E491" s="29"/>
      <c r="F491" s="38"/>
      <c r="G491" s="38"/>
      <c r="H491" s="29"/>
    </row>
    <row r="492" spans="1:8" x14ac:dyDescent="0.25">
      <c r="A492" s="29"/>
      <c r="B492" s="29"/>
      <c r="C492" s="29"/>
      <c r="D492" s="29"/>
      <c r="E492" s="29"/>
      <c r="F492" s="38"/>
      <c r="G492" s="38"/>
      <c r="H492" s="29"/>
    </row>
    <row r="493" spans="1:8" x14ac:dyDescent="0.25">
      <c r="A493" s="29"/>
      <c r="B493" s="29"/>
      <c r="C493" s="29"/>
      <c r="D493" s="29"/>
      <c r="E493" s="29"/>
      <c r="F493" s="38"/>
      <c r="G493" s="38"/>
      <c r="H493" s="29"/>
    </row>
    <row r="494" spans="1:8" x14ac:dyDescent="0.25">
      <c r="A494" s="29"/>
      <c r="B494" s="29"/>
      <c r="C494" s="29"/>
      <c r="D494" s="29"/>
      <c r="E494" s="29"/>
      <c r="F494" s="38"/>
      <c r="G494" s="38"/>
      <c r="H494" s="29"/>
    </row>
    <row r="495" spans="1:8" x14ac:dyDescent="0.25">
      <c r="A495" s="29"/>
      <c r="B495" s="29"/>
      <c r="C495" s="29"/>
      <c r="D495" s="29"/>
      <c r="E495" s="29"/>
      <c r="F495" s="38"/>
      <c r="G495" s="38"/>
      <c r="H495" s="29"/>
    </row>
    <row r="496" spans="1:8" x14ac:dyDescent="0.25">
      <c r="A496" s="29"/>
      <c r="B496" s="29"/>
      <c r="C496" s="29"/>
      <c r="D496" s="29"/>
      <c r="E496" s="29"/>
      <c r="F496" s="38"/>
      <c r="G496" s="38"/>
      <c r="H496" s="29"/>
    </row>
    <row r="497" spans="1:8" x14ac:dyDescent="0.25">
      <c r="A497" s="29"/>
      <c r="B497" s="29"/>
      <c r="C497" s="29"/>
      <c r="D497" s="29"/>
      <c r="E497" s="29"/>
      <c r="F497" s="38"/>
      <c r="G497" s="38"/>
      <c r="H497" s="29"/>
    </row>
    <row r="498" spans="1:8" x14ac:dyDescent="0.25">
      <c r="A498" s="29"/>
      <c r="B498" s="29"/>
      <c r="C498" s="29"/>
      <c r="D498" s="29"/>
      <c r="E498" s="29"/>
      <c r="F498" s="38"/>
      <c r="G498" s="38"/>
      <c r="H498" s="29"/>
    </row>
    <row r="499" spans="1:8" x14ac:dyDescent="0.25">
      <c r="A499" s="29"/>
      <c r="B499" s="29"/>
      <c r="C499" s="29"/>
      <c r="D499" s="29"/>
      <c r="E499" s="29"/>
      <c r="F499" s="38"/>
      <c r="G499" s="38"/>
      <c r="H499" s="29"/>
    </row>
    <row r="500" spans="1:8" x14ac:dyDescent="0.25">
      <c r="A500" s="29"/>
      <c r="B500" s="29"/>
      <c r="C500" s="29"/>
      <c r="D500" s="29"/>
      <c r="E500" s="29"/>
      <c r="F500" s="38"/>
      <c r="G500" s="38"/>
      <c r="H500" s="29"/>
    </row>
    <row r="501" spans="1:8" x14ac:dyDescent="0.25">
      <c r="A501" s="29"/>
      <c r="B501" s="29"/>
      <c r="C501" s="29"/>
      <c r="D501" s="29"/>
      <c r="E501" s="29"/>
      <c r="F501" s="38"/>
      <c r="G501" s="38"/>
      <c r="H501" s="29"/>
    </row>
    <row r="502" spans="1:8" x14ac:dyDescent="0.25">
      <c r="A502" s="29"/>
      <c r="B502" s="29"/>
      <c r="C502" s="29"/>
      <c r="D502" s="29"/>
      <c r="E502" s="29"/>
      <c r="F502" s="38"/>
      <c r="G502" s="38"/>
      <c r="H502" s="29"/>
    </row>
    <row r="503" spans="1:8" x14ac:dyDescent="0.25">
      <c r="A503" s="29"/>
      <c r="B503" s="29"/>
      <c r="C503" s="29"/>
      <c r="D503" s="29"/>
      <c r="E503" s="29"/>
      <c r="F503" s="38"/>
      <c r="G503" s="38"/>
      <c r="H503" s="29"/>
    </row>
    <row r="504" spans="1:8" x14ac:dyDescent="0.25">
      <c r="A504" s="29"/>
      <c r="B504" s="29"/>
      <c r="C504" s="29"/>
      <c r="D504" s="29"/>
      <c r="E504" s="29"/>
      <c r="F504" s="38"/>
      <c r="G504" s="38"/>
      <c r="H504" s="29"/>
    </row>
    <row r="505" spans="1:8" x14ac:dyDescent="0.25">
      <c r="A505" s="29"/>
      <c r="B505" s="29"/>
      <c r="C505" s="29"/>
      <c r="D505" s="29"/>
      <c r="E505" s="29"/>
      <c r="F505" s="38"/>
      <c r="G505" s="38"/>
      <c r="H505" s="29"/>
    </row>
    <row r="506" spans="1:8" x14ac:dyDescent="0.25">
      <c r="A506" s="29"/>
      <c r="B506" s="29"/>
      <c r="C506" s="29"/>
      <c r="D506" s="29"/>
      <c r="E506" s="29"/>
      <c r="F506" s="38"/>
      <c r="G506" s="38"/>
      <c r="H506" s="29"/>
    </row>
    <row r="507" spans="1:8" x14ac:dyDescent="0.25">
      <c r="A507" s="29"/>
      <c r="B507" s="29"/>
      <c r="C507" s="29"/>
      <c r="D507" s="29"/>
      <c r="E507" s="29"/>
      <c r="F507" s="38"/>
      <c r="G507" s="38"/>
      <c r="H507" s="29"/>
    </row>
    <row r="508" spans="1:8" x14ac:dyDescent="0.25">
      <c r="A508" s="29"/>
      <c r="B508" s="29"/>
      <c r="C508" s="29"/>
      <c r="D508" s="29"/>
      <c r="E508" s="29"/>
      <c r="F508" s="38"/>
      <c r="G508" s="38"/>
      <c r="H508" s="29"/>
    </row>
    <row r="509" spans="1:8" x14ac:dyDescent="0.25">
      <c r="A509" s="29"/>
      <c r="B509" s="29"/>
      <c r="C509" s="29"/>
      <c r="D509" s="29"/>
      <c r="E509" s="29"/>
      <c r="F509" s="38"/>
      <c r="G509" s="38"/>
      <c r="H509" s="29"/>
    </row>
    <row r="510" spans="1:8" x14ac:dyDescent="0.25">
      <c r="A510" s="29"/>
      <c r="B510" s="29"/>
      <c r="C510" s="29"/>
      <c r="D510" s="29"/>
      <c r="E510" s="29"/>
      <c r="F510" s="38"/>
      <c r="G510" s="38"/>
      <c r="H510" s="29"/>
    </row>
    <row r="511" spans="1:8" x14ac:dyDescent="0.25">
      <c r="A511" s="29"/>
      <c r="B511" s="29"/>
      <c r="C511" s="29"/>
      <c r="D511" s="29"/>
      <c r="E511" s="29"/>
      <c r="F511" s="38"/>
      <c r="G511" s="38"/>
      <c r="H511" s="29"/>
    </row>
    <row r="512" spans="1:8" x14ac:dyDescent="0.25">
      <c r="A512" s="29"/>
      <c r="B512" s="29"/>
      <c r="C512" s="29"/>
      <c r="D512" s="29"/>
      <c r="E512" s="29"/>
      <c r="F512" s="38"/>
      <c r="G512" s="38"/>
      <c r="H512" s="29"/>
    </row>
    <row r="513" spans="1:8" x14ac:dyDescent="0.25">
      <c r="A513" s="29"/>
      <c r="B513" s="29"/>
      <c r="C513" s="29"/>
      <c r="D513" s="29"/>
      <c r="E513" s="29"/>
      <c r="F513" s="38"/>
      <c r="G513" s="38"/>
      <c r="H513" s="29"/>
    </row>
    <row r="514" spans="1:8" x14ac:dyDescent="0.25">
      <c r="A514" s="29"/>
      <c r="B514" s="29"/>
      <c r="C514" s="29"/>
      <c r="D514" s="29"/>
      <c r="E514" s="29"/>
      <c r="F514" s="38"/>
      <c r="G514" s="38"/>
      <c r="H514" s="29"/>
    </row>
    <row r="515" spans="1:8" x14ac:dyDescent="0.25">
      <c r="A515" s="29"/>
      <c r="B515" s="29"/>
      <c r="C515" s="29"/>
      <c r="D515" s="29"/>
      <c r="E515" s="29"/>
      <c r="F515" s="38"/>
      <c r="G515" s="38"/>
      <c r="H515" s="29"/>
    </row>
    <row r="516" spans="1:8" x14ac:dyDescent="0.25">
      <c r="A516" s="29"/>
      <c r="B516" s="29"/>
      <c r="C516" s="29"/>
      <c r="D516" s="29"/>
      <c r="E516" s="29"/>
      <c r="F516" s="38"/>
      <c r="G516" s="38"/>
      <c r="H516" s="29"/>
    </row>
    <row r="517" spans="1:8" x14ac:dyDescent="0.25">
      <c r="A517" s="29"/>
      <c r="B517" s="29"/>
      <c r="C517" s="29"/>
      <c r="D517" s="29"/>
      <c r="E517" s="29"/>
      <c r="F517" s="38"/>
      <c r="G517" s="38"/>
      <c r="H517" s="29"/>
    </row>
    <row r="518" spans="1:8" x14ac:dyDescent="0.25">
      <c r="A518" s="29"/>
      <c r="B518" s="29"/>
      <c r="C518" s="29"/>
      <c r="D518" s="29"/>
      <c r="E518" s="29"/>
      <c r="F518" s="38"/>
      <c r="G518" s="38"/>
      <c r="H518" s="29"/>
    </row>
    <row r="519" spans="1:8" x14ac:dyDescent="0.25">
      <c r="A519" s="29"/>
      <c r="B519" s="29"/>
      <c r="C519" s="29"/>
      <c r="D519" s="29"/>
      <c r="E519" s="29"/>
      <c r="F519" s="38"/>
      <c r="G519" s="38"/>
      <c r="H519" s="29"/>
    </row>
    <row r="520" spans="1:8" x14ac:dyDescent="0.25">
      <c r="A520" s="29"/>
      <c r="B520" s="29"/>
      <c r="C520" s="29"/>
      <c r="D520" s="29"/>
      <c r="E520" s="29"/>
      <c r="F520" s="38"/>
      <c r="G520" s="38"/>
      <c r="H520" s="29"/>
    </row>
    <row r="521" spans="1:8" x14ac:dyDescent="0.25">
      <c r="A521" s="29"/>
      <c r="B521" s="29"/>
      <c r="C521" s="29"/>
      <c r="D521" s="29"/>
      <c r="E521" s="29"/>
      <c r="F521" s="38"/>
      <c r="G521" s="38"/>
      <c r="H521" s="29"/>
    </row>
    <row r="522" spans="1:8" x14ac:dyDescent="0.25">
      <c r="A522" s="29"/>
      <c r="B522" s="29"/>
      <c r="C522" s="29"/>
      <c r="D522" s="29"/>
      <c r="E522" s="29"/>
      <c r="F522" s="38"/>
      <c r="G522" s="38"/>
      <c r="H522" s="29"/>
    </row>
    <row r="523" spans="1:8" x14ac:dyDescent="0.25">
      <c r="A523" s="29"/>
      <c r="B523" s="29"/>
      <c r="C523" s="29"/>
      <c r="D523" s="29"/>
      <c r="E523" s="29"/>
      <c r="F523" s="38"/>
      <c r="G523" s="38"/>
      <c r="H523" s="29"/>
    </row>
    <row r="524" spans="1:8" x14ac:dyDescent="0.25">
      <c r="A524" s="29"/>
      <c r="B524" s="29"/>
      <c r="C524" s="29"/>
      <c r="D524" s="29"/>
      <c r="E524" s="29"/>
      <c r="F524" s="38"/>
      <c r="G524" s="38"/>
      <c r="H524" s="29"/>
    </row>
    <row r="525" spans="1:8" x14ac:dyDescent="0.25">
      <c r="A525" s="29"/>
      <c r="B525" s="29"/>
      <c r="C525" s="29"/>
      <c r="D525" s="29"/>
      <c r="E525" s="29"/>
      <c r="F525" s="38"/>
      <c r="G525" s="38"/>
      <c r="H525" s="29"/>
    </row>
    <row r="526" spans="1:8" x14ac:dyDescent="0.25">
      <c r="A526" s="29"/>
      <c r="B526" s="29"/>
      <c r="C526" s="29"/>
      <c r="D526" s="29"/>
      <c r="E526" s="29"/>
      <c r="F526" s="38"/>
      <c r="G526" s="38"/>
      <c r="H526" s="29"/>
    </row>
    <row r="527" spans="1:8" x14ac:dyDescent="0.25">
      <c r="A527" s="29"/>
      <c r="B527" s="29"/>
      <c r="C527" s="29"/>
      <c r="D527" s="29"/>
      <c r="E527" s="29"/>
      <c r="F527" s="38"/>
      <c r="G527" s="38"/>
      <c r="H527" s="29"/>
    </row>
    <row r="528" spans="1:8" x14ac:dyDescent="0.25">
      <c r="A528" s="29"/>
      <c r="B528" s="29"/>
      <c r="C528" s="29"/>
      <c r="D528" s="29"/>
      <c r="E528" s="29"/>
      <c r="F528" s="38"/>
      <c r="G528" s="38"/>
      <c r="H528" s="29"/>
    </row>
    <row r="529" spans="1:8" x14ac:dyDescent="0.25">
      <c r="A529" s="29"/>
      <c r="B529" s="29"/>
      <c r="C529" s="29"/>
      <c r="D529" s="29"/>
      <c r="E529" s="29"/>
      <c r="F529" s="38"/>
      <c r="G529" s="38"/>
      <c r="H529" s="29"/>
    </row>
    <row r="530" spans="1:8" x14ac:dyDescent="0.25">
      <c r="A530" s="29"/>
      <c r="B530" s="29"/>
      <c r="C530" s="29"/>
      <c r="D530" s="29"/>
      <c r="E530" s="29"/>
      <c r="F530" s="38"/>
      <c r="G530" s="38"/>
      <c r="H530" s="29"/>
    </row>
    <row r="531" spans="1:8" x14ac:dyDescent="0.25">
      <c r="A531" s="29"/>
      <c r="B531" s="29"/>
      <c r="C531" s="29"/>
      <c r="D531" s="29"/>
      <c r="E531" s="29"/>
      <c r="F531" s="38"/>
      <c r="G531" s="38"/>
      <c r="H531" s="29"/>
    </row>
    <row r="532" spans="1:8" x14ac:dyDescent="0.25">
      <c r="A532" s="29"/>
      <c r="B532" s="29"/>
      <c r="C532" s="29"/>
      <c r="D532" s="29"/>
      <c r="E532" s="29"/>
      <c r="F532" s="38"/>
      <c r="G532" s="38"/>
      <c r="H532" s="29"/>
    </row>
    <row r="533" spans="1:8" x14ac:dyDescent="0.25">
      <c r="A533" s="29"/>
      <c r="B533" s="29"/>
      <c r="C533" s="29"/>
      <c r="D533" s="29"/>
      <c r="E533" s="29"/>
      <c r="F533" s="38"/>
      <c r="G533" s="38"/>
      <c r="H533" s="29"/>
    </row>
    <row r="534" spans="1:8" x14ac:dyDescent="0.25">
      <c r="A534" s="29"/>
      <c r="B534" s="29"/>
      <c r="C534" s="29"/>
      <c r="D534" s="29"/>
      <c r="E534" s="29"/>
      <c r="F534" s="38"/>
      <c r="G534" s="38"/>
      <c r="H534" s="29"/>
    </row>
    <row r="535" spans="1:8" x14ac:dyDescent="0.25">
      <c r="A535" s="29"/>
      <c r="B535" s="29"/>
      <c r="C535" s="29"/>
      <c r="D535" s="29"/>
      <c r="E535" s="29"/>
      <c r="F535" s="38"/>
      <c r="G535" s="38"/>
      <c r="H535" s="29"/>
    </row>
    <row r="536" spans="1:8" x14ac:dyDescent="0.25">
      <c r="A536" s="29"/>
      <c r="B536" s="29"/>
      <c r="C536" s="29"/>
      <c r="D536" s="29"/>
      <c r="E536" s="29"/>
      <c r="F536" s="38"/>
      <c r="G536" s="38"/>
      <c r="H536" s="29"/>
    </row>
    <row r="537" spans="1:8" x14ac:dyDescent="0.25">
      <c r="A537" s="29"/>
      <c r="B537" s="29"/>
      <c r="C537" s="29"/>
      <c r="D537" s="29"/>
      <c r="E537" s="29"/>
      <c r="F537" s="38"/>
      <c r="G537" s="38"/>
      <c r="H537" s="29"/>
    </row>
    <row r="538" spans="1:8" x14ac:dyDescent="0.25">
      <c r="A538" s="29"/>
      <c r="B538" s="29"/>
      <c r="C538" s="29"/>
      <c r="D538" s="29"/>
      <c r="E538" s="29"/>
      <c r="F538" s="38"/>
      <c r="G538" s="38"/>
      <c r="H538" s="29"/>
    </row>
    <row r="539" spans="1:8" x14ac:dyDescent="0.25">
      <c r="A539" s="29"/>
      <c r="B539" s="29"/>
      <c r="C539" s="29"/>
      <c r="D539" s="29"/>
      <c r="E539" s="29"/>
      <c r="F539" s="38"/>
      <c r="G539" s="38"/>
      <c r="H539" s="29"/>
    </row>
    <row r="540" spans="1:8" x14ac:dyDescent="0.25">
      <c r="A540" s="29"/>
      <c r="B540" s="29"/>
      <c r="C540" s="29"/>
      <c r="D540" s="29"/>
      <c r="E540" s="29"/>
      <c r="F540" s="38"/>
      <c r="G540" s="38"/>
      <c r="H540" s="29"/>
    </row>
    <row r="541" spans="1:8" x14ac:dyDescent="0.25">
      <c r="A541" s="29"/>
      <c r="B541" s="29"/>
      <c r="C541" s="29"/>
      <c r="D541" s="29"/>
      <c r="E541" s="29"/>
      <c r="F541" s="38"/>
      <c r="G541" s="38"/>
      <c r="H541" s="29"/>
    </row>
    <row r="542" spans="1:8" x14ac:dyDescent="0.25">
      <c r="A542" s="29"/>
      <c r="B542" s="29"/>
      <c r="C542" s="29"/>
      <c r="D542" s="29"/>
      <c r="E542" s="29"/>
      <c r="F542" s="38"/>
      <c r="G542" s="38"/>
      <c r="H542" s="29"/>
    </row>
    <row r="543" spans="1:8" x14ac:dyDescent="0.25">
      <c r="A543" s="29"/>
      <c r="B543" s="29"/>
      <c r="C543" s="29"/>
      <c r="D543" s="29"/>
      <c r="E543" s="29"/>
      <c r="F543" s="38"/>
      <c r="G543" s="38"/>
      <c r="H543" s="29"/>
    </row>
    <row r="544" spans="1:8" x14ac:dyDescent="0.25">
      <c r="A544" s="29"/>
      <c r="B544" s="29"/>
      <c r="C544" s="29"/>
      <c r="D544" s="29"/>
      <c r="E544" s="29"/>
      <c r="F544" s="38"/>
      <c r="G544" s="38"/>
      <c r="H544" s="29"/>
    </row>
    <row r="545" spans="1:8" x14ac:dyDescent="0.25">
      <c r="A545" s="29"/>
      <c r="B545" s="29"/>
      <c r="C545" s="29"/>
      <c r="D545" s="29"/>
      <c r="E545" s="29"/>
      <c r="F545" s="38"/>
      <c r="G545" s="38"/>
      <c r="H545" s="29"/>
    </row>
    <row r="546" spans="1:8" x14ac:dyDescent="0.25">
      <c r="A546" s="29"/>
      <c r="B546" s="29"/>
      <c r="C546" s="29"/>
      <c r="D546" s="29"/>
      <c r="E546" s="29"/>
      <c r="F546" s="38"/>
      <c r="G546" s="38"/>
      <c r="H546" s="29"/>
    </row>
    <row r="547" spans="1:8" x14ac:dyDescent="0.25">
      <c r="A547" s="29"/>
      <c r="B547" s="29"/>
      <c r="C547" s="29"/>
      <c r="D547" s="29"/>
      <c r="E547" s="29"/>
      <c r="F547" s="38"/>
      <c r="G547" s="38"/>
      <c r="H547" s="29"/>
    </row>
    <row r="548" spans="1:8" x14ac:dyDescent="0.25">
      <c r="A548" s="29"/>
      <c r="B548" s="29"/>
      <c r="C548" s="29"/>
      <c r="D548" s="29"/>
      <c r="E548" s="29"/>
      <c r="F548" s="38"/>
      <c r="G548" s="38"/>
      <c r="H548" s="29"/>
    </row>
    <row r="549" spans="1:8" x14ac:dyDescent="0.25">
      <c r="A549" s="29"/>
      <c r="B549" s="29"/>
      <c r="C549" s="29"/>
      <c r="D549" s="29"/>
      <c r="E549" s="29"/>
      <c r="F549" s="38"/>
      <c r="G549" s="38"/>
      <c r="H549" s="29"/>
    </row>
    <row r="550" spans="1:8" x14ac:dyDescent="0.25">
      <c r="A550" s="29"/>
      <c r="B550" s="29"/>
      <c r="C550" s="29"/>
      <c r="D550" s="29"/>
      <c r="E550" s="29"/>
      <c r="F550" s="38"/>
      <c r="G550" s="38"/>
      <c r="H550" s="29"/>
    </row>
    <row r="551" spans="1:8" x14ac:dyDescent="0.25">
      <c r="A551" s="29"/>
      <c r="B551" s="29"/>
      <c r="C551" s="29"/>
      <c r="D551" s="29"/>
      <c r="E551" s="29"/>
      <c r="F551" s="38"/>
      <c r="G551" s="38"/>
      <c r="H551" s="29"/>
    </row>
    <row r="552" spans="1:8" x14ac:dyDescent="0.25">
      <c r="A552" s="29"/>
      <c r="B552" s="29"/>
      <c r="C552" s="29"/>
      <c r="D552" s="29"/>
      <c r="E552" s="29"/>
      <c r="F552" s="38"/>
      <c r="G552" s="38"/>
      <c r="H552" s="29"/>
    </row>
    <row r="553" spans="1:8" x14ac:dyDescent="0.25">
      <c r="A553" s="29"/>
      <c r="B553" s="29"/>
      <c r="C553" s="29"/>
      <c r="D553" s="29"/>
      <c r="E553" s="29"/>
      <c r="F553" s="38"/>
      <c r="G553" s="38"/>
      <c r="H553" s="29"/>
    </row>
    <row r="554" spans="1:8" x14ac:dyDescent="0.25">
      <c r="A554" s="29"/>
      <c r="B554" s="29"/>
      <c r="C554" s="29"/>
      <c r="D554" s="29"/>
      <c r="E554" s="29"/>
      <c r="F554" s="38"/>
      <c r="G554" s="38"/>
      <c r="H554" s="29"/>
    </row>
    <row r="555" spans="1:8" x14ac:dyDescent="0.25">
      <c r="A555" s="29"/>
      <c r="B555" s="29"/>
      <c r="C555" s="29"/>
      <c r="D555" s="29"/>
      <c r="E555" s="29"/>
      <c r="F555" s="38"/>
      <c r="G555" s="38"/>
      <c r="H555" s="29"/>
    </row>
    <row r="556" spans="1:8" x14ac:dyDescent="0.25">
      <c r="A556" s="29"/>
      <c r="B556" s="29"/>
      <c r="C556" s="29"/>
      <c r="D556" s="29"/>
      <c r="E556" s="29"/>
      <c r="F556" s="38"/>
      <c r="G556" s="38"/>
      <c r="H556" s="29"/>
    </row>
    <row r="557" spans="1:8" x14ac:dyDescent="0.25">
      <c r="A557" s="29"/>
      <c r="B557" s="29"/>
      <c r="C557" s="29"/>
      <c r="D557" s="29"/>
      <c r="E557" s="29"/>
      <c r="F557" s="38"/>
      <c r="G557" s="38"/>
      <c r="H557" s="29"/>
    </row>
    <row r="558" spans="1:8" x14ac:dyDescent="0.25">
      <c r="A558" s="29"/>
      <c r="B558" s="29"/>
      <c r="C558" s="29"/>
      <c r="D558" s="29"/>
      <c r="E558" s="29"/>
      <c r="F558" s="38"/>
      <c r="G558" s="38"/>
      <c r="H558" s="29"/>
    </row>
    <row r="559" spans="1:8" x14ac:dyDescent="0.25">
      <c r="A559" s="29"/>
      <c r="B559" s="29"/>
      <c r="C559" s="29"/>
      <c r="D559" s="29"/>
      <c r="E559" s="29"/>
      <c r="F559" s="38"/>
      <c r="G559" s="38"/>
      <c r="H559" s="29"/>
    </row>
    <row r="560" spans="1:8" x14ac:dyDescent="0.25">
      <c r="A560" s="29"/>
      <c r="B560" s="29"/>
      <c r="C560" s="29"/>
      <c r="D560" s="29"/>
      <c r="E560" s="29"/>
      <c r="F560" s="38"/>
      <c r="G560" s="38"/>
      <c r="H560" s="29"/>
    </row>
    <row r="561" spans="1:8" x14ac:dyDescent="0.25">
      <c r="A561" s="29"/>
      <c r="B561" s="29"/>
      <c r="C561" s="29"/>
      <c r="D561" s="29"/>
      <c r="E561" s="29"/>
      <c r="F561" s="38"/>
      <c r="G561" s="38"/>
      <c r="H561" s="29"/>
    </row>
    <row r="562" spans="1:8" x14ac:dyDescent="0.25">
      <c r="A562" s="29"/>
      <c r="B562" s="29"/>
      <c r="C562" s="29"/>
      <c r="D562" s="29"/>
      <c r="E562" s="29"/>
      <c r="F562" s="38"/>
      <c r="G562" s="38"/>
      <c r="H562" s="29"/>
    </row>
    <row r="563" spans="1:8" x14ac:dyDescent="0.25">
      <c r="A563" s="29"/>
      <c r="B563" s="29"/>
      <c r="C563" s="29"/>
      <c r="D563" s="29"/>
      <c r="E563" s="29"/>
      <c r="F563" s="38"/>
      <c r="G563" s="38"/>
      <c r="H563" s="29"/>
    </row>
    <row r="564" spans="1:8" x14ac:dyDescent="0.25">
      <c r="A564" s="29"/>
      <c r="B564" s="29"/>
      <c r="C564" s="29"/>
      <c r="D564" s="29"/>
      <c r="E564" s="29"/>
      <c r="F564" s="38"/>
      <c r="G564" s="38"/>
      <c r="H564" s="29"/>
    </row>
    <row r="565" spans="1:8" x14ac:dyDescent="0.25">
      <c r="A565" s="29"/>
      <c r="B565" s="29"/>
      <c r="C565" s="29"/>
      <c r="D565" s="29"/>
      <c r="E565" s="29"/>
      <c r="F565" s="38"/>
      <c r="G565" s="38"/>
      <c r="H565" s="29"/>
    </row>
    <row r="566" spans="1:8" x14ac:dyDescent="0.25">
      <c r="A566" s="29"/>
      <c r="B566" s="29"/>
      <c r="C566" s="29"/>
      <c r="D566" s="29"/>
      <c r="E566" s="29"/>
      <c r="F566" s="38"/>
      <c r="G566" s="38"/>
      <c r="H566" s="29"/>
    </row>
    <row r="567" spans="1:8" x14ac:dyDescent="0.25">
      <c r="A567" s="29"/>
      <c r="B567" s="29"/>
      <c r="C567" s="29"/>
      <c r="D567" s="29"/>
      <c r="E567" s="29"/>
      <c r="F567" s="38"/>
      <c r="G567" s="38"/>
      <c r="H567" s="29"/>
    </row>
    <row r="568" spans="1:8" x14ac:dyDescent="0.25">
      <c r="A568" s="29"/>
      <c r="B568" s="29"/>
      <c r="C568" s="29"/>
      <c r="D568" s="29"/>
      <c r="E568" s="29"/>
      <c r="F568" s="38"/>
      <c r="G568" s="38"/>
      <c r="H568" s="29"/>
    </row>
    <row r="569" spans="1:8" x14ac:dyDescent="0.25">
      <c r="A569" s="29"/>
      <c r="B569" s="29"/>
      <c r="C569" s="29"/>
      <c r="D569" s="29"/>
      <c r="E569" s="29"/>
      <c r="F569" s="38"/>
      <c r="G569" s="38"/>
      <c r="H569" s="29"/>
    </row>
    <row r="570" spans="1:8" x14ac:dyDescent="0.25">
      <c r="A570" s="29"/>
      <c r="B570" s="29"/>
      <c r="C570" s="29"/>
      <c r="D570" s="29"/>
      <c r="E570" s="29"/>
      <c r="F570" s="38"/>
      <c r="G570" s="38"/>
      <c r="H570" s="29"/>
    </row>
    <row r="571" spans="1:8" x14ac:dyDescent="0.25">
      <c r="A571" s="29"/>
      <c r="B571" s="29"/>
      <c r="C571" s="29"/>
      <c r="D571" s="29"/>
      <c r="E571" s="29"/>
      <c r="F571" s="38"/>
      <c r="G571" s="38"/>
      <c r="H571" s="29"/>
    </row>
    <row r="572" spans="1:8" x14ac:dyDescent="0.25">
      <c r="A572" s="29"/>
      <c r="B572" s="29"/>
      <c r="C572" s="29"/>
      <c r="D572" s="29"/>
      <c r="E572" s="29"/>
      <c r="F572" s="38"/>
      <c r="G572" s="38"/>
      <c r="H572" s="29"/>
    </row>
    <row r="573" spans="1:8" x14ac:dyDescent="0.25">
      <c r="A573" s="29"/>
      <c r="B573" s="29"/>
      <c r="C573" s="29"/>
      <c r="D573" s="29"/>
      <c r="E573" s="29"/>
      <c r="F573" s="38"/>
      <c r="G573" s="38"/>
      <c r="H573" s="29"/>
    </row>
    <row r="574" spans="1:8" x14ac:dyDescent="0.25">
      <c r="A574" s="29"/>
      <c r="B574" s="29"/>
      <c r="C574" s="29"/>
      <c r="D574" s="29"/>
      <c r="E574" s="29"/>
      <c r="F574" s="38"/>
      <c r="G574" s="38"/>
      <c r="H574" s="29"/>
    </row>
    <row r="575" spans="1:8" x14ac:dyDescent="0.25">
      <c r="A575" s="29"/>
      <c r="B575" s="29"/>
      <c r="C575" s="29"/>
      <c r="D575" s="29"/>
      <c r="E575" s="29"/>
      <c r="F575" s="38"/>
      <c r="G575" s="38"/>
      <c r="H575" s="29"/>
    </row>
    <row r="576" spans="1:8" x14ac:dyDescent="0.25">
      <c r="A576" s="29"/>
      <c r="B576" s="29"/>
      <c r="C576" s="29"/>
      <c r="D576" s="29"/>
      <c r="E576" s="29"/>
      <c r="F576" s="38"/>
      <c r="G576" s="38"/>
      <c r="H576" s="29"/>
    </row>
    <row r="577" spans="1:8" x14ac:dyDescent="0.25">
      <c r="A577" s="29"/>
      <c r="B577" s="29"/>
      <c r="C577" s="29"/>
      <c r="D577" s="29"/>
      <c r="E577" s="29"/>
      <c r="F577" s="38"/>
      <c r="G577" s="38"/>
      <c r="H577" s="29"/>
    </row>
    <row r="578" spans="1:8" x14ac:dyDescent="0.25">
      <c r="A578" s="29"/>
      <c r="B578" s="29"/>
      <c r="C578" s="29"/>
      <c r="D578" s="29"/>
      <c r="E578" s="29"/>
      <c r="F578" s="38"/>
      <c r="G578" s="38"/>
      <c r="H578" s="29"/>
    </row>
    <row r="579" spans="1:8" x14ac:dyDescent="0.25">
      <c r="A579" s="29"/>
      <c r="B579" s="29"/>
      <c r="C579" s="29"/>
      <c r="D579" s="29"/>
      <c r="E579" s="29"/>
      <c r="F579" s="38"/>
      <c r="G579" s="38"/>
      <c r="H579" s="29"/>
    </row>
    <row r="580" spans="1:8" x14ac:dyDescent="0.25">
      <c r="A580" s="29"/>
      <c r="B580" s="29"/>
      <c r="C580" s="29"/>
      <c r="D580" s="29"/>
      <c r="E580" s="29"/>
      <c r="F580" s="38"/>
      <c r="G580" s="38"/>
      <c r="H580" s="29"/>
    </row>
    <row r="581" spans="1:8" x14ac:dyDescent="0.25">
      <c r="A581" s="29"/>
      <c r="B581" s="29"/>
      <c r="C581" s="29"/>
      <c r="D581" s="29"/>
      <c r="E581" s="29"/>
      <c r="F581" s="38"/>
      <c r="G581" s="38"/>
      <c r="H581" s="29"/>
    </row>
    <row r="582" spans="1:8" x14ac:dyDescent="0.25">
      <c r="A582" s="29"/>
      <c r="B582" s="29"/>
      <c r="C582" s="29"/>
      <c r="D582" s="29"/>
      <c r="E582" s="29"/>
      <c r="F582" s="38"/>
      <c r="G582" s="38"/>
      <c r="H582" s="29"/>
    </row>
    <row r="583" spans="1:8" x14ac:dyDescent="0.25">
      <c r="A583" s="29"/>
      <c r="B583" s="29"/>
      <c r="C583" s="29"/>
      <c r="D583" s="29"/>
      <c r="E583" s="29"/>
      <c r="F583" s="38"/>
      <c r="G583" s="38"/>
      <c r="H583" s="29"/>
    </row>
    <row r="584" spans="1:8" x14ac:dyDescent="0.25">
      <c r="A584" s="29"/>
      <c r="B584" s="29"/>
      <c r="C584" s="29"/>
      <c r="D584" s="29"/>
      <c r="E584" s="29"/>
      <c r="F584" s="38"/>
      <c r="G584" s="38"/>
      <c r="H584" s="29"/>
    </row>
    <row r="585" spans="1:8" x14ac:dyDescent="0.25">
      <c r="A585" s="29"/>
      <c r="B585" s="29"/>
      <c r="C585" s="29"/>
      <c r="D585" s="29"/>
      <c r="E585" s="29"/>
      <c r="F585" s="38"/>
      <c r="G585" s="38"/>
      <c r="H585" s="29"/>
    </row>
    <row r="586" spans="1:8" x14ac:dyDescent="0.25">
      <c r="A586" s="29"/>
      <c r="B586" s="29"/>
      <c r="C586" s="29"/>
      <c r="D586" s="29"/>
      <c r="E586" s="29"/>
      <c r="F586" s="38"/>
      <c r="G586" s="38"/>
      <c r="H586" s="29"/>
    </row>
    <row r="587" spans="1:8" x14ac:dyDescent="0.25">
      <c r="A587" s="29"/>
      <c r="B587" s="29"/>
      <c r="C587" s="29"/>
      <c r="D587" s="29"/>
      <c r="E587" s="29"/>
      <c r="F587" s="38"/>
      <c r="G587" s="38"/>
      <c r="H587" s="29"/>
    </row>
    <row r="588" spans="1:8" x14ac:dyDescent="0.25">
      <c r="A588" s="29"/>
      <c r="B588" s="29"/>
      <c r="C588" s="29"/>
      <c r="D588" s="29"/>
      <c r="E588" s="29"/>
      <c r="F588" s="38"/>
      <c r="G588" s="38"/>
      <c r="H588" s="29"/>
    </row>
    <row r="589" spans="1:8" x14ac:dyDescent="0.25">
      <c r="A589" s="29"/>
      <c r="B589" s="29"/>
      <c r="C589" s="29"/>
      <c r="D589" s="29"/>
      <c r="E589" s="29"/>
      <c r="F589" s="38"/>
      <c r="G589" s="38"/>
      <c r="H589" s="29"/>
    </row>
    <row r="590" spans="1:8" x14ac:dyDescent="0.25">
      <c r="A590" s="29"/>
      <c r="B590" s="29"/>
      <c r="C590" s="29"/>
      <c r="D590" s="29"/>
      <c r="E590" s="29"/>
      <c r="F590" s="38"/>
      <c r="G590" s="38"/>
      <c r="H590" s="29"/>
    </row>
    <row r="591" spans="1:8" x14ac:dyDescent="0.25">
      <c r="A591" s="29"/>
      <c r="B591" s="29"/>
      <c r="C591" s="29"/>
      <c r="D591" s="29"/>
      <c r="E591" s="29"/>
      <c r="F591" s="38"/>
      <c r="G591" s="38"/>
      <c r="H591" s="29"/>
    </row>
    <row r="592" spans="1:8" x14ac:dyDescent="0.25">
      <c r="A592" s="29"/>
      <c r="B592" s="29"/>
      <c r="C592" s="29"/>
      <c r="D592" s="29"/>
      <c r="E592" s="29"/>
      <c r="F592" s="38"/>
      <c r="G592" s="38"/>
      <c r="H592" s="29"/>
    </row>
    <row r="593" spans="1:8" x14ac:dyDescent="0.25">
      <c r="A593" s="29"/>
      <c r="B593" s="29"/>
      <c r="C593" s="29"/>
      <c r="D593" s="29"/>
      <c r="E593" s="29"/>
      <c r="F593" s="38"/>
      <c r="G593" s="38"/>
      <c r="H593" s="29"/>
    </row>
    <row r="594" spans="1:8" x14ac:dyDescent="0.25">
      <c r="A594" s="29"/>
      <c r="B594" s="29"/>
      <c r="C594" s="29"/>
      <c r="D594" s="29"/>
      <c r="E594" s="29"/>
      <c r="F594" s="38"/>
      <c r="G594" s="38"/>
      <c r="H594" s="29"/>
    </row>
    <row r="595" spans="1:8" x14ac:dyDescent="0.25">
      <c r="A595" s="29"/>
      <c r="B595" s="29"/>
      <c r="C595" s="29"/>
      <c r="D595" s="29"/>
      <c r="E595" s="29"/>
      <c r="F595" s="38"/>
      <c r="G595" s="38"/>
      <c r="H595" s="29"/>
    </row>
    <row r="596" spans="1:8" x14ac:dyDescent="0.25">
      <c r="A596" s="29"/>
      <c r="B596" s="29"/>
      <c r="C596" s="29"/>
      <c r="D596" s="29"/>
      <c r="E596" s="29"/>
      <c r="F596" s="38"/>
      <c r="G596" s="38"/>
      <c r="H596" s="29"/>
    </row>
    <row r="597" spans="1:8" x14ac:dyDescent="0.25">
      <c r="A597" s="29"/>
      <c r="B597" s="29"/>
      <c r="C597" s="29"/>
      <c r="D597" s="29"/>
      <c r="E597" s="29"/>
      <c r="F597" s="38"/>
      <c r="G597" s="38"/>
      <c r="H597" s="29"/>
    </row>
    <row r="598" spans="1:8" x14ac:dyDescent="0.25">
      <c r="A598" s="29"/>
      <c r="B598" s="29"/>
      <c r="C598" s="29"/>
      <c r="D598" s="29"/>
      <c r="E598" s="29"/>
      <c r="F598" s="38"/>
      <c r="G598" s="38"/>
      <c r="H598" s="29"/>
    </row>
    <row r="599" spans="1:8" x14ac:dyDescent="0.25">
      <c r="A599" s="29"/>
      <c r="B599" s="29"/>
      <c r="C599" s="29"/>
      <c r="D599" s="29"/>
      <c r="E599" s="29"/>
      <c r="F599" s="38"/>
      <c r="G599" s="38"/>
      <c r="H599" s="29"/>
    </row>
    <row r="600" spans="1:8" x14ac:dyDescent="0.25">
      <c r="A600" s="29"/>
      <c r="B600" s="29"/>
      <c r="C600" s="29"/>
      <c r="D600" s="29"/>
      <c r="E600" s="29"/>
      <c r="F600" s="38"/>
      <c r="G600" s="38"/>
      <c r="H600" s="29"/>
    </row>
    <row r="601" spans="1:8" x14ac:dyDescent="0.25">
      <c r="A601" s="29"/>
      <c r="B601" s="29"/>
      <c r="C601" s="29"/>
      <c r="D601" s="29"/>
      <c r="E601" s="29"/>
      <c r="F601" s="38"/>
      <c r="G601" s="38"/>
      <c r="H601" s="29"/>
    </row>
    <row r="602" spans="1:8" x14ac:dyDescent="0.25">
      <c r="A602" s="29"/>
      <c r="B602" s="29"/>
      <c r="C602" s="29"/>
      <c r="D602" s="29"/>
      <c r="E602" s="29"/>
      <c r="F602" s="38"/>
      <c r="G602" s="38"/>
      <c r="H602" s="29"/>
    </row>
    <row r="603" spans="1:8" x14ac:dyDescent="0.25">
      <c r="A603" s="29"/>
      <c r="B603" s="29"/>
      <c r="C603" s="29"/>
      <c r="D603" s="29"/>
      <c r="E603" s="29"/>
      <c r="F603" s="38"/>
      <c r="G603" s="38"/>
      <c r="H603" s="29"/>
    </row>
    <row r="604" spans="1:8" x14ac:dyDescent="0.25">
      <c r="A604" s="29"/>
      <c r="B604" s="29"/>
      <c r="C604" s="29"/>
      <c r="D604" s="29"/>
      <c r="E604" s="29"/>
      <c r="F604" s="38"/>
      <c r="G604" s="38"/>
      <c r="H604" s="29"/>
    </row>
    <row r="605" spans="1:8" x14ac:dyDescent="0.25">
      <c r="A605" s="29"/>
      <c r="B605" s="29"/>
      <c r="C605" s="29"/>
      <c r="D605" s="29"/>
      <c r="E605" s="29"/>
      <c r="F605" s="38"/>
      <c r="G605" s="38"/>
      <c r="H605" s="29"/>
    </row>
    <row r="606" spans="1:8" x14ac:dyDescent="0.25">
      <c r="A606" s="29"/>
      <c r="B606" s="29"/>
      <c r="C606" s="29"/>
      <c r="D606" s="29"/>
      <c r="E606" s="29"/>
      <c r="F606" s="38"/>
      <c r="G606" s="38"/>
      <c r="H606" s="29"/>
    </row>
    <row r="607" spans="1:8" x14ac:dyDescent="0.25">
      <c r="A607" s="29"/>
      <c r="B607" s="29"/>
      <c r="C607" s="29"/>
      <c r="D607" s="29"/>
      <c r="E607" s="29"/>
      <c r="F607" s="38"/>
      <c r="G607" s="38"/>
      <c r="H607" s="29"/>
    </row>
    <row r="608" spans="1:8" x14ac:dyDescent="0.25">
      <c r="A608" s="29"/>
      <c r="B608" s="29"/>
      <c r="C608" s="29"/>
      <c r="D608" s="29"/>
      <c r="E608" s="29"/>
      <c r="F608" s="38"/>
      <c r="G608" s="38"/>
      <c r="H608" s="29"/>
    </row>
    <row r="609" spans="1:8" x14ac:dyDescent="0.25">
      <c r="A609" s="29"/>
      <c r="B609" s="29"/>
      <c r="C609" s="29"/>
      <c r="D609" s="29"/>
      <c r="E609" s="29"/>
      <c r="F609" s="38"/>
      <c r="G609" s="38"/>
      <c r="H609" s="29"/>
    </row>
    <row r="610" spans="1:8" x14ac:dyDescent="0.25">
      <c r="A610" s="29"/>
      <c r="B610" s="29"/>
      <c r="C610" s="29"/>
      <c r="D610" s="29"/>
      <c r="E610" s="29"/>
      <c r="F610" s="38"/>
      <c r="G610" s="38"/>
      <c r="H610" s="29"/>
    </row>
    <row r="611" spans="1:8" x14ac:dyDescent="0.25">
      <c r="A611" s="29"/>
      <c r="B611" s="29"/>
      <c r="C611" s="29"/>
      <c r="D611" s="29"/>
      <c r="E611" s="29"/>
      <c r="F611" s="38"/>
      <c r="G611" s="38"/>
      <c r="H611" s="29"/>
    </row>
    <row r="612" spans="1:8" x14ac:dyDescent="0.25">
      <c r="A612" s="29"/>
      <c r="B612" s="29"/>
      <c r="C612" s="29"/>
      <c r="D612" s="29"/>
      <c r="E612" s="29"/>
      <c r="F612" s="38"/>
      <c r="G612" s="38"/>
      <c r="H612" s="29"/>
    </row>
    <row r="613" spans="1:8" x14ac:dyDescent="0.25">
      <c r="A613" s="29"/>
      <c r="B613" s="29"/>
      <c r="C613" s="29"/>
      <c r="D613" s="29"/>
      <c r="E613" s="29"/>
      <c r="F613" s="38"/>
      <c r="G613" s="38"/>
      <c r="H613" s="29"/>
    </row>
    <row r="614" spans="1:8" x14ac:dyDescent="0.25">
      <c r="A614" s="29"/>
      <c r="B614" s="29"/>
      <c r="C614" s="29"/>
      <c r="D614" s="29"/>
      <c r="E614" s="29"/>
      <c r="F614" s="38"/>
      <c r="G614" s="38"/>
      <c r="H614" s="29"/>
    </row>
    <row r="615" spans="1:8" x14ac:dyDescent="0.25">
      <c r="A615" s="29"/>
      <c r="B615" s="29"/>
      <c r="C615" s="29"/>
      <c r="D615" s="29"/>
      <c r="E615" s="29"/>
      <c r="F615" s="38"/>
      <c r="G615" s="38"/>
      <c r="H615" s="29"/>
    </row>
    <row r="616" spans="1:8" x14ac:dyDescent="0.25">
      <c r="A616" s="29"/>
      <c r="B616" s="29"/>
      <c r="C616" s="29"/>
      <c r="D616" s="29"/>
      <c r="E616" s="29"/>
      <c r="F616" s="38"/>
      <c r="G616" s="38"/>
      <c r="H616" s="29"/>
    </row>
    <row r="617" spans="1:8" x14ac:dyDescent="0.25">
      <c r="A617" s="29"/>
      <c r="B617" s="29"/>
      <c r="C617" s="29"/>
      <c r="D617" s="29"/>
      <c r="E617" s="29"/>
      <c r="F617" s="38"/>
      <c r="G617" s="38"/>
      <c r="H617" s="29"/>
    </row>
    <row r="618" spans="1:8" x14ac:dyDescent="0.25">
      <c r="A618" s="29"/>
      <c r="B618" s="29"/>
      <c r="C618" s="29"/>
      <c r="D618" s="29"/>
      <c r="E618" s="29"/>
      <c r="F618" s="38"/>
      <c r="G618" s="38"/>
      <c r="H618" s="29"/>
    </row>
    <row r="619" spans="1:8" x14ac:dyDescent="0.25">
      <c r="A619" s="29"/>
      <c r="B619" s="29"/>
      <c r="C619" s="29"/>
      <c r="D619" s="29"/>
      <c r="E619" s="29"/>
      <c r="F619" s="38"/>
      <c r="G619" s="38"/>
      <c r="H619" s="29"/>
    </row>
    <row r="620" spans="1:8" x14ac:dyDescent="0.25">
      <c r="A620" s="29"/>
      <c r="B620" s="29"/>
      <c r="C620" s="29"/>
      <c r="D620" s="29"/>
      <c r="E620" s="29"/>
      <c r="F620" s="38"/>
      <c r="G620" s="38"/>
      <c r="H620" s="29"/>
    </row>
    <row r="621" spans="1:8" x14ac:dyDescent="0.25">
      <c r="A621" s="29"/>
      <c r="B621" s="29"/>
      <c r="C621" s="29"/>
      <c r="D621" s="29"/>
      <c r="E621" s="29"/>
      <c r="F621" s="38"/>
      <c r="G621" s="38"/>
      <c r="H621" s="29"/>
    </row>
    <row r="622" spans="1:8" x14ac:dyDescent="0.25">
      <c r="A622" s="29"/>
      <c r="B622" s="29"/>
      <c r="C622" s="29"/>
      <c r="D622" s="29"/>
      <c r="E622" s="29"/>
      <c r="F622" s="38"/>
      <c r="G622" s="38"/>
      <c r="H622" s="29"/>
    </row>
    <row r="623" spans="1:8" x14ac:dyDescent="0.25">
      <c r="A623" s="29"/>
      <c r="B623" s="29"/>
      <c r="C623" s="29"/>
      <c r="D623" s="29"/>
      <c r="E623" s="29"/>
      <c r="F623" s="38"/>
      <c r="G623" s="38"/>
      <c r="H623" s="29"/>
    </row>
    <row r="624" spans="1:8" x14ac:dyDescent="0.25">
      <c r="A624" s="29"/>
      <c r="B624" s="29"/>
      <c r="C624" s="29"/>
      <c r="D624" s="29"/>
      <c r="E624" s="29"/>
      <c r="F624" s="38"/>
      <c r="G624" s="38"/>
      <c r="H624" s="29"/>
    </row>
    <row r="625" spans="1:8" x14ac:dyDescent="0.25">
      <c r="A625" s="29"/>
      <c r="B625" s="29"/>
      <c r="C625" s="29"/>
      <c r="D625" s="29"/>
      <c r="E625" s="29"/>
      <c r="F625" s="38"/>
      <c r="G625" s="38"/>
      <c r="H625" s="29"/>
    </row>
    <row r="626" spans="1:8" x14ac:dyDescent="0.25">
      <c r="A626" s="29"/>
      <c r="B626" s="29"/>
      <c r="C626" s="29"/>
      <c r="D626" s="29"/>
      <c r="E626" s="29"/>
      <c r="F626" s="38"/>
      <c r="G626" s="38"/>
      <c r="H626" s="29"/>
    </row>
    <row r="627" spans="1:8" x14ac:dyDescent="0.25">
      <c r="A627" s="29"/>
      <c r="B627" s="29"/>
      <c r="C627" s="29"/>
      <c r="D627" s="29"/>
      <c r="E627" s="29"/>
      <c r="F627" s="38"/>
      <c r="G627" s="38"/>
      <c r="H627" s="29"/>
    </row>
    <row r="628" spans="1:8" x14ac:dyDescent="0.25">
      <c r="A628" s="29"/>
      <c r="B628" s="29"/>
      <c r="C628" s="29"/>
      <c r="D628" s="29"/>
      <c r="E628" s="29"/>
      <c r="F628" s="38"/>
      <c r="G628" s="38"/>
      <c r="H628" s="29"/>
    </row>
    <row r="629" spans="1:8" x14ac:dyDescent="0.25">
      <c r="A629" s="29"/>
      <c r="B629" s="29"/>
      <c r="C629" s="29"/>
      <c r="D629" s="29"/>
      <c r="E629" s="29"/>
      <c r="F629" s="38"/>
      <c r="G629" s="38"/>
      <c r="H629" s="29"/>
    </row>
    <row r="630" spans="1:8" x14ac:dyDescent="0.25">
      <c r="A630" s="29"/>
      <c r="B630" s="29"/>
      <c r="C630" s="29"/>
      <c r="D630" s="29"/>
      <c r="E630" s="29"/>
      <c r="F630" s="38"/>
      <c r="G630" s="38"/>
      <c r="H630" s="29"/>
    </row>
    <row r="631" spans="1:8" x14ac:dyDescent="0.25">
      <c r="A631" s="29"/>
      <c r="B631" s="29"/>
      <c r="C631" s="29"/>
      <c r="D631" s="29"/>
      <c r="E631" s="29"/>
      <c r="F631" s="38"/>
      <c r="G631" s="38"/>
      <c r="H631" s="29"/>
    </row>
    <row r="632" spans="1:8" x14ac:dyDescent="0.25">
      <c r="A632" s="29"/>
      <c r="B632" s="29"/>
      <c r="C632" s="29"/>
      <c r="D632" s="29"/>
      <c r="E632" s="29"/>
      <c r="F632" s="38"/>
      <c r="G632" s="38"/>
      <c r="H632" s="29"/>
    </row>
    <row r="633" spans="1:8" x14ac:dyDescent="0.25">
      <c r="A633" s="29"/>
      <c r="B633" s="29"/>
      <c r="C633" s="29"/>
      <c r="D633" s="29"/>
      <c r="E633" s="29"/>
      <c r="F633" s="38"/>
      <c r="G633" s="38"/>
      <c r="H633" s="29"/>
    </row>
    <row r="634" spans="1:8" x14ac:dyDescent="0.25">
      <c r="A634" s="29"/>
      <c r="B634" s="29"/>
      <c r="C634" s="29"/>
      <c r="D634" s="29"/>
      <c r="E634" s="29"/>
      <c r="F634" s="38"/>
      <c r="G634" s="38"/>
      <c r="H634" s="29"/>
    </row>
    <row r="635" spans="1:8" x14ac:dyDescent="0.25">
      <c r="A635" s="29"/>
      <c r="B635" s="29"/>
      <c r="C635" s="29"/>
      <c r="D635" s="29"/>
      <c r="E635" s="29"/>
      <c r="F635" s="38"/>
      <c r="G635" s="38"/>
      <c r="H635" s="29"/>
    </row>
    <row r="636" spans="1:8" x14ac:dyDescent="0.25">
      <c r="A636" s="29"/>
      <c r="B636" s="29"/>
      <c r="C636" s="29"/>
      <c r="D636" s="29"/>
      <c r="E636" s="29"/>
      <c r="F636" s="38"/>
      <c r="G636" s="38"/>
      <c r="H636" s="29"/>
    </row>
    <row r="637" spans="1:8" x14ac:dyDescent="0.25">
      <c r="A637" s="29"/>
      <c r="B637" s="29"/>
      <c r="C637" s="29"/>
      <c r="D637" s="29"/>
      <c r="E637" s="29"/>
      <c r="F637" s="38"/>
      <c r="G637" s="38"/>
      <c r="H637" s="29"/>
    </row>
    <row r="638" spans="1:8" x14ac:dyDescent="0.25">
      <c r="A638" s="29"/>
      <c r="B638" s="29"/>
      <c r="C638" s="29"/>
      <c r="D638" s="29"/>
      <c r="E638" s="29"/>
      <c r="F638" s="38"/>
      <c r="G638" s="38"/>
      <c r="H638" s="29"/>
    </row>
    <row r="639" spans="1:8" x14ac:dyDescent="0.25">
      <c r="A639" s="29"/>
      <c r="B639" s="29"/>
      <c r="C639" s="29"/>
      <c r="D639" s="29"/>
      <c r="E639" s="29"/>
      <c r="F639" s="38"/>
      <c r="G639" s="38"/>
      <c r="H639" s="29"/>
    </row>
    <row r="640" spans="1:8" x14ac:dyDescent="0.25">
      <c r="A640" s="29"/>
      <c r="B640" s="29"/>
      <c r="C640" s="29"/>
      <c r="D640" s="29"/>
      <c r="E640" s="29"/>
      <c r="F640" s="38"/>
      <c r="G640" s="38"/>
      <c r="H640" s="29"/>
    </row>
    <row r="641" spans="1:8" x14ac:dyDescent="0.25">
      <c r="A641" s="29"/>
      <c r="B641" s="29"/>
      <c r="C641" s="29"/>
      <c r="D641" s="29"/>
      <c r="E641" s="29"/>
      <c r="F641" s="38"/>
      <c r="G641" s="38"/>
      <c r="H641" s="29"/>
    </row>
    <row r="642" spans="1:8" x14ac:dyDescent="0.25">
      <c r="A642" s="29"/>
      <c r="B642" s="29"/>
      <c r="C642" s="29"/>
      <c r="D642" s="29"/>
      <c r="E642" s="29"/>
      <c r="F642" s="38"/>
      <c r="G642" s="38"/>
      <c r="H642" s="29"/>
    </row>
    <row r="643" spans="1:8" x14ac:dyDescent="0.25">
      <c r="A643" s="29"/>
      <c r="B643" s="29"/>
      <c r="C643" s="29"/>
      <c r="D643" s="29"/>
      <c r="E643" s="29"/>
      <c r="F643" s="38"/>
      <c r="G643" s="38"/>
      <c r="H643" s="29"/>
    </row>
    <row r="644" spans="1:8" x14ac:dyDescent="0.25">
      <c r="A644" s="29"/>
      <c r="B644" s="29"/>
      <c r="C644" s="29"/>
      <c r="D644" s="29"/>
      <c r="E644" s="29"/>
      <c r="F644" s="38"/>
      <c r="G644" s="38"/>
      <c r="H644" s="29"/>
    </row>
    <row r="645" spans="1:8" x14ac:dyDescent="0.25">
      <c r="A645" s="29"/>
      <c r="B645" s="29"/>
      <c r="C645" s="29"/>
      <c r="D645" s="29"/>
      <c r="E645" s="29"/>
      <c r="F645" s="38"/>
      <c r="G645" s="38"/>
      <c r="H645" s="29"/>
    </row>
    <row r="646" spans="1:8" x14ac:dyDescent="0.25">
      <c r="A646" s="29"/>
      <c r="B646" s="29"/>
      <c r="C646" s="29"/>
      <c r="D646" s="29"/>
      <c r="E646" s="29"/>
      <c r="F646" s="29"/>
      <c r="G646" s="29"/>
      <c r="H646" s="29"/>
    </row>
    <row r="647" spans="1:8" x14ac:dyDescent="0.25">
      <c r="A647" s="29"/>
      <c r="B647" s="29"/>
      <c r="C647" s="29"/>
      <c r="D647" s="29"/>
      <c r="E647" s="29"/>
      <c r="F647" s="29"/>
      <c r="G647" s="29"/>
      <c r="H647" s="29"/>
    </row>
    <row r="648" spans="1:8" x14ac:dyDescent="0.25">
      <c r="A648" s="29"/>
      <c r="B648" s="29"/>
      <c r="C648" s="29"/>
      <c r="D648" s="29"/>
      <c r="E648" s="29"/>
      <c r="F648" s="29"/>
      <c r="G648" s="29"/>
      <c r="H648" s="29"/>
    </row>
    <row r="649" spans="1:8" x14ac:dyDescent="0.25">
      <c r="A649" s="29"/>
      <c r="B649" s="29"/>
      <c r="C649" s="29"/>
      <c r="D649" s="29"/>
      <c r="E649" s="29"/>
      <c r="F649" s="29"/>
      <c r="G649" s="29"/>
      <c r="H649" s="29"/>
    </row>
    <row r="650" spans="1:8" x14ac:dyDescent="0.25">
      <c r="A650" s="29"/>
      <c r="B650" s="29"/>
      <c r="C650" s="29"/>
      <c r="D650" s="29"/>
      <c r="E650" s="29"/>
      <c r="F650" s="29"/>
      <c r="G650" s="29"/>
      <c r="H650" s="29"/>
    </row>
    <row r="651" spans="1:8" x14ac:dyDescent="0.25">
      <c r="A651" s="29"/>
      <c r="B651" s="29"/>
      <c r="C651" s="29"/>
      <c r="D651" s="29"/>
      <c r="E651" s="29"/>
      <c r="F651" s="29"/>
      <c r="G651" s="29"/>
      <c r="H651" s="29"/>
    </row>
    <row r="652" spans="1:8" x14ac:dyDescent="0.25">
      <c r="A652" s="29"/>
      <c r="B652" s="29"/>
      <c r="C652" s="29"/>
      <c r="D652" s="29"/>
      <c r="E652" s="29"/>
      <c r="F652" s="29"/>
      <c r="G652" s="29"/>
      <c r="H652" s="29"/>
    </row>
    <row r="653" spans="1:8" x14ac:dyDescent="0.25">
      <c r="A653" s="29"/>
      <c r="B653" s="29"/>
      <c r="C653" s="29"/>
      <c r="D653" s="29"/>
      <c r="E653" s="29"/>
      <c r="F653" s="29"/>
      <c r="G653" s="29"/>
      <c r="H653" s="29"/>
    </row>
    <row r="654" spans="1:8" x14ac:dyDescent="0.25">
      <c r="A654" s="29"/>
      <c r="B654" s="29"/>
      <c r="C654" s="29"/>
      <c r="D654" s="29"/>
      <c r="E654" s="29"/>
      <c r="F654" s="29"/>
      <c r="G654" s="29"/>
      <c r="H654" s="29"/>
    </row>
    <row r="655" spans="1:8" x14ac:dyDescent="0.25">
      <c r="A655" s="29"/>
      <c r="B655" s="29"/>
      <c r="C655" s="29"/>
      <c r="D655" s="29"/>
      <c r="E655" s="29"/>
      <c r="F655" s="29"/>
      <c r="G655" s="29"/>
      <c r="H655" s="29"/>
    </row>
    <row r="656" spans="1:8" x14ac:dyDescent="0.25">
      <c r="A656" s="29"/>
      <c r="B656" s="29"/>
      <c r="C656" s="29"/>
      <c r="D656" s="29"/>
      <c r="E656" s="29"/>
      <c r="F656" s="29"/>
      <c r="G656" s="29"/>
      <c r="H656" s="29"/>
    </row>
    <row r="657" spans="1:8" x14ac:dyDescent="0.25">
      <c r="A657" s="29"/>
      <c r="B657" s="29"/>
      <c r="C657" s="29"/>
      <c r="D657" s="29"/>
      <c r="E657" s="29"/>
      <c r="F657" s="29"/>
      <c r="G657" s="29"/>
      <c r="H657" s="29"/>
    </row>
    <row r="658" spans="1:8" x14ac:dyDescent="0.25">
      <c r="A658" s="29"/>
      <c r="B658" s="29"/>
      <c r="C658" s="29"/>
      <c r="D658" s="29"/>
      <c r="E658" s="29"/>
      <c r="F658" s="29"/>
      <c r="G658" s="29"/>
      <c r="H658" s="29"/>
    </row>
    <row r="659" spans="1:8" x14ac:dyDescent="0.25">
      <c r="A659" s="29"/>
      <c r="B659" s="29"/>
      <c r="C659" s="29"/>
      <c r="D659" s="29"/>
      <c r="E659" s="29"/>
      <c r="F659" s="29"/>
      <c r="G659" s="29"/>
      <c r="H659" s="29"/>
    </row>
    <row r="660" spans="1:8" x14ac:dyDescent="0.25">
      <c r="A660" s="29"/>
      <c r="B660" s="29"/>
      <c r="C660" s="29"/>
      <c r="D660" s="29"/>
      <c r="E660" s="29"/>
      <c r="F660" s="29"/>
      <c r="G660" s="29"/>
      <c r="H660" s="29"/>
    </row>
    <row r="661" spans="1:8" x14ac:dyDescent="0.25">
      <c r="A661" s="29"/>
      <c r="B661" s="29"/>
      <c r="C661" s="29"/>
      <c r="D661" s="29"/>
      <c r="E661" s="29"/>
      <c r="F661" s="29"/>
      <c r="G661" s="29"/>
      <c r="H661" s="29"/>
    </row>
    <row r="662" spans="1:8" x14ac:dyDescent="0.25">
      <c r="A662" s="29"/>
      <c r="B662" s="29"/>
      <c r="C662" s="29"/>
      <c r="D662" s="29"/>
      <c r="E662" s="29"/>
      <c r="F662" s="29"/>
      <c r="G662" s="29"/>
      <c r="H662" s="29"/>
    </row>
    <row r="663" spans="1:8" x14ac:dyDescent="0.25">
      <c r="A663" s="29"/>
      <c r="B663" s="29"/>
      <c r="C663" s="29"/>
      <c r="D663" s="29"/>
      <c r="E663" s="29"/>
      <c r="F663" s="29"/>
      <c r="G663" s="29"/>
      <c r="H663" s="29"/>
    </row>
    <row r="664" spans="1:8" x14ac:dyDescent="0.25">
      <c r="A664" s="29"/>
      <c r="B664" s="29"/>
      <c r="C664" s="29"/>
      <c r="D664" s="29"/>
      <c r="E664" s="29"/>
      <c r="F664" s="29"/>
      <c r="G664" s="29"/>
      <c r="H664" s="29"/>
    </row>
    <row r="665" spans="1:8" x14ac:dyDescent="0.25">
      <c r="A665" s="29"/>
      <c r="B665" s="29"/>
      <c r="C665" s="29"/>
      <c r="D665" s="29"/>
      <c r="E665" s="29"/>
      <c r="F665" s="29"/>
      <c r="G665" s="29"/>
      <c r="H665" s="29"/>
    </row>
    <row r="666" spans="1:8" x14ac:dyDescent="0.25">
      <c r="A666" s="29"/>
      <c r="B666" s="29"/>
      <c r="C666" s="29"/>
      <c r="D666" s="29"/>
      <c r="E666" s="29"/>
      <c r="F666" s="29"/>
      <c r="G666" s="29"/>
      <c r="H666" s="29"/>
    </row>
    <row r="667" spans="1:8" x14ac:dyDescent="0.25">
      <c r="A667" s="29"/>
      <c r="B667" s="29"/>
      <c r="C667" s="29"/>
      <c r="D667" s="29"/>
      <c r="E667" s="29"/>
      <c r="F667" s="29"/>
      <c r="G667" s="29"/>
      <c r="H667" s="29"/>
    </row>
    <row r="668" spans="1:8" x14ac:dyDescent="0.25">
      <c r="A668" s="29"/>
      <c r="B668" s="29"/>
      <c r="C668" s="29"/>
      <c r="D668" s="29"/>
      <c r="E668" s="29"/>
      <c r="F668" s="29"/>
      <c r="G668" s="29"/>
      <c r="H668" s="29"/>
    </row>
    <row r="669" spans="1:8" x14ac:dyDescent="0.25">
      <c r="A669" s="29"/>
      <c r="B669" s="29"/>
      <c r="C669" s="29"/>
      <c r="D669" s="29"/>
      <c r="E669" s="29"/>
      <c r="F669" s="29"/>
      <c r="G669" s="29"/>
      <c r="H669" s="29"/>
    </row>
    <row r="670" spans="1:8" x14ac:dyDescent="0.25">
      <c r="A670" s="29"/>
      <c r="B670" s="29"/>
      <c r="C670" s="29"/>
      <c r="D670" s="29"/>
      <c r="E670" s="29"/>
      <c r="F670" s="29"/>
      <c r="G670" s="29"/>
      <c r="H670" s="29"/>
    </row>
    <row r="671" spans="1:8" x14ac:dyDescent="0.25">
      <c r="A671" s="29"/>
      <c r="B671" s="29"/>
      <c r="C671" s="29"/>
      <c r="D671" s="29"/>
      <c r="E671" s="29"/>
      <c r="F671" s="29"/>
      <c r="G671" s="29"/>
      <c r="H671" s="29"/>
    </row>
    <row r="672" spans="1:8" x14ac:dyDescent="0.25">
      <c r="A672" s="29"/>
      <c r="B672" s="29"/>
      <c r="C672" s="29"/>
      <c r="D672" s="29"/>
      <c r="E672" s="29"/>
      <c r="F672" s="29"/>
      <c r="G672" s="29"/>
      <c r="H672" s="29"/>
    </row>
    <row r="673" spans="1:8" x14ac:dyDescent="0.25">
      <c r="A673" s="29"/>
      <c r="B673" s="29"/>
      <c r="C673" s="29"/>
      <c r="D673" s="29"/>
      <c r="E673" s="29"/>
      <c r="F673" s="29"/>
      <c r="G673" s="29"/>
      <c r="H673" s="29"/>
    </row>
    <row r="674" spans="1:8" x14ac:dyDescent="0.25">
      <c r="A674" s="29"/>
      <c r="B674" s="29"/>
      <c r="C674" s="29"/>
      <c r="D674" s="29"/>
      <c r="E674" s="29"/>
      <c r="F674" s="29"/>
      <c r="G674" s="29"/>
      <c r="H674" s="29"/>
    </row>
    <row r="675" spans="1:8" x14ac:dyDescent="0.25">
      <c r="A675" s="29"/>
      <c r="B675" s="29"/>
      <c r="C675" s="29"/>
      <c r="D675" s="29"/>
      <c r="E675" s="29"/>
      <c r="F675" s="29"/>
      <c r="G675" s="29"/>
      <c r="H675" s="29"/>
    </row>
    <row r="676" spans="1:8" x14ac:dyDescent="0.25">
      <c r="A676" s="29"/>
      <c r="B676" s="29"/>
      <c r="C676" s="29"/>
      <c r="D676" s="29"/>
      <c r="E676" s="29"/>
      <c r="F676" s="29"/>
      <c r="G676" s="29"/>
      <c r="H676" s="29"/>
    </row>
    <row r="677" spans="1:8" x14ac:dyDescent="0.25">
      <c r="A677" s="29"/>
      <c r="B677" s="29"/>
      <c r="C677" s="29"/>
      <c r="D677" s="29"/>
      <c r="E677" s="29"/>
      <c r="F677" s="29"/>
      <c r="G677" s="29"/>
      <c r="H677" s="29"/>
    </row>
    <row r="678" spans="1:8" x14ac:dyDescent="0.25">
      <c r="A678" s="29"/>
      <c r="B678" s="29"/>
      <c r="C678" s="29"/>
      <c r="D678" s="29"/>
      <c r="E678" s="29"/>
      <c r="F678" s="29"/>
      <c r="G678" s="29"/>
      <c r="H678" s="29"/>
    </row>
    <row r="679" spans="1:8" x14ac:dyDescent="0.25">
      <c r="A679" s="29"/>
      <c r="B679" s="29"/>
      <c r="C679" s="29"/>
      <c r="D679" s="29"/>
      <c r="E679" s="29"/>
      <c r="F679" s="29"/>
      <c r="G679" s="29"/>
      <c r="H679" s="29"/>
    </row>
    <row r="680" spans="1:8" x14ac:dyDescent="0.25">
      <c r="A680" s="29"/>
      <c r="B680" s="29"/>
      <c r="C680" s="29"/>
      <c r="D680" s="29"/>
      <c r="E680" s="29"/>
      <c r="F680" s="29"/>
      <c r="G680" s="29"/>
      <c r="H680" s="29"/>
    </row>
    <row r="681" spans="1:8" x14ac:dyDescent="0.25">
      <c r="A681" s="29"/>
      <c r="B681" s="29"/>
      <c r="C681" s="29"/>
      <c r="D681" s="29"/>
      <c r="E681" s="29"/>
      <c r="F681" s="29"/>
      <c r="G681" s="29"/>
      <c r="H681" s="29"/>
    </row>
    <row r="682" spans="1:8" x14ac:dyDescent="0.25">
      <c r="A682" s="29"/>
      <c r="B682" s="29"/>
      <c r="C682" s="29"/>
      <c r="D682" s="29"/>
      <c r="E682" s="29"/>
      <c r="F682" s="29"/>
      <c r="G682" s="29"/>
      <c r="H682" s="29"/>
    </row>
    <row r="683" spans="1:8" x14ac:dyDescent="0.25">
      <c r="A683" s="29"/>
      <c r="B683" s="29"/>
      <c r="C683" s="29"/>
      <c r="D683" s="29"/>
      <c r="E683" s="29"/>
      <c r="F683" s="29"/>
      <c r="G683" s="29"/>
      <c r="H683" s="29"/>
    </row>
    <row r="684" spans="1:8" x14ac:dyDescent="0.25">
      <c r="A684" s="29"/>
      <c r="B684" s="29"/>
      <c r="C684" s="29"/>
      <c r="D684" s="29"/>
      <c r="E684" s="29"/>
      <c r="F684" s="29"/>
      <c r="G684" s="29"/>
      <c r="H684" s="29"/>
    </row>
    <row r="685" spans="1:8" x14ac:dyDescent="0.25">
      <c r="A685" s="29"/>
      <c r="B685" s="29"/>
      <c r="C685" s="29"/>
      <c r="D685" s="29"/>
      <c r="E685" s="29"/>
      <c r="F685" s="29"/>
      <c r="G685" s="29"/>
      <c r="H685" s="29"/>
    </row>
    <row r="686" spans="1:8" x14ac:dyDescent="0.25">
      <c r="A686" s="29"/>
      <c r="B686" s="29"/>
      <c r="C686" s="29"/>
      <c r="D686" s="29"/>
      <c r="E686" s="29"/>
      <c r="F686" s="29"/>
      <c r="G686" s="29"/>
      <c r="H686" s="29"/>
    </row>
    <row r="687" spans="1:8" x14ac:dyDescent="0.25">
      <c r="A687" s="29"/>
      <c r="B687" s="29"/>
      <c r="C687" s="29"/>
      <c r="D687" s="29"/>
      <c r="E687" s="29"/>
      <c r="F687" s="29"/>
      <c r="G687" s="29"/>
      <c r="H687" s="29"/>
    </row>
    <row r="688" spans="1:8" x14ac:dyDescent="0.25">
      <c r="A688" s="29"/>
      <c r="B688" s="29"/>
      <c r="C688" s="29"/>
      <c r="D688" s="29"/>
      <c r="E688" s="29"/>
      <c r="F688" s="29"/>
      <c r="G688" s="29"/>
      <c r="H688" s="29"/>
    </row>
    <row r="689" spans="1:8" x14ac:dyDescent="0.25">
      <c r="A689" s="29"/>
      <c r="B689" s="29"/>
      <c r="C689" s="29"/>
      <c r="D689" s="29"/>
      <c r="E689" s="29"/>
      <c r="F689" s="29"/>
      <c r="G689" s="29"/>
      <c r="H689" s="29"/>
    </row>
    <row r="690" spans="1:8" x14ac:dyDescent="0.25">
      <c r="A690" s="29"/>
      <c r="B690" s="29"/>
      <c r="C690" s="29"/>
      <c r="D690" s="29"/>
      <c r="E690" s="29"/>
      <c r="F690" s="29"/>
      <c r="G690" s="29"/>
      <c r="H690" s="29"/>
    </row>
  </sheetData>
  <autoFilter ref="A1:H406" xr:uid="{00000000-0009-0000-0000-000012000000}"/>
  <mergeCells count="31">
    <mergeCell ref="A406:D406"/>
    <mergeCell ref="A82:D82"/>
    <mergeCell ref="A188:D188"/>
    <mergeCell ref="A213:D213"/>
    <mergeCell ref="A163:D163"/>
    <mergeCell ref="A149:D149"/>
    <mergeCell ref="A134:D134"/>
    <mergeCell ref="A121:D121"/>
    <mergeCell ref="A105:D105"/>
    <mergeCell ref="A254:D254"/>
    <mergeCell ref="A227:D227"/>
    <mergeCell ref="B179:D179"/>
    <mergeCell ref="A235:D235"/>
    <mergeCell ref="A305:D305"/>
    <mergeCell ref="A294:D294"/>
    <mergeCell ref="A263:D263"/>
    <mergeCell ref="A14:D14"/>
    <mergeCell ref="A32:D32"/>
    <mergeCell ref="A47:D47"/>
    <mergeCell ref="A60:D60"/>
    <mergeCell ref="A74:D74"/>
    <mergeCell ref="A250:D250"/>
    <mergeCell ref="A243:D243"/>
    <mergeCell ref="A395:D395"/>
    <mergeCell ref="A346:D346"/>
    <mergeCell ref="A332:D332"/>
    <mergeCell ref="A314:D314"/>
    <mergeCell ref="A281:D281"/>
    <mergeCell ref="A386:D386"/>
    <mergeCell ref="A355:D355"/>
    <mergeCell ref="A372:D372"/>
  </mergeCells>
  <pageMargins left="0.7" right="0.7" top="0.75" bottom="0.75" header="0.3" footer="0.3"/>
  <pageSetup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H1122"/>
  <sheetViews>
    <sheetView workbookViewId="0">
      <selection activeCell="N64" sqref="N64"/>
    </sheetView>
  </sheetViews>
  <sheetFormatPr defaultRowHeight="15" x14ac:dyDescent="0.25"/>
  <cols>
    <col min="2" max="2" width="9.7109375" bestFit="1" customWidth="1"/>
    <col min="5" max="5" width="9.28515625" bestFit="1" customWidth="1"/>
    <col min="6" max="6" width="13.28515625" bestFit="1" customWidth="1"/>
    <col min="7" max="8" width="11.710937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s="29" t="s">
        <v>18</v>
      </c>
      <c r="B2" s="37">
        <v>44932</v>
      </c>
      <c r="C2" s="29" t="s">
        <v>217</v>
      </c>
      <c r="D2" s="29" t="s">
        <v>11</v>
      </c>
      <c r="E2" s="29">
        <v>21</v>
      </c>
      <c r="F2" s="38">
        <f>E2*1500</f>
        <v>31500</v>
      </c>
      <c r="G2" s="38">
        <f>E2*500</f>
        <v>10500</v>
      </c>
      <c r="H2" s="38">
        <f>E2*1000</f>
        <v>21000</v>
      </c>
    </row>
    <row r="3" spans="1:8" hidden="1" x14ac:dyDescent="0.25">
      <c r="A3" s="29"/>
      <c r="B3" s="29"/>
      <c r="C3" s="29"/>
      <c r="D3" s="29" t="s">
        <v>13</v>
      </c>
      <c r="E3" s="29">
        <v>3</v>
      </c>
      <c r="F3" s="38">
        <v>6500</v>
      </c>
      <c r="G3" s="38">
        <v>4500</v>
      </c>
      <c r="H3" s="38">
        <v>2000</v>
      </c>
    </row>
    <row r="4" spans="1:8" hidden="1" x14ac:dyDescent="0.25">
      <c r="A4" s="29"/>
      <c r="B4" s="29"/>
      <c r="C4" s="29"/>
      <c r="D4" s="29" t="s">
        <v>425</v>
      </c>
      <c r="E4" s="29">
        <v>2</v>
      </c>
      <c r="F4" s="38">
        <f>E4*2000</f>
        <v>4000</v>
      </c>
      <c r="G4" s="38">
        <v>2000</v>
      </c>
      <c r="H4" s="38">
        <v>2000</v>
      </c>
    </row>
    <row r="5" spans="1:8" hidden="1" x14ac:dyDescent="0.25">
      <c r="A5" s="29"/>
      <c r="B5" s="29"/>
      <c r="C5" s="29"/>
      <c r="D5" s="29" t="s">
        <v>441</v>
      </c>
      <c r="E5" s="29">
        <v>2</v>
      </c>
      <c r="F5" s="38">
        <f>E5*3000</f>
        <v>6000</v>
      </c>
      <c r="G5" s="38">
        <v>3000</v>
      </c>
      <c r="H5" s="38">
        <v>3000</v>
      </c>
    </row>
    <row r="6" spans="1:8" hidden="1" x14ac:dyDescent="0.25">
      <c r="A6" s="29"/>
      <c r="B6" s="29"/>
      <c r="C6" s="29"/>
      <c r="D6" s="29" t="s">
        <v>424</v>
      </c>
      <c r="E6" s="29">
        <v>2</v>
      </c>
      <c r="F6" s="38">
        <f>E6*5000</f>
        <v>10000</v>
      </c>
      <c r="G6" s="38">
        <v>5000</v>
      </c>
      <c r="H6" s="38">
        <v>5000</v>
      </c>
    </row>
    <row r="7" spans="1:8" x14ac:dyDescent="0.25">
      <c r="A7" s="29"/>
      <c r="B7" s="29"/>
      <c r="C7" s="29"/>
      <c r="D7" s="29" t="s">
        <v>11</v>
      </c>
      <c r="E7" s="29">
        <v>31</v>
      </c>
      <c r="F7" s="38">
        <f>E7*1500</f>
        <v>46500</v>
      </c>
      <c r="G7" s="38">
        <f>E7*500</f>
        <v>15500</v>
      </c>
      <c r="H7" s="38">
        <v>31000</v>
      </c>
    </row>
    <row r="8" spans="1:8" hidden="1" x14ac:dyDescent="0.25">
      <c r="A8" s="29"/>
      <c r="B8" s="29"/>
      <c r="C8" s="29"/>
      <c r="D8" s="29" t="s">
        <v>13</v>
      </c>
      <c r="E8" s="29">
        <v>4</v>
      </c>
      <c r="F8" s="38">
        <f>E8*6500</f>
        <v>26000</v>
      </c>
      <c r="G8" s="38">
        <f>E8*4500</f>
        <v>18000</v>
      </c>
      <c r="H8" s="38">
        <f>E8*2000</f>
        <v>8000</v>
      </c>
    </row>
    <row r="9" spans="1:8" hidden="1" x14ac:dyDescent="0.25">
      <c r="A9" s="29"/>
      <c r="B9" s="29"/>
      <c r="C9" s="29"/>
      <c r="D9" s="29" t="s">
        <v>602</v>
      </c>
      <c r="E9" s="29">
        <v>1</v>
      </c>
      <c r="F9" s="38">
        <v>5000</v>
      </c>
      <c r="G9" s="38">
        <v>2500</v>
      </c>
      <c r="H9" s="38">
        <v>2500</v>
      </c>
    </row>
    <row r="10" spans="1:8" hidden="1" x14ac:dyDescent="0.25">
      <c r="A10" s="29"/>
      <c r="B10" s="29"/>
      <c r="C10" s="29"/>
      <c r="D10" s="29" t="s">
        <v>441</v>
      </c>
      <c r="E10" s="29">
        <v>3</v>
      </c>
      <c r="F10" s="38">
        <f>E10*3000</f>
        <v>9000</v>
      </c>
      <c r="G10" s="38">
        <v>4500</v>
      </c>
      <c r="H10" s="38">
        <v>4500</v>
      </c>
    </row>
    <row r="11" spans="1:8" hidden="1" x14ac:dyDescent="0.25">
      <c r="A11" s="29"/>
      <c r="B11" s="29"/>
      <c r="C11" s="29"/>
      <c r="D11" s="29" t="s">
        <v>425</v>
      </c>
      <c r="E11" s="29">
        <v>3</v>
      </c>
      <c r="F11" s="38">
        <f>E11*2000</f>
        <v>6000</v>
      </c>
      <c r="G11" s="38">
        <v>3000</v>
      </c>
      <c r="H11" s="38">
        <v>3000</v>
      </c>
    </row>
    <row r="12" spans="1:8" x14ac:dyDescent="0.25">
      <c r="A12" s="29"/>
      <c r="B12" s="29"/>
      <c r="C12" s="29" t="s">
        <v>16</v>
      </c>
      <c r="D12" s="29" t="s">
        <v>11</v>
      </c>
      <c r="E12" s="29">
        <v>89</v>
      </c>
      <c r="F12" s="38">
        <f>E12*1500</f>
        <v>133500</v>
      </c>
      <c r="G12" s="38">
        <f>E12*500</f>
        <v>44500</v>
      </c>
      <c r="H12" s="38">
        <f>E12*1000</f>
        <v>89000</v>
      </c>
    </row>
    <row r="13" spans="1:8" hidden="1" x14ac:dyDescent="0.25">
      <c r="A13" s="29"/>
      <c r="B13" s="29"/>
      <c r="C13" s="29"/>
      <c r="D13" s="29" t="s">
        <v>12</v>
      </c>
      <c r="E13" s="29">
        <v>1</v>
      </c>
      <c r="F13" s="38">
        <v>3000</v>
      </c>
      <c r="G13" s="38">
        <v>2000</v>
      </c>
      <c r="H13" s="38">
        <v>1000</v>
      </c>
    </row>
    <row r="14" spans="1:8" hidden="1" x14ac:dyDescent="0.25">
      <c r="A14" s="29"/>
      <c r="B14" s="29"/>
      <c r="C14" s="29"/>
      <c r="D14" s="29" t="s">
        <v>13</v>
      </c>
      <c r="E14" s="29">
        <v>1</v>
      </c>
      <c r="F14" s="38">
        <v>6500</v>
      </c>
      <c r="G14" s="38">
        <v>4500</v>
      </c>
      <c r="H14" s="38">
        <v>2000</v>
      </c>
    </row>
    <row r="15" spans="1:8" hidden="1" x14ac:dyDescent="0.25">
      <c r="A15" s="126" t="s">
        <v>17</v>
      </c>
      <c r="B15" s="126"/>
      <c r="C15" s="126"/>
      <c r="D15" s="126"/>
      <c r="E15" s="16">
        <f>SUM(E2:E14)</f>
        <v>163</v>
      </c>
      <c r="F15" s="17">
        <f>SUM(F2:F14)</f>
        <v>293500</v>
      </c>
      <c r="G15" s="17">
        <f>SUM(G2:G14)</f>
        <v>119500</v>
      </c>
      <c r="H15" s="17">
        <f>SUM(H2:H14)</f>
        <v>174000</v>
      </c>
    </row>
    <row r="16" spans="1:8" hidden="1" x14ac:dyDescent="0.25">
      <c r="A16" s="29" t="s">
        <v>22</v>
      </c>
      <c r="B16" s="37">
        <v>44963</v>
      </c>
      <c r="C16" s="29" t="s">
        <v>217</v>
      </c>
      <c r="D16" s="29" t="s">
        <v>13</v>
      </c>
      <c r="E16" s="29">
        <v>3</v>
      </c>
      <c r="F16" s="38">
        <f>E16*6500</f>
        <v>19500</v>
      </c>
      <c r="G16" s="38">
        <f>E16*4500</f>
        <v>13500</v>
      </c>
      <c r="H16" s="38">
        <f>E16*2000</f>
        <v>6000</v>
      </c>
    </row>
    <row r="17" spans="1:8" hidden="1" x14ac:dyDescent="0.25">
      <c r="A17" s="29"/>
      <c r="B17" s="29"/>
      <c r="C17" s="29"/>
      <c r="D17" s="29" t="s">
        <v>14</v>
      </c>
      <c r="E17" s="29">
        <v>2</v>
      </c>
      <c r="F17" s="38">
        <f>E17*10000</f>
        <v>20000</v>
      </c>
      <c r="G17" s="38">
        <f>E17*5500</f>
        <v>11000</v>
      </c>
      <c r="H17" s="38">
        <f>E17*4500</f>
        <v>9000</v>
      </c>
    </row>
    <row r="18" spans="1:8" hidden="1" x14ac:dyDescent="0.25">
      <c r="A18" s="29"/>
      <c r="B18" s="29"/>
      <c r="C18" s="29"/>
      <c r="D18" s="29" t="s">
        <v>425</v>
      </c>
      <c r="E18" s="29">
        <v>4</v>
      </c>
      <c r="F18" s="38">
        <f>E18*2000</f>
        <v>8000</v>
      </c>
      <c r="G18" s="38">
        <v>4000</v>
      </c>
      <c r="H18" s="38">
        <v>4000</v>
      </c>
    </row>
    <row r="19" spans="1:8" hidden="1" x14ac:dyDescent="0.25">
      <c r="A19" s="29"/>
      <c r="B19" s="29"/>
      <c r="C19" s="29"/>
      <c r="D19" s="29" t="s">
        <v>415</v>
      </c>
      <c r="E19" s="29">
        <v>1</v>
      </c>
      <c r="F19" s="38">
        <v>5000</v>
      </c>
      <c r="G19" s="38">
        <v>2500</v>
      </c>
      <c r="H19" s="38">
        <v>2500</v>
      </c>
    </row>
    <row r="20" spans="1:8" hidden="1" x14ac:dyDescent="0.25">
      <c r="A20" s="29"/>
      <c r="B20" s="29"/>
      <c r="C20" s="29"/>
      <c r="D20" s="29" t="s">
        <v>425</v>
      </c>
      <c r="E20" s="29">
        <v>1</v>
      </c>
      <c r="F20" s="38">
        <v>5000</v>
      </c>
      <c r="G20" s="38">
        <v>2500</v>
      </c>
      <c r="H20" s="38">
        <v>2500</v>
      </c>
    </row>
    <row r="21" spans="1:8" x14ac:dyDescent="0.25">
      <c r="A21" s="29"/>
      <c r="B21" s="29"/>
      <c r="C21" s="29" t="s">
        <v>16</v>
      </c>
      <c r="D21" s="29" t="s">
        <v>11</v>
      </c>
      <c r="E21" s="29">
        <v>68</v>
      </c>
      <c r="F21" s="38">
        <f>E21*1500</f>
        <v>102000</v>
      </c>
      <c r="G21" s="38">
        <f>E21*500</f>
        <v>34000</v>
      </c>
      <c r="H21" s="38">
        <v>68000</v>
      </c>
    </row>
    <row r="22" spans="1:8" hidden="1" x14ac:dyDescent="0.25">
      <c r="A22" s="29"/>
      <c r="B22" s="29"/>
      <c r="C22" s="29"/>
      <c r="D22" s="29" t="s">
        <v>12</v>
      </c>
      <c r="E22" s="29">
        <v>7</v>
      </c>
      <c r="F22" s="38">
        <f>E22*3000</f>
        <v>21000</v>
      </c>
      <c r="G22" s="38">
        <f>E22*2000</f>
        <v>14000</v>
      </c>
      <c r="H22" s="38">
        <v>7000</v>
      </c>
    </row>
    <row r="23" spans="1:8" hidden="1" x14ac:dyDescent="0.25">
      <c r="A23" s="29"/>
      <c r="B23" s="29"/>
      <c r="C23" s="29"/>
      <c r="D23" s="29" t="s">
        <v>13</v>
      </c>
      <c r="E23" s="29">
        <v>1</v>
      </c>
      <c r="F23" s="38">
        <v>6500</v>
      </c>
      <c r="G23" s="38">
        <v>4500</v>
      </c>
      <c r="H23" s="38">
        <v>2000</v>
      </c>
    </row>
    <row r="24" spans="1:8" hidden="1" x14ac:dyDescent="0.25">
      <c r="A24" s="29"/>
      <c r="B24" s="29"/>
      <c r="C24" s="29"/>
      <c r="D24" s="29" t="s">
        <v>14</v>
      </c>
      <c r="E24" s="29">
        <v>1</v>
      </c>
      <c r="F24" s="38">
        <v>10000</v>
      </c>
      <c r="G24" s="38">
        <v>5500</v>
      </c>
      <c r="H24" s="38">
        <v>4500</v>
      </c>
    </row>
    <row r="25" spans="1:8" hidden="1" x14ac:dyDescent="0.25">
      <c r="A25" s="29"/>
      <c r="B25" s="29"/>
      <c r="C25" s="29"/>
      <c r="D25" s="29" t="s">
        <v>243</v>
      </c>
      <c r="E25" s="29">
        <v>1</v>
      </c>
      <c r="F25" s="38">
        <v>13000</v>
      </c>
      <c r="G25" s="38">
        <v>10000</v>
      </c>
      <c r="H25" s="38">
        <v>3000</v>
      </c>
    </row>
    <row r="26" spans="1:8" hidden="1" x14ac:dyDescent="0.25">
      <c r="A26" s="131" t="s">
        <v>17</v>
      </c>
      <c r="B26" s="132"/>
      <c r="C26" s="132"/>
      <c r="D26" s="133"/>
      <c r="E26" s="17">
        <f>SUM(E16:E25)</f>
        <v>89</v>
      </c>
      <c r="F26" s="17">
        <f>SUM(F16:F25)</f>
        <v>210000</v>
      </c>
      <c r="G26" s="17">
        <f>SUM(G16:G25)</f>
        <v>101500</v>
      </c>
      <c r="H26" s="17">
        <f>SUM(H16:H25)</f>
        <v>108500</v>
      </c>
    </row>
    <row r="27" spans="1:8" x14ac:dyDescent="0.25">
      <c r="A27" s="29" t="s">
        <v>26</v>
      </c>
      <c r="B27" s="37">
        <v>44991</v>
      </c>
      <c r="C27" s="29" t="s">
        <v>217</v>
      </c>
      <c r="D27" s="29" t="s">
        <v>11</v>
      </c>
      <c r="E27" s="29">
        <v>11</v>
      </c>
      <c r="F27" s="38">
        <f>E27*1500</f>
        <v>16500</v>
      </c>
      <c r="G27" s="38" t="str">
        <f>E27&amp;500</f>
        <v>11500</v>
      </c>
      <c r="H27" s="38">
        <v>11000</v>
      </c>
    </row>
    <row r="28" spans="1:8" hidden="1" x14ac:dyDescent="0.25">
      <c r="A28" s="29"/>
      <c r="B28" s="29"/>
      <c r="C28" s="29"/>
      <c r="D28" s="29" t="s">
        <v>13</v>
      </c>
      <c r="E28" s="29">
        <v>9</v>
      </c>
      <c r="F28" s="38">
        <f>E28*6500</f>
        <v>58500</v>
      </c>
      <c r="G28" s="38">
        <f>E28*4500</f>
        <v>40500</v>
      </c>
      <c r="H28" s="38">
        <f>E28*2000</f>
        <v>18000</v>
      </c>
    </row>
    <row r="29" spans="1:8" hidden="1" x14ac:dyDescent="0.25">
      <c r="A29" s="29"/>
      <c r="B29" s="29"/>
      <c r="C29" s="29"/>
      <c r="D29" s="29" t="s">
        <v>14</v>
      </c>
      <c r="E29" s="29">
        <v>4</v>
      </c>
      <c r="F29" s="38">
        <f>E29*10000</f>
        <v>40000</v>
      </c>
      <c r="G29" s="38">
        <f>E29*5500</f>
        <v>22000</v>
      </c>
      <c r="H29" s="38">
        <f>E29*4500</f>
        <v>18000</v>
      </c>
    </row>
    <row r="30" spans="1:8" hidden="1" x14ac:dyDescent="0.25">
      <c r="A30" s="29"/>
      <c r="B30" s="29"/>
      <c r="C30" s="29"/>
      <c r="D30" s="29" t="s">
        <v>415</v>
      </c>
      <c r="E30" s="29">
        <v>2</v>
      </c>
      <c r="F30" s="38">
        <f>E30*5000</f>
        <v>10000</v>
      </c>
      <c r="G30" s="38">
        <v>5000</v>
      </c>
      <c r="H30" s="38">
        <v>5000</v>
      </c>
    </row>
    <row r="31" spans="1:8" hidden="1" x14ac:dyDescent="0.25">
      <c r="A31" s="29"/>
      <c r="B31" s="29"/>
      <c r="C31" s="29"/>
      <c r="D31" s="29" t="s">
        <v>441</v>
      </c>
      <c r="E31" s="29">
        <v>1</v>
      </c>
      <c r="F31" s="38">
        <v>3000</v>
      </c>
      <c r="G31" s="38">
        <v>1500</v>
      </c>
      <c r="H31" s="38">
        <v>1500</v>
      </c>
    </row>
    <row r="32" spans="1:8" hidden="1" x14ac:dyDescent="0.25">
      <c r="A32" s="29"/>
      <c r="B32" s="29"/>
      <c r="C32" s="29"/>
      <c r="D32" s="29" t="s">
        <v>404</v>
      </c>
      <c r="E32" s="29">
        <v>4</v>
      </c>
      <c r="F32" s="38">
        <f>E32*2000</f>
        <v>8000</v>
      </c>
      <c r="G32" s="38">
        <v>4000</v>
      </c>
      <c r="H32" s="38">
        <v>4000</v>
      </c>
    </row>
    <row r="33" spans="1:8" x14ac:dyDescent="0.25">
      <c r="A33" s="29"/>
      <c r="B33" s="29"/>
      <c r="C33" s="29" t="s">
        <v>338</v>
      </c>
      <c r="D33" s="29" t="s">
        <v>11</v>
      </c>
      <c r="E33" s="29">
        <v>75</v>
      </c>
      <c r="F33" s="38">
        <f>E33*1800</f>
        <v>135000</v>
      </c>
      <c r="G33" s="38">
        <f>E33*500</f>
        <v>37500</v>
      </c>
      <c r="H33" s="38">
        <f>E33*1300</f>
        <v>97500</v>
      </c>
    </row>
    <row r="34" spans="1:8" x14ac:dyDescent="0.25">
      <c r="A34" s="29"/>
      <c r="B34" s="29"/>
      <c r="C34" s="29" t="s">
        <v>209</v>
      </c>
      <c r="D34" s="29" t="s">
        <v>11</v>
      </c>
      <c r="E34" s="29">
        <v>25</v>
      </c>
      <c r="F34" s="38">
        <f>E34*1500</f>
        <v>37500</v>
      </c>
      <c r="G34" s="38">
        <f>E34*500</f>
        <v>12500</v>
      </c>
      <c r="H34" s="38">
        <v>25000</v>
      </c>
    </row>
    <row r="35" spans="1:8" x14ac:dyDescent="0.25">
      <c r="A35" s="29"/>
      <c r="B35" s="29"/>
      <c r="C35" s="29" t="s">
        <v>16</v>
      </c>
      <c r="D35" s="29" t="s">
        <v>11</v>
      </c>
      <c r="E35" s="29">
        <v>50</v>
      </c>
      <c r="F35" s="38">
        <f>E35*1500</f>
        <v>75000</v>
      </c>
      <c r="G35" s="38">
        <v>50000</v>
      </c>
      <c r="H35" s="38">
        <v>25000</v>
      </c>
    </row>
    <row r="36" spans="1:8" hidden="1" x14ac:dyDescent="0.25">
      <c r="A36" s="29"/>
      <c r="B36" s="29"/>
      <c r="C36" s="29"/>
      <c r="D36" s="29" t="s">
        <v>12</v>
      </c>
      <c r="E36" s="29">
        <v>4</v>
      </c>
      <c r="F36" s="38">
        <f>E36*3000</f>
        <v>12000</v>
      </c>
      <c r="G36" s="38">
        <v>8000</v>
      </c>
      <c r="H36" s="38">
        <v>4000</v>
      </c>
    </row>
    <row r="37" spans="1:8" hidden="1" x14ac:dyDescent="0.25">
      <c r="A37" s="29"/>
      <c r="B37" s="29"/>
      <c r="C37" s="29"/>
      <c r="D37" s="29" t="s">
        <v>243</v>
      </c>
      <c r="E37" s="29">
        <v>1</v>
      </c>
      <c r="F37" s="38">
        <v>13000</v>
      </c>
      <c r="G37" s="38">
        <v>10000</v>
      </c>
      <c r="H37" s="38">
        <v>3000</v>
      </c>
    </row>
    <row r="38" spans="1:8" hidden="1" x14ac:dyDescent="0.25">
      <c r="A38" s="29"/>
      <c r="B38" s="131" t="s">
        <v>17</v>
      </c>
      <c r="C38" s="132"/>
      <c r="D38" s="133"/>
      <c r="E38" s="17">
        <f>SUM(E27:E37)</f>
        <v>186</v>
      </c>
      <c r="F38" s="17">
        <f>SUM(F27:F37)</f>
        <v>408500</v>
      </c>
      <c r="G38" s="17">
        <f>SUM(G27:G37)</f>
        <v>191000</v>
      </c>
      <c r="H38" s="17">
        <f>SUM(H27:H37)</f>
        <v>212000</v>
      </c>
    </row>
    <row r="39" spans="1:8" x14ac:dyDescent="0.25">
      <c r="A39" s="29" t="s">
        <v>28</v>
      </c>
      <c r="B39" s="37">
        <v>45022</v>
      </c>
      <c r="C39" s="29" t="s">
        <v>217</v>
      </c>
      <c r="D39" s="29" t="s">
        <v>11</v>
      </c>
      <c r="E39" s="29">
        <v>24</v>
      </c>
      <c r="F39" s="38">
        <f>E39*1500</f>
        <v>36000</v>
      </c>
      <c r="G39" s="38">
        <f>E39*500</f>
        <v>12000</v>
      </c>
      <c r="H39" s="38">
        <v>24000</v>
      </c>
    </row>
    <row r="40" spans="1:8" hidden="1" x14ac:dyDescent="0.25">
      <c r="A40" s="29"/>
      <c r="B40" s="29"/>
      <c r="C40" s="29"/>
      <c r="D40" s="29" t="s">
        <v>13</v>
      </c>
      <c r="E40" s="29">
        <v>18</v>
      </c>
      <c r="F40" s="38">
        <f>E40*6500</f>
        <v>117000</v>
      </c>
      <c r="G40" s="38">
        <f>E40*4500</f>
        <v>81000</v>
      </c>
      <c r="H40" s="38">
        <f>E40*2000</f>
        <v>36000</v>
      </c>
    </row>
    <row r="41" spans="1:8" hidden="1" x14ac:dyDescent="0.25">
      <c r="A41" s="29"/>
      <c r="B41" s="29"/>
      <c r="C41" s="29"/>
      <c r="D41" s="29" t="s">
        <v>14</v>
      </c>
      <c r="E41" s="29">
        <v>4</v>
      </c>
      <c r="F41" s="38">
        <f>E41*10000</f>
        <v>40000</v>
      </c>
      <c r="G41" s="38">
        <f>E41*5500</f>
        <v>22000</v>
      </c>
      <c r="H41" s="38">
        <f>E41*4500</f>
        <v>18000</v>
      </c>
    </row>
    <row r="42" spans="1:8" hidden="1" x14ac:dyDescent="0.25">
      <c r="A42" s="29"/>
      <c r="B42" s="29"/>
      <c r="C42" s="29"/>
      <c r="D42" s="29" t="s">
        <v>404</v>
      </c>
      <c r="E42" s="29">
        <v>8</v>
      </c>
      <c r="F42" s="38">
        <f>E42*2000</f>
        <v>16000</v>
      </c>
      <c r="G42" s="38">
        <v>8000</v>
      </c>
      <c r="H42" s="38">
        <v>8000</v>
      </c>
    </row>
    <row r="43" spans="1:8" hidden="1" x14ac:dyDescent="0.25">
      <c r="A43" s="29"/>
      <c r="B43" s="29"/>
      <c r="C43" s="29"/>
      <c r="D43" s="29" t="s">
        <v>441</v>
      </c>
      <c r="E43" s="29">
        <v>1</v>
      </c>
      <c r="F43" s="38">
        <v>3000</v>
      </c>
      <c r="G43" s="38">
        <v>1500</v>
      </c>
      <c r="H43" s="38">
        <v>1500</v>
      </c>
    </row>
    <row r="44" spans="1:8" hidden="1" x14ac:dyDescent="0.25">
      <c r="A44" s="29"/>
      <c r="B44" s="29"/>
      <c r="C44" s="29"/>
      <c r="D44" s="29" t="s">
        <v>415</v>
      </c>
      <c r="E44" s="29">
        <v>1</v>
      </c>
      <c r="F44" s="38">
        <v>5000</v>
      </c>
      <c r="G44" s="38">
        <v>2500</v>
      </c>
      <c r="H44" s="38">
        <v>2500</v>
      </c>
    </row>
    <row r="45" spans="1:8" hidden="1" x14ac:dyDescent="0.25">
      <c r="A45" s="29"/>
      <c r="B45" s="29"/>
      <c r="C45" s="29"/>
      <c r="D45" s="29" t="s">
        <v>603</v>
      </c>
      <c r="E45" s="29">
        <v>1</v>
      </c>
      <c r="F45" s="38">
        <v>5000</v>
      </c>
      <c r="G45" s="38">
        <v>2500</v>
      </c>
      <c r="H45" s="38">
        <v>2500</v>
      </c>
    </row>
    <row r="46" spans="1:8" x14ac:dyDescent="0.25">
      <c r="A46" s="29"/>
      <c r="B46" s="29"/>
      <c r="C46" s="29" t="s">
        <v>20</v>
      </c>
      <c r="D46" s="29" t="s">
        <v>11</v>
      </c>
      <c r="E46" s="29">
        <v>15</v>
      </c>
      <c r="F46" s="38">
        <f>E46*1500</f>
        <v>22500</v>
      </c>
      <c r="G46" s="38">
        <f>E46*500</f>
        <v>7500</v>
      </c>
      <c r="H46" s="38">
        <v>15000</v>
      </c>
    </row>
    <row r="47" spans="1:8" hidden="1" x14ac:dyDescent="0.25">
      <c r="A47" s="29"/>
      <c r="B47" s="29"/>
      <c r="C47" s="29"/>
      <c r="D47" s="29" t="s">
        <v>13</v>
      </c>
      <c r="E47" s="29">
        <v>23</v>
      </c>
      <c r="F47" s="38">
        <f>E47*6500</f>
        <v>149500</v>
      </c>
      <c r="G47" s="38">
        <f>E47*4500</f>
        <v>103500</v>
      </c>
      <c r="H47" s="38">
        <f>E47*2000</f>
        <v>46000</v>
      </c>
    </row>
    <row r="48" spans="1:8" hidden="1" x14ac:dyDescent="0.25">
      <c r="A48" s="29"/>
      <c r="B48" s="29"/>
      <c r="C48" s="29"/>
      <c r="D48" s="29" t="s">
        <v>14</v>
      </c>
      <c r="E48" s="29">
        <v>29</v>
      </c>
      <c r="F48" s="38">
        <f>E48*10000</f>
        <v>290000</v>
      </c>
      <c r="G48" s="38">
        <f>E48*5500</f>
        <v>159500</v>
      </c>
      <c r="H48" s="38">
        <f>E48*4500</f>
        <v>130500</v>
      </c>
    </row>
    <row r="49" spans="1:8" hidden="1" x14ac:dyDescent="0.25">
      <c r="A49" s="29"/>
      <c r="B49" s="29"/>
      <c r="C49" s="29"/>
      <c r="D49" s="29" t="s">
        <v>404</v>
      </c>
      <c r="E49" s="29">
        <v>5</v>
      </c>
      <c r="F49" s="38">
        <f>E49*2000</f>
        <v>10000</v>
      </c>
      <c r="G49" s="38">
        <v>5000</v>
      </c>
      <c r="H49" s="38">
        <v>5000</v>
      </c>
    </row>
    <row r="50" spans="1:8" hidden="1" x14ac:dyDescent="0.25">
      <c r="A50" s="29"/>
      <c r="B50" s="29"/>
      <c r="C50" s="29"/>
      <c r="D50" s="29" t="s">
        <v>415</v>
      </c>
      <c r="E50" s="29">
        <v>3</v>
      </c>
      <c r="F50" s="38">
        <f>E50*5000</f>
        <v>15000</v>
      </c>
      <c r="G50" s="38">
        <v>7500</v>
      </c>
      <c r="H50" s="38">
        <v>7500</v>
      </c>
    </row>
    <row r="51" spans="1:8" hidden="1" x14ac:dyDescent="0.25">
      <c r="A51" s="29"/>
      <c r="B51" s="29"/>
      <c r="C51" s="29"/>
      <c r="D51" s="29" t="s">
        <v>441</v>
      </c>
      <c r="E51" s="29">
        <v>1</v>
      </c>
      <c r="F51" s="38">
        <v>3000</v>
      </c>
      <c r="G51" s="38">
        <v>1500</v>
      </c>
      <c r="H51" s="38">
        <v>1500</v>
      </c>
    </row>
    <row r="52" spans="1:8" hidden="1" x14ac:dyDescent="0.25">
      <c r="A52" s="29"/>
      <c r="B52" s="29"/>
      <c r="C52" s="29"/>
      <c r="D52" s="29" t="s">
        <v>545</v>
      </c>
      <c r="E52" s="29">
        <v>1</v>
      </c>
      <c r="F52" s="38">
        <v>5000</v>
      </c>
      <c r="G52" s="38">
        <v>2500</v>
      </c>
      <c r="H52" s="38">
        <v>2500</v>
      </c>
    </row>
    <row r="53" spans="1:8" x14ac:dyDescent="0.25">
      <c r="A53" s="29"/>
      <c r="B53" s="29"/>
      <c r="C53" s="29" t="s">
        <v>604</v>
      </c>
      <c r="D53" s="29" t="s">
        <v>11</v>
      </c>
      <c r="E53" s="29">
        <v>10</v>
      </c>
      <c r="F53" s="38">
        <f>E53*1500</f>
        <v>15000</v>
      </c>
      <c r="G53" s="38">
        <f>E53*500</f>
        <v>5000</v>
      </c>
      <c r="H53" s="38">
        <v>10000</v>
      </c>
    </row>
    <row r="54" spans="1:8" hidden="1" x14ac:dyDescent="0.25">
      <c r="A54" s="131" t="s">
        <v>17</v>
      </c>
      <c r="B54" s="132"/>
      <c r="C54" s="132"/>
      <c r="D54" s="133"/>
      <c r="E54" s="17">
        <f>SUM(E39:E53)</f>
        <v>144</v>
      </c>
      <c r="F54" s="17">
        <f>SUM(F39:F53)</f>
        <v>732000</v>
      </c>
      <c r="G54" s="17">
        <f>SUM(G39:G53)</f>
        <v>421500</v>
      </c>
      <c r="H54" s="17">
        <f>SUM(H39:H53)</f>
        <v>310500</v>
      </c>
    </row>
    <row r="55" spans="1:8" x14ac:dyDescent="0.25">
      <c r="A55" s="29"/>
      <c r="B55" s="29"/>
      <c r="C55" s="29" t="s">
        <v>16</v>
      </c>
      <c r="D55" s="29" t="s">
        <v>11</v>
      </c>
      <c r="E55" s="29">
        <v>71</v>
      </c>
      <c r="F55" s="38">
        <f>E55*1500</f>
        <v>106500</v>
      </c>
      <c r="G55" s="38">
        <f>E55*500</f>
        <v>35500</v>
      </c>
      <c r="H55" s="38">
        <v>71000</v>
      </c>
    </row>
    <row r="56" spans="1:8" hidden="1" x14ac:dyDescent="0.25">
      <c r="A56" s="29"/>
      <c r="B56" s="29"/>
      <c r="C56" s="29"/>
      <c r="D56" s="29" t="s">
        <v>12</v>
      </c>
      <c r="E56" s="29">
        <v>8</v>
      </c>
      <c r="F56" s="38">
        <f>E56*3000</f>
        <v>24000</v>
      </c>
      <c r="G56" s="38">
        <f>E56*2000</f>
        <v>16000</v>
      </c>
      <c r="H56" s="38">
        <v>8000</v>
      </c>
    </row>
    <row r="57" spans="1:8" hidden="1" x14ac:dyDescent="0.25">
      <c r="A57" s="29"/>
      <c r="B57" s="29"/>
      <c r="C57" s="29"/>
      <c r="D57" s="29" t="s">
        <v>13</v>
      </c>
      <c r="E57" s="29">
        <v>2</v>
      </c>
      <c r="F57" s="38">
        <f>E57*6500</f>
        <v>13000</v>
      </c>
      <c r="G57" s="38">
        <f>E57*4500</f>
        <v>9000</v>
      </c>
      <c r="H57" s="38">
        <v>4000</v>
      </c>
    </row>
    <row r="58" spans="1:8" x14ac:dyDescent="0.25">
      <c r="A58" s="29"/>
      <c r="B58" s="29"/>
      <c r="C58" s="29" t="s">
        <v>217</v>
      </c>
      <c r="D58" s="29" t="s">
        <v>11</v>
      </c>
      <c r="E58" s="29">
        <v>5</v>
      </c>
      <c r="F58" s="38">
        <f>E58*1500</f>
        <v>7500</v>
      </c>
      <c r="G58" s="38">
        <f>E58*500</f>
        <v>2500</v>
      </c>
      <c r="H58" s="38">
        <v>5000</v>
      </c>
    </row>
    <row r="59" spans="1:8" hidden="1" x14ac:dyDescent="0.25">
      <c r="A59" s="29"/>
      <c r="B59" s="29"/>
      <c r="C59" s="29"/>
      <c r="D59" s="29" t="s">
        <v>13</v>
      </c>
      <c r="E59" s="29">
        <v>2</v>
      </c>
      <c r="F59" s="38">
        <f>E59*6500</f>
        <v>13000</v>
      </c>
      <c r="G59" s="38">
        <f>E59*4500</f>
        <v>9000</v>
      </c>
      <c r="H59" s="38">
        <v>4000</v>
      </c>
    </row>
    <row r="60" spans="1:8" hidden="1" x14ac:dyDescent="0.25">
      <c r="A60" s="29"/>
      <c r="B60" s="29"/>
      <c r="C60" s="29"/>
      <c r="D60" s="29" t="s">
        <v>14</v>
      </c>
      <c r="E60" s="29">
        <v>1</v>
      </c>
      <c r="F60" s="38">
        <v>8000</v>
      </c>
      <c r="G60" s="38">
        <v>5500</v>
      </c>
      <c r="H60" s="38">
        <v>2500</v>
      </c>
    </row>
    <row r="61" spans="1:8" hidden="1" x14ac:dyDescent="0.25">
      <c r="A61" s="29"/>
      <c r="B61" s="29"/>
      <c r="C61" s="29"/>
      <c r="D61" s="29" t="s">
        <v>441</v>
      </c>
      <c r="E61" s="29">
        <v>1</v>
      </c>
      <c r="F61" s="38">
        <v>3000</v>
      </c>
      <c r="G61" s="38">
        <v>1500</v>
      </c>
      <c r="H61" s="38">
        <v>1500</v>
      </c>
    </row>
    <row r="62" spans="1:8" hidden="1" x14ac:dyDescent="0.25">
      <c r="A62" s="131" t="s">
        <v>17</v>
      </c>
      <c r="B62" s="132"/>
      <c r="C62" s="132"/>
      <c r="D62" s="133"/>
      <c r="E62" s="17">
        <f>SUM(E55:E61)</f>
        <v>90</v>
      </c>
      <c r="F62" s="17">
        <f>SUM(F55:F61)</f>
        <v>175000</v>
      </c>
      <c r="G62" s="17">
        <f>SUM(G55:G61)</f>
        <v>79000</v>
      </c>
      <c r="H62" s="17">
        <f>SUM(H55:H61)</f>
        <v>96000</v>
      </c>
    </row>
    <row r="63" spans="1:8" x14ac:dyDescent="0.25">
      <c r="A63" s="29" t="s">
        <v>30</v>
      </c>
      <c r="B63" s="37">
        <v>45052</v>
      </c>
      <c r="C63" s="29" t="s">
        <v>338</v>
      </c>
      <c r="D63" s="29" t="s">
        <v>11</v>
      </c>
      <c r="E63" s="29">
        <v>66</v>
      </c>
      <c r="F63" s="38">
        <f>E63*1800</f>
        <v>118800</v>
      </c>
      <c r="G63" s="38">
        <f>E63*500</f>
        <v>33000</v>
      </c>
      <c r="H63" s="38">
        <v>66000</v>
      </c>
    </row>
    <row r="64" spans="1:8" x14ac:dyDescent="0.25">
      <c r="A64" s="29"/>
      <c r="B64" s="29"/>
      <c r="C64" s="29" t="s">
        <v>306</v>
      </c>
      <c r="D64" s="29" t="s">
        <v>11</v>
      </c>
      <c r="E64" s="29">
        <f>55-33</f>
        <v>22</v>
      </c>
      <c r="F64" s="38">
        <f>E64*1800</f>
        <v>39600</v>
      </c>
      <c r="G64" s="38">
        <f>E64*500</f>
        <v>11000</v>
      </c>
      <c r="H64" s="38">
        <v>66000</v>
      </c>
    </row>
    <row r="65" spans="1:8" x14ac:dyDescent="0.25">
      <c r="A65" s="29"/>
      <c r="B65" s="29"/>
      <c r="C65" s="29" t="s">
        <v>571</v>
      </c>
      <c r="D65" s="29" t="s">
        <v>11</v>
      </c>
      <c r="E65" s="29">
        <v>27</v>
      </c>
      <c r="F65" s="38">
        <f>E65*1700</f>
        <v>45900</v>
      </c>
      <c r="G65" s="38">
        <f>E65*500</f>
        <v>13500</v>
      </c>
      <c r="H65" s="38">
        <f>E65*1200</f>
        <v>32400</v>
      </c>
    </row>
    <row r="66" spans="1:8" x14ac:dyDescent="0.25">
      <c r="A66" s="29"/>
      <c r="B66" s="29"/>
      <c r="C66" s="29" t="s">
        <v>16</v>
      </c>
      <c r="D66" s="29" t="s">
        <v>11</v>
      </c>
      <c r="E66" s="29">
        <v>48</v>
      </c>
      <c r="F66" s="38">
        <f>E66*1500</f>
        <v>72000</v>
      </c>
      <c r="G66" s="38">
        <f>E66*500</f>
        <v>24000</v>
      </c>
      <c r="H66" s="38">
        <v>48000</v>
      </c>
    </row>
    <row r="67" spans="1:8" hidden="1" x14ac:dyDescent="0.25">
      <c r="A67" s="29"/>
      <c r="B67" s="29"/>
      <c r="C67" s="29" t="s">
        <v>24</v>
      </c>
      <c r="D67" s="29" t="s">
        <v>243</v>
      </c>
      <c r="E67" s="29">
        <v>5</v>
      </c>
      <c r="F67" s="38">
        <f>E67*13000</f>
        <v>65000</v>
      </c>
      <c r="G67" s="38">
        <f>E67*10000</f>
        <v>50000</v>
      </c>
      <c r="H67" s="38">
        <v>15000</v>
      </c>
    </row>
    <row r="68" spans="1:8" x14ac:dyDescent="0.25">
      <c r="A68" s="29"/>
      <c r="B68" s="29"/>
      <c r="C68" s="29" t="s">
        <v>568</v>
      </c>
      <c r="D68" s="29" t="s">
        <v>11</v>
      </c>
      <c r="E68" s="29">
        <v>30</v>
      </c>
      <c r="F68" s="38">
        <f>E68*1500</f>
        <v>45000</v>
      </c>
      <c r="G68" s="38">
        <f>E68*500</f>
        <v>15000</v>
      </c>
      <c r="H68" s="38">
        <v>30000</v>
      </c>
    </row>
    <row r="69" spans="1:8" hidden="1" x14ac:dyDescent="0.25">
      <c r="A69" s="131" t="s">
        <v>17</v>
      </c>
      <c r="B69" s="132"/>
      <c r="C69" s="132"/>
      <c r="D69" s="133"/>
      <c r="E69" s="17">
        <f>SUM(E63:E68)</f>
        <v>198</v>
      </c>
      <c r="F69" s="17">
        <f>SUM(F63:F68)</f>
        <v>386300</v>
      </c>
      <c r="G69" s="17">
        <f>SUM(G63:G68)</f>
        <v>146500</v>
      </c>
      <c r="H69" s="17">
        <f>SUM(H63:H68)</f>
        <v>257400</v>
      </c>
    </row>
    <row r="70" spans="1:8" x14ac:dyDescent="0.25">
      <c r="A70" s="29" t="s">
        <v>32</v>
      </c>
      <c r="B70" s="37">
        <v>45083</v>
      </c>
      <c r="C70" s="29" t="s">
        <v>338</v>
      </c>
      <c r="D70" s="29" t="s">
        <v>11</v>
      </c>
      <c r="E70" s="29">
        <v>75</v>
      </c>
      <c r="F70" s="38">
        <f>E70*1800</f>
        <v>135000</v>
      </c>
      <c r="G70" s="38">
        <f t="shared" ref="G70:G75" si="0">E70*500</f>
        <v>37500</v>
      </c>
      <c r="H70" s="38">
        <f>E70*1300</f>
        <v>97500</v>
      </c>
    </row>
    <row r="71" spans="1:8" x14ac:dyDescent="0.25">
      <c r="A71" s="29"/>
      <c r="B71" s="29"/>
      <c r="C71" s="29" t="s">
        <v>306</v>
      </c>
      <c r="D71" s="29" t="s">
        <v>11</v>
      </c>
      <c r="E71" s="29">
        <v>12</v>
      </c>
      <c r="F71" s="38">
        <f>E71*1800</f>
        <v>21600</v>
      </c>
      <c r="G71" s="38">
        <f t="shared" si="0"/>
        <v>6000</v>
      </c>
      <c r="H71" s="38">
        <f>E71*1300</f>
        <v>15600</v>
      </c>
    </row>
    <row r="72" spans="1:8" x14ac:dyDescent="0.25">
      <c r="A72" s="29"/>
      <c r="B72" s="29"/>
      <c r="C72" s="29" t="s">
        <v>572</v>
      </c>
      <c r="D72" s="29" t="s">
        <v>11</v>
      </c>
      <c r="E72" s="29">
        <v>50</v>
      </c>
      <c r="F72" s="38">
        <f>E72*1700</f>
        <v>85000</v>
      </c>
      <c r="G72" s="38">
        <f t="shared" si="0"/>
        <v>25000</v>
      </c>
      <c r="H72" s="38">
        <f>E72*1200</f>
        <v>60000</v>
      </c>
    </row>
    <row r="73" spans="1:8" x14ac:dyDescent="0.25">
      <c r="A73" s="29"/>
      <c r="B73" s="29"/>
      <c r="C73" s="29" t="s">
        <v>571</v>
      </c>
      <c r="D73" s="29" t="s">
        <v>11</v>
      </c>
      <c r="E73" s="29">
        <v>23</v>
      </c>
      <c r="F73" s="38">
        <f>E73*1700</f>
        <v>39100</v>
      </c>
      <c r="G73" s="38">
        <f t="shared" si="0"/>
        <v>11500</v>
      </c>
      <c r="H73" s="38">
        <f>E73*1200</f>
        <v>27600</v>
      </c>
    </row>
    <row r="74" spans="1:8" x14ac:dyDescent="0.25">
      <c r="A74" s="29"/>
      <c r="B74" s="29"/>
      <c r="C74" s="29" t="s">
        <v>209</v>
      </c>
      <c r="D74" s="29" t="s">
        <v>11</v>
      </c>
      <c r="E74" s="29">
        <v>20</v>
      </c>
      <c r="F74" s="38">
        <f>E74*1500</f>
        <v>30000</v>
      </c>
      <c r="G74" s="38">
        <f t="shared" si="0"/>
        <v>10000</v>
      </c>
      <c r="H74" s="38">
        <f>E74*1000</f>
        <v>20000</v>
      </c>
    </row>
    <row r="75" spans="1:8" x14ac:dyDescent="0.25">
      <c r="A75" s="29"/>
      <c r="B75" s="29"/>
      <c r="C75" s="29" t="s">
        <v>16</v>
      </c>
      <c r="D75" s="29" t="s">
        <v>11</v>
      </c>
      <c r="E75" s="29">
        <v>32</v>
      </c>
      <c r="F75" s="38">
        <f>E75*1500</f>
        <v>48000</v>
      </c>
      <c r="G75" s="38">
        <f t="shared" si="0"/>
        <v>16000</v>
      </c>
      <c r="H75" s="38">
        <f>E75*1000</f>
        <v>32000</v>
      </c>
    </row>
    <row r="76" spans="1:8" hidden="1" x14ac:dyDescent="0.25">
      <c r="A76" s="29"/>
      <c r="B76" s="29"/>
      <c r="C76" s="29"/>
      <c r="D76" s="29" t="s">
        <v>12</v>
      </c>
      <c r="E76" s="29">
        <v>1</v>
      </c>
      <c r="F76" s="38">
        <v>3000</v>
      </c>
      <c r="G76" s="38">
        <v>2000</v>
      </c>
      <c r="H76" s="38">
        <v>1000</v>
      </c>
    </row>
    <row r="77" spans="1:8" x14ac:dyDescent="0.25">
      <c r="A77" s="29"/>
      <c r="B77" s="29"/>
      <c r="C77" s="29" t="s">
        <v>217</v>
      </c>
      <c r="D77" s="29" t="s">
        <v>11</v>
      </c>
      <c r="E77" s="29">
        <v>23</v>
      </c>
      <c r="F77" s="38">
        <f>E77*1500</f>
        <v>34500</v>
      </c>
      <c r="G77" s="38">
        <f>E77*500</f>
        <v>11500</v>
      </c>
      <c r="H77" s="38">
        <v>23000</v>
      </c>
    </row>
    <row r="78" spans="1:8" hidden="1" x14ac:dyDescent="0.25">
      <c r="A78" s="29"/>
      <c r="B78" s="29"/>
      <c r="C78" s="29"/>
      <c r="D78" s="29" t="s">
        <v>13</v>
      </c>
      <c r="E78" s="29">
        <v>4</v>
      </c>
      <c r="F78" s="38">
        <f>E78*6500</f>
        <v>26000</v>
      </c>
      <c r="G78" s="38">
        <f>E78*4500</f>
        <v>18000</v>
      </c>
      <c r="H78" s="38">
        <f>E78*2000</f>
        <v>8000</v>
      </c>
    </row>
    <row r="79" spans="1:8" hidden="1" x14ac:dyDescent="0.25">
      <c r="A79" s="29"/>
      <c r="B79" s="29"/>
      <c r="C79" s="29"/>
      <c r="D79" s="29" t="s">
        <v>14</v>
      </c>
      <c r="E79" s="29">
        <v>1</v>
      </c>
      <c r="F79" s="38">
        <v>10000</v>
      </c>
      <c r="G79" s="38">
        <v>5500</v>
      </c>
      <c r="H79" s="38">
        <v>4500</v>
      </c>
    </row>
    <row r="80" spans="1:8" hidden="1" x14ac:dyDescent="0.25">
      <c r="A80" s="29"/>
      <c r="B80" s="29"/>
      <c r="C80" s="29"/>
      <c r="D80" s="29" t="s">
        <v>404</v>
      </c>
      <c r="E80" s="29">
        <v>1</v>
      </c>
      <c r="F80" s="38">
        <v>2000</v>
      </c>
      <c r="G80" s="38">
        <v>1000</v>
      </c>
      <c r="H80" s="38">
        <v>1000</v>
      </c>
    </row>
    <row r="81" spans="1:8" hidden="1" x14ac:dyDescent="0.25">
      <c r="A81" s="29"/>
      <c r="B81" s="29"/>
      <c r="C81" s="29"/>
      <c r="D81" s="29" t="s">
        <v>441</v>
      </c>
      <c r="E81" s="29">
        <v>1</v>
      </c>
      <c r="F81" s="38">
        <v>3000</v>
      </c>
      <c r="G81" s="38">
        <v>1500</v>
      </c>
      <c r="H81" s="38">
        <v>1500</v>
      </c>
    </row>
    <row r="82" spans="1:8" hidden="1" x14ac:dyDescent="0.25">
      <c r="A82" s="136" t="s">
        <v>17</v>
      </c>
      <c r="B82" s="137"/>
      <c r="C82" s="137"/>
      <c r="D82" s="138"/>
      <c r="E82" s="17">
        <f>SUM(E70:E81)</f>
        <v>243</v>
      </c>
      <c r="F82" s="17">
        <f>SUM(F70:F81)</f>
        <v>437200</v>
      </c>
      <c r="G82" s="17">
        <f>SUM(G70:G81)</f>
        <v>145500</v>
      </c>
      <c r="H82" s="17">
        <f>SUM(H70:H81)</f>
        <v>291700</v>
      </c>
    </row>
    <row r="83" spans="1:8" x14ac:dyDescent="0.25">
      <c r="A83" s="29" t="s">
        <v>8</v>
      </c>
      <c r="B83" s="37">
        <v>45113</v>
      </c>
      <c r="C83" s="29" t="s">
        <v>338</v>
      </c>
      <c r="D83" s="29" t="s">
        <v>11</v>
      </c>
      <c r="E83" s="29">
        <v>75</v>
      </c>
      <c r="F83" s="38">
        <f>E83*1800</f>
        <v>135000</v>
      </c>
      <c r="G83" s="38">
        <f>E83*500</f>
        <v>37500</v>
      </c>
      <c r="H83" s="38">
        <f>E83*1300</f>
        <v>97500</v>
      </c>
    </row>
    <row r="84" spans="1:8" x14ac:dyDescent="0.25">
      <c r="A84" s="29"/>
      <c r="B84" s="29"/>
      <c r="C84" s="29" t="s">
        <v>572</v>
      </c>
      <c r="D84" s="29" t="s">
        <v>11</v>
      </c>
      <c r="E84" s="29">
        <v>44</v>
      </c>
      <c r="F84" s="38">
        <f>E84*1700</f>
        <v>74800</v>
      </c>
      <c r="G84" s="38">
        <f>E84*500</f>
        <v>22000</v>
      </c>
      <c r="H84" s="38">
        <f>E84*1200</f>
        <v>52800</v>
      </c>
    </row>
    <row r="85" spans="1:8" x14ac:dyDescent="0.25">
      <c r="A85" s="29"/>
      <c r="B85" s="29"/>
      <c r="C85" s="29" t="s">
        <v>571</v>
      </c>
      <c r="D85" s="29" t="s">
        <v>11</v>
      </c>
      <c r="E85" s="29">
        <v>14</v>
      </c>
      <c r="F85" s="38">
        <f>E85*1700</f>
        <v>23800</v>
      </c>
      <c r="G85" s="38">
        <f>E85*5000</f>
        <v>70000</v>
      </c>
      <c r="H85" s="38">
        <f>E85*1200</f>
        <v>16800</v>
      </c>
    </row>
    <row r="86" spans="1:8" x14ac:dyDescent="0.25">
      <c r="A86" s="29"/>
      <c r="B86" s="29"/>
      <c r="C86" s="29" t="s">
        <v>217</v>
      </c>
      <c r="D86" s="29" t="s">
        <v>11</v>
      </c>
      <c r="E86" s="29">
        <v>12</v>
      </c>
      <c r="F86" s="38">
        <f>E86*1500</f>
        <v>18000</v>
      </c>
      <c r="G86" s="38">
        <f>E86*500</f>
        <v>6000</v>
      </c>
      <c r="H86" s="38">
        <v>12000</v>
      </c>
    </row>
    <row r="87" spans="1:8" hidden="1" x14ac:dyDescent="0.25">
      <c r="A87" s="29"/>
      <c r="B87" s="29"/>
      <c r="C87" s="29"/>
      <c r="D87" s="29" t="s">
        <v>13</v>
      </c>
      <c r="E87" s="29">
        <v>8</v>
      </c>
      <c r="F87" s="38">
        <f>E87*6500</f>
        <v>52000</v>
      </c>
      <c r="G87" s="38">
        <f>E87*4500</f>
        <v>36000</v>
      </c>
      <c r="H87" s="38">
        <f>E87*2000</f>
        <v>16000</v>
      </c>
    </row>
    <row r="88" spans="1:8" hidden="1" x14ac:dyDescent="0.25">
      <c r="A88" s="29"/>
      <c r="B88" s="29"/>
      <c r="C88" s="29"/>
      <c r="D88" s="29" t="s">
        <v>14</v>
      </c>
      <c r="E88" s="29">
        <v>7</v>
      </c>
      <c r="F88" s="38">
        <f>E88*10000</f>
        <v>70000</v>
      </c>
      <c r="G88" s="38">
        <f>E88*5500</f>
        <v>38500</v>
      </c>
      <c r="H88" s="38">
        <f>E88*4500</f>
        <v>31500</v>
      </c>
    </row>
    <row r="89" spans="1:8" hidden="1" x14ac:dyDescent="0.25">
      <c r="A89" s="29"/>
      <c r="B89" s="29"/>
      <c r="C89" s="29"/>
      <c r="D89" s="29" t="s">
        <v>425</v>
      </c>
      <c r="E89" s="29">
        <v>7</v>
      </c>
      <c r="F89" s="38">
        <f>E89*2000</f>
        <v>14000</v>
      </c>
      <c r="G89" s="38">
        <v>7000</v>
      </c>
      <c r="H89" s="38">
        <v>7000</v>
      </c>
    </row>
    <row r="90" spans="1:8" hidden="1" x14ac:dyDescent="0.25">
      <c r="A90" s="29"/>
      <c r="B90" s="29"/>
      <c r="C90" s="29"/>
      <c r="D90" s="29" t="s">
        <v>415</v>
      </c>
      <c r="E90" s="29">
        <v>4</v>
      </c>
      <c r="F90" s="38">
        <f>E90*5000</f>
        <v>20000</v>
      </c>
      <c r="G90" s="38">
        <v>10000</v>
      </c>
      <c r="H90" s="38">
        <v>10000</v>
      </c>
    </row>
    <row r="91" spans="1:8" hidden="1" x14ac:dyDescent="0.25">
      <c r="A91" s="29"/>
      <c r="B91" s="29"/>
      <c r="C91" s="29"/>
      <c r="D91" s="29" t="s">
        <v>605</v>
      </c>
      <c r="E91" s="29">
        <v>10</v>
      </c>
      <c r="F91" s="38">
        <f>E91*5000</f>
        <v>50000</v>
      </c>
      <c r="G91" s="38">
        <v>25000</v>
      </c>
      <c r="H91" s="38">
        <v>25000</v>
      </c>
    </row>
    <row r="92" spans="1:8" x14ac:dyDescent="0.25">
      <c r="A92" s="29"/>
      <c r="B92" s="29"/>
      <c r="C92" s="29" t="s">
        <v>16</v>
      </c>
      <c r="D92" s="29" t="s">
        <v>11</v>
      </c>
      <c r="E92" s="29">
        <v>84</v>
      </c>
      <c r="F92" s="38">
        <f>E92*1500</f>
        <v>126000</v>
      </c>
      <c r="G92" s="38">
        <f>E92*500</f>
        <v>42000</v>
      </c>
      <c r="H92" s="38">
        <v>84000</v>
      </c>
    </row>
    <row r="93" spans="1:8" hidden="1" x14ac:dyDescent="0.25">
      <c r="A93" s="29"/>
      <c r="B93" s="29"/>
      <c r="C93" s="29"/>
      <c r="D93" s="29" t="s">
        <v>12</v>
      </c>
      <c r="E93" s="29">
        <v>2</v>
      </c>
      <c r="F93" s="38">
        <f>E93*3000</f>
        <v>6000</v>
      </c>
      <c r="G93" s="38">
        <v>4000</v>
      </c>
      <c r="H93" s="38">
        <v>2000</v>
      </c>
    </row>
    <row r="94" spans="1:8" hidden="1" x14ac:dyDescent="0.25">
      <c r="A94" s="29"/>
      <c r="B94" s="29"/>
      <c r="C94" s="29" t="s">
        <v>127</v>
      </c>
      <c r="D94" s="29" t="s">
        <v>21</v>
      </c>
      <c r="E94" s="29">
        <v>5</v>
      </c>
      <c r="F94" s="38">
        <f>E94*15000</f>
        <v>75000</v>
      </c>
      <c r="G94" s="38">
        <f>E94*10000</f>
        <v>50000</v>
      </c>
      <c r="H94" s="38">
        <v>25000</v>
      </c>
    </row>
    <row r="95" spans="1:8" hidden="1" x14ac:dyDescent="0.25">
      <c r="A95" s="29"/>
      <c r="B95" s="29"/>
      <c r="C95" s="29"/>
      <c r="D95" s="29" t="s">
        <v>243</v>
      </c>
      <c r="E95" s="29">
        <v>1</v>
      </c>
      <c r="F95" s="38">
        <v>13000</v>
      </c>
      <c r="G95" s="38">
        <v>10000</v>
      </c>
      <c r="H95" s="38">
        <v>3000</v>
      </c>
    </row>
    <row r="96" spans="1:8" hidden="1" x14ac:dyDescent="0.25">
      <c r="A96" s="29"/>
      <c r="B96" s="29"/>
      <c r="C96" s="29" t="s">
        <v>24</v>
      </c>
      <c r="D96" s="29" t="s">
        <v>243</v>
      </c>
      <c r="E96" s="29">
        <v>2</v>
      </c>
      <c r="F96" s="38">
        <f>E96*13000</f>
        <v>26000</v>
      </c>
      <c r="G96" s="38">
        <f>E96*10000</f>
        <v>20000</v>
      </c>
      <c r="H96" s="38">
        <f>E96*3000</f>
        <v>6000</v>
      </c>
    </row>
    <row r="97" spans="1:8" hidden="1" x14ac:dyDescent="0.25">
      <c r="A97" s="131" t="s">
        <v>17</v>
      </c>
      <c r="B97" s="132"/>
      <c r="C97" s="132"/>
      <c r="D97" s="133"/>
      <c r="E97" s="17">
        <f>SUM(E83:E96)</f>
        <v>275</v>
      </c>
      <c r="F97" s="17">
        <f>SUM(F83:F96)</f>
        <v>703600</v>
      </c>
      <c r="G97" s="17">
        <f>SUM(G83:G96)</f>
        <v>378000</v>
      </c>
      <c r="H97" s="17">
        <f>SUM(H83:H96)</f>
        <v>388600</v>
      </c>
    </row>
    <row r="98" spans="1:8" x14ac:dyDescent="0.25">
      <c r="A98" s="29" t="s">
        <v>18</v>
      </c>
      <c r="B98" s="37">
        <v>45144</v>
      </c>
      <c r="C98" s="29" t="s">
        <v>338</v>
      </c>
      <c r="D98" s="29" t="s">
        <v>11</v>
      </c>
      <c r="E98" s="29">
        <v>26</v>
      </c>
      <c r="F98" s="38">
        <f>E98*1800</f>
        <v>46800</v>
      </c>
      <c r="G98" s="38">
        <f>E98*500</f>
        <v>13000</v>
      </c>
      <c r="H98" s="38">
        <f>E98*1300</f>
        <v>33800</v>
      </c>
    </row>
    <row r="99" spans="1:8" x14ac:dyDescent="0.25">
      <c r="A99" s="29"/>
      <c r="B99" s="29"/>
      <c r="C99" s="29" t="s">
        <v>306</v>
      </c>
      <c r="D99" s="29" t="s">
        <v>11</v>
      </c>
      <c r="E99" s="29">
        <f>33-19</f>
        <v>14</v>
      </c>
      <c r="F99" s="38">
        <f>E99*1800</f>
        <v>25200</v>
      </c>
      <c r="G99" s="38">
        <f>E99*500</f>
        <v>7000</v>
      </c>
      <c r="H99" s="38">
        <f>E99*1300</f>
        <v>18200</v>
      </c>
    </row>
    <row r="100" spans="1:8" x14ac:dyDescent="0.25">
      <c r="A100" s="29"/>
      <c r="B100" s="29"/>
      <c r="C100" s="29" t="s">
        <v>571</v>
      </c>
      <c r="D100" s="29" t="s">
        <v>11</v>
      </c>
      <c r="E100" s="29">
        <v>25</v>
      </c>
      <c r="F100" s="38">
        <f>E100*1700</f>
        <v>42500</v>
      </c>
      <c r="G100" s="38">
        <f>E100*500</f>
        <v>12500</v>
      </c>
      <c r="H100" s="38">
        <f>E100*1200</f>
        <v>30000</v>
      </c>
    </row>
    <row r="101" spans="1:8" x14ac:dyDescent="0.25">
      <c r="A101" s="29"/>
      <c r="B101" s="29"/>
      <c r="C101" s="29" t="s">
        <v>606</v>
      </c>
      <c r="D101" s="29" t="s">
        <v>11</v>
      </c>
      <c r="E101" s="29">
        <v>35</v>
      </c>
      <c r="F101" s="38">
        <f>E101*1500</f>
        <v>52500</v>
      </c>
      <c r="G101" s="38">
        <f>E101*500</f>
        <v>17500</v>
      </c>
      <c r="H101" s="38">
        <f>E101*1000</f>
        <v>35000</v>
      </c>
    </row>
    <row r="102" spans="1:8" x14ac:dyDescent="0.25">
      <c r="A102" s="29"/>
      <c r="B102" s="29"/>
      <c r="C102" s="29" t="s">
        <v>606</v>
      </c>
      <c r="D102" s="29" t="s">
        <v>11</v>
      </c>
      <c r="E102" s="29">
        <v>46</v>
      </c>
      <c r="F102" s="38">
        <f t="shared" ref="F102:F109" si="1">E102*1500</f>
        <v>69000</v>
      </c>
      <c r="G102" s="38">
        <f t="shared" ref="G102:G109" si="2">E102*500</f>
        <v>23000</v>
      </c>
      <c r="H102" s="38">
        <f t="shared" ref="H102:H110" si="3">E102*1000</f>
        <v>46000</v>
      </c>
    </row>
    <row r="103" spans="1:8" x14ac:dyDescent="0.25">
      <c r="A103" s="29"/>
      <c r="B103" s="29"/>
      <c r="C103" s="29" t="s">
        <v>606</v>
      </c>
      <c r="D103" s="29" t="s">
        <v>11</v>
      </c>
      <c r="E103" s="29">
        <v>60</v>
      </c>
      <c r="F103" s="38">
        <f t="shared" si="1"/>
        <v>90000</v>
      </c>
      <c r="G103" s="38">
        <f t="shared" si="2"/>
        <v>30000</v>
      </c>
      <c r="H103" s="38">
        <f t="shared" si="3"/>
        <v>60000</v>
      </c>
    </row>
    <row r="104" spans="1:8" x14ac:dyDescent="0.25">
      <c r="A104" s="29"/>
      <c r="B104" s="29"/>
      <c r="C104" s="29" t="s">
        <v>606</v>
      </c>
      <c r="D104" s="29" t="s">
        <v>11</v>
      </c>
      <c r="E104" s="29">
        <v>57</v>
      </c>
      <c r="F104" s="38">
        <f t="shared" si="1"/>
        <v>85500</v>
      </c>
      <c r="G104" s="38">
        <f t="shared" si="2"/>
        <v>28500</v>
      </c>
      <c r="H104" s="38">
        <f t="shared" si="3"/>
        <v>57000</v>
      </c>
    </row>
    <row r="105" spans="1:8" x14ac:dyDescent="0.25">
      <c r="A105" s="29"/>
      <c r="B105" s="29"/>
      <c r="C105" s="29" t="s">
        <v>606</v>
      </c>
      <c r="D105" s="29" t="s">
        <v>11</v>
      </c>
      <c r="E105" s="29">
        <v>55</v>
      </c>
      <c r="F105" s="38">
        <f t="shared" si="1"/>
        <v>82500</v>
      </c>
      <c r="G105" s="38">
        <f t="shared" si="2"/>
        <v>27500</v>
      </c>
      <c r="H105" s="38">
        <f t="shared" si="3"/>
        <v>55000</v>
      </c>
    </row>
    <row r="106" spans="1:8" x14ac:dyDescent="0.25">
      <c r="A106" s="29"/>
      <c r="B106" s="29"/>
      <c r="C106" s="29" t="s">
        <v>606</v>
      </c>
      <c r="D106" s="29" t="s">
        <v>11</v>
      </c>
      <c r="E106" s="29">
        <v>55</v>
      </c>
      <c r="F106" s="38">
        <f t="shared" si="1"/>
        <v>82500</v>
      </c>
      <c r="G106" s="38">
        <f t="shared" si="2"/>
        <v>27500</v>
      </c>
      <c r="H106" s="38">
        <f t="shared" si="3"/>
        <v>55000</v>
      </c>
    </row>
    <row r="107" spans="1:8" x14ac:dyDescent="0.25">
      <c r="A107" s="29"/>
      <c r="B107" s="29"/>
      <c r="C107" s="29" t="s">
        <v>606</v>
      </c>
      <c r="D107" s="29" t="s">
        <v>11</v>
      </c>
      <c r="E107" s="29">
        <v>60</v>
      </c>
      <c r="F107" s="38">
        <f t="shared" si="1"/>
        <v>90000</v>
      </c>
      <c r="G107" s="38">
        <f t="shared" si="2"/>
        <v>30000</v>
      </c>
      <c r="H107" s="38">
        <f t="shared" si="3"/>
        <v>60000</v>
      </c>
    </row>
    <row r="108" spans="1:8" x14ac:dyDescent="0.25">
      <c r="A108" s="29"/>
      <c r="B108" s="29"/>
      <c r="C108" s="29" t="s">
        <v>606</v>
      </c>
      <c r="D108" s="29" t="s">
        <v>11</v>
      </c>
      <c r="E108" s="29">
        <v>19</v>
      </c>
      <c r="F108" s="38">
        <f t="shared" si="1"/>
        <v>28500</v>
      </c>
      <c r="G108" s="38">
        <f t="shared" si="2"/>
        <v>9500</v>
      </c>
      <c r="H108" s="38">
        <f t="shared" si="3"/>
        <v>19000</v>
      </c>
    </row>
    <row r="109" spans="1:8" x14ac:dyDescent="0.25">
      <c r="A109" s="29"/>
      <c r="B109" s="29"/>
      <c r="C109" s="29" t="s">
        <v>16</v>
      </c>
      <c r="D109" s="29" t="s">
        <v>11</v>
      </c>
      <c r="E109" s="29">
        <v>63</v>
      </c>
      <c r="F109" s="38">
        <f t="shared" si="1"/>
        <v>94500</v>
      </c>
      <c r="G109" s="38">
        <f t="shared" si="2"/>
        <v>31500</v>
      </c>
      <c r="H109" s="38">
        <f t="shared" si="3"/>
        <v>63000</v>
      </c>
    </row>
    <row r="110" spans="1:8" hidden="1" x14ac:dyDescent="0.25">
      <c r="A110" s="29"/>
      <c r="B110" s="29"/>
      <c r="C110" s="29"/>
      <c r="D110" s="29" t="s">
        <v>12</v>
      </c>
      <c r="E110" s="29">
        <v>4</v>
      </c>
      <c r="F110" s="38">
        <f>E110*3000</f>
        <v>12000</v>
      </c>
      <c r="G110" s="38">
        <v>8000</v>
      </c>
      <c r="H110" s="38">
        <f t="shared" si="3"/>
        <v>4000</v>
      </c>
    </row>
    <row r="111" spans="1:8" hidden="1" x14ac:dyDescent="0.25">
      <c r="A111" s="29"/>
      <c r="B111" s="29"/>
      <c r="C111" s="29"/>
      <c r="D111" s="29" t="s">
        <v>13</v>
      </c>
      <c r="E111" s="29">
        <v>1</v>
      </c>
      <c r="F111" s="38">
        <f>E111*6500</f>
        <v>6500</v>
      </c>
      <c r="G111" s="38">
        <f>E111*4500</f>
        <v>4500</v>
      </c>
      <c r="H111" s="38">
        <f>E111*2000</f>
        <v>2000</v>
      </c>
    </row>
    <row r="112" spans="1:8" hidden="1" x14ac:dyDescent="0.25">
      <c r="A112" s="29"/>
      <c r="B112" s="29"/>
      <c r="C112" s="29"/>
      <c r="D112" s="29" t="s">
        <v>14</v>
      </c>
      <c r="E112" s="29">
        <v>1</v>
      </c>
      <c r="F112" s="38">
        <f>E112*1000</f>
        <v>1000</v>
      </c>
      <c r="G112" s="38">
        <f>E112*5500</f>
        <v>5500</v>
      </c>
      <c r="H112" s="38">
        <f>E112*4500</f>
        <v>4500</v>
      </c>
    </row>
    <row r="113" spans="1:8" x14ac:dyDescent="0.25">
      <c r="A113" s="29"/>
      <c r="B113" s="29"/>
      <c r="C113" s="29" t="s">
        <v>217</v>
      </c>
      <c r="D113" s="29" t="s">
        <v>11</v>
      </c>
      <c r="E113" s="29">
        <v>13</v>
      </c>
      <c r="F113" s="38">
        <f>E113*1500</f>
        <v>19500</v>
      </c>
      <c r="G113" s="38">
        <f>E113*500</f>
        <v>6500</v>
      </c>
      <c r="H113" s="38">
        <v>13000</v>
      </c>
    </row>
    <row r="114" spans="1:8" hidden="1" x14ac:dyDescent="0.25">
      <c r="A114" s="29"/>
      <c r="B114" s="29"/>
      <c r="C114" s="29"/>
      <c r="D114" s="29" t="s">
        <v>13</v>
      </c>
      <c r="E114" s="29">
        <v>15</v>
      </c>
      <c r="F114" s="38">
        <f>E114*6500</f>
        <v>97500</v>
      </c>
      <c r="G114" s="38">
        <f>E114*4500</f>
        <v>67500</v>
      </c>
      <c r="H114" s="38">
        <f>E114*2000</f>
        <v>30000</v>
      </c>
    </row>
    <row r="115" spans="1:8" hidden="1" x14ac:dyDescent="0.25">
      <c r="A115" s="29"/>
      <c r="B115" s="29"/>
      <c r="C115" s="29"/>
      <c r="D115" s="29" t="s">
        <v>14</v>
      </c>
      <c r="E115" s="29">
        <v>3</v>
      </c>
      <c r="F115" s="38">
        <f>E115*8000</f>
        <v>24000</v>
      </c>
      <c r="G115" s="38">
        <f>E115*5500</f>
        <v>16500</v>
      </c>
      <c r="H115" s="38">
        <f>E115*2500</f>
        <v>7500</v>
      </c>
    </row>
    <row r="116" spans="1:8" hidden="1" x14ac:dyDescent="0.25">
      <c r="A116" s="29"/>
      <c r="B116" s="29"/>
      <c r="C116" s="29"/>
      <c r="D116" s="29" t="s">
        <v>14</v>
      </c>
      <c r="E116" s="29">
        <v>8</v>
      </c>
      <c r="F116" s="38">
        <f>E116*10000</f>
        <v>80000</v>
      </c>
      <c r="G116" s="38">
        <f>E116*5500</f>
        <v>44000</v>
      </c>
      <c r="H116" s="38">
        <f>E116*4500</f>
        <v>36000</v>
      </c>
    </row>
    <row r="117" spans="1:8" hidden="1" x14ac:dyDescent="0.25">
      <c r="A117" s="29"/>
      <c r="B117" s="29"/>
      <c r="C117" s="29"/>
      <c r="D117" s="29" t="s">
        <v>425</v>
      </c>
      <c r="E117" s="29">
        <v>8</v>
      </c>
      <c r="F117" s="38">
        <f>E117*2000</f>
        <v>16000</v>
      </c>
      <c r="G117" s="38">
        <v>8000</v>
      </c>
      <c r="H117" s="38">
        <v>8000</v>
      </c>
    </row>
    <row r="118" spans="1:8" hidden="1" x14ac:dyDescent="0.25">
      <c r="A118" s="29"/>
      <c r="B118" s="29"/>
      <c r="C118" s="29"/>
      <c r="D118" s="29" t="s">
        <v>415</v>
      </c>
      <c r="E118" s="29">
        <v>1</v>
      </c>
      <c r="F118" s="38">
        <v>5000</v>
      </c>
      <c r="G118" s="38">
        <v>2500</v>
      </c>
      <c r="H118" s="38">
        <v>2500</v>
      </c>
    </row>
    <row r="119" spans="1:8" hidden="1" x14ac:dyDescent="0.25">
      <c r="A119" s="131" t="s">
        <v>17</v>
      </c>
      <c r="B119" s="132"/>
      <c r="C119" s="132"/>
      <c r="D119" s="133"/>
      <c r="E119" s="17">
        <f>SUM(E98:E118)</f>
        <v>569</v>
      </c>
      <c r="F119" s="17">
        <f>SUM(F98:F118)</f>
        <v>1051000</v>
      </c>
      <c r="G119" s="17">
        <f>SUM(G98:G118)</f>
        <v>420500</v>
      </c>
      <c r="H119" s="17">
        <f>SUM(H98:H118)</f>
        <v>639500</v>
      </c>
    </row>
    <row r="120" spans="1:8" x14ac:dyDescent="0.25">
      <c r="A120" s="29" t="s">
        <v>22</v>
      </c>
      <c r="B120" s="37">
        <v>45175</v>
      </c>
      <c r="C120" s="29" t="s">
        <v>338</v>
      </c>
      <c r="D120" s="29" t="s">
        <v>11</v>
      </c>
      <c r="E120" s="29">
        <v>43</v>
      </c>
      <c r="F120" s="38">
        <f>E120*1800</f>
        <v>77400</v>
      </c>
      <c r="G120" s="38">
        <f>E120*500</f>
        <v>21500</v>
      </c>
      <c r="H120" s="38">
        <f>E120*1300</f>
        <v>55900</v>
      </c>
    </row>
    <row r="121" spans="1:8" x14ac:dyDescent="0.25">
      <c r="A121" s="29"/>
      <c r="B121" s="29"/>
      <c r="C121" s="29" t="s">
        <v>572</v>
      </c>
      <c r="D121" s="29" t="s">
        <v>11</v>
      </c>
      <c r="E121" s="29">
        <v>89</v>
      </c>
      <c r="F121" s="38">
        <f>E121*1700</f>
        <v>151300</v>
      </c>
      <c r="G121" s="38">
        <f>E121*500</f>
        <v>44500</v>
      </c>
      <c r="H121" s="38">
        <f>E121*1200</f>
        <v>106800</v>
      </c>
    </row>
    <row r="122" spans="1:8" x14ac:dyDescent="0.25">
      <c r="A122" s="29"/>
      <c r="B122" s="29"/>
      <c r="C122" s="29" t="s">
        <v>571</v>
      </c>
      <c r="D122" s="29" t="s">
        <v>11</v>
      </c>
      <c r="E122" s="29">
        <v>16</v>
      </c>
      <c r="F122" s="38">
        <f>E122*1700</f>
        <v>27200</v>
      </c>
      <c r="G122" s="38">
        <f>E122*500</f>
        <v>8000</v>
      </c>
      <c r="H122" s="38">
        <f>E122*1200</f>
        <v>19200</v>
      </c>
    </row>
    <row r="123" spans="1:8" x14ac:dyDescent="0.25">
      <c r="A123" s="29"/>
      <c r="B123" s="29"/>
      <c r="C123" s="29" t="s">
        <v>209</v>
      </c>
      <c r="D123" s="29" t="s">
        <v>11</v>
      </c>
      <c r="E123" s="29">
        <v>25</v>
      </c>
      <c r="F123" s="38">
        <f>E123*1500</f>
        <v>37500</v>
      </c>
      <c r="G123" s="38">
        <f>E123*500</f>
        <v>12500</v>
      </c>
      <c r="H123" s="38">
        <f>E123*1000</f>
        <v>25000</v>
      </c>
    </row>
    <row r="124" spans="1:8" x14ac:dyDescent="0.25">
      <c r="A124" s="29"/>
      <c r="B124" s="29"/>
      <c r="C124" s="29" t="s">
        <v>16</v>
      </c>
      <c r="D124" s="29" t="s">
        <v>11</v>
      </c>
      <c r="E124" s="29">
        <v>59</v>
      </c>
      <c r="F124" s="38">
        <f>E124*1500</f>
        <v>88500</v>
      </c>
      <c r="G124" s="38">
        <f>E124*500</f>
        <v>29500</v>
      </c>
      <c r="H124" s="38">
        <f>E124*1000</f>
        <v>59000</v>
      </c>
    </row>
    <row r="125" spans="1:8" hidden="1" x14ac:dyDescent="0.25">
      <c r="A125" s="29"/>
      <c r="B125" s="29"/>
      <c r="C125" s="29"/>
      <c r="D125" s="29" t="s">
        <v>12</v>
      </c>
      <c r="E125" s="29">
        <v>4</v>
      </c>
      <c r="F125" s="38">
        <f>E125*3000</f>
        <v>12000</v>
      </c>
      <c r="G125" s="38">
        <v>8000</v>
      </c>
      <c r="H125" s="38">
        <v>4000</v>
      </c>
    </row>
    <row r="126" spans="1:8" hidden="1" x14ac:dyDescent="0.25">
      <c r="A126" s="29"/>
      <c r="B126" s="29"/>
      <c r="C126" s="29"/>
      <c r="D126" s="29" t="s">
        <v>13</v>
      </c>
      <c r="E126" s="29">
        <v>2</v>
      </c>
      <c r="F126" s="38">
        <f>E126*6500</f>
        <v>13000</v>
      </c>
      <c r="G126" s="38">
        <f>E126*4500</f>
        <v>9000</v>
      </c>
      <c r="H126" s="38">
        <f>E126*2000</f>
        <v>4000</v>
      </c>
    </row>
    <row r="127" spans="1:8" hidden="1" x14ac:dyDescent="0.25">
      <c r="A127" s="29"/>
      <c r="B127" s="29"/>
      <c r="C127" s="29"/>
      <c r="D127" s="29" t="s">
        <v>14</v>
      </c>
      <c r="E127" s="29">
        <v>2</v>
      </c>
      <c r="F127" s="38">
        <f>E127*10000</f>
        <v>20000</v>
      </c>
      <c r="G127" s="38">
        <f>E127*5500</f>
        <v>11000</v>
      </c>
      <c r="H127" s="38">
        <f>E127*4500</f>
        <v>9000</v>
      </c>
    </row>
    <row r="128" spans="1:8" hidden="1" x14ac:dyDescent="0.25">
      <c r="A128" s="29"/>
      <c r="B128" s="29"/>
      <c r="C128" s="29" t="s">
        <v>217</v>
      </c>
      <c r="D128" s="29" t="s">
        <v>13</v>
      </c>
      <c r="E128" s="29">
        <v>1</v>
      </c>
      <c r="F128" s="38">
        <v>6500</v>
      </c>
      <c r="G128" s="38">
        <v>4500</v>
      </c>
      <c r="H128" s="38">
        <v>2000</v>
      </c>
    </row>
    <row r="129" spans="1:8" hidden="1" x14ac:dyDescent="0.25">
      <c r="A129" s="29"/>
      <c r="B129" s="29"/>
      <c r="C129" s="29"/>
      <c r="D129" s="29" t="s">
        <v>14</v>
      </c>
      <c r="E129" s="29">
        <v>1</v>
      </c>
      <c r="F129" s="38">
        <v>8000</v>
      </c>
      <c r="G129" s="38">
        <v>5500</v>
      </c>
      <c r="H129" s="38">
        <v>2500</v>
      </c>
    </row>
    <row r="130" spans="1:8" hidden="1" x14ac:dyDescent="0.25">
      <c r="A130" s="29"/>
      <c r="B130" s="29"/>
      <c r="C130" s="29"/>
      <c r="D130" s="29" t="s">
        <v>425</v>
      </c>
      <c r="E130" s="29">
        <v>10</v>
      </c>
      <c r="F130" s="38">
        <f>E130*2000</f>
        <v>20000</v>
      </c>
      <c r="G130" s="38">
        <v>10000</v>
      </c>
      <c r="H130" s="38">
        <v>10000</v>
      </c>
    </row>
    <row r="131" spans="1:8" hidden="1" x14ac:dyDescent="0.25">
      <c r="A131" s="29"/>
      <c r="B131" s="29"/>
      <c r="C131" s="29" t="s">
        <v>24</v>
      </c>
      <c r="D131" s="29" t="s">
        <v>243</v>
      </c>
      <c r="E131" s="29">
        <v>2</v>
      </c>
      <c r="F131" s="38">
        <f>E131*15000</f>
        <v>30000</v>
      </c>
      <c r="G131" s="38">
        <f>E131*10000</f>
        <v>20000</v>
      </c>
      <c r="H131" s="38">
        <v>10000</v>
      </c>
    </row>
    <row r="132" spans="1:8" hidden="1" x14ac:dyDescent="0.25">
      <c r="A132" s="131" t="s">
        <v>17</v>
      </c>
      <c r="B132" s="132"/>
      <c r="C132" s="132"/>
      <c r="D132" s="133"/>
      <c r="E132" s="17">
        <f>SUM(E120:E131)</f>
        <v>254</v>
      </c>
      <c r="F132" s="17">
        <f>SUM(F120:F131)</f>
        <v>491400</v>
      </c>
      <c r="G132" s="17">
        <f>SUM(G120:G131)</f>
        <v>184000</v>
      </c>
      <c r="H132" s="17">
        <f>SUM(H120:H131)</f>
        <v>307400</v>
      </c>
    </row>
    <row r="133" spans="1:8" x14ac:dyDescent="0.25">
      <c r="A133" s="29" t="s">
        <v>26</v>
      </c>
      <c r="B133" s="37">
        <v>45205</v>
      </c>
      <c r="C133" s="29" t="s">
        <v>16</v>
      </c>
      <c r="D133" s="29" t="s">
        <v>11</v>
      </c>
      <c r="E133" s="29">
        <v>47</v>
      </c>
      <c r="F133" s="38">
        <f>E133*1500</f>
        <v>70500</v>
      </c>
      <c r="G133" s="38">
        <f>E133*500</f>
        <v>23500</v>
      </c>
      <c r="H133" s="38">
        <v>47000</v>
      </c>
    </row>
    <row r="134" spans="1:8" hidden="1" x14ac:dyDescent="0.25">
      <c r="A134" s="29"/>
      <c r="B134" s="29"/>
      <c r="C134" s="29"/>
      <c r="D134" s="29" t="s">
        <v>12</v>
      </c>
      <c r="E134" s="29">
        <v>11</v>
      </c>
      <c r="F134" s="38">
        <f>E134*3000</f>
        <v>33000</v>
      </c>
      <c r="G134" s="38">
        <f>E134*2000</f>
        <v>22000</v>
      </c>
      <c r="H134" s="38">
        <v>11000</v>
      </c>
    </row>
    <row r="135" spans="1:8" hidden="1" x14ac:dyDescent="0.25">
      <c r="A135" s="29"/>
      <c r="B135" s="29"/>
      <c r="C135" s="29"/>
      <c r="D135" s="29" t="s">
        <v>13</v>
      </c>
      <c r="E135" s="29">
        <v>2</v>
      </c>
      <c r="F135" s="38">
        <f>E135*6500</f>
        <v>13000</v>
      </c>
      <c r="G135" s="38">
        <f>E135*4500</f>
        <v>9000</v>
      </c>
      <c r="H135" s="38">
        <f>E135*2000</f>
        <v>4000</v>
      </c>
    </row>
    <row r="136" spans="1:8" hidden="1" x14ac:dyDescent="0.25">
      <c r="A136" s="29"/>
      <c r="B136" s="29"/>
      <c r="C136" s="29"/>
      <c r="D136" s="29" t="s">
        <v>14</v>
      </c>
      <c r="E136" s="29">
        <v>1</v>
      </c>
      <c r="F136" s="38">
        <v>10000</v>
      </c>
      <c r="G136" s="38">
        <v>5500</v>
      </c>
      <c r="H136" s="38">
        <v>4500</v>
      </c>
    </row>
    <row r="137" spans="1:8" hidden="1" x14ac:dyDescent="0.25">
      <c r="A137" s="29"/>
      <c r="B137" s="29"/>
      <c r="C137" s="29"/>
      <c r="D137" s="29" t="s">
        <v>243</v>
      </c>
      <c r="E137" s="29">
        <v>1</v>
      </c>
      <c r="F137" s="38">
        <v>13000</v>
      </c>
      <c r="G137" s="38">
        <v>10000</v>
      </c>
      <c r="H137" s="38">
        <v>3000</v>
      </c>
    </row>
    <row r="138" spans="1:8" x14ac:dyDescent="0.25">
      <c r="A138" s="29"/>
      <c r="B138" s="29"/>
      <c r="C138" s="29" t="s">
        <v>217</v>
      </c>
      <c r="D138" s="29" t="s">
        <v>11</v>
      </c>
      <c r="E138" s="29">
        <v>13</v>
      </c>
      <c r="F138" s="38">
        <f>E138*1500</f>
        <v>19500</v>
      </c>
      <c r="G138" s="38">
        <f>E138*500</f>
        <v>6500</v>
      </c>
      <c r="H138" s="38">
        <v>13000</v>
      </c>
    </row>
    <row r="139" spans="1:8" hidden="1" x14ac:dyDescent="0.25">
      <c r="A139" s="29"/>
      <c r="B139" s="29"/>
      <c r="C139" s="29"/>
      <c r="D139" s="29" t="s">
        <v>13</v>
      </c>
      <c r="E139" s="29">
        <v>12</v>
      </c>
      <c r="F139" s="38">
        <f>E139*6500</f>
        <v>78000</v>
      </c>
      <c r="G139" s="38">
        <f>E139*4500</f>
        <v>54000</v>
      </c>
      <c r="H139" s="38">
        <f>E139*2000</f>
        <v>24000</v>
      </c>
    </row>
    <row r="140" spans="1:8" hidden="1" x14ac:dyDescent="0.25">
      <c r="A140" s="29"/>
      <c r="B140" s="29"/>
      <c r="C140" s="29"/>
      <c r="D140" s="29" t="s">
        <v>14</v>
      </c>
      <c r="E140" s="29">
        <v>10</v>
      </c>
      <c r="F140" s="38">
        <f>E140*10000</f>
        <v>100000</v>
      </c>
      <c r="G140" s="38">
        <f>E140*5500</f>
        <v>55000</v>
      </c>
      <c r="H140" s="38">
        <f>E140*4500</f>
        <v>45000</v>
      </c>
    </row>
    <row r="141" spans="1:8" hidden="1" x14ac:dyDescent="0.25">
      <c r="A141" s="29"/>
      <c r="B141" s="29"/>
      <c r="C141" s="29"/>
      <c r="D141" s="29" t="s">
        <v>415</v>
      </c>
      <c r="E141" s="29">
        <v>2</v>
      </c>
      <c r="F141" s="38">
        <f>E141*5000</f>
        <v>10000</v>
      </c>
      <c r="G141" s="38">
        <v>5000</v>
      </c>
      <c r="H141" s="38">
        <v>5000</v>
      </c>
    </row>
    <row r="142" spans="1:8" hidden="1" x14ac:dyDescent="0.25">
      <c r="A142" s="29"/>
      <c r="B142" s="29"/>
      <c r="C142" s="29"/>
      <c r="D142" s="29" t="s">
        <v>441</v>
      </c>
      <c r="E142" s="29">
        <v>1</v>
      </c>
      <c r="F142" s="38">
        <v>3000</v>
      </c>
      <c r="G142" s="38">
        <v>1500</v>
      </c>
      <c r="H142" s="38">
        <v>1500</v>
      </c>
    </row>
    <row r="143" spans="1:8" hidden="1" x14ac:dyDescent="0.25">
      <c r="A143" s="29"/>
      <c r="B143" s="29"/>
      <c r="C143" s="29"/>
      <c r="D143" s="29" t="s">
        <v>404</v>
      </c>
      <c r="E143" s="29">
        <v>4</v>
      </c>
      <c r="F143" s="38">
        <f>E143*2000</f>
        <v>8000</v>
      </c>
      <c r="G143" s="38">
        <v>4000</v>
      </c>
      <c r="H143" s="38">
        <v>4000</v>
      </c>
    </row>
    <row r="144" spans="1:8" hidden="1" x14ac:dyDescent="0.25">
      <c r="A144" s="29"/>
      <c r="B144" s="29"/>
      <c r="C144" s="29"/>
      <c r="D144" s="29" t="s">
        <v>432</v>
      </c>
      <c r="E144" s="29">
        <v>1</v>
      </c>
      <c r="F144" s="38">
        <v>5000</v>
      </c>
      <c r="G144" s="38">
        <v>2500</v>
      </c>
      <c r="H144" s="38">
        <v>2500</v>
      </c>
    </row>
    <row r="145" spans="1:8" x14ac:dyDescent="0.25">
      <c r="A145" s="29"/>
      <c r="B145" s="29"/>
      <c r="C145" s="29" t="s">
        <v>217</v>
      </c>
      <c r="D145" s="29" t="s">
        <v>11</v>
      </c>
      <c r="E145" s="29">
        <v>4</v>
      </c>
      <c r="F145" s="38">
        <f>E145*1500</f>
        <v>6000</v>
      </c>
      <c r="G145" s="38">
        <f>E145*500</f>
        <v>2000</v>
      </c>
      <c r="H145" s="38">
        <v>4000</v>
      </c>
    </row>
    <row r="146" spans="1:8" hidden="1" x14ac:dyDescent="0.25">
      <c r="A146" s="29"/>
      <c r="B146" s="29"/>
      <c r="C146" s="29"/>
      <c r="D146" s="29" t="s">
        <v>13</v>
      </c>
      <c r="E146" s="29">
        <v>1</v>
      </c>
      <c r="F146" s="38">
        <v>6500</v>
      </c>
      <c r="G146" s="38">
        <v>4500</v>
      </c>
      <c r="H146" s="38">
        <v>2000</v>
      </c>
    </row>
    <row r="147" spans="1:8" hidden="1" x14ac:dyDescent="0.25">
      <c r="A147" s="29"/>
      <c r="B147" s="29"/>
      <c r="C147" s="29"/>
      <c r="D147" s="29" t="s">
        <v>14</v>
      </c>
      <c r="E147" s="29">
        <v>3</v>
      </c>
      <c r="F147" s="38">
        <f>E147*10000</f>
        <v>30000</v>
      </c>
      <c r="G147" s="38">
        <f>E147*5500</f>
        <v>16500</v>
      </c>
      <c r="H147" s="38">
        <f>E147*4500</f>
        <v>13500</v>
      </c>
    </row>
    <row r="148" spans="1:8" hidden="1" x14ac:dyDescent="0.25">
      <c r="A148" s="29"/>
      <c r="B148" s="29"/>
      <c r="C148" s="29"/>
      <c r="D148" s="29" t="s">
        <v>404</v>
      </c>
      <c r="E148" s="29">
        <v>12</v>
      </c>
      <c r="F148" s="38">
        <f>E148*2000</f>
        <v>24000</v>
      </c>
      <c r="G148" s="38">
        <v>12000</v>
      </c>
      <c r="H148" s="38">
        <v>12000</v>
      </c>
    </row>
    <row r="149" spans="1:8" hidden="1" x14ac:dyDescent="0.25">
      <c r="A149" s="29"/>
      <c r="B149" s="29"/>
      <c r="C149" s="29"/>
      <c r="D149" s="29" t="s">
        <v>415</v>
      </c>
      <c r="E149" s="29">
        <v>1</v>
      </c>
      <c r="F149" s="38">
        <v>5000</v>
      </c>
      <c r="G149" s="38">
        <v>2500</v>
      </c>
      <c r="H149" s="38">
        <v>2500</v>
      </c>
    </row>
    <row r="150" spans="1:8" hidden="1" x14ac:dyDescent="0.25">
      <c r="A150" s="29"/>
      <c r="B150" s="29"/>
      <c r="C150" s="29"/>
      <c r="D150" s="29" t="s">
        <v>437</v>
      </c>
      <c r="E150" s="29">
        <v>2</v>
      </c>
      <c r="F150" s="38">
        <v>5000</v>
      </c>
      <c r="G150" s="38">
        <v>2500</v>
      </c>
      <c r="H150" s="38">
        <v>2500</v>
      </c>
    </row>
    <row r="151" spans="1:8" x14ac:dyDescent="0.25">
      <c r="A151" s="29"/>
      <c r="B151" s="29"/>
      <c r="C151" s="29" t="s">
        <v>568</v>
      </c>
      <c r="D151" s="29" t="s">
        <v>11</v>
      </c>
      <c r="E151" s="29">
        <v>30</v>
      </c>
      <c r="F151" s="38">
        <f>E151*1500</f>
        <v>45000</v>
      </c>
      <c r="G151" s="38">
        <f>E151*500</f>
        <v>15000</v>
      </c>
      <c r="H151" s="38">
        <v>30000</v>
      </c>
    </row>
    <row r="152" spans="1:8" hidden="1" x14ac:dyDescent="0.25">
      <c r="A152" s="131" t="s">
        <v>17</v>
      </c>
      <c r="B152" s="132"/>
      <c r="C152" s="132"/>
      <c r="D152" s="133"/>
      <c r="E152" s="17">
        <f>SUM(E133:E151)</f>
        <v>158</v>
      </c>
      <c r="F152" s="17">
        <f>SUM(F133:F151)</f>
        <v>484500</v>
      </c>
      <c r="G152" s="17">
        <f>SUM(G133:G151)</f>
        <v>253500</v>
      </c>
      <c r="H152" s="17">
        <f>SUM(H133:H151)</f>
        <v>231000</v>
      </c>
    </row>
    <row r="153" spans="1:8" x14ac:dyDescent="0.25">
      <c r="A153" s="29" t="s">
        <v>28</v>
      </c>
      <c r="B153" s="37">
        <v>45236</v>
      </c>
      <c r="C153" s="29" t="s">
        <v>16</v>
      </c>
      <c r="D153" s="29" t="s">
        <v>11</v>
      </c>
      <c r="E153" s="29">
        <v>64</v>
      </c>
      <c r="F153" s="38">
        <f>E153*1500</f>
        <v>96000</v>
      </c>
      <c r="G153" s="38">
        <f>E153*500</f>
        <v>32000</v>
      </c>
      <c r="H153" s="38">
        <v>64000</v>
      </c>
    </row>
    <row r="154" spans="1:8" hidden="1" x14ac:dyDescent="0.25">
      <c r="A154" s="29"/>
      <c r="B154" s="29"/>
      <c r="C154" s="29"/>
      <c r="D154" s="29" t="s">
        <v>12</v>
      </c>
      <c r="E154" s="29">
        <v>9</v>
      </c>
      <c r="F154" s="38">
        <f>E154*3000</f>
        <v>27000</v>
      </c>
      <c r="G154" s="38">
        <f>E154*2000</f>
        <v>18000</v>
      </c>
      <c r="H154" s="38">
        <v>9000</v>
      </c>
    </row>
    <row r="155" spans="1:8" hidden="1" x14ac:dyDescent="0.25">
      <c r="A155" s="29"/>
      <c r="B155" s="29"/>
      <c r="C155" s="29"/>
      <c r="D155" s="29" t="s">
        <v>13</v>
      </c>
      <c r="E155" s="29">
        <v>3</v>
      </c>
      <c r="F155" s="38">
        <f>E155*6500</f>
        <v>19500</v>
      </c>
      <c r="G155" s="38">
        <f>E155*4500</f>
        <v>13500</v>
      </c>
      <c r="H155" s="38">
        <f>E155*2000</f>
        <v>6000</v>
      </c>
    </row>
    <row r="156" spans="1:8" hidden="1" x14ac:dyDescent="0.25">
      <c r="A156" s="29"/>
      <c r="B156" s="29"/>
      <c r="C156" s="29"/>
      <c r="D156" s="29" t="s">
        <v>14</v>
      </c>
      <c r="E156" s="29">
        <v>2</v>
      </c>
      <c r="F156" s="38">
        <f>E156*10000</f>
        <v>20000</v>
      </c>
      <c r="G156" s="38">
        <f>E156*5500</f>
        <v>11000</v>
      </c>
      <c r="H156" s="38">
        <f>E156*4500</f>
        <v>9000</v>
      </c>
    </row>
    <row r="157" spans="1:8" x14ac:dyDescent="0.25">
      <c r="A157" s="29"/>
      <c r="B157" s="29"/>
      <c r="C157" s="29" t="s">
        <v>217</v>
      </c>
      <c r="D157" s="29" t="s">
        <v>11</v>
      </c>
      <c r="E157" s="29">
        <v>6</v>
      </c>
      <c r="F157" s="38">
        <f>E157*1500</f>
        <v>9000</v>
      </c>
      <c r="G157" s="38">
        <f>E157*500</f>
        <v>3000</v>
      </c>
      <c r="H157" s="38">
        <f>E157*1000</f>
        <v>6000</v>
      </c>
    </row>
    <row r="158" spans="1:8" hidden="1" x14ac:dyDescent="0.25">
      <c r="A158" s="29"/>
      <c r="B158" s="29"/>
      <c r="C158" s="29"/>
      <c r="D158" s="29" t="s">
        <v>13</v>
      </c>
      <c r="E158" s="29">
        <v>20</v>
      </c>
      <c r="F158" s="38">
        <f>E158*6500</f>
        <v>130000</v>
      </c>
      <c r="G158" s="38">
        <f>E158*4500</f>
        <v>90000</v>
      </c>
      <c r="H158" s="38">
        <f>E158*2000</f>
        <v>40000</v>
      </c>
    </row>
    <row r="159" spans="1:8" hidden="1" x14ac:dyDescent="0.25">
      <c r="A159" s="29"/>
      <c r="B159" s="29"/>
      <c r="C159" s="29"/>
      <c r="D159" s="29" t="s">
        <v>14</v>
      </c>
      <c r="E159" s="29">
        <v>3</v>
      </c>
      <c r="F159" s="38">
        <f>E159*8000</f>
        <v>24000</v>
      </c>
      <c r="G159" s="38">
        <f>E159*5500</f>
        <v>16500</v>
      </c>
      <c r="H159" s="38">
        <f>E159*2500</f>
        <v>7500</v>
      </c>
    </row>
    <row r="160" spans="1:8" hidden="1" x14ac:dyDescent="0.25">
      <c r="A160" s="29"/>
      <c r="B160" s="29"/>
      <c r="C160" s="29"/>
      <c r="D160" s="29" t="s">
        <v>14</v>
      </c>
      <c r="E160" s="29">
        <v>10</v>
      </c>
      <c r="F160" s="38">
        <f>E160*10000</f>
        <v>100000</v>
      </c>
      <c r="G160" s="38">
        <f>E160*5500</f>
        <v>55000</v>
      </c>
      <c r="H160" s="38">
        <f>E160*4500</f>
        <v>45000</v>
      </c>
    </row>
    <row r="161" spans="1:8" hidden="1" x14ac:dyDescent="0.25">
      <c r="A161" s="29"/>
      <c r="B161" s="29"/>
      <c r="C161" s="29"/>
      <c r="D161" s="29" t="s">
        <v>415</v>
      </c>
      <c r="E161" s="29">
        <v>1</v>
      </c>
      <c r="F161" s="38">
        <v>5000</v>
      </c>
      <c r="G161" s="38">
        <v>2500</v>
      </c>
      <c r="H161" s="38">
        <v>2500</v>
      </c>
    </row>
    <row r="162" spans="1:8" hidden="1" x14ac:dyDescent="0.25">
      <c r="A162" s="29"/>
      <c r="B162" s="29"/>
      <c r="C162" s="29"/>
      <c r="D162" s="29" t="s">
        <v>424</v>
      </c>
      <c r="E162" s="29">
        <v>1</v>
      </c>
      <c r="F162" s="38">
        <v>5000</v>
      </c>
      <c r="G162" s="38">
        <v>2500</v>
      </c>
      <c r="H162" s="38">
        <v>2500</v>
      </c>
    </row>
    <row r="163" spans="1:8" x14ac:dyDescent="0.25">
      <c r="A163" s="29"/>
      <c r="B163" s="29"/>
      <c r="C163" s="29" t="s">
        <v>217</v>
      </c>
      <c r="D163" s="29" t="s">
        <v>11</v>
      </c>
      <c r="E163" s="29">
        <v>11</v>
      </c>
      <c r="F163" s="38">
        <f>E163*1500</f>
        <v>16500</v>
      </c>
      <c r="G163" s="38">
        <f>E163*500</f>
        <v>5500</v>
      </c>
      <c r="H163" s="38">
        <f>E163*1000</f>
        <v>11000</v>
      </c>
    </row>
    <row r="164" spans="1:8" hidden="1" x14ac:dyDescent="0.25">
      <c r="A164" s="29"/>
      <c r="B164" s="29"/>
      <c r="C164" s="29"/>
      <c r="D164" s="29" t="s">
        <v>13</v>
      </c>
      <c r="E164" s="29">
        <v>2</v>
      </c>
      <c r="F164" s="38">
        <f>E164*6500</f>
        <v>13000</v>
      </c>
      <c r="G164" s="38">
        <f>E164*4500</f>
        <v>9000</v>
      </c>
      <c r="H164" s="38">
        <f>E164*2000</f>
        <v>4000</v>
      </c>
    </row>
    <row r="165" spans="1:8" hidden="1" x14ac:dyDescent="0.25">
      <c r="A165" s="29"/>
      <c r="B165" s="29"/>
      <c r="C165" s="29"/>
      <c r="D165" s="29" t="s">
        <v>14</v>
      </c>
      <c r="E165" s="29">
        <v>1</v>
      </c>
      <c r="F165" s="38">
        <v>8000</v>
      </c>
      <c r="G165" s="38">
        <v>5500</v>
      </c>
      <c r="H165" s="38">
        <v>2500</v>
      </c>
    </row>
    <row r="166" spans="1:8" hidden="1" x14ac:dyDescent="0.25">
      <c r="A166" s="29"/>
      <c r="B166" s="29"/>
      <c r="C166" s="29"/>
      <c r="D166" s="29"/>
      <c r="E166" s="29">
        <v>3</v>
      </c>
      <c r="F166" s="38">
        <f>E166*10000</f>
        <v>30000</v>
      </c>
      <c r="G166" s="38">
        <f>E166*5500</f>
        <v>16500</v>
      </c>
      <c r="H166" s="38">
        <f>E166*4500</f>
        <v>13500</v>
      </c>
    </row>
    <row r="167" spans="1:8" hidden="1" x14ac:dyDescent="0.25">
      <c r="A167" s="29"/>
      <c r="B167" s="29"/>
      <c r="C167" s="29"/>
      <c r="D167" s="29" t="s">
        <v>607</v>
      </c>
      <c r="E167" s="29">
        <v>5</v>
      </c>
      <c r="F167" s="38">
        <f>E167*2000</f>
        <v>10000</v>
      </c>
      <c r="G167" s="38">
        <v>5000</v>
      </c>
      <c r="H167" s="38">
        <v>5000</v>
      </c>
    </row>
    <row r="168" spans="1:8" hidden="1" x14ac:dyDescent="0.25">
      <c r="A168" s="29"/>
      <c r="B168" s="29"/>
      <c r="C168" s="29"/>
      <c r="D168" s="29" t="s">
        <v>420</v>
      </c>
      <c r="E168" s="29">
        <v>1</v>
      </c>
      <c r="F168" s="38">
        <v>5000</v>
      </c>
      <c r="G168" s="38">
        <v>2500</v>
      </c>
      <c r="H168" s="38">
        <v>2500</v>
      </c>
    </row>
    <row r="169" spans="1:8" hidden="1" x14ac:dyDescent="0.25">
      <c r="A169" s="29"/>
      <c r="B169" s="29"/>
      <c r="C169" s="29"/>
      <c r="D169" s="29" t="s">
        <v>441</v>
      </c>
      <c r="E169" s="29">
        <v>1</v>
      </c>
      <c r="F169" s="38">
        <v>3000</v>
      </c>
      <c r="G169" s="38">
        <v>1500</v>
      </c>
      <c r="H169" s="38">
        <v>1500</v>
      </c>
    </row>
    <row r="170" spans="1:8" x14ac:dyDescent="0.25">
      <c r="A170" s="29"/>
      <c r="B170" s="29"/>
      <c r="C170" s="29" t="s">
        <v>20</v>
      </c>
      <c r="D170" s="29" t="s">
        <v>11</v>
      </c>
      <c r="E170" s="29">
        <v>15</v>
      </c>
      <c r="F170" s="38">
        <f>E170*1500</f>
        <v>22500</v>
      </c>
      <c r="G170" s="38">
        <f>E170*500</f>
        <v>7500</v>
      </c>
      <c r="H170" s="38">
        <v>15000</v>
      </c>
    </row>
    <row r="171" spans="1:8" hidden="1" x14ac:dyDescent="0.25">
      <c r="A171" s="29"/>
      <c r="B171" s="29"/>
      <c r="C171" s="29"/>
      <c r="D171" s="29" t="s">
        <v>13</v>
      </c>
      <c r="E171" s="29">
        <v>28</v>
      </c>
      <c r="F171" s="38">
        <f>E171*6500</f>
        <v>182000</v>
      </c>
      <c r="G171" s="38">
        <f>E171*4500</f>
        <v>126000</v>
      </c>
      <c r="H171" s="38">
        <f>E171*2000</f>
        <v>56000</v>
      </c>
    </row>
    <row r="172" spans="1:8" hidden="1" x14ac:dyDescent="0.25">
      <c r="A172" s="29"/>
      <c r="B172" s="29"/>
      <c r="C172" s="29"/>
      <c r="D172" s="29" t="s">
        <v>14</v>
      </c>
      <c r="E172" s="29">
        <v>27</v>
      </c>
      <c r="F172" s="38">
        <f>E172*10000</f>
        <v>270000</v>
      </c>
      <c r="G172" s="38">
        <f>E172*5500</f>
        <v>148500</v>
      </c>
      <c r="H172" s="38">
        <f>E172*4500</f>
        <v>121500</v>
      </c>
    </row>
    <row r="173" spans="1:8" hidden="1" x14ac:dyDescent="0.25">
      <c r="A173" s="29"/>
      <c r="B173" s="29"/>
      <c r="C173" s="29"/>
      <c r="D173" s="29" t="s">
        <v>404</v>
      </c>
      <c r="E173" s="29">
        <v>4</v>
      </c>
      <c r="F173" s="38">
        <f>E173*2000</f>
        <v>8000</v>
      </c>
      <c r="G173" s="38">
        <v>4000</v>
      </c>
      <c r="H173" s="38">
        <v>4000</v>
      </c>
    </row>
    <row r="174" spans="1:8" hidden="1" x14ac:dyDescent="0.25">
      <c r="A174" s="29"/>
      <c r="B174" s="29"/>
      <c r="C174" s="29"/>
      <c r="D174" s="29" t="s">
        <v>437</v>
      </c>
      <c r="E174" s="29">
        <v>2</v>
      </c>
      <c r="F174" s="38">
        <f>E174*5000</f>
        <v>10000</v>
      </c>
      <c r="G174" s="38">
        <v>5000</v>
      </c>
      <c r="H174" s="38">
        <v>5000</v>
      </c>
    </row>
    <row r="175" spans="1:8" hidden="1" x14ac:dyDescent="0.25">
      <c r="A175" s="131" t="s">
        <v>17</v>
      </c>
      <c r="B175" s="132"/>
      <c r="C175" s="132"/>
      <c r="D175" s="133"/>
      <c r="E175" s="17">
        <f>SUM(E153:E174)</f>
        <v>219</v>
      </c>
      <c r="F175" s="17">
        <f>SUM(F153:F174)</f>
        <v>1013500</v>
      </c>
      <c r="G175" s="17">
        <f>SUM(G153:G174)</f>
        <v>580500</v>
      </c>
      <c r="H175" s="17">
        <f>SUM(H153:H174)</f>
        <v>433000</v>
      </c>
    </row>
    <row r="176" spans="1:8" x14ac:dyDescent="0.25">
      <c r="A176" s="29" t="s">
        <v>30</v>
      </c>
      <c r="B176" s="37">
        <v>45266</v>
      </c>
      <c r="C176" s="29" t="s">
        <v>338</v>
      </c>
      <c r="D176" s="29" t="s">
        <v>11</v>
      </c>
      <c r="E176" s="29">
        <v>75</v>
      </c>
      <c r="F176" s="38">
        <f>E176*1800</f>
        <v>135000</v>
      </c>
      <c r="G176" s="38">
        <f t="shared" ref="G176:G181" si="4">E176*500</f>
        <v>37500</v>
      </c>
      <c r="H176" s="38">
        <f>E176*1300</f>
        <v>97500</v>
      </c>
    </row>
    <row r="177" spans="1:8" x14ac:dyDescent="0.25">
      <c r="A177" s="29"/>
      <c r="B177" s="29"/>
      <c r="C177" s="29" t="s">
        <v>306</v>
      </c>
      <c r="D177" s="29" t="s">
        <v>11</v>
      </c>
      <c r="E177" s="29">
        <v>14</v>
      </c>
      <c r="F177" s="38">
        <f>E177*1800</f>
        <v>25200</v>
      </c>
      <c r="G177" s="38">
        <f t="shared" si="4"/>
        <v>7000</v>
      </c>
      <c r="H177" s="38">
        <f>E177*1300</f>
        <v>18200</v>
      </c>
    </row>
    <row r="178" spans="1:8" x14ac:dyDescent="0.25">
      <c r="A178" s="29"/>
      <c r="B178" s="29"/>
      <c r="C178" s="29" t="s">
        <v>572</v>
      </c>
      <c r="D178" s="29" t="s">
        <v>11</v>
      </c>
      <c r="E178" s="29">
        <v>41</v>
      </c>
      <c r="F178" s="38">
        <f>E178*1700</f>
        <v>69700</v>
      </c>
      <c r="G178" s="38">
        <f t="shared" si="4"/>
        <v>20500</v>
      </c>
      <c r="H178" s="38">
        <f>E178*1200</f>
        <v>49200</v>
      </c>
    </row>
    <row r="179" spans="1:8" x14ac:dyDescent="0.25">
      <c r="A179" s="29"/>
      <c r="B179" s="29"/>
      <c r="C179" s="29" t="s">
        <v>571</v>
      </c>
      <c r="D179" s="29" t="s">
        <v>11</v>
      </c>
      <c r="E179" s="29">
        <v>21</v>
      </c>
      <c r="F179" s="38">
        <f>E179*1700</f>
        <v>35700</v>
      </c>
      <c r="G179" s="38">
        <f t="shared" si="4"/>
        <v>10500</v>
      </c>
      <c r="H179" s="38">
        <f>E179*1200</f>
        <v>25200</v>
      </c>
    </row>
    <row r="180" spans="1:8" x14ac:dyDescent="0.25">
      <c r="A180" s="29"/>
      <c r="B180" s="29"/>
      <c r="C180" s="29" t="s">
        <v>209</v>
      </c>
      <c r="D180" s="29" t="s">
        <v>11</v>
      </c>
      <c r="E180" s="29">
        <f>25-14</f>
        <v>11</v>
      </c>
      <c r="F180" s="38">
        <f>E180*1500</f>
        <v>16500</v>
      </c>
      <c r="G180" s="38">
        <f t="shared" si="4"/>
        <v>5500</v>
      </c>
      <c r="H180" s="38">
        <f>E180*1000</f>
        <v>11000</v>
      </c>
    </row>
    <row r="181" spans="1:8" x14ac:dyDescent="0.25">
      <c r="A181" s="29"/>
      <c r="B181" s="29"/>
      <c r="C181" s="29" t="s">
        <v>16</v>
      </c>
      <c r="D181" s="29" t="s">
        <v>11</v>
      </c>
      <c r="E181" s="29">
        <v>32</v>
      </c>
      <c r="F181" s="38">
        <f>E181*1500</f>
        <v>48000</v>
      </c>
      <c r="G181" s="38">
        <f t="shared" si="4"/>
        <v>16000</v>
      </c>
      <c r="H181" s="38">
        <f>E181*1000</f>
        <v>32000</v>
      </c>
    </row>
    <row r="182" spans="1:8" hidden="1" x14ac:dyDescent="0.25">
      <c r="A182" s="29"/>
      <c r="B182" s="29"/>
      <c r="C182" s="29"/>
      <c r="D182" s="29" t="s">
        <v>12</v>
      </c>
      <c r="E182" s="29">
        <v>2</v>
      </c>
      <c r="F182" s="38">
        <f>E182*3000</f>
        <v>6000</v>
      </c>
      <c r="G182" s="38">
        <f>E182*2000</f>
        <v>4000</v>
      </c>
      <c r="H182" s="38">
        <v>2000</v>
      </c>
    </row>
    <row r="183" spans="1:8" x14ac:dyDescent="0.25">
      <c r="A183" s="29"/>
      <c r="B183" s="29"/>
      <c r="C183" s="29" t="s">
        <v>217</v>
      </c>
      <c r="D183" s="29" t="s">
        <v>11</v>
      </c>
      <c r="E183" s="29">
        <v>25</v>
      </c>
      <c r="F183" s="38">
        <f>E183*1500</f>
        <v>37500</v>
      </c>
      <c r="G183" s="38">
        <f>E183*500</f>
        <v>12500</v>
      </c>
      <c r="H183" s="38">
        <v>25000</v>
      </c>
    </row>
    <row r="184" spans="1:8" hidden="1" x14ac:dyDescent="0.25">
      <c r="A184" s="29"/>
      <c r="B184" s="29"/>
      <c r="C184" s="29"/>
      <c r="D184" s="29" t="s">
        <v>13</v>
      </c>
      <c r="E184" s="29">
        <v>14</v>
      </c>
      <c r="F184" s="38">
        <f>E184*6500</f>
        <v>91000</v>
      </c>
      <c r="G184" s="38">
        <f>E184*4500</f>
        <v>63000</v>
      </c>
      <c r="H184" s="38">
        <f>E184*2000</f>
        <v>28000</v>
      </c>
    </row>
    <row r="185" spans="1:8" hidden="1" x14ac:dyDescent="0.25">
      <c r="A185" s="29"/>
      <c r="B185" s="29"/>
      <c r="C185" s="29"/>
      <c r="D185" s="29" t="s">
        <v>14</v>
      </c>
      <c r="E185" s="29">
        <v>4</v>
      </c>
      <c r="F185" s="38">
        <f>E185*10000</f>
        <v>40000</v>
      </c>
      <c r="G185" s="38">
        <f>E185*5500</f>
        <v>22000</v>
      </c>
      <c r="H185" s="38">
        <f>E185*4500</f>
        <v>18000</v>
      </c>
    </row>
    <row r="186" spans="1:8" hidden="1" x14ac:dyDescent="0.25">
      <c r="A186" s="29"/>
      <c r="B186" s="29"/>
      <c r="C186" s="29"/>
      <c r="D186" s="29" t="s">
        <v>404</v>
      </c>
      <c r="E186" s="29">
        <v>9</v>
      </c>
      <c r="F186" s="38">
        <f>E186*2000</f>
        <v>18000</v>
      </c>
      <c r="G186" s="38">
        <v>9000</v>
      </c>
      <c r="H186" s="38">
        <v>9000</v>
      </c>
    </row>
    <row r="187" spans="1:8" hidden="1" x14ac:dyDescent="0.25">
      <c r="A187" s="29"/>
      <c r="B187" s="29"/>
      <c r="C187" s="29"/>
      <c r="D187" s="29" t="s">
        <v>415</v>
      </c>
      <c r="E187" s="29">
        <v>3</v>
      </c>
      <c r="F187" s="38">
        <f>E187*5000</f>
        <v>15000</v>
      </c>
      <c r="G187" s="38">
        <v>7500</v>
      </c>
      <c r="H187" s="38">
        <v>7500</v>
      </c>
    </row>
    <row r="188" spans="1:8" hidden="1" x14ac:dyDescent="0.25">
      <c r="A188" s="29"/>
      <c r="B188" s="29"/>
      <c r="C188" s="29"/>
      <c r="D188" s="29" t="s">
        <v>437</v>
      </c>
      <c r="E188" s="29">
        <v>6</v>
      </c>
      <c r="F188" s="38">
        <f>E188*5000</f>
        <v>30000</v>
      </c>
      <c r="G188" s="38">
        <v>15000</v>
      </c>
      <c r="H188" s="38">
        <v>15000</v>
      </c>
    </row>
    <row r="189" spans="1:8" hidden="1" x14ac:dyDescent="0.25">
      <c r="A189" s="131" t="s">
        <v>17</v>
      </c>
      <c r="B189" s="132"/>
      <c r="C189" s="132"/>
      <c r="D189" s="133"/>
      <c r="E189" s="17">
        <f>SUM(E176:E188)</f>
        <v>257</v>
      </c>
      <c r="F189" s="17">
        <f>SUM(F176:F188)</f>
        <v>567600</v>
      </c>
      <c r="G189" s="17">
        <f>SUM(G176:G188)</f>
        <v>230000</v>
      </c>
      <c r="H189" s="17">
        <f>SUM(H176:H188)</f>
        <v>337600</v>
      </c>
    </row>
    <row r="190" spans="1:8" x14ac:dyDescent="0.25">
      <c r="A190" s="29" t="s">
        <v>32</v>
      </c>
      <c r="B190" s="29" t="s">
        <v>608</v>
      </c>
      <c r="C190" s="29" t="s">
        <v>338</v>
      </c>
      <c r="D190" s="29" t="s">
        <v>11</v>
      </c>
      <c r="E190" s="29">
        <v>55</v>
      </c>
      <c r="F190" s="38">
        <f>E190*1800</f>
        <v>99000</v>
      </c>
      <c r="G190" s="38">
        <f>E190*500</f>
        <v>27500</v>
      </c>
      <c r="H190" s="38">
        <f>E190*1300</f>
        <v>71500</v>
      </c>
    </row>
    <row r="191" spans="1:8" x14ac:dyDescent="0.25">
      <c r="A191" s="29"/>
      <c r="B191" s="29"/>
      <c r="C191" s="29" t="s">
        <v>572</v>
      </c>
      <c r="D191" s="29" t="s">
        <v>11</v>
      </c>
      <c r="E191" s="29">
        <v>49</v>
      </c>
      <c r="F191" s="38">
        <f>E191*1700</f>
        <v>83300</v>
      </c>
      <c r="G191" s="38">
        <f>E191*500</f>
        <v>24500</v>
      </c>
      <c r="H191" s="38">
        <f>E191*1200</f>
        <v>58800</v>
      </c>
    </row>
    <row r="192" spans="1:8" x14ac:dyDescent="0.25">
      <c r="A192" s="29"/>
      <c r="B192" s="29"/>
      <c r="C192" s="29" t="s">
        <v>16</v>
      </c>
      <c r="D192" s="29" t="s">
        <v>11</v>
      </c>
      <c r="E192" s="29">
        <v>85</v>
      </c>
      <c r="F192" s="38">
        <f>E192*1500</f>
        <v>127500</v>
      </c>
      <c r="G192" s="38">
        <f>E192*500</f>
        <v>42500</v>
      </c>
      <c r="H192" s="38">
        <v>85000</v>
      </c>
    </row>
    <row r="193" spans="1:8" hidden="1" x14ac:dyDescent="0.25">
      <c r="A193" s="29"/>
      <c r="B193" s="29"/>
      <c r="C193" s="29"/>
      <c r="D193" s="29" t="s">
        <v>12</v>
      </c>
      <c r="E193" s="29">
        <v>8</v>
      </c>
      <c r="F193" s="38">
        <f>E193*3000</f>
        <v>24000</v>
      </c>
      <c r="G193" s="38">
        <f>E193*2000</f>
        <v>16000</v>
      </c>
      <c r="H193" s="38">
        <v>8000</v>
      </c>
    </row>
    <row r="194" spans="1:8" hidden="1" x14ac:dyDescent="0.25">
      <c r="A194" s="29"/>
      <c r="B194" s="29"/>
      <c r="C194" s="29"/>
      <c r="D194" s="29" t="s">
        <v>13</v>
      </c>
      <c r="E194" s="29">
        <v>1</v>
      </c>
      <c r="F194" s="38">
        <v>6500</v>
      </c>
      <c r="G194" s="38">
        <v>4500</v>
      </c>
      <c r="H194" s="38">
        <v>2000</v>
      </c>
    </row>
    <row r="195" spans="1:8" x14ac:dyDescent="0.25">
      <c r="A195" s="29"/>
      <c r="B195" s="29"/>
      <c r="C195" s="29" t="s">
        <v>217</v>
      </c>
      <c r="D195" s="29" t="s">
        <v>11</v>
      </c>
      <c r="E195" s="29">
        <v>23</v>
      </c>
      <c r="F195" s="38">
        <f>E195*1500</f>
        <v>34500</v>
      </c>
      <c r="G195" s="38">
        <f>E195*500</f>
        <v>11500</v>
      </c>
      <c r="H195" s="38">
        <f>E195*1000</f>
        <v>23000</v>
      </c>
    </row>
    <row r="196" spans="1:8" hidden="1" x14ac:dyDescent="0.25">
      <c r="A196" s="29"/>
      <c r="B196" s="29"/>
      <c r="C196" s="29"/>
      <c r="D196" s="29" t="s">
        <v>13</v>
      </c>
      <c r="E196" s="29">
        <v>8</v>
      </c>
      <c r="F196" s="38">
        <f>E196*6500</f>
        <v>52000</v>
      </c>
      <c r="G196" s="38">
        <f>E196*4500</f>
        <v>36000</v>
      </c>
      <c r="H196" s="38">
        <f>E196*2000</f>
        <v>16000</v>
      </c>
    </row>
    <row r="197" spans="1:8" hidden="1" x14ac:dyDescent="0.25">
      <c r="A197" s="29"/>
      <c r="B197" s="29"/>
      <c r="C197" s="29"/>
      <c r="D197" s="29" t="s">
        <v>14</v>
      </c>
      <c r="E197" s="29">
        <v>4</v>
      </c>
      <c r="F197" s="38">
        <f>E197*10000</f>
        <v>40000</v>
      </c>
      <c r="G197" s="38">
        <f>E197*5500</f>
        <v>22000</v>
      </c>
      <c r="H197" s="38">
        <f>E197*4500</f>
        <v>18000</v>
      </c>
    </row>
    <row r="198" spans="1:8" hidden="1" x14ac:dyDescent="0.25">
      <c r="A198" s="29"/>
      <c r="B198" s="29"/>
      <c r="C198" s="29"/>
      <c r="D198" s="29" t="s">
        <v>404</v>
      </c>
      <c r="E198" s="29">
        <v>1</v>
      </c>
      <c r="F198" s="38">
        <v>2000</v>
      </c>
      <c r="G198" s="38">
        <v>1000</v>
      </c>
      <c r="H198" s="38">
        <v>1000</v>
      </c>
    </row>
    <row r="199" spans="1:8" hidden="1" x14ac:dyDescent="0.25">
      <c r="A199" s="29"/>
      <c r="B199" s="29"/>
      <c r="C199" s="29"/>
      <c r="D199" s="29" t="s">
        <v>415</v>
      </c>
      <c r="E199" s="29">
        <v>1</v>
      </c>
      <c r="F199" s="38">
        <v>5000</v>
      </c>
      <c r="G199" s="38">
        <v>2500</v>
      </c>
      <c r="H199" s="38">
        <v>2500</v>
      </c>
    </row>
    <row r="200" spans="1:8" hidden="1" x14ac:dyDescent="0.25">
      <c r="A200" s="29"/>
      <c r="B200" s="29"/>
      <c r="C200" s="29"/>
      <c r="D200" s="29" t="s">
        <v>437</v>
      </c>
      <c r="E200" s="29">
        <v>2</v>
      </c>
      <c r="F200" s="38">
        <v>10000</v>
      </c>
      <c r="G200" s="38">
        <v>5000</v>
      </c>
      <c r="H200" s="38">
        <v>5000</v>
      </c>
    </row>
    <row r="201" spans="1:8" hidden="1" x14ac:dyDescent="0.25">
      <c r="A201" s="131" t="s">
        <v>17</v>
      </c>
      <c r="B201" s="132"/>
      <c r="C201" s="132"/>
      <c r="D201" s="133"/>
      <c r="E201" s="17">
        <f>SUM(E190:E200)</f>
        <v>237</v>
      </c>
      <c r="F201" s="17">
        <f>SUM(F190:F200)</f>
        <v>483800</v>
      </c>
      <c r="G201" s="17">
        <f>SUM(G190:G200)</f>
        <v>193000</v>
      </c>
      <c r="H201" s="17">
        <f>SUM(H190:H200)</f>
        <v>290800</v>
      </c>
    </row>
    <row r="202" spans="1:8" x14ac:dyDescent="0.25">
      <c r="A202" s="29" t="s">
        <v>8</v>
      </c>
      <c r="B202" s="29" t="s">
        <v>609</v>
      </c>
      <c r="C202" s="29" t="s">
        <v>338</v>
      </c>
      <c r="D202" s="29" t="s">
        <v>11</v>
      </c>
      <c r="E202" s="29">
        <v>57</v>
      </c>
      <c r="F202" s="38">
        <f>E202*1800</f>
        <v>102600</v>
      </c>
      <c r="G202" s="38">
        <f t="shared" ref="G202:G207" si="5">E202*500</f>
        <v>28500</v>
      </c>
      <c r="H202" s="38">
        <f>E202*1300</f>
        <v>74100</v>
      </c>
    </row>
    <row r="203" spans="1:8" x14ac:dyDescent="0.25">
      <c r="A203" s="29"/>
      <c r="B203" s="29"/>
      <c r="C203" s="29" t="s">
        <v>306</v>
      </c>
      <c r="D203" s="29" t="s">
        <v>11</v>
      </c>
      <c r="E203" s="29">
        <v>35</v>
      </c>
      <c r="F203" s="38">
        <f>E203*1800</f>
        <v>63000</v>
      </c>
      <c r="G203" s="38">
        <f t="shared" si="5"/>
        <v>17500</v>
      </c>
      <c r="H203" s="38">
        <f>E203*1300</f>
        <v>45500</v>
      </c>
    </row>
    <row r="204" spans="1:8" x14ac:dyDescent="0.25">
      <c r="A204" s="29"/>
      <c r="B204" s="29"/>
      <c r="C204" s="29" t="s">
        <v>572</v>
      </c>
      <c r="D204" s="29" t="s">
        <v>11</v>
      </c>
      <c r="E204" s="29">
        <v>42</v>
      </c>
      <c r="F204" s="38">
        <f>E204*1700</f>
        <v>71400</v>
      </c>
      <c r="G204" s="38">
        <f t="shared" si="5"/>
        <v>21000</v>
      </c>
      <c r="H204" s="38">
        <f>E204*1200</f>
        <v>50400</v>
      </c>
    </row>
    <row r="205" spans="1:8" x14ac:dyDescent="0.25">
      <c r="A205" s="29"/>
      <c r="B205" s="29"/>
      <c r="C205" s="29" t="s">
        <v>571</v>
      </c>
      <c r="D205" s="29" t="s">
        <v>11</v>
      </c>
      <c r="E205" s="29">
        <v>14</v>
      </c>
      <c r="F205" s="38">
        <f>E205*1700</f>
        <v>23800</v>
      </c>
      <c r="G205" s="38">
        <f t="shared" si="5"/>
        <v>7000</v>
      </c>
      <c r="H205" s="38">
        <f>E205*1200</f>
        <v>16800</v>
      </c>
    </row>
    <row r="206" spans="1:8" x14ac:dyDescent="0.25">
      <c r="A206" s="29"/>
      <c r="B206" s="29"/>
      <c r="C206" s="29" t="s">
        <v>209</v>
      </c>
      <c r="D206" s="29" t="s">
        <v>11</v>
      </c>
      <c r="E206" s="29">
        <v>20</v>
      </c>
      <c r="F206" s="38">
        <f>E206*1500</f>
        <v>30000</v>
      </c>
      <c r="G206" s="38">
        <f t="shared" si="5"/>
        <v>10000</v>
      </c>
      <c r="H206" s="38">
        <f>E206*1000</f>
        <v>20000</v>
      </c>
    </row>
    <row r="207" spans="1:8" x14ac:dyDescent="0.25">
      <c r="A207" s="29"/>
      <c r="B207" s="29"/>
      <c r="C207" s="29" t="s">
        <v>16</v>
      </c>
      <c r="D207" s="29" t="s">
        <v>11</v>
      </c>
      <c r="E207" s="29">
        <v>84</v>
      </c>
      <c r="F207" s="38">
        <f>E207*1500</f>
        <v>126000</v>
      </c>
      <c r="G207" s="38">
        <f t="shared" si="5"/>
        <v>42000</v>
      </c>
      <c r="H207" s="38">
        <f>E207*1000</f>
        <v>84000</v>
      </c>
    </row>
    <row r="208" spans="1:8" hidden="1" x14ac:dyDescent="0.25">
      <c r="A208" s="29"/>
      <c r="B208" s="29"/>
      <c r="C208" s="29"/>
      <c r="D208" s="29" t="s">
        <v>12</v>
      </c>
      <c r="E208" s="29">
        <v>6</v>
      </c>
      <c r="F208" s="38">
        <f>E208*3000</f>
        <v>18000</v>
      </c>
      <c r="G208" s="38">
        <f>E208*2000</f>
        <v>12000</v>
      </c>
      <c r="H208" s="38">
        <v>6000</v>
      </c>
    </row>
    <row r="209" spans="1:8" hidden="1" x14ac:dyDescent="0.25">
      <c r="A209" s="29"/>
      <c r="B209" s="29"/>
      <c r="C209" s="29"/>
      <c r="D209" s="29" t="s">
        <v>13</v>
      </c>
      <c r="E209" s="29">
        <v>2</v>
      </c>
      <c r="F209" s="38">
        <f>E209*6500</f>
        <v>13000</v>
      </c>
      <c r="G209" s="38">
        <f>E209*4500</f>
        <v>9000</v>
      </c>
      <c r="H209" s="38">
        <f>E209*2000</f>
        <v>4000</v>
      </c>
    </row>
    <row r="210" spans="1:8" hidden="1" x14ac:dyDescent="0.25">
      <c r="A210" s="29"/>
      <c r="B210" s="29"/>
      <c r="C210" s="29"/>
      <c r="D210" s="29" t="s">
        <v>14</v>
      </c>
      <c r="E210" s="29">
        <v>1</v>
      </c>
      <c r="F210" s="38">
        <v>10000</v>
      </c>
      <c r="G210" s="38">
        <v>5500</v>
      </c>
      <c r="H210" s="38">
        <v>4500</v>
      </c>
    </row>
    <row r="211" spans="1:8" x14ac:dyDescent="0.25">
      <c r="A211" s="29"/>
      <c r="B211" s="29"/>
      <c r="C211" s="29" t="s">
        <v>217</v>
      </c>
      <c r="D211" s="29" t="s">
        <v>11</v>
      </c>
      <c r="E211" s="29">
        <v>37</v>
      </c>
      <c r="F211" s="38">
        <f>E211*1500</f>
        <v>55500</v>
      </c>
      <c r="G211" s="38">
        <f>E211*500</f>
        <v>18500</v>
      </c>
      <c r="H211" s="38">
        <f>E211*1000</f>
        <v>37000</v>
      </c>
    </row>
    <row r="212" spans="1:8" hidden="1" x14ac:dyDescent="0.25">
      <c r="A212" s="29"/>
      <c r="B212" s="29"/>
      <c r="C212" s="29"/>
      <c r="D212" s="29" t="s">
        <v>13</v>
      </c>
      <c r="E212" s="29">
        <v>7</v>
      </c>
      <c r="F212" s="38">
        <f>E212*6500</f>
        <v>45500</v>
      </c>
      <c r="G212" s="38">
        <f>E212*4500</f>
        <v>31500</v>
      </c>
      <c r="H212" s="38">
        <f>E212*2000</f>
        <v>14000</v>
      </c>
    </row>
    <row r="213" spans="1:8" hidden="1" x14ac:dyDescent="0.25">
      <c r="A213" s="29"/>
      <c r="B213" s="29"/>
      <c r="C213" s="29"/>
      <c r="D213" s="29" t="s">
        <v>14</v>
      </c>
      <c r="E213" s="29">
        <v>7</v>
      </c>
      <c r="F213" s="38">
        <f>E213*10000</f>
        <v>70000</v>
      </c>
      <c r="G213" s="38">
        <f>E213*5500</f>
        <v>38500</v>
      </c>
      <c r="H213" s="38">
        <f>E213*4500</f>
        <v>31500</v>
      </c>
    </row>
    <row r="214" spans="1:8" hidden="1" x14ac:dyDescent="0.25">
      <c r="A214" s="29"/>
      <c r="B214" s="29"/>
      <c r="C214" s="29"/>
      <c r="D214" s="29" t="s">
        <v>425</v>
      </c>
      <c r="E214" s="29">
        <v>16</v>
      </c>
      <c r="F214" s="38">
        <f>E214*2000</f>
        <v>32000</v>
      </c>
      <c r="G214" s="38">
        <v>16000</v>
      </c>
      <c r="H214" s="38">
        <v>16000</v>
      </c>
    </row>
    <row r="215" spans="1:8" hidden="1" x14ac:dyDescent="0.25">
      <c r="A215" s="29"/>
      <c r="B215" s="29"/>
      <c r="C215" s="29"/>
      <c r="D215" s="29" t="s">
        <v>415</v>
      </c>
      <c r="E215" s="29">
        <v>2</v>
      </c>
      <c r="F215" s="38">
        <f>E215*5000</f>
        <v>10000</v>
      </c>
      <c r="G215" s="38">
        <v>5000</v>
      </c>
      <c r="H215" s="38">
        <v>5000</v>
      </c>
    </row>
    <row r="216" spans="1:8" hidden="1" x14ac:dyDescent="0.25">
      <c r="A216" s="29"/>
      <c r="B216" s="29"/>
      <c r="C216" s="29" t="s">
        <v>127</v>
      </c>
      <c r="D216" s="29" t="s">
        <v>21</v>
      </c>
      <c r="E216" s="29">
        <v>5</v>
      </c>
      <c r="F216" s="38">
        <f>E216*15000</f>
        <v>75000</v>
      </c>
      <c r="G216" s="38">
        <v>50000</v>
      </c>
      <c r="H216" s="38">
        <v>25000</v>
      </c>
    </row>
    <row r="217" spans="1:8" hidden="1" x14ac:dyDescent="0.25">
      <c r="A217" s="29"/>
      <c r="B217" s="29"/>
      <c r="C217" s="29"/>
      <c r="D217" s="29" t="s">
        <v>243</v>
      </c>
      <c r="E217" s="29">
        <v>1</v>
      </c>
      <c r="F217" s="38">
        <v>13000</v>
      </c>
      <c r="G217" s="38">
        <v>10000</v>
      </c>
      <c r="H217" s="38">
        <v>3000</v>
      </c>
    </row>
    <row r="218" spans="1:8" hidden="1" x14ac:dyDescent="0.25">
      <c r="A218" s="29"/>
      <c r="B218" s="29"/>
      <c r="C218" s="29" t="s">
        <v>108</v>
      </c>
      <c r="D218" s="29" t="s">
        <v>243</v>
      </c>
      <c r="E218" s="29">
        <v>6</v>
      </c>
      <c r="F218" s="38">
        <f>E218*13000</f>
        <v>78000</v>
      </c>
      <c r="G218" s="38">
        <f>E218*10000</f>
        <v>60000</v>
      </c>
      <c r="H218" s="38">
        <f>E218*3000</f>
        <v>18000</v>
      </c>
    </row>
    <row r="219" spans="1:8" hidden="1" x14ac:dyDescent="0.25">
      <c r="A219" s="131" t="s">
        <v>17</v>
      </c>
      <c r="B219" s="132"/>
      <c r="C219" s="132"/>
      <c r="D219" s="133"/>
      <c r="E219" s="17">
        <f>SUM(E202:E218)</f>
        <v>342</v>
      </c>
      <c r="F219" s="17">
        <f>SUM(F202:F218)</f>
        <v>836800</v>
      </c>
      <c r="G219" s="17">
        <f>SUM(G202:G218)</f>
        <v>382000</v>
      </c>
      <c r="H219" s="17">
        <f>SUM(H202:H218)</f>
        <v>454800</v>
      </c>
    </row>
    <row r="220" spans="1:8" x14ac:dyDescent="0.25">
      <c r="A220" s="29" t="s">
        <v>18</v>
      </c>
      <c r="B220" s="29" t="s">
        <v>610</v>
      </c>
      <c r="C220" s="29" t="s">
        <v>338</v>
      </c>
      <c r="D220" s="29" t="s">
        <v>11</v>
      </c>
      <c r="E220" s="29">
        <v>60</v>
      </c>
      <c r="F220" s="38">
        <f>E220*1800</f>
        <v>108000</v>
      </c>
      <c r="G220" s="38">
        <f>E220*500</f>
        <v>30000</v>
      </c>
      <c r="H220" s="38">
        <f>E220*1300</f>
        <v>78000</v>
      </c>
    </row>
    <row r="221" spans="1:8" x14ac:dyDescent="0.25">
      <c r="A221" s="29"/>
      <c r="B221" s="29"/>
      <c r="C221" s="29" t="s">
        <v>572</v>
      </c>
      <c r="D221" s="29" t="s">
        <v>11</v>
      </c>
      <c r="E221" s="29">
        <f>50-19</f>
        <v>31</v>
      </c>
      <c r="F221" s="38">
        <f>E221*1700</f>
        <v>52700</v>
      </c>
      <c r="G221" s="38">
        <f>E221*500</f>
        <v>15500</v>
      </c>
      <c r="H221" s="38">
        <f>E221*1200</f>
        <v>37200</v>
      </c>
    </row>
    <row r="222" spans="1:8" x14ac:dyDescent="0.25">
      <c r="A222" s="29"/>
      <c r="B222" s="29"/>
      <c r="C222" s="29" t="s">
        <v>571</v>
      </c>
      <c r="D222" s="29" t="s">
        <v>11</v>
      </c>
      <c r="E222" s="29">
        <v>18</v>
      </c>
      <c r="F222" s="38">
        <f>E222*1700</f>
        <v>30600</v>
      </c>
      <c r="G222" s="38">
        <f>E222*500</f>
        <v>9000</v>
      </c>
      <c r="H222" s="38">
        <f>E222*1200</f>
        <v>21600</v>
      </c>
    </row>
    <row r="223" spans="1:8" x14ac:dyDescent="0.25">
      <c r="A223" s="29"/>
      <c r="B223" s="29"/>
      <c r="C223" s="29" t="s">
        <v>16</v>
      </c>
      <c r="D223" s="29" t="s">
        <v>11</v>
      </c>
      <c r="E223" s="29">
        <v>41</v>
      </c>
      <c r="F223" s="38">
        <f>E223*1500</f>
        <v>61500</v>
      </c>
      <c r="G223" s="38">
        <f>E223*500</f>
        <v>20500</v>
      </c>
      <c r="H223" s="38">
        <v>41000</v>
      </c>
    </row>
    <row r="224" spans="1:8" hidden="1" x14ac:dyDescent="0.25">
      <c r="A224" s="29"/>
      <c r="B224" s="29"/>
      <c r="C224" s="29"/>
      <c r="D224" s="29" t="s">
        <v>12</v>
      </c>
      <c r="E224" s="29">
        <v>5</v>
      </c>
      <c r="F224" s="38">
        <f>E224*3000</f>
        <v>15000</v>
      </c>
      <c r="G224" s="38">
        <f>E224*2000</f>
        <v>10000</v>
      </c>
      <c r="H224" s="38">
        <v>5000</v>
      </c>
    </row>
    <row r="225" spans="1:8" hidden="1" x14ac:dyDescent="0.25">
      <c r="A225" s="29"/>
      <c r="B225" s="29"/>
      <c r="C225" s="29"/>
      <c r="D225" s="29" t="s">
        <v>13</v>
      </c>
      <c r="E225" s="29">
        <v>1</v>
      </c>
      <c r="F225" s="38">
        <v>6500</v>
      </c>
      <c r="G225" s="38">
        <v>4500</v>
      </c>
      <c r="H225" s="38">
        <v>2000</v>
      </c>
    </row>
    <row r="226" spans="1:8" x14ac:dyDescent="0.25">
      <c r="A226" s="29"/>
      <c r="B226" s="29"/>
      <c r="C226" s="29" t="s">
        <v>217</v>
      </c>
      <c r="D226" s="29" t="s">
        <v>11</v>
      </c>
      <c r="E226" s="29">
        <v>10</v>
      </c>
      <c r="F226" s="38">
        <f>E226*1500</f>
        <v>15000</v>
      </c>
      <c r="G226" s="38">
        <f>E226*500</f>
        <v>5000</v>
      </c>
      <c r="H226" s="38">
        <v>10000</v>
      </c>
    </row>
    <row r="227" spans="1:8" hidden="1" x14ac:dyDescent="0.25">
      <c r="A227" s="29"/>
      <c r="B227" s="29"/>
      <c r="C227" s="29"/>
      <c r="D227" s="29" t="s">
        <v>13</v>
      </c>
      <c r="E227" s="29">
        <v>1</v>
      </c>
      <c r="F227" s="38">
        <v>6500</v>
      </c>
      <c r="G227" s="38">
        <v>4500</v>
      </c>
      <c r="H227" s="38">
        <v>2000</v>
      </c>
    </row>
    <row r="228" spans="1:8" hidden="1" x14ac:dyDescent="0.25">
      <c r="A228" s="29"/>
      <c r="B228" s="29"/>
      <c r="C228" s="29"/>
      <c r="D228" s="29" t="s">
        <v>14</v>
      </c>
      <c r="E228" s="29">
        <v>6</v>
      </c>
      <c r="F228" s="38">
        <f>E228*10000</f>
        <v>60000</v>
      </c>
      <c r="G228" s="38">
        <f>E228*5500</f>
        <v>33000</v>
      </c>
      <c r="H228" s="38">
        <f>E228*4500</f>
        <v>27000</v>
      </c>
    </row>
    <row r="229" spans="1:8" hidden="1" x14ac:dyDescent="0.25">
      <c r="A229" s="29"/>
      <c r="B229" s="29"/>
      <c r="C229" s="29"/>
      <c r="D229" s="29" t="s">
        <v>433</v>
      </c>
      <c r="E229" s="29">
        <v>4</v>
      </c>
      <c r="F229" s="38">
        <f>E229*5000</f>
        <v>20000</v>
      </c>
      <c r="G229" s="38">
        <v>10000</v>
      </c>
      <c r="H229" s="38">
        <v>10000</v>
      </c>
    </row>
    <row r="230" spans="1:8" hidden="1" x14ac:dyDescent="0.25">
      <c r="A230" s="29"/>
      <c r="B230" s="29"/>
      <c r="C230" s="29"/>
      <c r="D230" s="29" t="s">
        <v>432</v>
      </c>
      <c r="E230" s="29">
        <v>1</v>
      </c>
      <c r="F230" s="38">
        <v>5000</v>
      </c>
      <c r="G230" s="38">
        <v>2500</v>
      </c>
      <c r="H230" s="38">
        <v>2500</v>
      </c>
    </row>
    <row r="231" spans="1:8" hidden="1" x14ac:dyDescent="0.25">
      <c r="A231" s="29"/>
      <c r="B231" s="29"/>
      <c r="C231" s="29"/>
      <c r="D231" s="29" t="s">
        <v>415</v>
      </c>
      <c r="E231" s="29">
        <v>2</v>
      </c>
      <c r="F231" s="38">
        <f>E231*5000</f>
        <v>10000</v>
      </c>
      <c r="G231" s="38">
        <v>5000</v>
      </c>
      <c r="H231" s="38">
        <v>5000</v>
      </c>
    </row>
    <row r="232" spans="1:8" hidden="1" x14ac:dyDescent="0.25">
      <c r="A232" s="29"/>
      <c r="B232" s="29"/>
      <c r="C232" s="29"/>
      <c r="D232" s="29" t="s">
        <v>441</v>
      </c>
      <c r="E232" s="29">
        <v>1</v>
      </c>
      <c r="F232" s="38">
        <v>5000</v>
      </c>
      <c r="G232" s="38">
        <v>2500</v>
      </c>
      <c r="H232" s="38">
        <v>2500</v>
      </c>
    </row>
    <row r="233" spans="1:8" x14ac:dyDescent="0.25">
      <c r="A233" s="29"/>
      <c r="B233" s="29"/>
      <c r="C233" s="29" t="s">
        <v>568</v>
      </c>
      <c r="D233" s="29" t="s">
        <v>11</v>
      </c>
      <c r="E233" s="29">
        <v>30</v>
      </c>
      <c r="F233" s="38">
        <f>E233*1500</f>
        <v>45000</v>
      </c>
      <c r="G233" s="38">
        <f>E233*500</f>
        <v>15000</v>
      </c>
      <c r="H233" s="38">
        <f>E233*1000</f>
        <v>30000</v>
      </c>
    </row>
    <row r="234" spans="1:8" hidden="1" x14ac:dyDescent="0.25">
      <c r="A234" s="131" t="s">
        <v>17</v>
      </c>
      <c r="B234" s="132"/>
      <c r="C234" s="132"/>
      <c r="D234" s="133"/>
      <c r="E234" s="17">
        <f>SUM(E220:E233)</f>
        <v>211</v>
      </c>
      <c r="F234" s="17">
        <f>SUM(F220:F233)</f>
        <v>440800</v>
      </c>
      <c r="G234" s="17">
        <f>SUM(G220:G233)</f>
        <v>167000</v>
      </c>
      <c r="H234" s="17">
        <f>SUM(H220:H233)</f>
        <v>273800</v>
      </c>
    </row>
    <row r="235" spans="1:8" x14ac:dyDescent="0.25">
      <c r="A235" s="29" t="s">
        <v>22</v>
      </c>
      <c r="B235" s="29" t="s">
        <v>611</v>
      </c>
      <c r="C235" s="29" t="s">
        <v>338</v>
      </c>
      <c r="D235" s="29" t="s">
        <v>11</v>
      </c>
      <c r="E235" s="29">
        <v>57</v>
      </c>
      <c r="F235" s="38">
        <f>E235*1800</f>
        <v>102600</v>
      </c>
      <c r="G235" s="38">
        <f t="shared" ref="G235:G240" si="6">E235*500</f>
        <v>28500</v>
      </c>
      <c r="H235" s="38">
        <f>E235*1300</f>
        <v>74100</v>
      </c>
    </row>
    <row r="236" spans="1:8" x14ac:dyDescent="0.25">
      <c r="A236" s="29"/>
      <c r="B236" s="29"/>
      <c r="C236" s="29" t="s">
        <v>306</v>
      </c>
      <c r="D236" s="29" t="s">
        <v>11</v>
      </c>
      <c r="E236" s="29">
        <v>20</v>
      </c>
      <c r="F236" s="38">
        <f>E236*1800</f>
        <v>36000</v>
      </c>
      <c r="G236" s="38">
        <f t="shared" si="6"/>
        <v>10000</v>
      </c>
      <c r="H236" s="38">
        <f>E236*1300</f>
        <v>26000</v>
      </c>
    </row>
    <row r="237" spans="1:8" x14ac:dyDescent="0.25">
      <c r="A237" s="29"/>
      <c r="B237" s="29"/>
      <c r="C237" s="29" t="s">
        <v>572</v>
      </c>
      <c r="D237" s="29" t="s">
        <v>11</v>
      </c>
      <c r="E237" s="29">
        <f>64-39</f>
        <v>25</v>
      </c>
      <c r="F237" s="38">
        <f>E237*1200</f>
        <v>30000</v>
      </c>
      <c r="G237" s="38">
        <f t="shared" si="6"/>
        <v>12500</v>
      </c>
      <c r="H237" s="38">
        <f>E237*1200</f>
        <v>30000</v>
      </c>
    </row>
    <row r="238" spans="1:8" x14ac:dyDescent="0.25">
      <c r="A238" s="29"/>
      <c r="B238" s="29"/>
      <c r="C238" s="29" t="s">
        <v>571</v>
      </c>
      <c r="D238" s="29" t="s">
        <v>11</v>
      </c>
      <c r="E238" s="29">
        <v>13</v>
      </c>
      <c r="F238" s="38">
        <f>E238*1200</f>
        <v>15600</v>
      </c>
      <c r="G238" s="38">
        <f t="shared" si="6"/>
        <v>6500</v>
      </c>
      <c r="H238" s="38">
        <f>E238*1200</f>
        <v>15600</v>
      </c>
    </row>
    <row r="239" spans="1:8" x14ac:dyDescent="0.25">
      <c r="A239" s="29"/>
      <c r="B239" s="29"/>
      <c r="C239" s="29" t="s">
        <v>209</v>
      </c>
      <c r="D239" s="29" t="s">
        <v>11</v>
      </c>
      <c r="E239" s="29">
        <v>23</v>
      </c>
      <c r="F239" s="38">
        <f>E239*1500</f>
        <v>34500</v>
      </c>
      <c r="G239" s="38">
        <f t="shared" si="6"/>
        <v>11500</v>
      </c>
      <c r="H239" s="38">
        <f>E239*1000</f>
        <v>23000</v>
      </c>
    </row>
    <row r="240" spans="1:8" x14ac:dyDescent="0.25">
      <c r="A240" s="29"/>
      <c r="B240" s="29"/>
      <c r="C240" s="29" t="s">
        <v>16</v>
      </c>
      <c r="D240" s="29" t="s">
        <v>11</v>
      </c>
      <c r="E240" s="29">
        <v>38</v>
      </c>
      <c r="F240" s="38">
        <f>E240*1500</f>
        <v>57000</v>
      </c>
      <c r="G240" s="38">
        <f t="shared" si="6"/>
        <v>19000</v>
      </c>
      <c r="H240" s="38">
        <f>E240*1000</f>
        <v>38000</v>
      </c>
    </row>
    <row r="241" spans="1:8" hidden="1" x14ac:dyDescent="0.25">
      <c r="A241" s="29"/>
      <c r="B241" s="29"/>
      <c r="C241" s="29"/>
      <c r="D241" s="29" t="s">
        <v>14</v>
      </c>
      <c r="E241" s="29">
        <v>1</v>
      </c>
      <c r="F241" s="38">
        <v>10000</v>
      </c>
      <c r="G241" s="38">
        <v>5500</v>
      </c>
      <c r="H241" s="38">
        <v>4500</v>
      </c>
    </row>
    <row r="242" spans="1:8" x14ac:dyDescent="0.25">
      <c r="A242" s="29"/>
      <c r="B242" s="29"/>
      <c r="C242" s="29" t="s">
        <v>217</v>
      </c>
      <c r="D242" s="29" t="s">
        <v>11</v>
      </c>
      <c r="E242" s="29">
        <v>17</v>
      </c>
      <c r="F242" s="38">
        <f>E242*1500</f>
        <v>25500</v>
      </c>
      <c r="G242" s="38">
        <f>E242*500</f>
        <v>8500</v>
      </c>
      <c r="H242" s="38">
        <v>17000</v>
      </c>
    </row>
    <row r="243" spans="1:8" hidden="1" x14ac:dyDescent="0.25">
      <c r="A243" s="29"/>
      <c r="B243" s="29"/>
      <c r="C243" s="29"/>
      <c r="D243" s="29" t="s">
        <v>13</v>
      </c>
      <c r="E243" s="29">
        <v>8</v>
      </c>
      <c r="F243" s="38">
        <f>E243*6500</f>
        <v>52000</v>
      </c>
      <c r="G243" s="38">
        <f>E243*4500</f>
        <v>36000</v>
      </c>
      <c r="H243" s="38">
        <v>16000</v>
      </c>
    </row>
    <row r="244" spans="1:8" hidden="1" x14ac:dyDescent="0.25">
      <c r="A244" s="29"/>
      <c r="B244" s="29"/>
      <c r="C244" s="29"/>
      <c r="D244" s="29" t="s">
        <v>14</v>
      </c>
      <c r="E244" s="29">
        <v>12</v>
      </c>
      <c r="F244" s="38">
        <f>E244*10000</f>
        <v>120000</v>
      </c>
      <c r="G244" s="38">
        <f>E244*5500</f>
        <v>66000</v>
      </c>
      <c r="H244" s="38">
        <f>E244*4500</f>
        <v>54000</v>
      </c>
    </row>
    <row r="245" spans="1:8" hidden="1" x14ac:dyDescent="0.25">
      <c r="A245" s="29"/>
      <c r="B245" s="29"/>
      <c r="C245" s="29"/>
      <c r="D245" s="29" t="s">
        <v>484</v>
      </c>
      <c r="E245" s="29">
        <v>6</v>
      </c>
      <c r="F245" s="38">
        <f>E245*2000</f>
        <v>12000</v>
      </c>
      <c r="G245" s="38">
        <v>6000</v>
      </c>
      <c r="H245" s="38">
        <v>6000</v>
      </c>
    </row>
    <row r="246" spans="1:8" hidden="1" x14ac:dyDescent="0.25">
      <c r="A246" s="29"/>
      <c r="B246" s="29"/>
      <c r="C246" s="29"/>
      <c r="D246" s="29" t="s">
        <v>415</v>
      </c>
      <c r="E246" s="29">
        <v>1</v>
      </c>
      <c r="F246" s="38">
        <v>5000</v>
      </c>
      <c r="G246" s="38">
        <v>2500</v>
      </c>
      <c r="H246" s="38">
        <v>2500</v>
      </c>
    </row>
    <row r="247" spans="1:8" hidden="1" x14ac:dyDescent="0.25">
      <c r="A247" s="29"/>
      <c r="B247" s="29"/>
      <c r="C247" s="29"/>
      <c r="D247" s="29" t="s">
        <v>432</v>
      </c>
      <c r="E247" s="29">
        <v>2</v>
      </c>
      <c r="F247" s="38">
        <v>10000</v>
      </c>
      <c r="G247" s="38">
        <v>5000</v>
      </c>
      <c r="H247" s="38">
        <v>5000</v>
      </c>
    </row>
    <row r="248" spans="1:8" hidden="1" x14ac:dyDescent="0.25">
      <c r="A248" s="29"/>
      <c r="B248" s="29"/>
      <c r="C248" s="29"/>
      <c r="D248" s="29" t="s">
        <v>441</v>
      </c>
      <c r="E248" s="29">
        <v>1</v>
      </c>
      <c r="F248" s="38">
        <v>3000</v>
      </c>
      <c r="G248" s="38">
        <v>1500</v>
      </c>
      <c r="H248" s="38">
        <v>1500</v>
      </c>
    </row>
    <row r="249" spans="1:8" hidden="1" x14ac:dyDescent="0.25">
      <c r="A249" s="29"/>
      <c r="B249" s="29"/>
      <c r="C249" s="29" t="s">
        <v>24</v>
      </c>
      <c r="D249" s="29" t="s">
        <v>243</v>
      </c>
      <c r="E249" s="29">
        <v>1</v>
      </c>
      <c r="F249" s="38">
        <v>13000</v>
      </c>
      <c r="G249" s="38">
        <v>10000</v>
      </c>
      <c r="H249" s="38">
        <v>3000</v>
      </c>
    </row>
    <row r="250" spans="1:8" hidden="1" x14ac:dyDescent="0.25">
      <c r="A250" s="29"/>
      <c r="B250" s="29"/>
      <c r="C250" s="29"/>
      <c r="D250" s="29" t="s">
        <v>13</v>
      </c>
      <c r="E250" s="29">
        <v>1</v>
      </c>
      <c r="F250" s="38">
        <v>6500</v>
      </c>
      <c r="G250" s="38">
        <v>4500</v>
      </c>
      <c r="H250" s="38">
        <v>2000</v>
      </c>
    </row>
    <row r="251" spans="1:8" hidden="1" x14ac:dyDescent="0.25">
      <c r="A251" s="131" t="s">
        <v>17</v>
      </c>
      <c r="B251" s="132"/>
      <c r="C251" s="132"/>
      <c r="D251" s="133"/>
      <c r="E251" s="17">
        <f>SUM(E235:E250)</f>
        <v>226</v>
      </c>
      <c r="F251" s="17">
        <f>SUM(F235:F250)</f>
        <v>532700</v>
      </c>
      <c r="G251" s="17">
        <f>SUM(G235:G250)</f>
        <v>233500</v>
      </c>
      <c r="H251" s="17">
        <f>SUM(H235:H250)</f>
        <v>318200</v>
      </c>
    </row>
    <row r="252" spans="1:8" x14ac:dyDescent="0.25">
      <c r="A252" s="29" t="s">
        <v>26</v>
      </c>
      <c r="B252" s="29" t="s">
        <v>613</v>
      </c>
      <c r="C252" s="29" t="s">
        <v>338</v>
      </c>
      <c r="D252" s="29" t="s">
        <v>11</v>
      </c>
      <c r="E252" s="29">
        <v>50</v>
      </c>
      <c r="F252" s="38">
        <f>E252*1800</f>
        <v>90000</v>
      </c>
      <c r="G252" s="38">
        <f>E252*500</f>
        <v>25000</v>
      </c>
      <c r="H252" s="38">
        <f>E252*1300</f>
        <v>65000</v>
      </c>
    </row>
    <row r="253" spans="1:8" x14ac:dyDescent="0.25">
      <c r="A253" s="29"/>
      <c r="B253" s="29"/>
      <c r="C253" s="29" t="s">
        <v>217</v>
      </c>
      <c r="D253" s="29" t="s">
        <v>11</v>
      </c>
      <c r="E253" s="29">
        <v>21</v>
      </c>
      <c r="F253" s="38">
        <f>E253*1500</f>
        <v>31500</v>
      </c>
      <c r="G253" s="38">
        <f>E253*500</f>
        <v>10500</v>
      </c>
      <c r="H253" s="38">
        <v>21000</v>
      </c>
    </row>
    <row r="254" spans="1:8" hidden="1" x14ac:dyDescent="0.25">
      <c r="A254" s="29"/>
      <c r="B254" s="29"/>
      <c r="C254" s="29"/>
      <c r="D254" s="29" t="s">
        <v>13</v>
      </c>
      <c r="E254" s="29">
        <v>4</v>
      </c>
      <c r="F254" s="38">
        <f>E254*6500</f>
        <v>26000</v>
      </c>
      <c r="G254" s="38">
        <f>E254*4500</f>
        <v>18000</v>
      </c>
      <c r="H254" s="38">
        <f>E254*2000</f>
        <v>8000</v>
      </c>
    </row>
    <row r="255" spans="1:8" hidden="1" x14ac:dyDescent="0.25">
      <c r="A255" s="29"/>
      <c r="B255" s="29"/>
      <c r="C255" s="29"/>
      <c r="D255" s="29" t="s">
        <v>14</v>
      </c>
      <c r="E255" s="29">
        <v>4</v>
      </c>
      <c r="F255" s="38">
        <f>E255*10000</f>
        <v>40000</v>
      </c>
      <c r="G255" s="38">
        <f>E255*5500</f>
        <v>22000</v>
      </c>
      <c r="H255" s="38">
        <f>E255*4500</f>
        <v>18000</v>
      </c>
    </row>
    <row r="256" spans="1:8" hidden="1" x14ac:dyDescent="0.25">
      <c r="A256" s="29"/>
      <c r="B256" s="29"/>
      <c r="C256" s="29"/>
      <c r="D256" s="29" t="s">
        <v>520</v>
      </c>
      <c r="E256" s="29">
        <v>15</v>
      </c>
      <c r="F256" s="38">
        <f>E256*2000</f>
        <v>30000</v>
      </c>
      <c r="G256" s="38">
        <v>15000</v>
      </c>
      <c r="H256" s="38">
        <v>15000</v>
      </c>
    </row>
    <row r="257" spans="1:8" hidden="1" x14ac:dyDescent="0.25">
      <c r="A257" s="29"/>
      <c r="B257" s="29"/>
      <c r="C257" s="29"/>
      <c r="D257" s="29" t="s">
        <v>432</v>
      </c>
      <c r="E257" s="29">
        <v>1</v>
      </c>
      <c r="F257" s="38">
        <v>5000</v>
      </c>
      <c r="G257" s="38">
        <v>2500</v>
      </c>
      <c r="H257" s="38">
        <v>2500</v>
      </c>
    </row>
    <row r="258" spans="1:8" hidden="1" x14ac:dyDescent="0.25">
      <c r="A258" s="29"/>
      <c r="B258" s="29"/>
      <c r="C258" s="29"/>
      <c r="D258" s="29" t="s">
        <v>441</v>
      </c>
      <c r="E258" s="29">
        <v>1</v>
      </c>
      <c r="F258" s="38">
        <v>3000</v>
      </c>
      <c r="G258" s="38">
        <v>1500</v>
      </c>
      <c r="H258" s="38">
        <v>1500</v>
      </c>
    </row>
    <row r="259" spans="1:8" x14ac:dyDescent="0.25">
      <c r="A259" s="29"/>
      <c r="B259" s="29"/>
      <c r="C259" s="29" t="s">
        <v>16</v>
      </c>
      <c r="D259" s="29" t="s">
        <v>11</v>
      </c>
      <c r="E259" s="29">
        <v>68</v>
      </c>
      <c r="F259" s="38">
        <f>E259*1500</f>
        <v>102000</v>
      </c>
      <c r="G259" s="38">
        <f>E259*500</f>
        <v>34000</v>
      </c>
      <c r="H259" s="38">
        <v>68000</v>
      </c>
    </row>
    <row r="260" spans="1:8" hidden="1" x14ac:dyDescent="0.25">
      <c r="A260" s="29"/>
      <c r="B260" s="29"/>
      <c r="C260" s="29"/>
      <c r="D260" s="29" t="s">
        <v>12</v>
      </c>
      <c r="E260" s="29">
        <v>2</v>
      </c>
      <c r="F260" s="38">
        <f>E260*3000</f>
        <v>6000</v>
      </c>
      <c r="G260" s="38">
        <v>4000</v>
      </c>
      <c r="H260" s="38">
        <v>2000</v>
      </c>
    </row>
    <row r="261" spans="1:8" hidden="1" x14ac:dyDescent="0.25">
      <c r="A261" s="29"/>
      <c r="B261" s="29"/>
      <c r="C261" s="29"/>
      <c r="D261" s="29" t="s">
        <v>13</v>
      </c>
      <c r="E261" s="29">
        <v>1</v>
      </c>
      <c r="F261" s="38">
        <v>6500</v>
      </c>
      <c r="G261" s="38">
        <v>4500</v>
      </c>
      <c r="H261" s="38">
        <v>2000</v>
      </c>
    </row>
    <row r="262" spans="1:8" hidden="1" x14ac:dyDescent="0.25">
      <c r="A262" s="29"/>
      <c r="B262" s="29"/>
      <c r="C262" s="29"/>
      <c r="D262" s="29" t="s">
        <v>14</v>
      </c>
      <c r="E262" s="29">
        <v>2</v>
      </c>
      <c r="F262" s="38">
        <f>E262*10000</f>
        <v>20000</v>
      </c>
      <c r="G262" s="38">
        <f>E262*5500</f>
        <v>11000</v>
      </c>
      <c r="H262" s="38">
        <f>E262*4500</f>
        <v>9000</v>
      </c>
    </row>
    <row r="263" spans="1:8" x14ac:dyDescent="0.25">
      <c r="A263" s="29"/>
      <c r="B263" s="29"/>
      <c r="C263" s="29" t="s">
        <v>217</v>
      </c>
      <c r="D263" s="29" t="s">
        <v>11</v>
      </c>
      <c r="E263" s="29">
        <v>19</v>
      </c>
      <c r="F263" s="38">
        <f>E263*1500</f>
        <v>28500</v>
      </c>
      <c r="G263" s="38">
        <f>E263*500</f>
        <v>9500</v>
      </c>
      <c r="H263" s="38">
        <v>19000</v>
      </c>
    </row>
    <row r="264" spans="1:8" hidden="1" x14ac:dyDescent="0.25">
      <c r="A264" s="29"/>
      <c r="B264" s="29"/>
      <c r="C264" s="29"/>
      <c r="D264" s="29" t="s">
        <v>13</v>
      </c>
      <c r="E264" s="29">
        <v>16</v>
      </c>
      <c r="F264" s="38">
        <f>E264*6500</f>
        <v>104000</v>
      </c>
      <c r="G264" s="38">
        <f>E264*4500</f>
        <v>72000</v>
      </c>
      <c r="H264" s="38">
        <f>E264*2000</f>
        <v>32000</v>
      </c>
    </row>
    <row r="265" spans="1:8" hidden="1" x14ac:dyDescent="0.25">
      <c r="A265" s="29"/>
      <c r="B265" s="29"/>
      <c r="C265" s="29"/>
      <c r="D265" s="29" t="s">
        <v>14</v>
      </c>
      <c r="E265" s="29">
        <v>13</v>
      </c>
      <c r="F265" s="38">
        <f>E265*10000</f>
        <v>130000</v>
      </c>
      <c r="G265" s="38">
        <f>E265*5500</f>
        <v>71500</v>
      </c>
      <c r="H265" s="38">
        <f>E265*4500</f>
        <v>58500</v>
      </c>
    </row>
    <row r="266" spans="1:8" hidden="1" x14ac:dyDescent="0.25">
      <c r="A266" s="29"/>
      <c r="B266" s="29"/>
      <c r="C266" s="29"/>
      <c r="D266" s="29" t="s">
        <v>404</v>
      </c>
      <c r="E266" s="29">
        <v>5</v>
      </c>
      <c r="F266" s="38">
        <f>E266*2000</f>
        <v>10000</v>
      </c>
      <c r="G266" s="38">
        <v>5000</v>
      </c>
      <c r="H266" s="38">
        <v>5000</v>
      </c>
    </row>
    <row r="267" spans="1:8" hidden="1" x14ac:dyDescent="0.25">
      <c r="A267" s="29"/>
      <c r="B267" s="29"/>
      <c r="C267" s="29"/>
      <c r="D267" s="29" t="s">
        <v>415</v>
      </c>
      <c r="E267" s="29">
        <v>2</v>
      </c>
      <c r="F267" s="38">
        <f>E267*5000</f>
        <v>10000</v>
      </c>
      <c r="G267" s="38">
        <v>5000</v>
      </c>
      <c r="H267" s="38">
        <v>5000</v>
      </c>
    </row>
    <row r="268" spans="1:8" hidden="1" x14ac:dyDescent="0.25">
      <c r="A268" s="29"/>
      <c r="B268" s="29"/>
      <c r="C268" s="29"/>
      <c r="D268" s="29" t="s">
        <v>441</v>
      </c>
      <c r="E268" s="29">
        <v>2</v>
      </c>
      <c r="F268" s="38">
        <f>E268*3000</f>
        <v>6000</v>
      </c>
      <c r="G268" s="38">
        <v>3000</v>
      </c>
      <c r="H268" s="38">
        <v>3000</v>
      </c>
    </row>
    <row r="269" spans="1:8" hidden="1" x14ac:dyDescent="0.25">
      <c r="A269" s="29"/>
      <c r="B269" s="29"/>
      <c r="C269" s="29"/>
      <c r="D269" s="29" t="s">
        <v>437</v>
      </c>
      <c r="E269" s="29">
        <v>10</v>
      </c>
      <c r="F269" s="38">
        <f>E269*5000</f>
        <v>50000</v>
      </c>
      <c r="G269" s="38">
        <v>25000</v>
      </c>
      <c r="H269" s="38">
        <v>25000</v>
      </c>
    </row>
    <row r="270" spans="1:8" hidden="1" x14ac:dyDescent="0.25">
      <c r="A270" s="131" t="s">
        <v>17</v>
      </c>
      <c r="B270" s="132"/>
      <c r="C270" s="132"/>
      <c r="D270" s="133"/>
      <c r="E270" s="17">
        <f>SUM(E252:E269)</f>
        <v>236</v>
      </c>
      <c r="F270" s="17">
        <f>SUM(F252:F269)</f>
        <v>698500</v>
      </c>
      <c r="G270" s="17">
        <f>SUM(G252:G269)</f>
        <v>339000</v>
      </c>
      <c r="H270" s="17">
        <f>SUM(H252:H269)</f>
        <v>359500</v>
      </c>
    </row>
    <row r="271" spans="1:8" x14ac:dyDescent="0.25">
      <c r="A271" s="29" t="s">
        <v>28</v>
      </c>
      <c r="B271" s="29" t="s">
        <v>614</v>
      </c>
      <c r="C271" s="29" t="s">
        <v>217</v>
      </c>
      <c r="D271" s="29" t="s">
        <v>11</v>
      </c>
      <c r="E271" s="29">
        <v>12</v>
      </c>
      <c r="F271" s="38">
        <f>E271*1500</f>
        <v>18000</v>
      </c>
      <c r="G271" s="38">
        <f>E271*500</f>
        <v>6000</v>
      </c>
      <c r="H271" s="38">
        <v>12000</v>
      </c>
    </row>
    <row r="272" spans="1:8" hidden="1" x14ac:dyDescent="0.25">
      <c r="A272" s="29"/>
      <c r="B272" s="29"/>
      <c r="C272" s="29"/>
      <c r="D272" s="29" t="s">
        <v>13</v>
      </c>
      <c r="E272" s="29">
        <v>10</v>
      </c>
      <c r="F272" s="38">
        <f>E272*6500</f>
        <v>65000</v>
      </c>
      <c r="G272" s="38">
        <f>E272*4500</f>
        <v>45000</v>
      </c>
      <c r="H272" s="38">
        <f>E272*2000</f>
        <v>20000</v>
      </c>
    </row>
    <row r="273" spans="1:8" hidden="1" x14ac:dyDescent="0.25">
      <c r="A273" s="29"/>
      <c r="B273" s="29"/>
      <c r="C273" s="29"/>
      <c r="D273" s="29" t="s">
        <v>14</v>
      </c>
      <c r="E273" s="29">
        <v>11</v>
      </c>
      <c r="F273" s="38">
        <f>E273*10000</f>
        <v>110000</v>
      </c>
      <c r="G273" s="38">
        <f>E273*5500</f>
        <v>60500</v>
      </c>
      <c r="H273" s="38">
        <f>E273*4500</f>
        <v>49500</v>
      </c>
    </row>
    <row r="274" spans="1:8" hidden="1" x14ac:dyDescent="0.25">
      <c r="A274" s="29"/>
      <c r="B274" s="29"/>
      <c r="C274" s="29"/>
      <c r="D274" s="29" t="s">
        <v>428</v>
      </c>
      <c r="E274" s="29">
        <v>6</v>
      </c>
      <c r="F274" s="38">
        <f>E274*2000</f>
        <v>12000</v>
      </c>
      <c r="G274" s="38">
        <v>6000</v>
      </c>
      <c r="H274" s="38">
        <v>6000</v>
      </c>
    </row>
    <row r="275" spans="1:8" hidden="1" x14ac:dyDescent="0.25">
      <c r="A275" s="29"/>
      <c r="B275" s="29"/>
      <c r="C275" s="29"/>
      <c r="D275" s="29" t="s">
        <v>441</v>
      </c>
      <c r="E275" s="29">
        <v>2</v>
      </c>
      <c r="F275" s="38">
        <f>E275*3000</f>
        <v>6000</v>
      </c>
      <c r="G275" s="38">
        <v>3000</v>
      </c>
      <c r="H275" s="38">
        <v>3000</v>
      </c>
    </row>
    <row r="276" spans="1:8" hidden="1" x14ac:dyDescent="0.25">
      <c r="A276" s="29"/>
      <c r="B276" s="29"/>
      <c r="C276" s="29"/>
      <c r="D276" s="29" t="s">
        <v>415</v>
      </c>
      <c r="E276" s="29">
        <v>1</v>
      </c>
      <c r="F276" s="38">
        <v>5000</v>
      </c>
      <c r="G276" s="38">
        <v>2500</v>
      </c>
      <c r="H276" s="38">
        <v>2500</v>
      </c>
    </row>
    <row r="277" spans="1:8" x14ac:dyDescent="0.25">
      <c r="A277" s="29"/>
      <c r="B277" s="29"/>
      <c r="C277" s="29" t="s">
        <v>20</v>
      </c>
      <c r="D277" s="29" t="s">
        <v>11</v>
      </c>
      <c r="E277" s="29">
        <v>8</v>
      </c>
      <c r="F277" s="38">
        <f>E277*1500</f>
        <v>12000</v>
      </c>
      <c r="G277" s="38">
        <f>E277*500</f>
        <v>4000</v>
      </c>
      <c r="H277" s="38">
        <v>8000</v>
      </c>
    </row>
    <row r="278" spans="1:8" hidden="1" x14ac:dyDescent="0.25">
      <c r="A278" s="29"/>
      <c r="B278" s="29"/>
      <c r="C278" s="29"/>
      <c r="D278" s="29" t="s">
        <v>13</v>
      </c>
      <c r="E278" s="29">
        <v>31</v>
      </c>
      <c r="F278" s="38">
        <f>E278*6500</f>
        <v>201500</v>
      </c>
      <c r="G278" s="38">
        <f>E278*4500</f>
        <v>139500</v>
      </c>
      <c r="H278" s="38">
        <f>E278*2000</f>
        <v>62000</v>
      </c>
    </row>
    <row r="279" spans="1:8" hidden="1" x14ac:dyDescent="0.25">
      <c r="A279" s="29"/>
      <c r="B279" s="29"/>
      <c r="C279" s="29"/>
      <c r="D279" s="29" t="s">
        <v>14</v>
      </c>
      <c r="E279" s="29">
        <v>35</v>
      </c>
      <c r="F279" s="38">
        <f>E279*10000</f>
        <v>350000</v>
      </c>
      <c r="G279" s="38">
        <f>E279*5500</f>
        <v>192500</v>
      </c>
      <c r="H279" s="38">
        <f>E279*4500</f>
        <v>157500</v>
      </c>
    </row>
    <row r="280" spans="1:8" hidden="1" x14ac:dyDescent="0.25">
      <c r="A280" s="29"/>
      <c r="B280" s="29"/>
      <c r="C280" s="29"/>
      <c r="D280" s="29" t="s">
        <v>404</v>
      </c>
      <c r="E280" s="29">
        <v>4</v>
      </c>
      <c r="F280" s="38">
        <f>E280*2000</f>
        <v>8000</v>
      </c>
      <c r="G280" s="38">
        <v>4000</v>
      </c>
      <c r="H280" s="38">
        <v>4000</v>
      </c>
    </row>
    <row r="281" spans="1:8" hidden="1" x14ac:dyDescent="0.25">
      <c r="A281" s="29"/>
      <c r="B281" s="29"/>
      <c r="C281" s="29"/>
      <c r="D281" s="29" t="s">
        <v>441</v>
      </c>
      <c r="E281" s="29">
        <v>4</v>
      </c>
      <c r="F281" s="38">
        <f>E281*3000</f>
        <v>12000</v>
      </c>
      <c r="G281" s="38">
        <v>6000</v>
      </c>
      <c r="H281" s="38">
        <v>6000</v>
      </c>
    </row>
    <row r="282" spans="1:8" hidden="1" x14ac:dyDescent="0.25">
      <c r="A282" s="29"/>
      <c r="B282" s="29"/>
      <c r="C282" s="29"/>
      <c r="D282" s="29" t="s">
        <v>437</v>
      </c>
      <c r="E282" s="29">
        <v>8</v>
      </c>
      <c r="F282" s="38">
        <f>E282*5000</f>
        <v>40000</v>
      </c>
      <c r="G282" s="38">
        <v>20000</v>
      </c>
      <c r="H282" s="38">
        <v>20000</v>
      </c>
    </row>
    <row r="283" spans="1:8" hidden="1" x14ac:dyDescent="0.25">
      <c r="A283" s="29"/>
      <c r="B283" s="29"/>
      <c r="C283" s="29"/>
      <c r="D283" s="29" t="s">
        <v>415</v>
      </c>
      <c r="E283" s="29">
        <v>2</v>
      </c>
      <c r="F283" s="38">
        <f>E283*5000</f>
        <v>10000</v>
      </c>
      <c r="G283" s="38">
        <v>5000</v>
      </c>
      <c r="H283" s="38">
        <v>5000</v>
      </c>
    </row>
    <row r="284" spans="1:8" hidden="1" x14ac:dyDescent="0.25">
      <c r="A284" s="29"/>
      <c r="B284" s="29"/>
      <c r="C284" s="29"/>
      <c r="D284" s="29" t="s">
        <v>243</v>
      </c>
      <c r="E284" s="29">
        <v>1</v>
      </c>
      <c r="F284" s="38">
        <v>13000</v>
      </c>
      <c r="G284" s="38">
        <v>10000</v>
      </c>
      <c r="H284" s="38">
        <v>3000</v>
      </c>
    </row>
    <row r="285" spans="1:8" hidden="1" x14ac:dyDescent="0.25">
      <c r="A285" s="131" t="s">
        <v>17</v>
      </c>
      <c r="B285" s="132"/>
      <c r="C285" s="132"/>
      <c r="D285" s="133"/>
      <c r="E285" s="17">
        <f>SUM(E271:E284)</f>
        <v>135</v>
      </c>
      <c r="F285" s="17">
        <f>SUM(F271:F284)</f>
        <v>862500</v>
      </c>
      <c r="G285" s="17">
        <f>SUM(G271:G284)</f>
        <v>504000</v>
      </c>
      <c r="H285" s="17">
        <f>SUM(H271:H284)</f>
        <v>358500</v>
      </c>
    </row>
    <row r="286" spans="1:8" x14ac:dyDescent="0.25">
      <c r="A286" s="29"/>
      <c r="B286" s="29"/>
      <c r="C286" s="29" t="s">
        <v>16</v>
      </c>
      <c r="D286" s="29" t="s">
        <v>11</v>
      </c>
      <c r="E286" s="29">
        <v>97</v>
      </c>
      <c r="F286" s="38">
        <f>E286*1500</f>
        <v>145500</v>
      </c>
      <c r="G286" s="38">
        <f>E286*500</f>
        <v>48500</v>
      </c>
      <c r="H286" s="38">
        <v>97000</v>
      </c>
    </row>
    <row r="287" spans="1:8" hidden="1" x14ac:dyDescent="0.25">
      <c r="A287" s="29"/>
      <c r="B287" s="29"/>
      <c r="C287" s="29"/>
      <c r="D287" s="29" t="s">
        <v>12</v>
      </c>
      <c r="E287" s="29">
        <v>2</v>
      </c>
      <c r="F287" s="38">
        <f>E287*3000</f>
        <v>6000</v>
      </c>
      <c r="G287" s="38">
        <f>E287*2000</f>
        <v>4000</v>
      </c>
      <c r="H287" s="38">
        <v>2000</v>
      </c>
    </row>
    <row r="288" spans="1:8" hidden="1" x14ac:dyDescent="0.25">
      <c r="A288" s="131" t="s">
        <v>17</v>
      </c>
      <c r="B288" s="132"/>
      <c r="C288" s="132"/>
      <c r="D288" s="133"/>
      <c r="E288" s="17">
        <f>SUM(E286:E287)</f>
        <v>99</v>
      </c>
      <c r="F288" s="17">
        <f>SUM(F286:F287)</f>
        <v>151500</v>
      </c>
      <c r="G288" s="17">
        <f>SUM(G286:G287)</f>
        <v>52500</v>
      </c>
      <c r="H288" s="17">
        <f>SUM(H286:H287)</f>
        <v>99000</v>
      </c>
    </row>
    <row r="289" spans="1:8" x14ac:dyDescent="0.25">
      <c r="A289" s="29" t="s">
        <v>30</v>
      </c>
      <c r="B289" s="29" t="s">
        <v>615</v>
      </c>
      <c r="C289" s="29" t="s">
        <v>338</v>
      </c>
      <c r="D289" s="29" t="s">
        <v>11</v>
      </c>
      <c r="E289" s="29">
        <v>50</v>
      </c>
      <c r="F289" s="38">
        <f>E289*1800</f>
        <v>90000</v>
      </c>
      <c r="G289" s="38">
        <f>E289*500</f>
        <v>25000</v>
      </c>
      <c r="H289" s="38">
        <f>E289*1300</f>
        <v>65000</v>
      </c>
    </row>
    <row r="290" spans="1:8" x14ac:dyDescent="0.25">
      <c r="A290" s="29"/>
      <c r="B290" s="29"/>
      <c r="C290" s="29" t="s">
        <v>16</v>
      </c>
      <c r="D290" s="29" t="s">
        <v>11</v>
      </c>
      <c r="E290" s="29">
        <v>44</v>
      </c>
      <c r="F290" s="38">
        <f>E290*1500</f>
        <v>66000</v>
      </c>
      <c r="G290" s="38">
        <f>E290*500</f>
        <v>22000</v>
      </c>
      <c r="H290" s="38">
        <v>44000</v>
      </c>
    </row>
    <row r="291" spans="1:8" hidden="1" x14ac:dyDescent="0.25">
      <c r="A291" s="29"/>
      <c r="B291" s="29"/>
      <c r="C291" s="29"/>
      <c r="D291" s="29" t="s">
        <v>12</v>
      </c>
      <c r="E291" s="29">
        <v>6</v>
      </c>
      <c r="F291" s="38">
        <f>E291*3000</f>
        <v>18000</v>
      </c>
      <c r="G291" s="38">
        <f>E291*2000</f>
        <v>12000</v>
      </c>
      <c r="H291" s="38">
        <v>6000</v>
      </c>
    </row>
    <row r="292" spans="1:8" x14ac:dyDescent="0.25">
      <c r="A292" s="29"/>
      <c r="B292" s="29"/>
      <c r="C292" s="29" t="s">
        <v>217</v>
      </c>
      <c r="D292" s="29" t="s">
        <v>11</v>
      </c>
      <c r="E292" s="29">
        <v>15</v>
      </c>
      <c r="F292" s="38">
        <f>E292*1500</f>
        <v>22500</v>
      </c>
      <c r="G292" s="38">
        <f>E292*500</f>
        <v>7500</v>
      </c>
      <c r="H292" s="38">
        <v>15000</v>
      </c>
    </row>
    <row r="293" spans="1:8" hidden="1" x14ac:dyDescent="0.25">
      <c r="A293" s="29"/>
      <c r="B293" s="29"/>
      <c r="C293" s="29"/>
      <c r="D293" s="29" t="s">
        <v>13</v>
      </c>
      <c r="E293" s="29">
        <v>17</v>
      </c>
      <c r="F293" s="38">
        <f>E293*6500</f>
        <v>110500</v>
      </c>
      <c r="G293" s="38">
        <f>E293*4500</f>
        <v>76500</v>
      </c>
      <c r="H293" s="38">
        <f>E293*2000</f>
        <v>34000</v>
      </c>
    </row>
    <row r="294" spans="1:8" hidden="1" x14ac:dyDescent="0.25">
      <c r="A294" s="29"/>
      <c r="B294" s="29"/>
      <c r="C294" s="29"/>
      <c r="D294" s="29" t="s">
        <v>14</v>
      </c>
      <c r="E294" s="29">
        <v>14</v>
      </c>
      <c r="F294" s="38">
        <f>E294*10000</f>
        <v>140000</v>
      </c>
      <c r="G294" s="38">
        <f>E294*4500</f>
        <v>63000</v>
      </c>
      <c r="H294" s="38">
        <f>E294*4500</f>
        <v>63000</v>
      </c>
    </row>
    <row r="295" spans="1:8" hidden="1" x14ac:dyDescent="0.25">
      <c r="A295" s="29"/>
      <c r="B295" s="29"/>
      <c r="C295" s="29"/>
      <c r="D295" s="29" t="s">
        <v>441</v>
      </c>
      <c r="E295" s="29">
        <v>5</v>
      </c>
      <c r="F295" s="38">
        <f>E295*3000</f>
        <v>15000</v>
      </c>
      <c r="G295" s="38">
        <v>7500</v>
      </c>
      <c r="H295" s="38">
        <v>7500</v>
      </c>
    </row>
    <row r="296" spans="1:8" hidden="1" x14ac:dyDescent="0.25">
      <c r="A296" s="29"/>
      <c r="B296" s="29"/>
      <c r="C296" s="29"/>
      <c r="D296" s="29" t="s">
        <v>437</v>
      </c>
      <c r="E296" s="29">
        <v>6</v>
      </c>
      <c r="F296" s="38">
        <f>E296*5000</f>
        <v>30000</v>
      </c>
      <c r="G296" s="38">
        <v>15000</v>
      </c>
      <c r="H296" s="38">
        <v>15000</v>
      </c>
    </row>
    <row r="297" spans="1:8" hidden="1" x14ac:dyDescent="0.25">
      <c r="A297" s="29"/>
      <c r="B297" s="29"/>
      <c r="C297" s="29"/>
      <c r="D297" s="29" t="s">
        <v>415</v>
      </c>
      <c r="E297" s="29">
        <v>1</v>
      </c>
      <c r="F297" s="38">
        <v>5000</v>
      </c>
      <c r="G297" s="38">
        <v>2500</v>
      </c>
      <c r="H297" s="38">
        <v>2500</v>
      </c>
    </row>
    <row r="298" spans="1:8" hidden="1" x14ac:dyDescent="0.25">
      <c r="A298" s="29"/>
      <c r="B298" s="29"/>
      <c r="C298" s="29"/>
      <c r="D298" s="29" t="s">
        <v>404</v>
      </c>
      <c r="E298" s="29">
        <v>13</v>
      </c>
      <c r="F298" s="38">
        <f>E298*2000</f>
        <v>26000</v>
      </c>
      <c r="G298" s="38">
        <v>13000</v>
      </c>
      <c r="H298" s="38">
        <v>13000</v>
      </c>
    </row>
    <row r="299" spans="1:8" hidden="1" x14ac:dyDescent="0.25">
      <c r="A299" s="29"/>
      <c r="B299" s="29"/>
      <c r="C299" s="29"/>
      <c r="D299" s="29" t="s">
        <v>243</v>
      </c>
      <c r="E299" s="29">
        <v>1</v>
      </c>
      <c r="F299" s="38">
        <v>13000</v>
      </c>
      <c r="G299" s="38">
        <v>10000</v>
      </c>
      <c r="H299" s="38">
        <v>3000</v>
      </c>
    </row>
    <row r="300" spans="1:8" hidden="1" x14ac:dyDescent="0.25">
      <c r="A300" s="29"/>
      <c r="B300" s="29"/>
      <c r="C300" s="29" t="s">
        <v>24</v>
      </c>
      <c r="D300" s="29" t="s">
        <v>243</v>
      </c>
      <c r="E300" s="29">
        <v>3</v>
      </c>
      <c r="F300" s="38">
        <f>E300*13000</f>
        <v>39000</v>
      </c>
      <c r="G300" s="38">
        <v>30000</v>
      </c>
      <c r="H300" s="38">
        <v>9000</v>
      </c>
    </row>
    <row r="301" spans="1:8" hidden="1" x14ac:dyDescent="0.25">
      <c r="A301" s="29"/>
      <c r="B301" s="29"/>
      <c r="C301" s="29"/>
      <c r="D301" s="29" t="s">
        <v>13</v>
      </c>
      <c r="E301" s="29">
        <v>1</v>
      </c>
      <c r="F301" s="38">
        <v>6500</v>
      </c>
      <c r="G301" s="38">
        <v>4500</v>
      </c>
      <c r="H301" s="38">
        <v>2000</v>
      </c>
    </row>
    <row r="302" spans="1:8" hidden="1" x14ac:dyDescent="0.25">
      <c r="A302" s="131" t="s">
        <v>17</v>
      </c>
      <c r="B302" s="132"/>
      <c r="C302" s="132"/>
      <c r="D302" s="133"/>
      <c r="E302" s="17">
        <f>SUM(E289:E301)</f>
        <v>176</v>
      </c>
      <c r="F302" s="17">
        <f>SUM(F289:F301)</f>
        <v>581500</v>
      </c>
      <c r="G302" s="17">
        <f>SUM(G289:G301)</f>
        <v>288500</v>
      </c>
      <c r="H302" s="17">
        <f>SUM(H289:H301)</f>
        <v>279000</v>
      </c>
    </row>
    <row r="303" spans="1:8" x14ac:dyDescent="0.25">
      <c r="A303" s="29" t="s">
        <v>32</v>
      </c>
      <c r="B303" s="29" t="s">
        <v>616</v>
      </c>
      <c r="C303" s="29" t="s">
        <v>338</v>
      </c>
      <c r="D303" s="29" t="s">
        <v>11</v>
      </c>
      <c r="E303" s="29">
        <v>55</v>
      </c>
      <c r="F303" s="38">
        <f>E303*1800</f>
        <v>99000</v>
      </c>
      <c r="G303" s="38">
        <f t="shared" ref="G303:G319" si="7">E303*500</f>
        <v>27500</v>
      </c>
      <c r="H303" s="38">
        <f>E303*1300</f>
        <v>71500</v>
      </c>
    </row>
    <row r="304" spans="1:8" x14ac:dyDescent="0.25">
      <c r="A304" s="29"/>
      <c r="B304" s="29"/>
      <c r="C304" s="29" t="s">
        <v>572</v>
      </c>
      <c r="D304" s="29" t="s">
        <v>11</v>
      </c>
      <c r="E304" s="29">
        <v>75</v>
      </c>
      <c r="F304" s="38">
        <f>E304*1700</f>
        <v>127500</v>
      </c>
      <c r="G304" s="38">
        <f t="shared" si="7"/>
        <v>37500</v>
      </c>
      <c r="H304" s="38">
        <f>E304*1200</f>
        <v>90000</v>
      </c>
    </row>
    <row r="305" spans="1:8" x14ac:dyDescent="0.25">
      <c r="A305" s="29"/>
      <c r="B305" s="29"/>
      <c r="C305" s="29" t="s">
        <v>209</v>
      </c>
      <c r="D305" s="29" t="s">
        <v>11</v>
      </c>
      <c r="E305" s="29">
        <v>14</v>
      </c>
      <c r="F305" s="38">
        <f>E305*1500</f>
        <v>21000</v>
      </c>
      <c r="G305" s="38">
        <f t="shared" si="7"/>
        <v>7000</v>
      </c>
      <c r="H305" s="38">
        <f>E305*1000</f>
        <v>14000</v>
      </c>
    </row>
    <row r="306" spans="1:8" x14ac:dyDescent="0.25">
      <c r="A306" s="29"/>
      <c r="B306" s="29"/>
      <c r="C306" s="29" t="s">
        <v>571</v>
      </c>
      <c r="D306" s="29" t="s">
        <v>11</v>
      </c>
      <c r="E306" s="29">
        <v>17</v>
      </c>
      <c r="F306" s="38">
        <f>E306*1700</f>
        <v>28900</v>
      </c>
      <c r="G306" s="38">
        <f t="shared" si="7"/>
        <v>8500</v>
      </c>
      <c r="H306" s="38">
        <f>E306*1200</f>
        <v>20400</v>
      </c>
    </row>
    <row r="307" spans="1:8" x14ac:dyDescent="0.25">
      <c r="A307" s="29"/>
      <c r="B307" s="29"/>
      <c r="C307" s="29" t="s">
        <v>581</v>
      </c>
      <c r="D307" s="29" t="s">
        <v>11</v>
      </c>
      <c r="E307" s="29">
        <v>41</v>
      </c>
      <c r="F307" s="38">
        <f>E307*1500</f>
        <v>61500</v>
      </c>
      <c r="G307" s="38">
        <f t="shared" si="7"/>
        <v>20500</v>
      </c>
      <c r="H307" s="38">
        <f>E307*1000</f>
        <v>41000</v>
      </c>
    </row>
    <row r="308" spans="1:8" x14ac:dyDescent="0.25">
      <c r="A308" s="29"/>
      <c r="B308" s="29"/>
      <c r="C308" s="29" t="s">
        <v>581</v>
      </c>
      <c r="D308" s="29" t="s">
        <v>11</v>
      </c>
      <c r="E308" s="29">
        <v>55</v>
      </c>
      <c r="F308" s="38">
        <f t="shared" ref="F308:F318" si="8">E308*1500</f>
        <v>82500</v>
      </c>
      <c r="G308" s="38">
        <f t="shared" si="7"/>
        <v>27500</v>
      </c>
      <c r="H308" s="38">
        <f t="shared" ref="H308:H318" si="9">E308*1000</f>
        <v>55000</v>
      </c>
    </row>
    <row r="309" spans="1:8" x14ac:dyDescent="0.25">
      <c r="A309" s="29"/>
      <c r="B309" s="29"/>
      <c r="C309" s="29" t="s">
        <v>581</v>
      </c>
      <c r="D309" s="29" t="s">
        <v>11</v>
      </c>
      <c r="E309" s="29">
        <v>47</v>
      </c>
      <c r="F309" s="38">
        <f t="shared" si="8"/>
        <v>70500</v>
      </c>
      <c r="G309" s="38">
        <f t="shared" si="7"/>
        <v>23500</v>
      </c>
      <c r="H309" s="38">
        <f t="shared" si="9"/>
        <v>47000</v>
      </c>
    </row>
    <row r="310" spans="1:8" x14ac:dyDescent="0.25">
      <c r="A310" s="29"/>
      <c r="B310" s="29"/>
      <c r="C310" s="29" t="s">
        <v>581</v>
      </c>
      <c r="D310" s="29" t="s">
        <v>11</v>
      </c>
      <c r="E310" s="29">
        <v>42</v>
      </c>
      <c r="F310" s="38">
        <f t="shared" si="8"/>
        <v>63000</v>
      </c>
      <c r="G310" s="38">
        <f t="shared" si="7"/>
        <v>21000</v>
      </c>
      <c r="H310" s="38">
        <f t="shared" si="9"/>
        <v>42000</v>
      </c>
    </row>
    <row r="311" spans="1:8" x14ac:dyDescent="0.25">
      <c r="A311" s="29"/>
      <c r="B311" s="29"/>
      <c r="C311" s="29" t="s">
        <v>581</v>
      </c>
      <c r="D311" s="29" t="s">
        <v>11</v>
      </c>
      <c r="E311" s="29">
        <v>50</v>
      </c>
      <c r="F311" s="38">
        <f t="shared" si="8"/>
        <v>75000</v>
      </c>
      <c r="G311" s="38">
        <f t="shared" si="7"/>
        <v>25000</v>
      </c>
      <c r="H311" s="38">
        <f t="shared" si="9"/>
        <v>50000</v>
      </c>
    </row>
    <row r="312" spans="1:8" x14ac:dyDescent="0.25">
      <c r="A312" s="29"/>
      <c r="B312" s="29"/>
      <c r="C312" s="29" t="s">
        <v>581</v>
      </c>
      <c r="D312" s="29" t="s">
        <v>11</v>
      </c>
      <c r="E312" s="29">
        <v>30</v>
      </c>
      <c r="F312" s="38">
        <f t="shared" si="8"/>
        <v>45000</v>
      </c>
      <c r="G312" s="38">
        <f t="shared" si="7"/>
        <v>15000</v>
      </c>
      <c r="H312" s="38">
        <f t="shared" si="9"/>
        <v>30000</v>
      </c>
    </row>
    <row r="313" spans="1:8" x14ac:dyDescent="0.25">
      <c r="A313" s="29"/>
      <c r="B313" s="29"/>
      <c r="C313" s="29" t="s">
        <v>581</v>
      </c>
      <c r="D313" s="29" t="s">
        <v>11</v>
      </c>
      <c r="E313" s="29">
        <v>50</v>
      </c>
      <c r="F313" s="38">
        <f t="shared" si="8"/>
        <v>75000</v>
      </c>
      <c r="G313" s="38">
        <f t="shared" si="7"/>
        <v>25000</v>
      </c>
      <c r="H313" s="38">
        <f t="shared" si="9"/>
        <v>50000</v>
      </c>
    </row>
    <row r="314" spans="1:8" x14ac:dyDescent="0.25">
      <c r="A314" s="29"/>
      <c r="B314" s="29"/>
      <c r="C314" s="29" t="s">
        <v>581</v>
      </c>
      <c r="D314" s="29" t="s">
        <v>11</v>
      </c>
      <c r="E314" s="29">
        <v>33</v>
      </c>
      <c r="F314" s="38">
        <f t="shared" si="8"/>
        <v>49500</v>
      </c>
      <c r="G314" s="38">
        <f t="shared" si="7"/>
        <v>16500</v>
      </c>
      <c r="H314" s="38">
        <f t="shared" si="9"/>
        <v>33000</v>
      </c>
    </row>
    <row r="315" spans="1:8" x14ac:dyDescent="0.25">
      <c r="A315" s="29"/>
      <c r="B315" s="29"/>
      <c r="C315" s="29" t="s">
        <v>581</v>
      </c>
      <c r="D315" s="29" t="s">
        <v>11</v>
      </c>
      <c r="E315" s="29">
        <v>39</v>
      </c>
      <c r="F315" s="38">
        <f t="shared" si="8"/>
        <v>58500</v>
      </c>
      <c r="G315" s="38">
        <f t="shared" si="7"/>
        <v>19500</v>
      </c>
      <c r="H315" s="38">
        <f t="shared" si="9"/>
        <v>39000</v>
      </c>
    </row>
    <row r="316" spans="1:8" x14ac:dyDescent="0.25">
      <c r="A316" s="29"/>
      <c r="B316" s="29"/>
      <c r="C316" s="29" t="s">
        <v>581</v>
      </c>
      <c r="D316" s="29" t="s">
        <v>11</v>
      </c>
      <c r="E316" s="29">
        <v>30</v>
      </c>
      <c r="F316" s="38">
        <f t="shared" si="8"/>
        <v>45000</v>
      </c>
      <c r="G316" s="38">
        <f t="shared" si="7"/>
        <v>15000</v>
      </c>
      <c r="H316" s="38">
        <f t="shared" si="9"/>
        <v>30000</v>
      </c>
    </row>
    <row r="317" spans="1:8" x14ac:dyDescent="0.25">
      <c r="A317" s="29"/>
      <c r="B317" s="29"/>
      <c r="C317" s="29" t="s">
        <v>581</v>
      </c>
      <c r="D317" s="29" t="s">
        <v>11</v>
      </c>
      <c r="E317" s="29">
        <v>25</v>
      </c>
      <c r="F317" s="38">
        <f t="shared" si="8"/>
        <v>37500</v>
      </c>
      <c r="G317" s="38">
        <f t="shared" si="7"/>
        <v>12500</v>
      </c>
      <c r="H317" s="38">
        <f t="shared" si="9"/>
        <v>25000</v>
      </c>
    </row>
    <row r="318" spans="1:8" x14ac:dyDescent="0.25">
      <c r="A318" s="29"/>
      <c r="B318" s="29"/>
      <c r="C318" s="29" t="s">
        <v>581</v>
      </c>
      <c r="D318" s="29" t="s">
        <v>11</v>
      </c>
      <c r="E318" s="29">
        <v>5</v>
      </c>
      <c r="F318" s="38">
        <f t="shared" si="8"/>
        <v>7500</v>
      </c>
      <c r="G318" s="38">
        <f t="shared" si="7"/>
        <v>2500</v>
      </c>
      <c r="H318" s="38">
        <f t="shared" si="9"/>
        <v>5000</v>
      </c>
    </row>
    <row r="319" spans="1:8" x14ac:dyDescent="0.25">
      <c r="A319" s="29"/>
      <c r="B319" s="29"/>
      <c r="C319" s="29" t="s">
        <v>16</v>
      </c>
      <c r="D319" s="29" t="s">
        <v>11</v>
      </c>
      <c r="E319" s="29">
        <v>38</v>
      </c>
      <c r="F319" s="38">
        <f>E319*1500</f>
        <v>57000</v>
      </c>
      <c r="G319" s="38">
        <f t="shared" si="7"/>
        <v>19000</v>
      </c>
      <c r="H319" s="38">
        <v>38000</v>
      </c>
    </row>
    <row r="320" spans="1:8" hidden="1" x14ac:dyDescent="0.25">
      <c r="A320" s="29"/>
      <c r="B320" s="29"/>
      <c r="C320" s="29"/>
      <c r="D320" s="29" t="s">
        <v>12</v>
      </c>
      <c r="E320" s="29">
        <v>6</v>
      </c>
      <c r="F320" s="38">
        <f>E320*3000</f>
        <v>18000</v>
      </c>
      <c r="G320" s="38">
        <v>12000</v>
      </c>
      <c r="H320" s="38">
        <v>6000</v>
      </c>
    </row>
    <row r="321" spans="1:8" hidden="1" x14ac:dyDescent="0.25">
      <c r="A321" s="29"/>
      <c r="B321" s="29"/>
      <c r="C321" s="29"/>
      <c r="D321" s="29" t="s">
        <v>14</v>
      </c>
      <c r="E321" s="29">
        <v>2</v>
      </c>
      <c r="F321" s="38">
        <f>E321*10000</f>
        <v>20000</v>
      </c>
      <c r="G321" s="38">
        <f>E321*5500</f>
        <v>11000</v>
      </c>
      <c r="H321" s="38">
        <f>E321*4500</f>
        <v>9000</v>
      </c>
    </row>
    <row r="322" spans="1:8" hidden="1" x14ac:dyDescent="0.25">
      <c r="A322" s="29"/>
      <c r="B322" s="29"/>
      <c r="C322" s="29"/>
      <c r="D322" s="29" t="s">
        <v>243</v>
      </c>
      <c r="E322" s="29">
        <v>1</v>
      </c>
      <c r="F322" s="38">
        <v>13000</v>
      </c>
      <c r="G322" s="38">
        <v>10000</v>
      </c>
      <c r="H322" s="38">
        <v>3000</v>
      </c>
    </row>
    <row r="323" spans="1:8" x14ac:dyDescent="0.25">
      <c r="A323" s="29"/>
      <c r="B323" s="29"/>
      <c r="C323" s="29" t="s">
        <v>217</v>
      </c>
      <c r="D323" s="29" t="s">
        <v>11</v>
      </c>
      <c r="E323" s="29">
        <v>18</v>
      </c>
      <c r="F323" s="38">
        <f>E323*1500</f>
        <v>27000</v>
      </c>
      <c r="G323" s="38">
        <f>E323*500</f>
        <v>9000</v>
      </c>
      <c r="H323" s="38">
        <v>18000</v>
      </c>
    </row>
    <row r="324" spans="1:8" hidden="1" x14ac:dyDescent="0.25">
      <c r="A324" s="29"/>
      <c r="B324" s="29"/>
      <c r="C324" s="29"/>
      <c r="D324" s="29" t="s">
        <v>13</v>
      </c>
      <c r="E324" s="29">
        <v>18</v>
      </c>
      <c r="F324" s="38">
        <f>E324*6500</f>
        <v>117000</v>
      </c>
      <c r="G324" s="38">
        <f>E324*500</f>
        <v>9000</v>
      </c>
      <c r="H324" s="38">
        <f>E324*2000</f>
        <v>36000</v>
      </c>
    </row>
    <row r="325" spans="1:8" hidden="1" x14ac:dyDescent="0.25">
      <c r="A325" s="29"/>
      <c r="B325" s="29"/>
      <c r="C325" s="29"/>
      <c r="D325" s="29" t="s">
        <v>14</v>
      </c>
      <c r="E325" s="29">
        <v>8</v>
      </c>
      <c r="F325" s="38">
        <f>E325*10000</f>
        <v>80000</v>
      </c>
      <c r="G325" s="38">
        <f>E325*5500</f>
        <v>44000</v>
      </c>
      <c r="H325" s="38">
        <f>E325*4500</f>
        <v>36000</v>
      </c>
    </row>
    <row r="326" spans="1:8" hidden="1" x14ac:dyDescent="0.25">
      <c r="A326" s="29"/>
      <c r="B326" s="29"/>
      <c r="C326" s="29"/>
      <c r="D326" s="29" t="s">
        <v>425</v>
      </c>
      <c r="E326" s="29">
        <v>1</v>
      </c>
      <c r="F326" s="38">
        <v>2000</v>
      </c>
      <c r="G326" s="38">
        <v>1000</v>
      </c>
      <c r="H326" s="38">
        <v>1000</v>
      </c>
    </row>
    <row r="327" spans="1:8" hidden="1" x14ac:dyDescent="0.25">
      <c r="A327" s="29"/>
      <c r="B327" s="29"/>
      <c r="C327" s="29"/>
      <c r="D327" s="29" t="s">
        <v>437</v>
      </c>
      <c r="E327" s="29">
        <v>1</v>
      </c>
      <c r="F327" s="38">
        <v>5000</v>
      </c>
      <c r="G327" s="38">
        <v>2500</v>
      </c>
      <c r="H327" s="38">
        <v>2500</v>
      </c>
    </row>
    <row r="328" spans="1:8" hidden="1" x14ac:dyDescent="0.25">
      <c r="A328" s="131" t="s">
        <v>17</v>
      </c>
      <c r="B328" s="132"/>
      <c r="C328" s="132"/>
      <c r="D328" s="133"/>
      <c r="E328" s="17">
        <f>SUM(E303:E327)</f>
        <v>701</v>
      </c>
      <c r="F328" s="17">
        <f>SUM(F303:F327)</f>
        <v>1285900</v>
      </c>
      <c r="G328" s="17">
        <f>SUM(G303:G327)</f>
        <v>421500</v>
      </c>
      <c r="H328" s="17">
        <f>SUM(H303:H327)</f>
        <v>792400</v>
      </c>
    </row>
    <row r="329" spans="1:8" x14ac:dyDescent="0.25">
      <c r="A329" s="29" t="s">
        <v>8</v>
      </c>
      <c r="B329" s="29" t="s">
        <v>617</v>
      </c>
      <c r="C329" s="29" t="s">
        <v>338</v>
      </c>
      <c r="D329" s="29" t="s">
        <v>11</v>
      </c>
      <c r="E329" s="29">
        <v>53</v>
      </c>
      <c r="F329" s="38">
        <f>E329*1800</f>
        <v>95400</v>
      </c>
      <c r="G329" s="38">
        <f>E329*500</f>
        <v>26500</v>
      </c>
      <c r="H329" s="38">
        <f>E329*1300</f>
        <v>68900</v>
      </c>
    </row>
    <row r="330" spans="1:8" x14ac:dyDescent="0.25">
      <c r="A330" s="29"/>
      <c r="B330" s="29"/>
      <c r="C330" s="29" t="s">
        <v>306</v>
      </c>
      <c r="D330" s="29" t="s">
        <v>11</v>
      </c>
      <c r="E330" s="29">
        <v>20</v>
      </c>
      <c r="F330" s="38">
        <f>E330*1700</f>
        <v>34000</v>
      </c>
      <c r="G330" s="38">
        <f>E330*500</f>
        <v>10000</v>
      </c>
      <c r="H330" s="38">
        <f>E330*1200</f>
        <v>24000</v>
      </c>
    </row>
    <row r="331" spans="1:8" x14ac:dyDescent="0.25">
      <c r="A331" s="29"/>
      <c r="B331" s="29"/>
      <c r="C331" s="29" t="s">
        <v>572</v>
      </c>
      <c r="D331" s="29" t="s">
        <v>11</v>
      </c>
      <c r="E331" s="29">
        <v>42</v>
      </c>
      <c r="F331" s="38">
        <f>E331*1700</f>
        <v>71400</v>
      </c>
      <c r="G331" s="38">
        <f>E331*500</f>
        <v>21000</v>
      </c>
      <c r="H331" s="38">
        <f>E331*1200</f>
        <v>50400</v>
      </c>
    </row>
    <row r="332" spans="1:8" x14ac:dyDescent="0.25">
      <c r="A332" s="29"/>
      <c r="B332" s="29"/>
      <c r="C332" s="29" t="s">
        <v>571</v>
      </c>
      <c r="D332" s="29" t="s">
        <v>11</v>
      </c>
      <c r="E332" s="29">
        <v>13</v>
      </c>
      <c r="F332" s="38">
        <f>E332*1700</f>
        <v>22100</v>
      </c>
      <c r="G332" s="38">
        <f>E332*500</f>
        <v>6500</v>
      </c>
      <c r="H332" s="38">
        <f>E332*1200</f>
        <v>15600</v>
      </c>
    </row>
    <row r="333" spans="1:8" x14ac:dyDescent="0.25">
      <c r="A333" s="29"/>
      <c r="B333" s="29"/>
      <c r="C333" s="29" t="s">
        <v>16</v>
      </c>
      <c r="D333" s="29" t="s">
        <v>11</v>
      </c>
      <c r="E333" s="29">
        <v>70</v>
      </c>
      <c r="F333" s="38">
        <f>E333*1500</f>
        <v>105000</v>
      </c>
      <c r="G333" s="38">
        <f>E333*500</f>
        <v>35000</v>
      </c>
      <c r="H333" s="38">
        <f>E333*1000</f>
        <v>70000</v>
      </c>
    </row>
    <row r="334" spans="1:8" hidden="1" x14ac:dyDescent="0.25">
      <c r="A334" s="29"/>
      <c r="B334" s="29"/>
      <c r="C334" s="29"/>
      <c r="D334" s="29" t="s">
        <v>12</v>
      </c>
      <c r="E334" s="29">
        <v>3</v>
      </c>
      <c r="F334" s="38">
        <f>E334*3000</f>
        <v>9000</v>
      </c>
      <c r="G334" s="38">
        <f>E334*2000</f>
        <v>6000</v>
      </c>
      <c r="H334" s="38">
        <v>3000</v>
      </c>
    </row>
    <row r="335" spans="1:8" hidden="1" x14ac:dyDescent="0.25">
      <c r="A335" s="29"/>
      <c r="B335" s="29"/>
      <c r="C335" s="29"/>
      <c r="D335" s="29" t="s">
        <v>13</v>
      </c>
      <c r="E335" s="29">
        <v>1</v>
      </c>
      <c r="F335" s="38">
        <v>6500</v>
      </c>
      <c r="G335" s="38">
        <v>4500</v>
      </c>
      <c r="H335" s="38">
        <v>2000</v>
      </c>
    </row>
    <row r="336" spans="1:8" hidden="1" x14ac:dyDescent="0.25">
      <c r="A336" s="29"/>
      <c r="B336" s="29"/>
      <c r="C336" s="29"/>
      <c r="D336" s="29" t="s">
        <v>14</v>
      </c>
      <c r="E336" s="29">
        <v>1</v>
      </c>
      <c r="F336" s="38">
        <v>10000</v>
      </c>
      <c r="G336" s="38">
        <v>5500</v>
      </c>
      <c r="H336" s="38">
        <v>4500</v>
      </c>
    </row>
    <row r="337" spans="1:8" x14ac:dyDescent="0.25">
      <c r="A337" s="29"/>
      <c r="B337" s="29"/>
      <c r="C337" s="29" t="s">
        <v>217</v>
      </c>
      <c r="D337" s="29" t="s">
        <v>11</v>
      </c>
      <c r="E337" s="29">
        <v>6</v>
      </c>
      <c r="F337" s="38">
        <f>E337*1500</f>
        <v>9000</v>
      </c>
      <c r="G337" s="38">
        <f>E337*500</f>
        <v>3000</v>
      </c>
      <c r="H337" s="38">
        <v>6000</v>
      </c>
    </row>
    <row r="338" spans="1:8" hidden="1" x14ac:dyDescent="0.25">
      <c r="A338" s="29"/>
      <c r="B338" s="29"/>
      <c r="C338" s="29"/>
      <c r="D338" s="29" t="s">
        <v>13</v>
      </c>
      <c r="E338" s="29">
        <v>1</v>
      </c>
      <c r="F338" s="38">
        <v>6500</v>
      </c>
      <c r="G338" s="38">
        <v>4500</v>
      </c>
      <c r="H338" s="38">
        <v>2000</v>
      </c>
    </row>
    <row r="339" spans="1:8" hidden="1" x14ac:dyDescent="0.25">
      <c r="A339" s="29"/>
      <c r="B339" s="29"/>
      <c r="C339" s="29"/>
      <c r="D339" s="29" t="s">
        <v>14</v>
      </c>
      <c r="E339" s="29">
        <v>5</v>
      </c>
      <c r="F339" s="38">
        <f>E339*10000</f>
        <v>50000</v>
      </c>
      <c r="G339" s="38">
        <f>E339*5500</f>
        <v>27500</v>
      </c>
      <c r="H339" s="38">
        <f>E339*4500</f>
        <v>22500</v>
      </c>
    </row>
    <row r="340" spans="1:8" hidden="1" x14ac:dyDescent="0.25">
      <c r="A340" s="29"/>
      <c r="B340" s="29"/>
      <c r="C340" s="29"/>
      <c r="D340" s="29" t="s">
        <v>404</v>
      </c>
      <c r="E340" s="29">
        <v>7</v>
      </c>
      <c r="F340" s="38">
        <f>E340*2000</f>
        <v>14000</v>
      </c>
      <c r="G340" s="38">
        <v>7000</v>
      </c>
      <c r="H340" s="38">
        <v>7000</v>
      </c>
    </row>
    <row r="341" spans="1:8" hidden="1" x14ac:dyDescent="0.25">
      <c r="A341" s="29"/>
      <c r="B341" s="29"/>
      <c r="C341" s="29"/>
      <c r="D341" s="29" t="s">
        <v>441</v>
      </c>
      <c r="E341" s="29">
        <v>1</v>
      </c>
      <c r="F341" s="38">
        <v>3000</v>
      </c>
      <c r="G341" s="38">
        <v>1500</v>
      </c>
      <c r="H341" s="38">
        <v>1500</v>
      </c>
    </row>
    <row r="342" spans="1:8" hidden="1" x14ac:dyDescent="0.25">
      <c r="A342" s="131" t="s">
        <v>17</v>
      </c>
      <c r="B342" s="132"/>
      <c r="C342" s="132"/>
      <c r="D342" s="133"/>
      <c r="E342" s="17">
        <f>SUM(E329:E341)</f>
        <v>223</v>
      </c>
      <c r="F342" s="17">
        <f>SUM(F329:F341)</f>
        <v>435900</v>
      </c>
      <c r="G342" s="17">
        <f>SUM(G329:G341)</f>
        <v>158500</v>
      </c>
      <c r="H342" s="17">
        <f>SUM(H329:H341)</f>
        <v>277400</v>
      </c>
    </row>
    <row r="343" spans="1:8" x14ac:dyDescent="0.25">
      <c r="A343" s="29" t="s">
        <v>18</v>
      </c>
      <c r="B343" s="29" t="s">
        <v>618</v>
      </c>
      <c r="C343" s="29" t="s">
        <v>338</v>
      </c>
      <c r="D343" s="29" t="s">
        <v>11</v>
      </c>
      <c r="E343" s="29">
        <v>52</v>
      </c>
      <c r="F343" s="38">
        <f>E343*1800</f>
        <v>93600</v>
      </c>
      <c r="G343" s="38">
        <f>E343*500</f>
        <v>26000</v>
      </c>
      <c r="H343" s="38">
        <f>E343*1300</f>
        <v>67600</v>
      </c>
    </row>
    <row r="344" spans="1:8" x14ac:dyDescent="0.25">
      <c r="A344" s="29"/>
      <c r="B344" s="29"/>
      <c r="C344" s="29" t="s">
        <v>572</v>
      </c>
      <c r="D344" s="29" t="s">
        <v>11</v>
      </c>
      <c r="E344" s="29">
        <v>80</v>
      </c>
      <c r="F344" s="38">
        <f>E344*1700</f>
        <v>136000</v>
      </c>
      <c r="G344" s="38">
        <f>E344*500</f>
        <v>40000</v>
      </c>
      <c r="H344" s="38">
        <f>E344*1200</f>
        <v>96000</v>
      </c>
    </row>
    <row r="345" spans="1:8" x14ac:dyDescent="0.25">
      <c r="A345" s="29"/>
      <c r="B345" s="29"/>
      <c r="C345" s="29" t="s">
        <v>16</v>
      </c>
      <c r="D345" s="29" t="s">
        <v>11</v>
      </c>
      <c r="E345" s="29">
        <v>80</v>
      </c>
      <c r="F345" s="38">
        <f>E345*1500</f>
        <v>120000</v>
      </c>
      <c r="G345" s="38">
        <f>E345*500</f>
        <v>40000</v>
      </c>
      <c r="H345" s="38">
        <f>E345*1000</f>
        <v>80000</v>
      </c>
    </row>
    <row r="346" spans="1:8" hidden="1" x14ac:dyDescent="0.25">
      <c r="A346" s="29"/>
      <c r="B346" s="29"/>
      <c r="C346" s="29"/>
      <c r="D346" s="29" t="s">
        <v>12</v>
      </c>
      <c r="E346" s="29">
        <v>8</v>
      </c>
      <c r="F346" s="38">
        <f>E346*3000</f>
        <v>24000</v>
      </c>
      <c r="G346" s="38">
        <v>16000</v>
      </c>
      <c r="H346" s="38">
        <v>8000</v>
      </c>
    </row>
    <row r="347" spans="1:8" hidden="1" x14ac:dyDescent="0.25">
      <c r="A347" s="29"/>
      <c r="B347" s="29"/>
      <c r="C347" s="29"/>
      <c r="D347" s="29" t="s">
        <v>13</v>
      </c>
      <c r="E347" s="29">
        <v>2</v>
      </c>
      <c r="F347" s="38">
        <f>E347*6500</f>
        <v>13000</v>
      </c>
      <c r="G347" s="38">
        <f>E347*4500</f>
        <v>9000</v>
      </c>
      <c r="H347" s="38">
        <f>E347*2000</f>
        <v>4000</v>
      </c>
    </row>
    <row r="348" spans="1:8" hidden="1" x14ac:dyDescent="0.25">
      <c r="A348" s="29"/>
      <c r="B348" s="29"/>
      <c r="C348" s="29"/>
      <c r="D348" s="29" t="s">
        <v>243</v>
      </c>
      <c r="E348" s="29">
        <v>1</v>
      </c>
      <c r="F348" s="38">
        <v>13000</v>
      </c>
      <c r="G348" s="38">
        <v>10000</v>
      </c>
      <c r="H348" s="38">
        <v>3000</v>
      </c>
    </row>
    <row r="349" spans="1:8" x14ac:dyDescent="0.25">
      <c r="A349" s="29"/>
      <c r="B349" s="29"/>
      <c r="C349" s="29" t="s">
        <v>217</v>
      </c>
      <c r="D349" s="29" t="s">
        <v>11</v>
      </c>
      <c r="E349" s="29">
        <v>8</v>
      </c>
      <c r="F349" s="38">
        <f>E349*1500</f>
        <v>12000</v>
      </c>
      <c r="G349" s="38">
        <f>E349*500</f>
        <v>4000</v>
      </c>
      <c r="H349" s="38">
        <v>8000</v>
      </c>
    </row>
    <row r="350" spans="1:8" hidden="1" x14ac:dyDescent="0.25">
      <c r="A350" s="29"/>
      <c r="B350" s="29"/>
      <c r="C350" s="29"/>
      <c r="D350" s="29" t="s">
        <v>13</v>
      </c>
      <c r="E350" s="29">
        <v>8</v>
      </c>
      <c r="F350" s="38">
        <f>E350*6500</f>
        <v>52000</v>
      </c>
      <c r="G350" s="38">
        <f>E350*4500</f>
        <v>36000</v>
      </c>
      <c r="H350" s="38">
        <f>E350*2000</f>
        <v>16000</v>
      </c>
    </row>
    <row r="351" spans="1:8" hidden="1" x14ac:dyDescent="0.25">
      <c r="A351" s="29"/>
      <c r="B351" s="29"/>
      <c r="C351" s="29"/>
      <c r="D351" s="29" t="s">
        <v>14</v>
      </c>
      <c r="E351" s="29">
        <v>4</v>
      </c>
      <c r="F351" s="38">
        <f>E351*10000</f>
        <v>40000</v>
      </c>
      <c r="G351" s="38">
        <f>E351*5500</f>
        <v>22000</v>
      </c>
      <c r="H351" s="38">
        <f>E351*2000</f>
        <v>8000</v>
      </c>
    </row>
    <row r="352" spans="1:8" hidden="1" x14ac:dyDescent="0.25">
      <c r="A352" s="29"/>
      <c r="B352" s="29"/>
      <c r="C352" s="29"/>
      <c r="D352" s="29" t="s">
        <v>420</v>
      </c>
      <c r="E352" s="29">
        <v>8</v>
      </c>
      <c r="F352" s="38">
        <f>E352*5000</f>
        <v>40000</v>
      </c>
      <c r="G352" s="38">
        <v>20000</v>
      </c>
      <c r="H352" s="38">
        <v>20000</v>
      </c>
    </row>
    <row r="353" spans="1:8" hidden="1" x14ac:dyDescent="0.25">
      <c r="A353" s="29"/>
      <c r="B353" s="29"/>
      <c r="C353" s="29"/>
      <c r="D353" s="29" t="s">
        <v>441</v>
      </c>
      <c r="E353" s="29">
        <v>3</v>
      </c>
      <c r="F353" s="38">
        <f>E353*3000</f>
        <v>9000</v>
      </c>
      <c r="G353" s="38">
        <v>4500</v>
      </c>
      <c r="H353" s="38">
        <v>4500</v>
      </c>
    </row>
    <row r="354" spans="1:8" hidden="1" x14ac:dyDescent="0.25">
      <c r="A354" s="29"/>
      <c r="B354" s="29"/>
      <c r="C354" s="29"/>
      <c r="D354" s="29" t="s">
        <v>404</v>
      </c>
      <c r="E354" s="29">
        <v>11</v>
      </c>
      <c r="F354" s="38">
        <f>E354*2000</f>
        <v>22000</v>
      </c>
      <c r="G354" s="38">
        <v>11000</v>
      </c>
      <c r="H354" s="38">
        <v>11000</v>
      </c>
    </row>
    <row r="355" spans="1:8" x14ac:dyDescent="0.25">
      <c r="A355" s="29"/>
      <c r="B355" s="29"/>
      <c r="C355" s="29" t="s">
        <v>399</v>
      </c>
      <c r="D355" s="29" t="s">
        <v>11</v>
      </c>
      <c r="E355" s="29">
        <v>12</v>
      </c>
      <c r="F355" s="38">
        <f>E355*1500</f>
        <v>18000</v>
      </c>
      <c r="G355" s="38">
        <f>E355*500</f>
        <v>6000</v>
      </c>
      <c r="H355" s="38">
        <f>E355*1000</f>
        <v>12000</v>
      </c>
    </row>
    <row r="356" spans="1:8" hidden="1" x14ac:dyDescent="0.25">
      <c r="A356" s="29"/>
      <c r="B356" s="29"/>
      <c r="C356" s="29"/>
      <c r="D356" s="29" t="s">
        <v>13</v>
      </c>
      <c r="E356" s="29">
        <v>42</v>
      </c>
      <c r="F356" s="38">
        <f>E356*6500</f>
        <v>273000</v>
      </c>
      <c r="G356" s="38">
        <f>E356*4500</f>
        <v>189000</v>
      </c>
      <c r="H356" s="38">
        <f>E356*2000</f>
        <v>84000</v>
      </c>
    </row>
    <row r="357" spans="1:8" hidden="1" x14ac:dyDescent="0.25">
      <c r="A357" s="29"/>
      <c r="B357" s="29"/>
      <c r="C357" s="29"/>
      <c r="D357" s="29" t="s">
        <v>14</v>
      </c>
      <c r="E357" s="29">
        <v>16</v>
      </c>
      <c r="F357" s="38">
        <f>E357*10000</f>
        <v>160000</v>
      </c>
      <c r="G357" s="38">
        <f>E357*5500</f>
        <v>88000</v>
      </c>
      <c r="H357" s="38">
        <f>E357*4500</f>
        <v>72000</v>
      </c>
    </row>
    <row r="358" spans="1:8" hidden="1" x14ac:dyDescent="0.25">
      <c r="A358" s="29"/>
      <c r="B358" s="29"/>
      <c r="C358" s="29"/>
      <c r="D358" s="29" t="s">
        <v>243</v>
      </c>
      <c r="E358" s="29">
        <v>1</v>
      </c>
      <c r="F358" s="38">
        <v>13000</v>
      </c>
      <c r="G358" s="38">
        <v>10000</v>
      </c>
      <c r="H358" s="38">
        <v>3000</v>
      </c>
    </row>
    <row r="359" spans="1:8" hidden="1" x14ac:dyDescent="0.25">
      <c r="A359" s="29"/>
      <c r="B359" s="29"/>
      <c r="C359" s="29" t="s">
        <v>127</v>
      </c>
      <c r="D359" s="29" t="s">
        <v>21</v>
      </c>
      <c r="E359" s="29">
        <v>5</v>
      </c>
      <c r="F359" s="38">
        <f>E359*15000</f>
        <v>75000</v>
      </c>
      <c r="G359" s="38">
        <v>50000</v>
      </c>
      <c r="H359" s="38">
        <v>25000</v>
      </c>
    </row>
    <row r="360" spans="1:8" hidden="1" x14ac:dyDescent="0.25">
      <c r="A360" s="29"/>
      <c r="B360" s="29"/>
      <c r="C360" s="29"/>
      <c r="D360" s="29" t="s">
        <v>243</v>
      </c>
      <c r="E360" s="29">
        <v>1</v>
      </c>
      <c r="F360" s="38">
        <v>13000</v>
      </c>
      <c r="G360" s="38">
        <v>10000</v>
      </c>
      <c r="H360" s="38">
        <v>3000</v>
      </c>
    </row>
    <row r="361" spans="1:8" hidden="1" x14ac:dyDescent="0.25">
      <c r="A361" s="29"/>
      <c r="B361" s="29"/>
      <c r="C361" s="29" t="s">
        <v>24</v>
      </c>
      <c r="D361" s="29" t="s">
        <v>243</v>
      </c>
      <c r="E361" s="29">
        <v>1</v>
      </c>
      <c r="F361" s="38">
        <v>13000</v>
      </c>
      <c r="G361" s="38">
        <v>10000</v>
      </c>
      <c r="H361" s="38">
        <v>3000</v>
      </c>
    </row>
    <row r="362" spans="1:8" hidden="1" x14ac:dyDescent="0.25">
      <c r="A362" s="131" t="s">
        <v>17</v>
      </c>
      <c r="B362" s="132"/>
      <c r="C362" s="132"/>
      <c r="D362" s="133"/>
      <c r="E362" s="17">
        <f>SUM(E343:E361)</f>
        <v>343</v>
      </c>
      <c r="F362" s="17">
        <f>SUM(F343:F361)</f>
        <v>1139600</v>
      </c>
      <c r="G362" s="17">
        <f>SUM(G343:G361)</f>
        <v>601500</v>
      </c>
      <c r="H362" s="17">
        <f>SUM(H343:H361)</f>
        <v>528100</v>
      </c>
    </row>
    <row r="363" spans="1:8" x14ac:dyDescent="0.25">
      <c r="A363" s="29" t="s">
        <v>22</v>
      </c>
      <c r="B363" s="29" t="s">
        <v>619</v>
      </c>
      <c r="C363" s="29" t="s">
        <v>16</v>
      </c>
      <c r="D363" s="29" t="s">
        <v>11</v>
      </c>
      <c r="E363" s="29">
        <v>40</v>
      </c>
      <c r="F363" s="38">
        <f>E363*1500</f>
        <v>60000</v>
      </c>
      <c r="G363" s="38">
        <f>E363*500</f>
        <v>20000</v>
      </c>
      <c r="H363" s="38">
        <v>40000</v>
      </c>
    </row>
    <row r="364" spans="1:8" hidden="1" x14ac:dyDescent="0.25">
      <c r="A364" s="29"/>
      <c r="B364" s="29"/>
      <c r="C364" s="29" t="s">
        <v>217</v>
      </c>
      <c r="D364" s="29" t="s">
        <v>13</v>
      </c>
      <c r="E364" s="29">
        <v>6</v>
      </c>
      <c r="F364" s="38">
        <f>E364*6500</f>
        <v>39000</v>
      </c>
      <c r="G364" s="38">
        <f>E364*4500</f>
        <v>27000</v>
      </c>
      <c r="H364" s="38">
        <f>E364*2000</f>
        <v>12000</v>
      </c>
    </row>
    <row r="365" spans="1:8" hidden="1" x14ac:dyDescent="0.25">
      <c r="A365" s="29"/>
      <c r="B365" s="29"/>
      <c r="C365" s="29"/>
      <c r="D365" s="29" t="s">
        <v>14</v>
      </c>
      <c r="E365" s="29">
        <v>6</v>
      </c>
      <c r="F365" s="38">
        <f>E365*10000</f>
        <v>60000</v>
      </c>
      <c r="G365" s="38">
        <f>E365*5500</f>
        <v>33000</v>
      </c>
      <c r="H365" s="38">
        <f>E365*4500</f>
        <v>27000</v>
      </c>
    </row>
    <row r="366" spans="1:8" hidden="1" x14ac:dyDescent="0.25">
      <c r="A366" s="29"/>
      <c r="B366" s="29"/>
      <c r="C366" s="29"/>
      <c r="D366" s="29" t="s">
        <v>404</v>
      </c>
      <c r="E366" s="29">
        <v>5</v>
      </c>
      <c r="F366" s="38">
        <f>E366*2000</f>
        <v>10000</v>
      </c>
      <c r="G366" s="38">
        <v>5000</v>
      </c>
      <c r="H366" s="38">
        <v>5000</v>
      </c>
    </row>
    <row r="367" spans="1:8" hidden="1" x14ac:dyDescent="0.25">
      <c r="A367" s="29"/>
      <c r="B367" s="29"/>
      <c r="C367" s="29"/>
      <c r="D367" s="29" t="s">
        <v>441</v>
      </c>
      <c r="E367" s="29">
        <v>3</v>
      </c>
      <c r="F367" s="38">
        <f>E367*3000</f>
        <v>9000</v>
      </c>
      <c r="G367" s="38">
        <v>4500</v>
      </c>
      <c r="H367" s="38">
        <v>4500</v>
      </c>
    </row>
    <row r="368" spans="1:8" hidden="1" x14ac:dyDescent="0.25">
      <c r="A368" s="29"/>
      <c r="B368" s="29"/>
      <c r="C368" s="29"/>
      <c r="D368" s="29" t="s">
        <v>620</v>
      </c>
      <c r="E368" s="29">
        <v>9</v>
      </c>
      <c r="F368" s="38">
        <f>E368*5000</f>
        <v>45000</v>
      </c>
      <c r="G368" s="38">
        <v>22500</v>
      </c>
      <c r="H368" s="38">
        <v>22500</v>
      </c>
    </row>
    <row r="369" spans="1:8" hidden="1" x14ac:dyDescent="0.25">
      <c r="A369" s="131" t="s">
        <v>17</v>
      </c>
      <c r="B369" s="132"/>
      <c r="C369" s="132"/>
      <c r="D369" s="133"/>
      <c r="E369" s="17">
        <f>SUM(E363:E368)</f>
        <v>69</v>
      </c>
      <c r="F369" s="17">
        <f>SUM(F363:F368)</f>
        <v>223000</v>
      </c>
      <c r="G369" s="17">
        <f>SUM(G363:G368)</f>
        <v>112000</v>
      </c>
      <c r="H369" s="17">
        <f>SUM(H363:H368)</f>
        <v>111000</v>
      </c>
    </row>
    <row r="370" spans="1:8" x14ac:dyDescent="0.25">
      <c r="A370" s="29" t="s">
        <v>26</v>
      </c>
      <c r="B370" s="29" t="s">
        <v>621</v>
      </c>
      <c r="C370" s="29" t="s">
        <v>16</v>
      </c>
      <c r="D370" s="29" t="s">
        <v>11</v>
      </c>
      <c r="E370" s="29">
        <v>18</v>
      </c>
      <c r="F370" s="38">
        <f>E370*1500</f>
        <v>27000</v>
      </c>
      <c r="G370" s="38">
        <f>E370*500</f>
        <v>9000</v>
      </c>
      <c r="H370" s="38">
        <v>18000</v>
      </c>
    </row>
    <row r="371" spans="1:8" hidden="1" x14ac:dyDescent="0.25">
      <c r="A371" s="29"/>
      <c r="B371" s="29"/>
      <c r="C371" s="29"/>
      <c r="D371" s="29" t="s">
        <v>243</v>
      </c>
      <c r="E371" s="29">
        <v>1</v>
      </c>
      <c r="F371" s="38">
        <v>13000</v>
      </c>
      <c r="G371" s="38">
        <v>10000</v>
      </c>
      <c r="H371" s="38">
        <v>3000</v>
      </c>
    </row>
    <row r="372" spans="1:8" x14ac:dyDescent="0.25">
      <c r="A372" s="29"/>
      <c r="B372" s="29"/>
      <c r="C372" s="29" t="s">
        <v>217</v>
      </c>
      <c r="D372" s="29" t="s">
        <v>11</v>
      </c>
      <c r="E372" s="29">
        <v>21</v>
      </c>
      <c r="F372" s="38">
        <f>E372*1500</f>
        <v>31500</v>
      </c>
      <c r="G372" s="38">
        <f>E372*500</f>
        <v>10500</v>
      </c>
      <c r="H372" s="38">
        <v>21000</v>
      </c>
    </row>
    <row r="373" spans="1:8" hidden="1" x14ac:dyDescent="0.25">
      <c r="A373" s="29"/>
      <c r="B373" s="29"/>
      <c r="C373" s="29"/>
      <c r="D373" s="29" t="s">
        <v>13</v>
      </c>
      <c r="E373" s="29">
        <v>11</v>
      </c>
      <c r="F373" s="38">
        <f>E373*6500</f>
        <v>71500</v>
      </c>
      <c r="G373" s="38">
        <f>E373*4500</f>
        <v>49500</v>
      </c>
      <c r="H373" s="38">
        <f>E373*2000</f>
        <v>22000</v>
      </c>
    </row>
    <row r="374" spans="1:8" hidden="1" x14ac:dyDescent="0.25">
      <c r="A374" s="29"/>
      <c r="B374" s="29"/>
      <c r="C374" s="29"/>
      <c r="D374" s="29" t="s">
        <v>14</v>
      </c>
      <c r="E374" s="29">
        <v>15</v>
      </c>
      <c r="F374" s="38">
        <f>E374*10000</f>
        <v>150000</v>
      </c>
      <c r="G374" s="38">
        <f>E374*5500</f>
        <v>82500</v>
      </c>
      <c r="H374" s="38">
        <f>E374*4500</f>
        <v>67500</v>
      </c>
    </row>
    <row r="375" spans="1:8" hidden="1" x14ac:dyDescent="0.25">
      <c r="A375" s="29"/>
      <c r="B375" s="29"/>
      <c r="C375" s="29"/>
      <c r="D375" s="29" t="s">
        <v>404</v>
      </c>
      <c r="E375" s="29">
        <v>11</v>
      </c>
      <c r="F375" s="38">
        <f>E375*2000</f>
        <v>22000</v>
      </c>
      <c r="G375" s="38">
        <v>11000</v>
      </c>
      <c r="H375" s="38">
        <v>11000</v>
      </c>
    </row>
    <row r="376" spans="1:8" hidden="1" x14ac:dyDescent="0.25">
      <c r="A376" s="29"/>
      <c r="B376" s="29"/>
      <c r="C376" s="29"/>
      <c r="D376" s="29" t="s">
        <v>437</v>
      </c>
      <c r="E376" s="29">
        <v>13</v>
      </c>
      <c r="F376" s="38">
        <f>E376*5000</f>
        <v>65000</v>
      </c>
      <c r="G376" s="38">
        <v>32500</v>
      </c>
      <c r="H376" s="38">
        <v>32500</v>
      </c>
    </row>
    <row r="377" spans="1:8" hidden="1" x14ac:dyDescent="0.25">
      <c r="A377" s="29"/>
      <c r="B377" s="29"/>
      <c r="C377" s="29"/>
      <c r="D377" s="29" t="s">
        <v>441</v>
      </c>
      <c r="E377" s="29">
        <v>3</v>
      </c>
      <c r="F377" s="38">
        <f>E377*3000</f>
        <v>9000</v>
      </c>
      <c r="G377" s="38">
        <v>4500</v>
      </c>
      <c r="H377" s="38">
        <v>4500</v>
      </c>
    </row>
    <row r="378" spans="1:8" hidden="1" x14ac:dyDescent="0.25">
      <c r="A378" s="131" t="s">
        <v>17</v>
      </c>
      <c r="B378" s="132"/>
      <c r="C378" s="132"/>
      <c r="D378" s="133"/>
      <c r="E378" s="17">
        <f>SUM(E370:E377)</f>
        <v>93</v>
      </c>
      <c r="F378" s="17">
        <f>SUM(F370:F377)</f>
        <v>389000</v>
      </c>
      <c r="G378" s="17">
        <f>SUM(G370:G377)</f>
        <v>209500</v>
      </c>
      <c r="H378" s="17">
        <f>SUM(H370:H377)</f>
        <v>179500</v>
      </c>
    </row>
    <row r="379" spans="1:8" x14ac:dyDescent="0.25">
      <c r="A379" s="29" t="s">
        <v>28</v>
      </c>
      <c r="B379" s="29" t="s">
        <v>622</v>
      </c>
      <c r="C379" s="29" t="s">
        <v>217</v>
      </c>
      <c r="D379" s="29" t="s">
        <v>11</v>
      </c>
      <c r="E379" s="29">
        <v>14</v>
      </c>
      <c r="F379" s="38">
        <f>E379*1500</f>
        <v>21000</v>
      </c>
      <c r="G379" s="38">
        <f>E379*500</f>
        <v>7000</v>
      </c>
      <c r="H379" s="38">
        <v>14000</v>
      </c>
    </row>
    <row r="380" spans="1:8" hidden="1" x14ac:dyDescent="0.25">
      <c r="A380" s="29"/>
      <c r="B380" s="29"/>
      <c r="C380" s="29"/>
      <c r="D380" s="29" t="s">
        <v>13</v>
      </c>
      <c r="E380" s="29">
        <v>5</v>
      </c>
      <c r="F380" s="38">
        <f>E380*6500</f>
        <v>32500</v>
      </c>
      <c r="G380" s="38">
        <f>E380*4500</f>
        <v>22500</v>
      </c>
      <c r="H380" s="38">
        <v>10000</v>
      </c>
    </row>
    <row r="381" spans="1:8" hidden="1" x14ac:dyDescent="0.25">
      <c r="A381" s="29"/>
      <c r="B381" s="29"/>
      <c r="C381" s="29"/>
      <c r="D381" s="29" t="s">
        <v>14</v>
      </c>
      <c r="E381" s="29">
        <v>7</v>
      </c>
      <c r="F381" s="38">
        <f>E381*10000</f>
        <v>70000</v>
      </c>
      <c r="G381" s="38">
        <f>E381*5500</f>
        <v>38500</v>
      </c>
      <c r="H381" s="38">
        <f>E381*4500</f>
        <v>31500</v>
      </c>
    </row>
    <row r="382" spans="1:8" hidden="1" x14ac:dyDescent="0.25">
      <c r="A382" s="29"/>
      <c r="B382" s="29"/>
      <c r="C382" s="29"/>
      <c r="D382" s="29" t="s">
        <v>404</v>
      </c>
      <c r="E382" s="29">
        <v>4</v>
      </c>
      <c r="F382" s="38">
        <f>E382*2000</f>
        <v>8000</v>
      </c>
      <c r="G382" s="38">
        <v>4000</v>
      </c>
      <c r="H382" s="38">
        <v>4000</v>
      </c>
    </row>
    <row r="383" spans="1:8" hidden="1" x14ac:dyDescent="0.25">
      <c r="A383" s="29"/>
      <c r="B383" s="29"/>
      <c r="C383" s="29"/>
      <c r="D383" s="29" t="s">
        <v>415</v>
      </c>
      <c r="E383" s="29">
        <v>1</v>
      </c>
      <c r="F383" s="38">
        <v>5000</v>
      </c>
      <c r="G383" s="38">
        <v>2500</v>
      </c>
      <c r="H383" s="38">
        <v>2500</v>
      </c>
    </row>
    <row r="384" spans="1:8" hidden="1" x14ac:dyDescent="0.25">
      <c r="A384" s="29"/>
      <c r="B384" s="29"/>
      <c r="C384" s="29"/>
      <c r="D384" s="29" t="s">
        <v>437</v>
      </c>
      <c r="E384" s="29">
        <v>1</v>
      </c>
      <c r="F384" s="38">
        <v>3000</v>
      </c>
      <c r="G384" s="38">
        <v>1500</v>
      </c>
      <c r="H384" s="38">
        <v>1500</v>
      </c>
    </row>
    <row r="385" spans="1:8" x14ac:dyDescent="0.25">
      <c r="A385" s="29"/>
      <c r="B385" s="29"/>
      <c r="C385" s="29" t="s">
        <v>20</v>
      </c>
      <c r="D385" s="29" t="s">
        <v>11</v>
      </c>
      <c r="E385" s="29">
        <v>2</v>
      </c>
      <c r="F385" s="38">
        <f>E385*1500</f>
        <v>3000</v>
      </c>
      <c r="G385" s="38">
        <f>E385*500</f>
        <v>1000</v>
      </c>
      <c r="H385" s="38">
        <v>2000</v>
      </c>
    </row>
    <row r="386" spans="1:8" hidden="1" x14ac:dyDescent="0.25">
      <c r="A386" s="29"/>
      <c r="B386" s="29"/>
      <c r="C386" s="29"/>
      <c r="D386" s="29" t="s">
        <v>13</v>
      </c>
      <c r="E386" s="29">
        <v>24</v>
      </c>
      <c r="F386" s="38">
        <f>E386*6500</f>
        <v>156000</v>
      </c>
      <c r="G386" s="38">
        <f>E386*4500</f>
        <v>108000</v>
      </c>
      <c r="H386" s="38">
        <f>E386*2000</f>
        <v>48000</v>
      </c>
    </row>
    <row r="387" spans="1:8" hidden="1" x14ac:dyDescent="0.25">
      <c r="A387" s="29"/>
      <c r="B387" s="29"/>
      <c r="C387" s="29"/>
      <c r="D387" s="29" t="s">
        <v>14</v>
      </c>
      <c r="E387" s="29">
        <v>30</v>
      </c>
      <c r="F387" s="38">
        <f>E387*10000</f>
        <v>300000</v>
      </c>
      <c r="G387" s="38">
        <f>E387*5500</f>
        <v>165000</v>
      </c>
      <c r="H387" s="38">
        <f>E387*4500</f>
        <v>135000</v>
      </c>
    </row>
    <row r="388" spans="1:8" hidden="1" x14ac:dyDescent="0.25">
      <c r="A388" s="29"/>
      <c r="B388" s="29"/>
      <c r="C388" s="29"/>
      <c r="D388" s="29" t="s">
        <v>404</v>
      </c>
      <c r="E388" s="29">
        <v>3</v>
      </c>
      <c r="F388" s="38">
        <f>E388*2000</f>
        <v>6000</v>
      </c>
      <c r="G388" s="38">
        <v>3000</v>
      </c>
      <c r="H388" s="38">
        <v>3000</v>
      </c>
    </row>
    <row r="389" spans="1:8" hidden="1" x14ac:dyDescent="0.25">
      <c r="A389" s="29"/>
      <c r="B389" s="29"/>
      <c r="C389" s="29"/>
      <c r="D389" s="29" t="s">
        <v>434</v>
      </c>
      <c r="E389" s="29">
        <v>1</v>
      </c>
      <c r="F389" s="38">
        <v>3000</v>
      </c>
      <c r="G389" s="38">
        <v>2000</v>
      </c>
      <c r="H389" s="38">
        <v>1000</v>
      </c>
    </row>
    <row r="390" spans="1:8" hidden="1" x14ac:dyDescent="0.25">
      <c r="A390" s="131" t="s">
        <v>17</v>
      </c>
      <c r="B390" s="132"/>
      <c r="C390" s="132"/>
      <c r="D390" s="133"/>
      <c r="E390" s="17">
        <f>SUM(E379:E389)</f>
        <v>92</v>
      </c>
      <c r="F390" s="17">
        <f>SUM(F379:F389)</f>
        <v>607500</v>
      </c>
      <c r="G390" s="17">
        <f>SUM(G379:G389)</f>
        <v>355000</v>
      </c>
      <c r="H390" s="17">
        <f>SUM(H379:H389)</f>
        <v>252500</v>
      </c>
    </row>
    <row r="391" spans="1:8" hidden="1" x14ac:dyDescent="0.25">
      <c r="A391" s="29"/>
      <c r="B391" s="29"/>
      <c r="C391" s="29" t="s">
        <v>217</v>
      </c>
      <c r="D391" s="29" t="s">
        <v>13</v>
      </c>
      <c r="E391" s="29">
        <v>13</v>
      </c>
      <c r="F391" s="38">
        <f>E391*6500</f>
        <v>84500</v>
      </c>
      <c r="G391" s="38">
        <f>E391*4500</f>
        <v>58500</v>
      </c>
      <c r="H391" s="38">
        <f>E391*2000</f>
        <v>26000</v>
      </c>
    </row>
    <row r="392" spans="1:8" hidden="1" x14ac:dyDescent="0.25">
      <c r="A392" s="29"/>
      <c r="B392" s="29"/>
      <c r="C392" s="29"/>
      <c r="D392" s="29" t="s">
        <v>14</v>
      </c>
      <c r="E392" s="29">
        <v>2</v>
      </c>
      <c r="F392" s="38">
        <f>E392*10000</f>
        <v>20000</v>
      </c>
      <c r="G392" s="38">
        <f>E392*5500</f>
        <v>11000</v>
      </c>
      <c r="H392" s="38">
        <f>E392*4500</f>
        <v>9000</v>
      </c>
    </row>
    <row r="393" spans="1:8" hidden="1" x14ac:dyDescent="0.25">
      <c r="A393" s="29"/>
      <c r="B393" s="29"/>
      <c r="C393" s="29"/>
      <c r="D393" s="29" t="s">
        <v>404</v>
      </c>
      <c r="E393" s="29">
        <v>12</v>
      </c>
      <c r="F393" s="38">
        <f>E393*2000</f>
        <v>24000</v>
      </c>
      <c r="G393" s="38">
        <v>12000</v>
      </c>
      <c r="H393" s="38">
        <v>12000</v>
      </c>
    </row>
    <row r="394" spans="1:8" hidden="1" x14ac:dyDescent="0.25">
      <c r="A394" s="29"/>
      <c r="B394" s="29"/>
      <c r="C394" s="29"/>
      <c r="D394" s="29" t="s">
        <v>441</v>
      </c>
      <c r="E394" s="29">
        <v>3</v>
      </c>
      <c r="F394" s="38">
        <f>E394*3000</f>
        <v>9000</v>
      </c>
      <c r="G394" s="38">
        <v>4500</v>
      </c>
      <c r="H394" s="38">
        <v>4500</v>
      </c>
    </row>
    <row r="395" spans="1:8" hidden="1" x14ac:dyDescent="0.25">
      <c r="A395" s="29"/>
      <c r="B395" s="29"/>
      <c r="C395" s="29"/>
      <c r="D395" s="29" t="s">
        <v>437</v>
      </c>
      <c r="E395" s="29">
        <v>3</v>
      </c>
      <c r="F395" s="38">
        <f>E395*5000</f>
        <v>15000</v>
      </c>
      <c r="G395" s="38">
        <v>7500</v>
      </c>
      <c r="H395" s="38">
        <v>7500</v>
      </c>
    </row>
    <row r="396" spans="1:8" x14ac:dyDescent="0.25">
      <c r="A396" s="29"/>
      <c r="B396" s="29"/>
      <c r="C396" s="29" t="s">
        <v>16</v>
      </c>
      <c r="D396" s="29" t="s">
        <v>11</v>
      </c>
      <c r="E396" s="29">
        <v>89</v>
      </c>
      <c r="F396" s="38">
        <f>E396*1500</f>
        <v>133500</v>
      </c>
      <c r="G396" s="38">
        <f>E396*500</f>
        <v>44500</v>
      </c>
      <c r="H396" s="38">
        <v>89000</v>
      </c>
    </row>
    <row r="397" spans="1:8" hidden="1" x14ac:dyDescent="0.25">
      <c r="A397" s="29"/>
      <c r="B397" s="29"/>
      <c r="C397" s="29"/>
      <c r="D397" s="29" t="s">
        <v>623</v>
      </c>
      <c r="E397" s="29">
        <v>4</v>
      </c>
      <c r="F397" s="38">
        <f>E397*3000</f>
        <v>12000</v>
      </c>
      <c r="G397" s="38">
        <v>8000</v>
      </c>
      <c r="H397" s="38">
        <v>4000</v>
      </c>
    </row>
    <row r="398" spans="1:8" hidden="1" x14ac:dyDescent="0.25">
      <c r="A398" s="29"/>
      <c r="B398" s="29"/>
      <c r="C398" s="29"/>
      <c r="D398" s="29" t="s">
        <v>13</v>
      </c>
      <c r="E398" s="29">
        <v>1</v>
      </c>
      <c r="F398" s="38">
        <v>6500</v>
      </c>
      <c r="G398" s="38">
        <v>4500</v>
      </c>
      <c r="H398" s="38">
        <v>2000</v>
      </c>
    </row>
    <row r="399" spans="1:8" hidden="1" x14ac:dyDescent="0.25">
      <c r="A399" s="29"/>
      <c r="B399" s="29"/>
      <c r="C399" s="29"/>
      <c r="D399" s="29" t="s">
        <v>14</v>
      </c>
      <c r="E399" s="29">
        <v>1</v>
      </c>
      <c r="F399" s="38">
        <v>10000</v>
      </c>
      <c r="G399" s="38">
        <v>5500</v>
      </c>
      <c r="H399" s="38">
        <v>4500</v>
      </c>
    </row>
    <row r="400" spans="1:8" hidden="1" x14ac:dyDescent="0.25">
      <c r="A400" s="131" t="s">
        <v>17</v>
      </c>
      <c r="B400" s="132"/>
      <c r="C400" s="132"/>
      <c r="D400" s="133"/>
      <c r="E400" s="17">
        <f>SUM(E391:E399)</f>
        <v>128</v>
      </c>
      <c r="F400" s="17">
        <f>SUM(F391:F399)</f>
        <v>314500</v>
      </c>
      <c r="G400" s="17">
        <f>SUM(G391:G399)</f>
        <v>156000</v>
      </c>
      <c r="H400" s="17">
        <f>SUM(H391:H399)</f>
        <v>158500</v>
      </c>
    </row>
    <row r="401" spans="1:8" hidden="1" x14ac:dyDescent="0.25">
      <c r="A401" s="29" t="s">
        <v>30</v>
      </c>
      <c r="B401" s="29" t="s">
        <v>624</v>
      </c>
      <c r="C401" s="29" t="s">
        <v>217</v>
      </c>
      <c r="D401" s="29" t="s">
        <v>13</v>
      </c>
      <c r="E401" s="29">
        <v>6</v>
      </c>
      <c r="F401" s="38">
        <f>E401*6500</f>
        <v>39000</v>
      </c>
      <c r="G401" s="38">
        <f>E401*4500</f>
        <v>27000</v>
      </c>
      <c r="H401" s="38">
        <f>E401*2000</f>
        <v>12000</v>
      </c>
    </row>
    <row r="402" spans="1:8" hidden="1" x14ac:dyDescent="0.25">
      <c r="A402" s="29"/>
      <c r="B402" s="29"/>
      <c r="C402" s="29"/>
      <c r="D402" s="29" t="s">
        <v>404</v>
      </c>
      <c r="E402" s="29">
        <v>1</v>
      </c>
      <c r="F402" s="38">
        <v>2000</v>
      </c>
      <c r="G402" s="38">
        <v>1000</v>
      </c>
      <c r="H402" s="38">
        <v>1000</v>
      </c>
    </row>
    <row r="403" spans="1:8" hidden="1" x14ac:dyDescent="0.25">
      <c r="A403" s="29"/>
      <c r="B403" s="29"/>
      <c r="C403" s="29"/>
      <c r="D403" s="29" t="s">
        <v>545</v>
      </c>
      <c r="E403" s="29">
        <v>1</v>
      </c>
      <c r="F403" s="38">
        <v>5000</v>
      </c>
      <c r="G403" s="38">
        <v>2500</v>
      </c>
      <c r="H403" s="38">
        <v>2500</v>
      </c>
    </row>
    <row r="404" spans="1:8" hidden="1" x14ac:dyDescent="0.25">
      <c r="A404" s="29"/>
      <c r="B404" s="29"/>
      <c r="C404" s="29"/>
      <c r="D404" s="29" t="s">
        <v>441</v>
      </c>
      <c r="E404" s="29">
        <v>2</v>
      </c>
      <c r="F404" s="38">
        <f>E404*3000</f>
        <v>6000</v>
      </c>
      <c r="G404" s="38">
        <v>3000</v>
      </c>
      <c r="H404" s="38">
        <v>3000</v>
      </c>
    </row>
    <row r="405" spans="1:8" x14ac:dyDescent="0.25">
      <c r="A405" s="29"/>
      <c r="B405" s="29"/>
      <c r="C405" s="29" t="s">
        <v>16</v>
      </c>
      <c r="D405" s="29" t="s">
        <v>11</v>
      </c>
      <c r="E405" s="29">
        <v>26</v>
      </c>
      <c r="F405" s="38">
        <f>E405*1500</f>
        <v>39000</v>
      </c>
      <c r="G405" s="38">
        <f>E405*500</f>
        <v>13000</v>
      </c>
      <c r="H405" s="38">
        <v>26000</v>
      </c>
    </row>
    <row r="406" spans="1:8" hidden="1" x14ac:dyDescent="0.25">
      <c r="A406" s="29"/>
      <c r="B406" s="29"/>
      <c r="C406" s="29"/>
      <c r="D406" s="29" t="s">
        <v>12</v>
      </c>
      <c r="E406" s="29">
        <v>2</v>
      </c>
      <c r="F406" s="38">
        <f>E406*3000</f>
        <v>6000</v>
      </c>
      <c r="G406" s="38">
        <v>4000</v>
      </c>
      <c r="H406" s="38">
        <v>2000</v>
      </c>
    </row>
    <row r="407" spans="1:8" hidden="1" x14ac:dyDescent="0.25">
      <c r="A407" s="29"/>
      <c r="B407" s="29"/>
      <c r="C407" s="29"/>
      <c r="D407" s="29" t="s">
        <v>13</v>
      </c>
      <c r="E407" s="29">
        <v>1</v>
      </c>
      <c r="F407" s="38">
        <v>6500</v>
      </c>
      <c r="G407" s="38">
        <v>4500</v>
      </c>
      <c r="H407" s="38">
        <v>2000</v>
      </c>
    </row>
    <row r="408" spans="1:8" hidden="1" x14ac:dyDescent="0.25">
      <c r="A408" s="136" t="s">
        <v>17</v>
      </c>
      <c r="B408" s="137"/>
      <c r="C408" s="137"/>
      <c r="D408" s="138"/>
      <c r="E408" s="17">
        <f>SUM(E401:E407)</f>
        <v>39</v>
      </c>
      <c r="F408" s="17">
        <f>SUM(F401:F407)</f>
        <v>103500</v>
      </c>
      <c r="G408" s="17">
        <f>SUM(G401:G407)</f>
        <v>55000</v>
      </c>
      <c r="H408" s="17">
        <f>SUM(H401:H407)</f>
        <v>48500</v>
      </c>
    </row>
    <row r="409" spans="1:8" x14ac:dyDescent="0.25">
      <c r="A409" s="29" t="s">
        <v>32</v>
      </c>
      <c r="B409" s="29" t="s">
        <v>625</v>
      </c>
      <c r="C409" s="29" t="s">
        <v>16</v>
      </c>
      <c r="D409" s="29" t="s">
        <v>11</v>
      </c>
      <c r="E409" s="29">
        <v>43</v>
      </c>
      <c r="F409" s="38">
        <f>E409*1500</f>
        <v>64500</v>
      </c>
      <c r="G409" s="38">
        <f>E409*500</f>
        <v>21500</v>
      </c>
      <c r="H409" s="38">
        <v>43000</v>
      </c>
    </row>
    <row r="410" spans="1:8" hidden="1" x14ac:dyDescent="0.25">
      <c r="A410" s="29"/>
      <c r="B410" s="29"/>
      <c r="C410" s="29"/>
      <c r="D410" s="29" t="s">
        <v>12</v>
      </c>
      <c r="E410" s="29">
        <v>2</v>
      </c>
      <c r="F410" s="38">
        <f>E410*3000</f>
        <v>6000</v>
      </c>
      <c r="G410" s="38">
        <v>4000</v>
      </c>
      <c r="H410" s="38">
        <v>2000</v>
      </c>
    </row>
    <row r="411" spans="1:8" hidden="1" x14ac:dyDescent="0.25">
      <c r="A411" s="29"/>
      <c r="B411" s="29"/>
      <c r="C411" s="29"/>
      <c r="D411" s="29" t="s">
        <v>13</v>
      </c>
      <c r="E411" s="29">
        <v>3</v>
      </c>
      <c r="F411" s="38">
        <f>E411*6500</f>
        <v>19500</v>
      </c>
      <c r="G411" s="38">
        <f>E411*4500</f>
        <v>13500</v>
      </c>
      <c r="H411" s="38">
        <f>E411*2000</f>
        <v>6000</v>
      </c>
    </row>
    <row r="412" spans="1:8" hidden="1" x14ac:dyDescent="0.25">
      <c r="A412" s="29"/>
      <c r="B412" s="29"/>
      <c r="C412" s="29"/>
      <c r="D412" s="29" t="s">
        <v>243</v>
      </c>
      <c r="E412" s="29">
        <v>1</v>
      </c>
      <c r="F412" s="38">
        <v>13000</v>
      </c>
      <c r="G412" s="38">
        <v>10000</v>
      </c>
      <c r="H412" s="38">
        <v>3000</v>
      </c>
    </row>
    <row r="413" spans="1:8" hidden="1" x14ac:dyDescent="0.25">
      <c r="A413" s="29"/>
      <c r="B413" s="29"/>
      <c r="C413" s="29" t="s">
        <v>217</v>
      </c>
      <c r="D413" s="29" t="s">
        <v>13</v>
      </c>
      <c r="E413" s="29">
        <v>3</v>
      </c>
      <c r="F413" s="38">
        <f>E413*6500</f>
        <v>19500</v>
      </c>
      <c r="G413" s="38">
        <f>E413*4500</f>
        <v>13500</v>
      </c>
      <c r="H413" s="38">
        <f>E413*2000</f>
        <v>6000</v>
      </c>
    </row>
    <row r="414" spans="1:8" hidden="1" x14ac:dyDescent="0.25">
      <c r="A414" s="29"/>
      <c r="B414" s="29"/>
      <c r="C414" s="29"/>
      <c r="D414" s="29" t="s">
        <v>437</v>
      </c>
      <c r="E414" s="29">
        <v>3</v>
      </c>
      <c r="F414" s="38">
        <f>E414*5000</f>
        <v>15000</v>
      </c>
      <c r="G414" s="38">
        <v>7500</v>
      </c>
      <c r="H414" s="38">
        <v>7500</v>
      </c>
    </row>
    <row r="415" spans="1:8" hidden="1" x14ac:dyDescent="0.25">
      <c r="A415" s="29"/>
      <c r="B415" s="29"/>
      <c r="C415" s="29"/>
      <c r="D415" s="29" t="s">
        <v>626</v>
      </c>
      <c r="E415" s="29">
        <v>2</v>
      </c>
      <c r="F415" s="38">
        <f>E415*3000</f>
        <v>6000</v>
      </c>
      <c r="G415" s="38">
        <v>3000</v>
      </c>
      <c r="H415" s="38">
        <v>3000</v>
      </c>
    </row>
    <row r="416" spans="1:8" hidden="1" x14ac:dyDescent="0.25">
      <c r="A416" s="29"/>
      <c r="B416" s="29"/>
      <c r="C416" s="29"/>
      <c r="D416" s="29" t="s">
        <v>404</v>
      </c>
      <c r="E416" s="29">
        <v>1</v>
      </c>
      <c r="F416" s="38">
        <v>2000</v>
      </c>
      <c r="G416" s="38">
        <v>1000</v>
      </c>
      <c r="H416" s="38">
        <v>1000</v>
      </c>
    </row>
    <row r="417" spans="1:8" hidden="1" x14ac:dyDescent="0.25">
      <c r="A417" s="29"/>
      <c r="B417" s="29"/>
      <c r="C417" s="29" t="s">
        <v>24</v>
      </c>
      <c r="D417" s="29" t="s">
        <v>21</v>
      </c>
      <c r="E417" s="29">
        <v>1</v>
      </c>
      <c r="F417" s="38">
        <v>15000</v>
      </c>
      <c r="G417" s="38">
        <v>10000</v>
      </c>
      <c r="H417" s="38">
        <v>5000</v>
      </c>
    </row>
    <row r="418" spans="1:8" hidden="1" x14ac:dyDescent="0.25">
      <c r="A418" s="131" t="s">
        <v>17</v>
      </c>
      <c r="B418" s="132"/>
      <c r="C418" s="132"/>
      <c r="D418" s="133"/>
      <c r="E418" s="17">
        <f>SUM(E409:E417)</f>
        <v>59</v>
      </c>
      <c r="F418" s="17">
        <f>SUM(F409:F416)</f>
        <v>145500</v>
      </c>
      <c r="G418" s="17">
        <f>SUM(G409:G417)</f>
        <v>84000</v>
      </c>
      <c r="H418" s="17">
        <f>SUM(H409:H417)</f>
        <v>76500</v>
      </c>
    </row>
    <row r="419" spans="1:8" x14ac:dyDescent="0.25">
      <c r="A419" s="29" t="s">
        <v>8</v>
      </c>
      <c r="B419" s="29" t="s">
        <v>627</v>
      </c>
      <c r="C419" s="29" t="s">
        <v>16</v>
      </c>
      <c r="D419" s="29" t="s">
        <v>11</v>
      </c>
      <c r="E419" s="29">
        <v>72</v>
      </c>
      <c r="F419" s="38">
        <f>E419*1500</f>
        <v>108000</v>
      </c>
      <c r="G419" s="38">
        <f>E419*500</f>
        <v>36000</v>
      </c>
      <c r="H419" s="38">
        <v>72000</v>
      </c>
    </row>
    <row r="420" spans="1:8" hidden="1" x14ac:dyDescent="0.25">
      <c r="A420" s="29"/>
      <c r="B420" s="29"/>
      <c r="C420" s="29"/>
      <c r="D420" s="29" t="s">
        <v>12</v>
      </c>
      <c r="E420" s="29">
        <v>6</v>
      </c>
      <c r="F420" s="38">
        <f>E420*3000</f>
        <v>18000</v>
      </c>
      <c r="G420" s="38">
        <f>E420*2000</f>
        <v>12000</v>
      </c>
      <c r="H420" s="38">
        <v>6000</v>
      </c>
    </row>
    <row r="421" spans="1:8" hidden="1" x14ac:dyDescent="0.25">
      <c r="A421" s="29"/>
      <c r="B421" s="29"/>
      <c r="C421" s="29"/>
      <c r="D421" s="29" t="s">
        <v>13</v>
      </c>
      <c r="E421" s="29">
        <v>1</v>
      </c>
      <c r="F421" s="38">
        <v>6500</v>
      </c>
      <c r="G421" s="38">
        <v>4500</v>
      </c>
      <c r="H421" s="38">
        <v>2000</v>
      </c>
    </row>
    <row r="422" spans="1:8" hidden="1" x14ac:dyDescent="0.25">
      <c r="A422" s="29"/>
      <c r="B422" s="29"/>
      <c r="C422" s="29" t="s">
        <v>217</v>
      </c>
      <c r="D422" s="29" t="s">
        <v>13</v>
      </c>
      <c r="E422" s="29">
        <v>7</v>
      </c>
      <c r="F422" s="38">
        <f>E422*6500</f>
        <v>45500</v>
      </c>
      <c r="G422" s="38">
        <f>E422*4500</f>
        <v>31500</v>
      </c>
      <c r="H422" s="38">
        <f>E422*2000</f>
        <v>14000</v>
      </c>
    </row>
    <row r="423" spans="1:8" hidden="1" x14ac:dyDescent="0.25">
      <c r="A423" s="29"/>
      <c r="B423" s="29"/>
      <c r="C423" s="29"/>
      <c r="D423" s="29" t="s">
        <v>14</v>
      </c>
      <c r="E423" s="29">
        <v>5</v>
      </c>
      <c r="F423" s="38">
        <f>E423*10000</f>
        <v>50000</v>
      </c>
      <c r="G423" s="38">
        <f>E423*5500</f>
        <v>27500</v>
      </c>
      <c r="H423" s="38">
        <f>E423*4500</f>
        <v>22500</v>
      </c>
    </row>
    <row r="424" spans="1:8" hidden="1" x14ac:dyDescent="0.25">
      <c r="A424" s="29"/>
      <c r="B424" s="29"/>
      <c r="C424" s="29" t="s">
        <v>127</v>
      </c>
      <c r="D424" s="29" t="s">
        <v>21</v>
      </c>
      <c r="E424" s="29">
        <v>5</v>
      </c>
      <c r="F424" s="38">
        <f>E424*15000</f>
        <v>75000</v>
      </c>
      <c r="G424" s="38">
        <v>50000</v>
      </c>
      <c r="H424" s="38">
        <v>25000</v>
      </c>
    </row>
    <row r="425" spans="1:8" hidden="1" x14ac:dyDescent="0.25">
      <c r="A425" s="29"/>
      <c r="B425" s="29"/>
      <c r="C425" s="29"/>
      <c r="D425" s="29" t="s">
        <v>243</v>
      </c>
      <c r="E425" s="29">
        <v>1</v>
      </c>
      <c r="F425" s="38">
        <v>13000</v>
      </c>
      <c r="G425" s="38">
        <v>10000</v>
      </c>
      <c r="H425" s="38">
        <v>3000</v>
      </c>
    </row>
    <row r="426" spans="1:8" hidden="1" x14ac:dyDescent="0.25">
      <c r="A426" s="29"/>
      <c r="B426" s="29"/>
      <c r="C426" s="29" t="s">
        <v>217</v>
      </c>
      <c r="D426" s="29" t="s">
        <v>13</v>
      </c>
      <c r="E426" s="29">
        <v>3</v>
      </c>
      <c r="F426" s="38">
        <f>E426*6500</f>
        <v>19500</v>
      </c>
      <c r="G426" s="38">
        <f>E426*4500</f>
        <v>13500</v>
      </c>
      <c r="H426" s="38">
        <f>E426*2000</f>
        <v>6000</v>
      </c>
    </row>
    <row r="427" spans="1:8" hidden="1" x14ac:dyDescent="0.25">
      <c r="A427" s="29"/>
      <c r="B427" s="29"/>
      <c r="C427" s="29"/>
      <c r="D427" s="29" t="s">
        <v>14</v>
      </c>
      <c r="E427" s="29">
        <v>2</v>
      </c>
      <c r="F427" s="38">
        <f>E427*10000</f>
        <v>20000</v>
      </c>
      <c r="G427" s="38">
        <f>E427*5500</f>
        <v>11000</v>
      </c>
      <c r="H427" s="38">
        <f>E427*4500</f>
        <v>9000</v>
      </c>
    </row>
    <row r="428" spans="1:8" hidden="1" x14ac:dyDescent="0.25">
      <c r="A428" s="29"/>
      <c r="B428" s="29"/>
      <c r="C428" s="29"/>
      <c r="D428" s="29" t="s">
        <v>404</v>
      </c>
      <c r="E428" s="29">
        <v>2</v>
      </c>
      <c r="F428" s="38">
        <f>E428*2000</f>
        <v>4000</v>
      </c>
      <c r="G428" s="38">
        <v>2000</v>
      </c>
      <c r="H428" s="38">
        <v>2000</v>
      </c>
    </row>
    <row r="429" spans="1:8" hidden="1" x14ac:dyDescent="0.25">
      <c r="A429" s="29"/>
      <c r="B429" s="29"/>
      <c r="C429" s="29"/>
      <c r="D429" s="29" t="s">
        <v>415</v>
      </c>
      <c r="E429" s="29">
        <v>1</v>
      </c>
      <c r="F429" s="38">
        <v>5000</v>
      </c>
      <c r="G429" s="38">
        <v>2500</v>
      </c>
      <c r="H429" s="38">
        <v>2500</v>
      </c>
    </row>
    <row r="430" spans="1:8" hidden="1" x14ac:dyDescent="0.25">
      <c r="A430" s="29"/>
      <c r="B430" s="29"/>
      <c r="C430" s="29" t="s">
        <v>24</v>
      </c>
      <c r="D430" s="29" t="s">
        <v>243</v>
      </c>
      <c r="E430" s="29">
        <v>1</v>
      </c>
      <c r="F430" s="38">
        <v>13000</v>
      </c>
      <c r="G430" s="38">
        <v>10000</v>
      </c>
      <c r="H430" s="38">
        <v>3000</v>
      </c>
    </row>
    <row r="431" spans="1:8" hidden="1" x14ac:dyDescent="0.25">
      <c r="A431" s="29"/>
      <c r="B431" s="29"/>
      <c r="C431" s="29" t="s">
        <v>24</v>
      </c>
      <c r="D431" s="29" t="s">
        <v>13</v>
      </c>
      <c r="E431" s="29">
        <v>3</v>
      </c>
      <c r="F431" s="38">
        <f>E431*6500</f>
        <v>19500</v>
      </c>
      <c r="G431" s="38">
        <f>E431*4500</f>
        <v>13500</v>
      </c>
      <c r="H431" s="38">
        <f>E431*2000</f>
        <v>6000</v>
      </c>
    </row>
    <row r="432" spans="1:8" hidden="1" x14ac:dyDescent="0.25">
      <c r="A432" s="131" t="s">
        <v>17</v>
      </c>
      <c r="B432" s="132"/>
      <c r="C432" s="132"/>
      <c r="D432" s="133"/>
      <c r="E432" s="17">
        <f>SUM(E419:E431)</f>
        <v>109</v>
      </c>
      <c r="F432" s="17">
        <f>SUM(F419:F431)</f>
        <v>397000</v>
      </c>
      <c r="G432" s="17">
        <f>SUM(G419:G431)</f>
        <v>224000</v>
      </c>
      <c r="H432" s="17">
        <f>SUM(H419:H431)</f>
        <v>173000</v>
      </c>
    </row>
    <row r="433" spans="1:8" x14ac:dyDescent="0.25">
      <c r="A433" s="29" t="s">
        <v>18</v>
      </c>
      <c r="B433" s="29" t="s">
        <v>628</v>
      </c>
      <c r="C433" s="29" t="s">
        <v>16</v>
      </c>
      <c r="D433" s="29" t="s">
        <v>11</v>
      </c>
      <c r="E433" s="29">
        <v>53</v>
      </c>
      <c r="F433" s="38">
        <f>E433*1500</f>
        <v>79500</v>
      </c>
      <c r="G433" s="38">
        <f>E433*500</f>
        <v>26500</v>
      </c>
      <c r="H433" s="38">
        <v>53000</v>
      </c>
    </row>
    <row r="434" spans="1:8" hidden="1" x14ac:dyDescent="0.25">
      <c r="A434" s="29"/>
      <c r="B434" s="29"/>
      <c r="C434" s="29"/>
      <c r="D434" s="29" t="s">
        <v>12</v>
      </c>
      <c r="E434" s="29">
        <v>3</v>
      </c>
      <c r="F434" s="38">
        <f>E434*3000</f>
        <v>9000</v>
      </c>
      <c r="G434" s="38">
        <f>E434*2000</f>
        <v>6000</v>
      </c>
      <c r="H434" s="38">
        <v>3000</v>
      </c>
    </row>
    <row r="435" spans="1:8" hidden="1" x14ac:dyDescent="0.25">
      <c r="A435" s="29"/>
      <c r="B435" s="29"/>
      <c r="C435" s="29"/>
      <c r="D435" s="29" t="s">
        <v>13</v>
      </c>
      <c r="E435" s="29">
        <v>2</v>
      </c>
      <c r="F435" s="38">
        <f>E435*6500</f>
        <v>13000</v>
      </c>
      <c r="G435" s="38">
        <f>E435*4500</f>
        <v>9000</v>
      </c>
      <c r="H435" s="38">
        <f>E435*2000</f>
        <v>4000</v>
      </c>
    </row>
    <row r="436" spans="1:8" hidden="1" x14ac:dyDescent="0.25">
      <c r="A436" s="29"/>
      <c r="B436" s="29"/>
      <c r="C436" s="29" t="s">
        <v>24</v>
      </c>
      <c r="D436" s="29" t="s">
        <v>243</v>
      </c>
      <c r="E436" s="29">
        <v>1</v>
      </c>
      <c r="F436" s="38">
        <v>13000</v>
      </c>
      <c r="G436" s="38">
        <v>10000</v>
      </c>
      <c r="H436" s="38">
        <v>3000</v>
      </c>
    </row>
    <row r="437" spans="1:8" hidden="1" x14ac:dyDescent="0.25">
      <c r="A437" s="131" t="s">
        <v>17</v>
      </c>
      <c r="B437" s="132"/>
      <c r="C437" s="132"/>
      <c r="D437" s="133"/>
      <c r="E437" s="17">
        <f>SUM(E433:E436)</f>
        <v>59</v>
      </c>
      <c r="F437" s="17">
        <f>SUM(F433:F436)</f>
        <v>114500</v>
      </c>
      <c r="G437" s="17">
        <f>SUM(G433:G436)</f>
        <v>51500</v>
      </c>
      <c r="H437" s="17">
        <f>SUM(H433:H436)</f>
        <v>63000</v>
      </c>
    </row>
    <row r="438" spans="1:8" x14ac:dyDescent="0.25">
      <c r="A438" s="29" t="s">
        <v>22</v>
      </c>
      <c r="B438" s="29" t="s">
        <v>629</v>
      </c>
      <c r="C438" s="29" t="s">
        <v>16</v>
      </c>
      <c r="D438" s="29" t="s">
        <v>11</v>
      </c>
      <c r="E438" s="29">
        <v>49</v>
      </c>
      <c r="F438" s="38">
        <f>E438*1500</f>
        <v>73500</v>
      </c>
      <c r="G438" s="38">
        <f>E438*500</f>
        <v>24500</v>
      </c>
      <c r="H438" s="38">
        <v>49000</v>
      </c>
    </row>
    <row r="439" spans="1:8" hidden="1" x14ac:dyDescent="0.25">
      <c r="A439" s="29"/>
      <c r="B439" s="29"/>
      <c r="C439" s="29"/>
      <c r="D439" s="29" t="s">
        <v>12</v>
      </c>
      <c r="E439" s="29">
        <v>2</v>
      </c>
      <c r="F439" s="38">
        <f>E439*3000</f>
        <v>6000</v>
      </c>
      <c r="G439" s="38">
        <v>4000</v>
      </c>
      <c r="H439" s="38">
        <v>2000</v>
      </c>
    </row>
    <row r="440" spans="1:8" hidden="1" x14ac:dyDescent="0.25">
      <c r="A440" s="29"/>
      <c r="B440" s="29"/>
      <c r="C440" s="29" t="s">
        <v>24</v>
      </c>
      <c r="D440" s="29" t="s">
        <v>243</v>
      </c>
      <c r="E440" s="29">
        <v>2</v>
      </c>
      <c r="F440" s="38">
        <v>26000</v>
      </c>
      <c r="G440" s="38">
        <v>20000</v>
      </c>
      <c r="H440" s="38">
        <v>6000</v>
      </c>
    </row>
    <row r="441" spans="1:8" hidden="1" x14ac:dyDescent="0.25">
      <c r="A441" s="131" t="s">
        <v>17</v>
      </c>
      <c r="B441" s="132"/>
      <c r="C441" s="132"/>
      <c r="D441" s="133"/>
      <c r="E441" s="17">
        <f>SUM(E438:E440)</f>
        <v>53</v>
      </c>
      <c r="F441" s="17">
        <f>SUM(F438:F440)</f>
        <v>105500</v>
      </c>
      <c r="G441" s="17">
        <f>SUM(G438:G440)</f>
        <v>48500</v>
      </c>
      <c r="H441" s="17">
        <f>SUM(H438:H440)</f>
        <v>57000</v>
      </c>
    </row>
    <row r="442" spans="1:8" x14ac:dyDescent="0.25">
      <c r="A442" s="29"/>
      <c r="B442" s="29"/>
      <c r="C442" s="29"/>
      <c r="D442" s="29"/>
      <c r="E442" s="29"/>
      <c r="F442" s="38"/>
      <c r="G442" s="38"/>
      <c r="H442" s="38"/>
    </row>
    <row r="443" spans="1:8" x14ac:dyDescent="0.25">
      <c r="A443" s="29"/>
      <c r="B443" s="29"/>
      <c r="C443" s="29"/>
      <c r="D443" s="29"/>
      <c r="E443" s="29"/>
      <c r="F443" s="38"/>
      <c r="G443" s="38"/>
      <c r="H443" s="38"/>
    </row>
    <row r="444" spans="1:8" x14ac:dyDescent="0.25">
      <c r="A444" s="29"/>
      <c r="B444" s="29"/>
      <c r="C444" s="29"/>
      <c r="D444" s="29"/>
      <c r="E444" s="29"/>
      <c r="F444" s="38"/>
      <c r="G444" s="38"/>
      <c r="H444" s="38"/>
    </row>
    <row r="445" spans="1:8" x14ac:dyDescent="0.25">
      <c r="A445" s="29"/>
      <c r="B445" s="29"/>
      <c r="C445" s="29"/>
      <c r="D445" s="29"/>
      <c r="E445" s="29"/>
      <c r="F445" s="38"/>
      <c r="G445" s="38"/>
      <c r="H445" s="38"/>
    </row>
    <row r="446" spans="1:8" x14ac:dyDescent="0.25">
      <c r="A446" s="29"/>
      <c r="B446" s="29"/>
      <c r="C446" s="29"/>
      <c r="D446" s="29"/>
      <c r="E446" s="29"/>
      <c r="F446" s="38"/>
      <c r="G446" s="38"/>
      <c r="H446" s="38"/>
    </row>
    <row r="447" spans="1:8" x14ac:dyDescent="0.25">
      <c r="A447" s="29"/>
      <c r="B447" s="29"/>
      <c r="C447" s="29"/>
      <c r="D447" s="29"/>
      <c r="E447" s="29"/>
      <c r="F447" s="38"/>
      <c r="G447" s="38"/>
      <c r="H447" s="38"/>
    </row>
    <row r="448" spans="1:8" x14ac:dyDescent="0.25">
      <c r="A448" s="29"/>
      <c r="B448" s="29"/>
      <c r="C448" s="29"/>
      <c r="D448" s="29"/>
      <c r="E448" s="29"/>
      <c r="F448" s="38"/>
      <c r="G448" s="38"/>
      <c r="H448" s="38"/>
    </row>
    <row r="449" spans="1:8" x14ac:dyDescent="0.25">
      <c r="A449" s="29"/>
      <c r="B449" s="29"/>
      <c r="C449" s="29"/>
      <c r="D449" s="29"/>
      <c r="E449" s="29"/>
      <c r="F449" s="38"/>
      <c r="G449" s="38"/>
      <c r="H449" s="38"/>
    </row>
    <row r="450" spans="1:8" x14ac:dyDescent="0.25">
      <c r="A450" s="29"/>
      <c r="B450" s="29"/>
      <c r="C450" s="29"/>
      <c r="D450" s="29"/>
      <c r="E450" s="29"/>
      <c r="F450" s="38"/>
      <c r="G450" s="38"/>
      <c r="H450" s="38"/>
    </row>
    <row r="451" spans="1:8" x14ac:dyDescent="0.25">
      <c r="A451" s="29"/>
      <c r="B451" s="29"/>
      <c r="C451" s="29"/>
      <c r="D451" s="29"/>
      <c r="E451" s="29"/>
      <c r="F451" s="38"/>
      <c r="G451" s="38"/>
      <c r="H451" s="38"/>
    </row>
    <row r="452" spans="1:8" x14ac:dyDescent="0.25">
      <c r="A452" s="29"/>
      <c r="B452" s="29"/>
      <c r="C452" s="29"/>
      <c r="D452" s="29"/>
      <c r="E452" s="29"/>
      <c r="F452" s="38"/>
      <c r="G452" s="38"/>
      <c r="H452" s="38"/>
    </row>
    <row r="453" spans="1:8" x14ac:dyDescent="0.25">
      <c r="A453" s="29"/>
      <c r="B453" s="29"/>
      <c r="C453" s="29"/>
      <c r="D453" s="29"/>
      <c r="E453" s="29"/>
      <c r="F453" s="38"/>
      <c r="G453" s="38"/>
      <c r="H453" s="38"/>
    </row>
    <row r="454" spans="1:8" x14ac:dyDescent="0.25">
      <c r="A454" s="29"/>
      <c r="B454" s="29"/>
      <c r="C454" s="29"/>
      <c r="D454" s="29"/>
      <c r="E454" s="29"/>
      <c r="F454" s="38"/>
      <c r="G454" s="38"/>
      <c r="H454" s="38"/>
    </row>
    <row r="455" spans="1:8" x14ac:dyDescent="0.25">
      <c r="A455" s="29"/>
      <c r="B455" s="29"/>
      <c r="C455" s="29"/>
      <c r="D455" s="29"/>
      <c r="E455" s="29"/>
      <c r="F455" s="38"/>
      <c r="G455" s="38"/>
      <c r="H455" s="38"/>
    </row>
    <row r="456" spans="1:8" x14ac:dyDescent="0.25">
      <c r="A456" s="29"/>
      <c r="B456" s="29"/>
      <c r="C456" s="29"/>
      <c r="D456" s="29"/>
      <c r="E456" s="29"/>
      <c r="F456" s="38"/>
      <c r="G456" s="38"/>
      <c r="H456" s="38"/>
    </row>
    <row r="457" spans="1:8" x14ac:dyDescent="0.25">
      <c r="A457" s="29"/>
      <c r="B457" s="29"/>
      <c r="C457" s="29"/>
      <c r="D457" s="29"/>
      <c r="E457" s="29"/>
      <c r="F457" s="38"/>
      <c r="G457" s="38"/>
      <c r="H457" s="38"/>
    </row>
    <row r="458" spans="1:8" x14ac:dyDescent="0.25">
      <c r="A458" s="29"/>
      <c r="B458" s="29"/>
      <c r="C458" s="29"/>
      <c r="D458" s="29"/>
      <c r="E458" s="29"/>
      <c r="F458" s="38"/>
      <c r="G458" s="38"/>
      <c r="H458" s="38"/>
    </row>
    <row r="459" spans="1:8" x14ac:dyDescent="0.25">
      <c r="A459" s="29"/>
      <c r="B459" s="29"/>
      <c r="C459" s="29"/>
      <c r="D459" s="29"/>
      <c r="E459" s="29"/>
      <c r="F459" s="38"/>
      <c r="G459" s="38"/>
      <c r="H459" s="38"/>
    </row>
    <row r="460" spans="1:8" x14ac:dyDescent="0.25">
      <c r="A460" s="29"/>
      <c r="B460" s="29"/>
      <c r="C460" s="29"/>
      <c r="D460" s="29"/>
      <c r="E460" s="29"/>
      <c r="F460" s="38"/>
      <c r="G460" s="38"/>
      <c r="H460" s="38"/>
    </row>
    <row r="461" spans="1:8" x14ac:dyDescent="0.25">
      <c r="A461" s="29"/>
      <c r="B461" s="29"/>
      <c r="C461" s="29"/>
      <c r="D461" s="29"/>
      <c r="E461" s="29"/>
      <c r="F461" s="38"/>
      <c r="G461" s="38"/>
      <c r="H461" s="38"/>
    </row>
    <row r="462" spans="1:8" x14ac:dyDescent="0.25">
      <c r="A462" s="29"/>
      <c r="B462" s="29"/>
      <c r="C462" s="29"/>
      <c r="D462" s="29"/>
      <c r="E462" s="29"/>
      <c r="F462" s="38"/>
      <c r="G462" s="38"/>
      <c r="H462" s="38"/>
    </row>
    <row r="463" spans="1:8" x14ac:dyDescent="0.25">
      <c r="A463" s="29"/>
      <c r="B463" s="29"/>
      <c r="C463" s="29"/>
      <c r="D463" s="29"/>
      <c r="E463" s="29"/>
      <c r="F463" s="38"/>
      <c r="G463" s="38"/>
      <c r="H463" s="38"/>
    </row>
    <row r="464" spans="1:8" x14ac:dyDescent="0.25">
      <c r="A464" s="29"/>
      <c r="B464" s="29"/>
      <c r="C464" s="29"/>
      <c r="D464" s="29"/>
      <c r="E464" s="29"/>
      <c r="F464" s="38"/>
      <c r="G464" s="38"/>
      <c r="H464" s="38"/>
    </row>
    <row r="465" spans="1:8" x14ac:dyDescent="0.25">
      <c r="A465" s="29"/>
      <c r="B465" s="29"/>
      <c r="C465" s="29"/>
      <c r="D465" s="29"/>
      <c r="E465" s="29"/>
      <c r="F465" s="38"/>
      <c r="G465" s="38"/>
      <c r="H465" s="38"/>
    </row>
    <row r="466" spans="1:8" x14ac:dyDescent="0.25">
      <c r="A466" s="29"/>
      <c r="B466" s="29"/>
      <c r="C466" s="29"/>
      <c r="D466" s="29"/>
      <c r="E466" s="29"/>
      <c r="F466" s="38"/>
      <c r="G466" s="38"/>
      <c r="H466" s="38"/>
    </row>
    <row r="467" spans="1:8" x14ac:dyDescent="0.25">
      <c r="A467" s="29"/>
      <c r="B467" s="29"/>
      <c r="C467" s="29"/>
      <c r="D467" s="29"/>
      <c r="E467" s="29"/>
      <c r="F467" s="38"/>
      <c r="G467" s="38"/>
      <c r="H467" s="38"/>
    </row>
    <row r="468" spans="1:8" x14ac:dyDescent="0.25">
      <c r="A468" s="29"/>
      <c r="B468" s="29"/>
      <c r="C468" s="29"/>
      <c r="D468" s="29"/>
      <c r="E468" s="29"/>
      <c r="F468" s="38"/>
      <c r="G468" s="38"/>
      <c r="H468" s="38"/>
    </row>
    <row r="469" spans="1:8" x14ac:dyDescent="0.25">
      <c r="A469" s="29"/>
      <c r="B469" s="29"/>
      <c r="C469" s="29"/>
      <c r="D469" s="29"/>
      <c r="E469" s="29"/>
      <c r="F469" s="38"/>
      <c r="G469" s="38"/>
      <c r="H469" s="38"/>
    </row>
    <row r="470" spans="1:8" x14ac:dyDescent="0.25">
      <c r="A470" s="29"/>
      <c r="B470" s="29"/>
      <c r="C470" s="29"/>
      <c r="D470" s="29"/>
      <c r="E470" s="29"/>
      <c r="F470" s="38"/>
      <c r="G470" s="38"/>
      <c r="H470" s="38"/>
    </row>
    <row r="471" spans="1:8" x14ac:dyDescent="0.25">
      <c r="A471" s="29"/>
      <c r="B471" s="29"/>
      <c r="C471" s="29"/>
      <c r="D471" s="29"/>
      <c r="E471" s="29"/>
      <c r="F471" s="38"/>
      <c r="G471" s="38"/>
      <c r="H471" s="38"/>
    </row>
    <row r="472" spans="1:8" x14ac:dyDescent="0.25">
      <c r="A472" s="29"/>
      <c r="B472" s="29"/>
      <c r="C472" s="29"/>
      <c r="D472" s="29"/>
      <c r="E472" s="29"/>
      <c r="F472" s="38"/>
      <c r="G472" s="38"/>
      <c r="H472" s="38"/>
    </row>
    <row r="473" spans="1:8" x14ac:dyDescent="0.25">
      <c r="A473" s="29"/>
      <c r="B473" s="29"/>
      <c r="C473" s="29"/>
      <c r="D473" s="29"/>
      <c r="E473" s="29"/>
      <c r="F473" s="38"/>
      <c r="G473" s="38"/>
      <c r="H473" s="38"/>
    </row>
    <row r="474" spans="1:8" x14ac:dyDescent="0.25">
      <c r="A474" s="29"/>
      <c r="B474" s="29"/>
      <c r="C474" s="29"/>
      <c r="D474" s="29"/>
      <c r="E474" s="29"/>
      <c r="F474" s="38"/>
      <c r="G474" s="38"/>
      <c r="H474" s="38"/>
    </row>
    <row r="475" spans="1:8" x14ac:dyDescent="0.25">
      <c r="A475" s="29"/>
      <c r="B475" s="29"/>
      <c r="C475" s="29"/>
      <c r="D475" s="29"/>
      <c r="E475" s="29"/>
      <c r="F475" s="38"/>
      <c r="G475" s="38"/>
      <c r="H475" s="38"/>
    </row>
    <row r="476" spans="1:8" x14ac:dyDescent="0.25">
      <c r="A476" s="29"/>
      <c r="B476" s="29"/>
      <c r="C476" s="29"/>
      <c r="D476" s="29"/>
      <c r="E476" s="29"/>
      <c r="F476" s="38"/>
      <c r="G476" s="38"/>
      <c r="H476" s="38"/>
    </row>
    <row r="477" spans="1:8" x14ac:dyDescent="0.25">
      <c r="A477" s="29"/>
      <c r="B477" s="29"/>
      <c r="C477" s="29"/>
      <c r="D477" s="29"/>
      <c r="E477" s="29"/>
      <c r="F477" s="38"/>
      <c r="G477" s="38"/>
      <c r="H477" s="38"/>
    </row>
    <row r="478" spans="1:8" x14ac:dyDescent="0.25">
      <c r="A478" s="29"/>
      <c r="B478" s="29"/>
      <c r="C478" s="29"/>
      <c r="D478" s="29"/>
      <c r="E478" s="29"/>
      <c r="F478" s="38"/>
      <c r="G478" s="38"/>
      <c r="H478" s="38"/>
    </row>
    <row r="479" spans="1:8" x14ac:dyDescent="0.25">
      <c r="A479" s="29"/>
      <c r="B479" s="29"/>
      <c r="C479" s="29"/>
      <c r="D479" s="29"/>
      <c r="E479" s="29"/>
      <c r="F479" s="38"/>
      <c r="G479" s="38"/>
      <c r="H479" s="38"/>
    </row>
    <row r="480" spans="1:8" x14ac:dyDescent="0.25">
      <c r="A480" s="29"/>
      <c r="B480" s="29"/>
      <c r="C480" s="29"/>
      <c r="D480" s="29"/>
      <c r="E480" s="29"/>
      <c r="F480" s="38"/>
      <c r="G480" s="38"/>
      <c r="H480" s="38"/>
    </row>
    <row r="481" spans="1:8" x14ac:dyDescent="0.25">
      <c r="A481" s="29"/>
      <c r="B481" s="29"/>
      <c r="C481" s="29"/>
      <c r="D481" s="29"/>
      <c r="E481" s="29"/>
      <c r="F481" s="38"/>
      <c r="G481" s="38"/>
      <c r="H481" s="38"/>
    </row>
    <row r="482" spans="1:8" x14ac:dyDescent="0.25">
      <c r="A482" s="29"/>
      <c r="B482" s="29"/>
      <c r="C482" s="29"/>
      <c r="D482" s="29"/>
      <c r="E482" s="29"/>
      <c r="F482" s="38"/>
      <c r="G482" s="38"/>
      <c r="H482" s="38"/>
    </row>
    <row r="483" spans="1:8" x14ac:dyDescent="0.25">
      <c r="A483" s="29"/>
      <c r="B483" s="29"/>
      <c r="C483" s="29"/>
      <c r="D483" s="29"/>
      <c r="E483" s="29"/>
      <c r="F483" s="38"/>
      <c r="G483" s="38"/>
      <c r="H483" s="38"/>
    </row>
    <row r="484" spans="1:8" x14ac:dyDescent="0.25">
      <c r="A484" s="29"/>
      <c r="B484" s="29"/>
      <c r="C484" s="29"/>
      <c r="D484" s="29"/>
      <c r="E484" s="29"/>
      <c r="F484" s="38"/>
      <c r="G484" s="38"/>
      <c r="H484" s="38"/>
    </row>
    <row r="485" spans="1:8" x14ac:dyDescent="0.25">
      <c r="A485" s="29"/>
      <c r="B485" s="29"/>
      <c r="C485" s="29"/>
      <c r="D485" s="29"/>
      <c r="E485" s="29"/>
      <c r="F485" s="38"/>
      <c r="G485" s="38"/>
      <c r="H485" s="38"/>
    </row>
    <row r="486" spans="1:8" x14ac:dyDescent="0.25">
      <c r="A486" s="29"/>
      <c r="B486" s="29"/>
      <c r="C486" s="29"/>
      <c r="D486" s="29"/>
      <c r="E486" s="29"/>
      <c r="F486" s="38"/>
      <c r="G486" s="38"/>
      <c r="H486" s="38"/>
    </row>
    <row r="487" spans="1:8" x14ac:dyDescent="0.25">
      <c r="A487" s="29"/>
      <c r="B487" s="29"/>
      <c r="C487" s="29"/>
      <c r="D487" s="29"/>
      <c r="E487" s="29"/>
      <c r="F487" s="38"/>
      <c r="G487" s="38"/>
      <c r="H487" s="38"/>
    </row>
    <row r="488" spans="1:8" x14ac:dyDescent="0.25">
      <c r="A488" s="29"/>
      <c r="B488" s="29"/>
      <c r="C488" s="29"/>
      <c r="D488" s="29"/>
      <c r="E488" s="29"/>
      <c r="F488" s="38"/>
      <c r="G488" s="38"/>
      <c r="H488" s="38"/>
    </row>
    <row r="489" spans="1:8" x14ac:dyDescent="0.25">
      <c r="A489" s="29"/>
      <c r="B489" s="29"/>
      <c r="C489" s="29"/>
      <c r="D489" s="29"/>
      <c r="E489" s="29"/>
      <c r="F489" s="38"/>
      <c r="G489" s="38"/>
      <c r="H489" s="38"/>
    </row>
    <row r="490" spans="1:8" x14ac:dyDescent="0.25">
      <c r="A490" s="29"/>
      <c r="B490" s="29"/>
      <c r="C490" s="29"/>
      <c r="D490" s="29"/>
      <c r="E490" s="29"/>
      <c r="F490" s="38"/>
      <c r="G490" s="38"/>
      <c r="H490" s="38"/>
    </row>
    <row r="491" spans="1:8" x14ac:dyDescent="0.25">
      <c r="A491" s="29"/>
      <c r="B491" s="29"/>
      <c r="C491" s="29"/>
      <c r="D491" s="29"/>
      <c r="E491" s="29"/>
      <c r="F491" s="38"/>
      <c r="G491" s="38"/>
      <c r="H491" s="38"/>
    </row>
    <row r="492" spans="1:8" x14ac:dyDescent="0.25">
      <c r="A492" s="29"/>
      <c r="B492" s="29"/>
      <c r="C492" s="29"/>
      <c r="D492" s="29"/>
      <c r="E492" s="29"/>
      <c r="F492" s="38"/>
      <c r="G492" s="38"/>
      <c r="H492" s="38"/>
    </row>
    <row r="493" spans="1:8" x14ac:dyDescent="0.25">
      <c r="A493" s="29"/>
      <c r="B493" s="29"/>
      <c r="C493" s="29"/>
      <c r="D493" s="29"/>
      <c r="E493" s="29"/>
      <c r="F493" s="38"/>
      <c r="G493" s="38"/>
      <c r="H493" s="38"/>
    </row>
    <row r="494" spans="1:8" x14ac:dyDescent="0.25">
      <c r="A494" s="29"/>
      <c r="B494" s="29"/>
      <c r="C494" s="29"/>
      <c r="D494" s="29"/>
      <c r="E494" s="29"/>
      <c r="F494" s="38"/>
      <c r="G494" s="38"/>
      <c r="H494" s="38"/>
    </row>
    <row r="495" spans="1:8" x14ac:dyDescent="0.25">
      <c r="A495" s="29"/>
      <c r="B495" s="29"/>
      <c r="C495" s="29"/>
      <c r="D495" s="29"/>
      <c r="E495" s="29"/>
      <c r="F495" s="38"/>
      <c r="G495" s="38"/>
      <c r="H495" s="38"/>
    </row>
    <row r="496" spans="1:8" x14ac:dyDescent="0.25">
      <c r="A496" s="29"/>
      <c r="B496" s="29"/>
      <c r="C496" s="29"/>
      <c r="D496" s="29"/>
      <c r="E496" s="29"/>
      <c r="F496" s="38"/>
      <c r="G496" s="38"/>
      <c r="H496" s="38"/>
    </row>
    <row r="497" spans="1:8" x14ac:dyDescent="0.25">
      <c r="A497" s="29"/>
      <c r="B497" s="29"/>
      <c r="C497" s="29"/>
      <c r="D497" s="29"/>
      <c r="E497" s="29"/>
      <c r="F497" s="38"/>
      <c r="G497" s="38"/>
      <c r="H497" s="38"/>
    </row>
    <row r="498" spans="1:8" x14ac:dyDescent="0.25">
      <c r="A498" s="29"/>
      <c r="B498" s="29"/>
      <c r="C498" s="29"/>
      <c r="D498" s="29"/>
      <c r="E498" s="29"/>
      <c r="F498" s="38"/>
      <c r="G498" s="38"/>
      <c r="H498" s="38"/>
    </row>
    <row r="499" spans="1:8" x14ac:dyDescent="0.25">
      <c r="A499" s="29"/>
      <c r="B499" s="29"/>
      <c r="C499" s="29"/>
      <c r="D499" s="29"/>
      <c r="E499" s="29"/>
      <c r="F499" s="38"/>
      <c r="G499" s="38"/>
      <c r="H499" s="38"/>
    </row>
    <row r="500" spans="1:8" x14ac:dyDescent="0.25">
      <c r="A500" s="29"/>
      <c r="B500" s="29"/>
      <c r="C500" s="29"/>
      <c r="D500" s="29"/>
      <c r="E500" s="29"/>
      <c r="F500" s="38"/>
      <c r="G500" s="38"/>
      <c r="H500" s="38"/>
    </row>
    <row r="501" spans="1:8" x14ac:dyDescent="0.25">
      <c r="A501" s="29"/>
      <c r="B501" s="29"/>
      <c r="C501" s="29"/>
      <c r="D501" s="29"/>
      <c r="E501" s="29"/>
      <c r="F501" s="38"/>
      <c r="G501" s="38"/>
      <c r="H501" s="38"/>
    </row>
    <row r="502" spans="1:8" x14ac:dyDescent="0.25">
      <c r="A502" s="29"/>
      <c r="B502" s="29"/>
      <c r="C502" s="29"/>
      <c r="D502" s="29"/>
      <c r="E502" s="29"/>
      <c r="F502" s="38"/>
      <c r="G502" s="38"/>
      <c r="H502" s="38"/>
    </row>
    <row r="503" spans="1:8" x14ac:dyDescent="0.25">
      <c r="A503" s="29"/>
      <c r="B503" s="29"/>
      <c r="C503" s="29"/>
      <c r="D503" s="29"/>
      <c r="E503" s="29"/>
      <c r="F503" s="38"/>
      <c r="G503" s="38"/>
      <c r="H503" s="38"/>
    </row>
    <row r="504" spans="1:8" x14ac:dyDescent="0.25">
      <c r="A504" s="29"/>
      <c r="B504" s="29"/>
      <c r="C504" s="29"/>
      <c r="D504" s="29"/>
      <c r="E504" s="29"/>
      <c r="F504" s="38"/>
      <c r="G504" s="38"/>
      <c r="H504" s="38"/>
    </row>
    <row r="505" spans="1:8" x14ac:dyDescent="0.25">
      <c r="A505" s="29"/>
      <c r="B505" s="29"/>
      <c r="C505" s="29"/>
      <c r="D505" s="29"/>
      <c r="E505" s="29"/>
      <c r="F505" s="38"/>
      <c r="G505" s="38"/>
      <c r="H505" s="38"/>
    </row>
    <row r="506" spans="1:8" x14ac:dyDescent="0.25">
      <c r="A506" s="29"/>
      <c r="B506" s="29"/>
      <c r="C506" s="29"/>
      <c r="D506" s="29"/>
      <c r="E506" s="29"/>
      <c r="F506" s="38"/>
      <c r="G506" s="38"/>
      <c r="H506" s="38"/>
    </row>
    <row r="507" spans="1:8" x14ac:dyDescent="0.25">
      <c r="A507" s="29"/>
      <c r="B507" s="29"/>
      <c r="C507" s="29"/>
      <c r="D507" s="29"/>
      <c r="E507" s="29"/>
      <c r="F507" s="38"/>
      <c r="G507" s="38"/>
      <c r="H507" s="38"/>
    </row>
    <row r="508" spans="1:8" x14ac:dyDescent="0.25">
      <c r="A508" s="29"/>
      <c r="B508" s="29"/>
      <c r="C508" s="29"/>
      <c r="D508" s="29"/>
      <c r="E508" s="29"/>
      <c r="F508" s="38"/>
      <c r="G508" s="38"/>
      <c r="H508" s="38"/>
    </row>
    <row r="509" spans="1:8" x14ac:dyDescent="0.25">
      <c r="A509" s="29"/>
      <c r="B509" s="29"/>
      <c r="C509" s="29"/>
      <c r="D509" s="29"/>
      <c r="E509" s="29"/>
      <c r="F509" s="38"/>
      <c r="G509" s="38"/>
      <c r="H509" s="38"/>
    </row>
    <row r="510" spans="1:8" x14ac:dyDescent="0.25">
      <c r="A510" s="29"/>
      <c r="B510" s="29"/>
      <c r="C510" s="29"/>
      <c r="D510" s="29"/>
      <c r="E510" s="29"/>
      <c r="F510" s="38"/>
      <c r="G510" s="38"/>
      <c r="H510" s="38"/>
    </row>
    <row r="511" spans="1:8" x14ac:dyDescent="0.25">
      <c r="A511" s="29"/>
      <c r="B511" s="29"/>
      <c r="C511" s="29"/>
      <c r="D511" s="29"/>
      <c r="E511" s="29"/>
      <c r="F511" s="38"/>
      <c r="G511" s="38"/>
      <c r="H511" s="38"/>
    </row>
    <row r="512" spans="1:8" x14ac:dyDescent="0.25">
      <c r="A512" s="29"/>
      <c r="B512" s="29"/>
      <c r="C512" s="29"/>
      <c r="D512" s="29"/>
      <c r="E512" s="29"/>
      <c r="F512" s="38"/>
      <c r="G512" s="38"/>
      <c r="H512" s="38"/>
    </row>
    <row r="513" spans="1:8" x14ac:dyDescent="0.25">
      <c r="A513" s="29"/>
      <c r="B513" s="29"/>
      <c r="C513" s="29"/>
      <c r="D513" s="29"/>
      <c r="E513" s="29"/>
      <c r="F513" s="38"/>
      <c r="G513" s="38"/>
      <c r="H513" s="38"/>
    </row>
    <row r="514" spans="1:8" x14ac:dyDescent="0.25">
      <c r="A514" s="29"/>
      <c r="B514" s="29"/>
      <c r="C514" s="29"/>
      <c r="D514" s="29"/>
      <c r="E514" s="29"/>
      <c r="F514" s="38"/>
      <c r="G514" s="38"/>
      <c r="H514" s="38"/>
    </row>
    <row r="515" spans="1:8" x14ac:dyDescent="0.25">
      <c r="A515" s="29"/>
      <c r="B515" s="29"/>
      <c r="C515" s="29"/>
      <c r="D515" s="29"/>
      <c r="E515" s="29"/>
      <c r="F515" s="38"/>
      <c r="G515" s="38"/>
      <c r="H515" s="38"/>
    </row>
    <row r="516" spans="1:8" x14ac:dyDescent="0.25">
      <c r="A516" s="29"/>
      <c r="B516" s="29"/>
      <c r="C516" s="29"/>
      <c r="D516" s="29"/>
      <c r="E516" s="29"/>
      <c r="F516" s="38"/>
      <c r="G516" s="38"/>
      <c r="H516" s="38"/>
    </row>
    <row r="517" spans="1:8" x14ac:dyDescent="0.25">
      <c r="A517" s="29"/>
      <c r="B517" s="29"/>
      <c r="C517" s="29"/>
      <c r="D517" s="29"/>
      <c r="E517" s="29"/>
      <c r="F517" s="38"/>
      <c r="G517" s="38"/>
      <c r="H517" s="38"/>
    </row>
    <row r="518" spans="1:8" x14ac:dyDescent="0.25">
      <c r="A518" s="29"/>
      <c r="B518" s="29"/>
      <c r="C518" s="29"/>
      <c r="D518" s="29"/>
      <c r="E518" s="29"/>
      <c r="F518" s="38"/>
      <c r="G518" s="38"/>
      <c r="H518" s="38"/>
    </row>
    <row r="519" spans="1:8" x14ac:dyDescent="0.25">
      <c r="A519" s="29"/>
      <c r="B519" s="29"/>
      <c r="C519" s="29"/>
      <c r="D519" s="29"/>
      <c r="E519" s="29"/>
      <c r="F519" s="38"/>
      <c r="G519" s="38"/>
      <c r="H519" s="38"/>
    </row>
    <row r="520" spans="1:8" x14ac:dyDescent="0.25">
      <c r="A520" s="29"/>
      <c r="B520" s="29"/>
      <c r="C520" s="29"/>
      <c r="D520" s="29"/>
      <c r="E520" s="29"/>
      <c r="F520" s="38"/>
      <c r="G520" s="38"/>
      <c r="H520" s="38"/>
    </row>
    <row r="521" spans="1:8" x14ac:dyDescent="0.25">
      <c r="A521" s="29"/>
      <c r="B521" s="29"/>
      <c r="C521" s="29"/>
      <c r="D521" s="29"/>
      <c r="E521" s="29"/>
      <c r="F521" s="38"/>
      <c r="G521" s="38"/>
      <c r="H521" s="38"/>
    </row>
    <row r="522" spans="1:8" x14ac:dyDescent="0.25">
      <c r="A522" s="29"/>
      <c r="B522" s="29"/>
      <c r="C522" s="29"/>
      <c r="D522" s="29"/>
      <c r="E522" s="29"/>
      <c r="F522" s="38"/>
      <c r="G522" s="38"/>
      <c r="H522" s="38"/>
    </row>
    <row r="523" spans="1:8" x14ac:dyDescent="0.25">
      <c r="A523" s="29"/>
      <c r="B523" s="29"/>
      <c r="C523" s="29"/>
      <c r="D523" s="29"/>
      <c r="E523" s="29"/>
      <c r="F523" s="38"/>
      <c r="G523" s="38"/>
      <c r="H523" s="38"/>
    </row>
    <row r="524" spans="1:8" x14ac:dyDescent="0.25">
      <c r="A524" s="29"/>
      <c r="B524" s="29"/>
      <c r="C524" s="29"/>
      <c r="D524" s="29"/>
      <c r="E524" s="29"/>
      <c r="F524" s="38"/>
      <c r="G524" s="38"/>
      <c r="H524" s="38"/>
    </row>
    <row r="525" spans="1:8" x14ac:dyDescent="0.25">
      <c r="A525" s="29"/>
      <c r="B525" s="29"/>
      <c r="C525" s="29"/>
      <c r="D525" s="29"/>
      <c r="E525" s="29"/>
      <c r="F525" s="38"/>
      <c r="G525" s="38"/>
      <c r="H525" s="38"/>
    </row>
    <row r="526" spans="1:8" x14ac:dyDescent="0.25">
      <c r="A526" s="29"/>
      <c r="B526" s="29"/>
      <c r="C526" s="29"/>
      <c r="D526" s="29"/>
      <c r="E526" s="29"/>
      <c r="F526" s="38"/>
      <c r="G526" s="38"/>
      <c r="H526" s="38"/>
    </row>
    <row r="527" spans="1:8" x14ac:dyDescent="0.25">
      <c r="A527" s="29"/>
      <c r="B527" s="29"/>
      <c r="C527" s="29"/>
      <c r="D527" s="29"/>
      <c r="E527" s="29"/>
      <c r="F527" s="38"/>
      <c r="G527" s="38"/>
      <c r="H527" s="38"/>
    </row>
    <row r="528" spans="1:8" x14ac:dyDescent="0.25">
      <c r="A528" s="29"/>
      <c r="B528" s="29"/>
      <c r="C528" s="29"/>
      <c r="D528" s="29"/>
      <c r="E528" s="29"/>
      <c r="F528" s="38"/>
      <c r="G528" s="38"/>
      <c r="H528" s="38"/>
    </row>
    <row r="529" spans="1:8" x14ac:dyDescent="0.25">
      <c r="A529" s="29"/>
      <c r="B529" s="29"/>
      <c r="C529" s="29"/>
      <c r="D529" s="29"/>
      <c r="E529" s="29"/>
      <c r="F529" s="38"/>
      <c r="G529" s="38"/>
      <c r="H529" s="38"/>
    </row>
    <row r="530" spans="1:8" x14ac:dyDescent="0.25">
      <c r="A530" s="29"/>
      <c r="B530" s="29"/>
      <c r="C530" s="29"/>
      <c r="D530" s="29"/>
      <c r="E530" s="29"/>
      <c r="F530" s="38"/>
      <c r="G530" s="38"/>
      <c r="H530" s="38"/>
    </row>
    <row r="531" spans="1:8" x14ac:dyDescent="0.25">
      <c r="A531" s="29"/>
      <c r="B531" s="29"/>
      <c r="C531" s="29"/>
      <c r="D531" s="29"/>
      <c r="E531" s="29"/>
      <c r="F531" s="38"/>
      <c r="G531" s="38"/>
      <c r="H531" s="38"/>
    </row>
    <row r="532" spans="1:8" x14ac:dyDescent="0.25">
      <c r="A532" s="29"/>
      <c r="B532" s="29"/>
      <c r="C532" s="29"/>
      <c r="D532" s="29"/>
      <c r="E532" s="29"/>
      <c r="F532" s="38"/>
      <c r="G532" s="38"/>
      <c r="H532" s="38"/>
    </row>
    <row r="533" spans="1:8" x14ac:dyDescent="0.25">
      <c r="A533" s="29"/>
      <c r="B533" s="29"/>
      <c r="C533" s="29"/>
      <c r="D533" s="29"/>
      <c r="E533" s="29"/>
      <c r="F533" s="38"/>
      <c r="G533" s="38"/>
      <c r="H533" s="38"/>
    </row>
    <row r="534" spans="1:8" x14ac:dyDescent="0.25">
      <c r="A534" s="29"/>
      <c r="B534" s="29"/>
      <c r="C534" s="29"/>
      <c r="D534" s="29"/>
      <c r="E534" s="29"/>
      <c r="F534" s="38"/>
      <c r="G534" s="38"/>
      <c r="H534" s="38"/>
    </row>
    <row r="535" spans="1:8" x14ac:dyDescent="0.25">
      <c r="A535" s="29"/>
      <c r="B535" s="29"/>
      <c r="C535" s="29"/>
      <c r="D535" s="29"/>
      <c r="E535" s="29"/>
      <c r="F535" s="38"/>
      <c r="G535" s="38"/>
      <c r="H535" s="38"/>
    </row>
    <row r="536" spans="1:8" x14ac:dyDescent="0.25">
      <c r="A536" s="29"/>
      <c r="B536" s="29"/>
      <c r="C536" s="29"/>
      <c r="D536" s="29"/>
      <c r="E536" s="29"/>
      <c r="F536" s="38"/>
      <c r="G536" s="38"/>
      <c r="H536" s="38"/>
    </row>
    <row r="537" spans="1:8" x14ac:dyDescent="0.25">
      <c r="A537" s="29"/>
      <c r="B537" s="29"/>
      <c r="C537" s="29"/>
      <c r="D537" s="29"/>
      <c r="E537" s="29"/>
      <c r="F537" s="38"/>
      <c r="G537" s="38"/>
      <c r="H537" s="38"/>
    </row>
    <row r="538" spans="1:8" x14ac:dyDescent="0.25">
      <c r="A538" s="29"/>
      <c r="B538" s="29"/>
      <c r="C538" s="29"/>
      <c r="D538" s="29"/>
      <c r="E538" s="29"/>
      <c r="F538" s="38"/>
      <c r="G538" s="38"/>
      <c r="H538" s="38"/>
    </row>
    <row r="539" spans="1:8" x14ac:dyDescent="0.25">
      <c r="A539" s="29"/>
      <c r="B539" s="29"/>
      <c r="C539" s="29"/>
      <c r="D539" s="29"/>
      <c r="E539" s="29"/>
      <c r="F539" s="38"/>
      <c r="G539" s="38"/>
      <c r="H539" s="38"/>
    </row>
    <row r="540" spans="1:8" x14ac:dyDescent="0.25">
      <c r="A540" s="29"/>
      <c r="B540" s="29"/>
      <c r="C540" s="29"/>
      <c r="D540" s="29"/>
      <c r="E540" s="29"/>
      <c r="F540" s="38"/>
      <c r="G540" s="38"/>
      <c r="H540" s="38"/>
    </row>
    <row r="541" spans="1:8" x14ac:dyDescent="0.25">
      <c r="A541" s="29"/>
      <c r="B541" s="29"/>
      <c r="C541" s="29"/>
      <c r="D541" s="29"/>
      <c r="E541" s="29"/>
      <c r="F541" s="38"/>
      <c r="G541" s="38"/>
      <c r="H541" s="38"/>
    </row>
    <row r="542" spans="1:8" x14ac:dyDescent="0.25">
      <c r="A542" s="29"/>
      <c r="B542" s="29"/>
      <c r="C542" s="29"/>
      <c r="D542" s="29"/>
      <c r="E542" s="29"/>
      <c r="F542" s="38"/>
      <c r="G542" s="38"/>
      <c r="H542" s="38"/>
    </row>
    <row r="543" spans="1:8" x14ac:dyDescent="0.25">
      <c r="A543" s="29"/>
      <c r="B543" s="29"/>
      <c r="C543" s="29"/>
      <c r="D543" s="29"/>
      <c r="E543" s="29"/>
      <c r="F543" s="38"/>
      <c r="G543" s="38"/>
      <c r="H543" s="38"/>
    </row>
    <row r="544" spans="1:8" x14ac:dyDescent="0.25">
      <c r="A544" s="29"/>
      <c r="B544" s="29"/>
      <c r="C544" s="29"/>
      <c r="D544" s="29"/>
      <c r="E544" s="29"/>
      <c r="F544" s="38"/>
      <c r="G544" s="38"/>
      <c r="H544" s="38"/>
    </row>
    <row r="545" spans="1:8" x14ac:dyDescent="0.25">
      <c r="A545" s="29"/>
      <c r="B545" s="29"/>
      <c r="C545" s="29"/>
      <c r="D545" s="29"/>
      <c r="E545" s="29"/>
      <c r="F545" s="38"/>
      <c r="G545" s="38"/>
      <c r="H545" s="38"/>
    </row>
    <row r="546" spans="1:8" x14ac:dyDescent="0.25">
      <c r="A546" s="29"/>
      <c r="B546" s="29"/>
      <c r="C546" s="29"/>
      <c r="D546" s="29"/>
      <c r="E546" s="29"/>
      <c r="F546" s="38"/>
      <c r="G546" s="38"/>
      <c r="H546" s="38"/>
    </row>
    <row r="547" spans="1:8" x14ac:dyDescent="0.25">
      <c r="A547" s="29"/>
      <c r="B547" s="29"/>
      <c r="C547" s="29"/>
      <c r="D547" s="29"/>
      <c r="E547" s="29"/>
      <c r="F547" s="38"/>
      <c r="G547" s="38"/>
      <c r="H547" s="38"/>
    </row>
    <row r="548" spans="1:8" x14ac:dyDescent="0.25">
      <c r="A548" s="29"/>
      <c r="B548" s="29"/>
      <c r="C548" s="29"/>
      <c r="D548" s="29"/>
      <c r="E548" s="29"/>
      <c r="F548" s="38"/>
      <c r="G548" s="38"/>
      <c r="H548" s="38"/>
    </row>
    <row r="549" spans="1:8" x14ac:dyDescent="0.25">
      <c r="A549" s="29"/>
      <c r="B549" s="29"/>
      <c r="C549" s="29"/>
      <c r="D549" s="29"/>
      <c r="E549" s="29"/>
      <c r="F549" s="38"/>
      <c r="G549" s="38"/>
      <c r="H549" s="38"/>
    </row>
    <row r="550" spans="1:8" x14ac:dyDescent="0.25">
      <c r="A550" s="29"/>
      <c r="B550" s="29"/>
      <c r="C550" s="29"/>
      <c r="D550" s="29"/>
      <c r="E550" s="29"/>
      <c r="F550" s="38"/>
      <c r="G550" s="38"/>
      <c r="H550" s="38"/>
    </row>
    <row r="551" spans="1:8" x14ac:dyDescent="0.25">
      <c r="A551" s="29"/>
      <c r="B551" s="29"/>
      <c r="C551" s="29"/>
      <c r="D551" s="29"/>
      <c r="E551" s="29"/>
      <c r="F551" s="38"/>
      <c r="G551" s="38"/>
      <c r="H551" s="38"/>
    </row>
    <row r="552" spans="1:8" x14ac:dyDescent="0.25">
      <c r="A552" s="29"/>
      <c r="B552" s="29"/>
      <c r="C552" s="29"/>
      <c r="D552" s="29"/>
      <c r="E552" s="29"/>
      <c r="F552" s="38"/>
      <c r="G552" s="38"/>
      <c r="H552" s="38"/>
    </row>
    <row r="553" spans="1:8" x14ac:dyDescent="0.25">
      <c r="A553" s="29"/>
      <c r="B553" s="29"/>
      <c r="C553" s="29"/>
      <c r="D553" s="29"/>
      <c r="E553" s="29"/>
      <c r="F553" s="38"/>
      <c r="G553" s="38"/>
      <c r="H553" s="38"/>
    </row>
    <row r="554" spans="1:8" x14ac:dyDescent="0.25">
      <c r="A554" s="29"/>
      <c r="B554" s="29"/>
      <c r="C554" s="29"/>
      <c r="D554" s="29"/>
      <c r="E554" s="29"/>
      <c r="F554" s="38"/>
      <c r="G554" s="38"/>
      <c r="H554" s="38"/>
    </row>
    <row r="555" spans="1:8" x14ac:dyDescent="0.25">
      <c r="A555" s="29"/>
      <c r="B555" s="29"/>
      <c r="C555" s="29"/>
      <c r="D555" s="29"/>
      <c r="E555" s="29"/>
      <c r="F555" s="38"/>
      <c r="G555" s="38"/>
      <c r="H555" s="38"/>
    </row>
    <row r="556" spans="1:8" x14ac:dyDescent="0.25">
      <c r="A556" s="29"/>
      <c r="B556" s="29"/>
      <c r="C556" s="29"/>
      <c r="D556" s="29"/>
      <c r="E556" s="29"/>
      <c r="F556" s="38"/>
      <c r="G556" s="38"/>
      <c r="H556" s="38"/>
    </row>
    <row r="557" spans="1:8" x14ac:dyDescent="0.25">
      <c r="A557" s="29"/>
      <c r="B557" s="29"/>
      <c r="C557" s="29"/>
      <c r="D557" s="29"/>
      <c r="E557" s="29"/>
      <c r="F557" s="38"/>
      <c r="G557" s="38"/>
      <c r="H557" s="38"/>
    </row>
    <row r="558" spans="1:8" x14ac:dyDescent="0.25">
      <c r="A558" s="29"/>
      <c r="B558" s="29"/>
      <c r="C558" s="29"/>
      <c r="D558" s="29"/>
      <c r="E558" s="29"/>
      <c r="F558" s="38"/>
      <c r="G558" s="38"/>
      <c r="H558" s="38"/>
    </row>
    <row r="559" spans="1:8" x14ac:dyDescent="0.25">
      <c r="A559" s="29"/>
      <c r="B559" s="29"/>
      <c r="C559" s="29"/>
      <c r="D559" s="29"/>
      <c r="E559" s="29"/>
      <c r="F559" s="38"/>
      <c r="G559" s="38"/>
      <c r="H559" s="38"/>
    </row>
    <row r="560" spans="1:8" x14ac:dyDescent="0.25">
      <c r="A560" s="29"/>
      <c r="B560" s="29"/>
      <c r="C560" s="29"/>
      <c r="D560" s="29"/>
      <c r="E560" s="29"/>
      <c r="F560" s="38"/>
      <c r="G560" s="38"/>
      <c r="H560" s="38"/>
    </row>
    <row r="561" spans="1:8" x14ac:dyDescent="0.25">
      <c r="A561" s="29"/>
      <c r="B561" s="29"/>
      <c r="C561" s="29"/>
      <c r="D561" s="29"/>
      <c r="E561" s="29"/>
      <c r="F561" s="38"/>
      <c r="G561" s="38"/>
      <c r="H561" s="38"/>
    </row>
    <row r="562" spans="1:8" x14ac:dyDescent="0.25">
      <c r="A562" s="29"/>
      <c r="B562" s="29"/>
      <c r="C562" s="29"/>
      <c r="D562" s="29"/>
      <c r="E562" s="29"/>
      <c r="F562" s="38"/>
      <c r="G562" s="38"/>
      <c r="H562" s="38"/>
    </row>
    <row r="563" spans="1:8" x14ac:dyDescent="0.25">
      <c r="A563" s="29"/>
      <c r="B563" s="29"/>
      <c r="C563" s="29"/>
      <c r="D563" s="29"/>
      <c r="E563" s="29"/>
      <c r="F563" s="38"/>
      <c r="G563" s="38"/>
      <c r="H563" s="38"/>
    </row>
    <row r="564" spans="1:8" x14ac:dyDescent="0.25">
      <c r="A564" s="29"/>
      <c r="B564" s="29"/>
      <c r="C564" s="29"/>
      <c r="D564" s="29"/>
      <c r="E564" s="29"/>
      <c r="F564" s="38"/>
      <c r="G564" s="38"/>
      <c r="H564" s="38"/>
    </row>
    <row r="565" spans="1:8" x14ac:dyDescent="0.25">
      <c r="A565" s="29"/>
      <c r="B565" s="29"/>
      <c r="C565" s="29"/>
      <c r="D565" s="29"/>
      <c r="E565" s="29"/>
      <c r="F565" s="38"/>
      <c r="G565" s="38"/>
      <c r="H565" s="38"/>
    </row>
    <row r="566" spans="1:8" x14ac:dyDescent="0.25">
      <c r="A566" s="29"/>
      <c r="B566" s="29"/>
      <c r="C566" s="29"/>
      <c r="D566" s="29"/>
      <c r="E566" s="29"/>
      <c r="F566" s="38"/>
      <c r="G566" s="38"/>
      <c r="H566" s="38"/>
    </row>
    <row r="567" spans="1:8" x14ac:dyDescent="0.25">
      <c r="A567" s="29"/>
      <c r="B567" s="29"/>
      <c r="C567" s="29"/>
      <c r="D567" s="29"/>
      <c r="E567" s="29"/>
      <c r="F567" s="38"/>
      <c r="G567" s="38"/>
      <c r="H567" s="38"/>
    </row>
    <row r="568" spans="1:8" x14ac:dyDescent="0.25">
      <c r="A568" s="29"/>
      <c r="B568" s="29"/>
      <c r="C568" s="29"/>
      <c r="D568" s="29"/>
      <c r="E568" s="29"/>
      <c r="F568" s="38"/>
      <c r="G568" s="38"/>
      <c r="H568" s="38"/>
    </row>
    <row r="569" spans="1:8" x14ac:dyDescent="0.25">
      <c r="A569" s="29"/>
      <c r="B569" s="29"/>
      <c r="C569" s="29"/>
      <c r="D569" s="29"/>
      <c r="E569" s="29"/>
      <c r="F569" s="38"/>
      <c r="G569" s="38"/>
      <c r="H569" s="38"/>
    </row>
    <row r="570" spans="1:8" x14ac:dyDescent="0.25">
      <c r="A570" s="29"/>
      <c r="B570" s="29"/>
      <c r="C570" s="29"/>
      <c r="D570" s="29"/>
      <c r="E570" s="29"/>
      <c r="F570" s="38"/>
      <c r="G570" s="38"/>
      <c r="H570" s="38"/>
    </row>
    <row r="571" spans="1:8" x14ac:dyDescent="0.25">
      <c r="A571" s="29"/>
      <c r="B571" s="29"/>
      <c r="C571" s="29"/>
      <c r="D571" s="29"/>
      <c r="E571" s="29"/>
      <c r="F571" s="38"/>
      <c r="G571" s="38"/>
      <c r="H571" s="38"/>
    </row>
    <row r="572" spans="1:8" x14ac:dyDescent="0.25">
      <c r="A572" s="29"/>
      <c r="B572" s="29"/>
      <c r="C572" s="29"/>
      <c r="D572" s="29"/>
      <c r="E572" s="29"/>
      <c r="F572" s="38"/>
      <c r="G572" s="38"/>
      <c r="H572" s="38"/>
    </row>
    <row r="573" spans="1:8" x14ac:dyDescent="0.25">
      <c r="A573" s="29"/>
      <c r="B573" s="29"/>
      <c r="C573" s="29"/>
      <c r="D573" s="29"/>
      <c r="E573" s="29"/>
      <c r="F573" s="38"/>
      <c r="G573" s="38"/>
      <c r="H573" s="38"/>
    </row>
    <row r="574" spans="1:8" x14ac:dyDescent="0.25">
      <c r="A574" s="29"/>
      <c r="B574" s="29"/>
      <c r="C574" s="29"/>
      <c r="D574" s="29"/>
      <c r="E574" s="29"/>
      <c r="F574" s="38"/>
      <c r="G574" s="38"/>
      <c r="H574" s="38"/>
    </row>
    <row r="575" spans="1:8" x14ac:dyDescent="0.25">
      <c r="A575" s="29"/>
      <c r="B575" s="29"/>
      <c r="C575" s="29"/>
      <c r="D575" s="29"/>
      <c r="E575" s="29"/>
      <c r="F575" s="38"/>
      <c r="G575" s="38"/>
      <c r="H575" s="38"/>
    </row>
    <row r="576" spans="1:8" x14ac:dyDescent="0.25">
      <c r="A576" s="29"/>
      <c r="B576" s="29"/>
      <c r="C576" s="29"/>
      <c r="D576" s="29"/>
      <c r="E576" s="29"/>
      <c r="F576" s="38"/>
      <c r="G576" s="38"/>
      <c r="H576" s="38"/>
    </row>
    <row r="577" spans="1:8" x14ac:dyDescent="0.25">
      <c r="A577" s="29"/>
      <c r="B577" s="29"/>
      <c r="C577" s="29"/>
      <c r="D577" s="29"/>
      <c r="E577" s="29"/>
      <c r="F577" s="38"/>
      <c r="G577" s="38"/>
      <c r="H577" s="38"/>
    </row>
    <row r="578" spans="1:8" x14ac:dyDescent="0.25">
      <c r="A578" s="29"/>
      <c r="B578" s="29"/>
      <c r="C578" s="29"/>
      <c r="D578" s="29"/>
      <c r="E578" s="29"/>
      <c r="F578" s="38"/>
      <c r="G578" s="38"/>
      <c r="H578" s="38"/>
    </row>
    <row r="579" spans="1:8" x14ac:dyDescent="0.25">
      <c r="A579" s="29"/>
      <c r="B579" s="29"/>
      <c r="C579" s="29"/>
      <c r="D579" s="29"/>
      <c r="E579" s="29"/>
      <c r="F579" s="38"/>
      <c r="G579" s="38"/>
      <c r="H579" s="38"/>
    </row>
    <row r="580" spans="1:8" x14ac:dyDescent="0.25">
      <c r="A580" s="29"/>
      <c r="B580" s="29"/>
      <c r="C580" s="29"/>
      <c r="D580" s="29"/>
      <c r="E580" s="29"/>
      <c r="F580" s="38"/>
      <c r="G580" s="38"/>
      <c r="H580" s="38"/>
    </row>
    <row r="581" spans="1:8" x14ac:dyDescent="0.25">
      <c r="A581" s="29"/>
      <c r="B581" s="29"/>
      <c r="C581" s="29"/>
      <c r="D581" s="29"/>
      <c r="E581" s="29"/>
      <c r="F581" s="38"/>
      <c r="G581" s="38"/>
      <c r="H581" s="38"/>
    </row>
    <row r="582" spans="1:8" x14ac:dyDescent="0.25">
      <c r="A582" s="29"/>
      <c r="B582" s="29"/>
      <c r="C582" s="29"/>
      <c r="D582" s="29"/>
      <c r="E582" s="29"/>
      <c r="F582" s="38"/>
      <c r="G582" s="38"/>
      <c r="H582" s="38"/>
    </row>
    <row r="583" spans="1:8" x14ac:dyDescent="0.25">
      <c r="A583" s="29"/>
      <c r="B583" s="29"/>
      <c r="C583" s="29"/>
      <c r="D583" s="29"/>
      <c r="E583" s="29"/>
      <c r="F583" s="38"/>
      <c r="G583" s="38"/>
      <c r="H583" s="38"/>
    </row>
    <row r="584" spans="1:8" x14ac:dyDescent="0.25">
      <c r="A584" s="29"/>
      <c r="B584" s="29"/>
      <c r="C584" s="29"/>
      <c r="D584" s="29"/>
      <c r="E584" s="29"/>
      <c r="F584" s="38"/>
      <c r="G584" s="38"/>
      <c r="H584" s="38"/>
    </row>
    <row r="585" spans="1:8" x14ac:dyDescent="0.25">
      <c r="A585" s="29"/>
      <c r="B585" s="29"/>
      <c r="C585" s="29"/>
      <c r="D585" s="29"/>
      <c r="E585" s="29"/>
      <c r="F585" s="38"/>
      <c r="G585" s="38"/>
      <c r="H585" s="38"/>
    </row>
    <row r="586" spans="1:8" x14ac:dyDescent="0.25">
      <c r="A586" s="29"/>
      <c r="B586" s="29"/>
      <c r="C586" s="29"/>
      <c r="D586" s="29"/>
      <c r="E586" s="29"/>
      <c r="F586" s="38"/>
      <c r="G586" s="38"/>
      <c r="H586" s="38"/>
    </row>
    <row r="587" spans="1:8" x14ac:dyDescent="0.25">
      <c r="A587" s="29"/>
      <c r="B587" s="29"/>
      <c r="C587" s="29"/>
      <c r="D587" s="29"/>
      <c r="E587" s="29"/>
      <c r="F587" s="38"/>
      <c r="G587" s="38"/>
      <c r="H587" s="38"/>
    </row>
    <row r="588" spans="1:8" x14ac:dyDescent="0.25">
      <c r="A588" s="29"/>
      <c r="B588" s="29"/>
      <c r="C588" s="29"/>
      <c r="D588" s="29"/>
      <c r="E588" s="29"/>
      <c r="F588" s="38"/>
      <c r="G588" s="38"/>
      <c r="H588" s="38"/>
    </row>
    <row r="589" spans="1:8" x14ac:dyDescent="0.25">
      <c r="A589" s="29"/>
      <c r="B589" s="29"/>
      <c r="C589" s="29"/>
      <c r="D589" s="29"/>
      <c r="E589" s="29"/>
      <c r="F589" s="38"/>
      <c r="G589" s="38"/>
      <c r="H589" s="38"/>
    </row>
    <row r="590" spans="1:8" x14ac:dyDescent="0.25">
      <c r="A590" s="29"/>
      <c r="B590" s="29"/>
      <c r="C590" s="29"/>
      <c r="D590" s="29"/>
      <c r="E590" s="29"/>
      <c r="F590" s="38"/>
      <c r="G590" s="38"/>
      <c r="H590" s="38"/>
    </row>
    <row r="591" spans="1:8" x14ac:dyDescent="0.25">
      <c r="A591" s="29"/>
      <c r="B591" s="29"/>
      <c r="C591" s="29"/>
      <c r="D591" s="29"/>
      <c r="E591" s="29"/>
      <c r="F591" s="38"/>
      <c r="G591" s="38"/>
      <c r="H591" s="38"/>
    </row>
    <row r="592" spans="1:8" x14ac:dyDescent="0.25">
      <c r="A592" s="29"/>
      <c r="B592" s="29"/>
      <c r="C592" s="29"/>
      <c r="D592" s="29"/>
      <c r="E592" s="29"/>
      <c r="F592" s="38"/>
      <c r="G592" s="38"/>
      <c r="H592" s="38"/>
    </row>
    <row r="593" spans="1:8" x14ac:dyDescent="0.25">
      <c r="A593" s="29"/>
      <c r="B593" s="29"/>
      <c r="C593" s="29"/>
      <c r="D593" s="29"/>
      <c r="E593" s="29"/>
      <c r="F593" s="38"/>
      <c r="G593" s="38"/>
      <c r="H593" s="38"/>
    </row>
    <row r="594" spans="1:8" x14ac:dyDescent="0.25">
      <c r="A594" s="29"/>
      <c r="B594" s="29"/>
      <c r="C594" s="29"/>
      <c r="D594" s="29"/>
      <c r="E594" s="29"/>
      <c r="F594" s="38"/>
      <c r="G594" s="38"/>
      <c r="H594" s="38"/>
    </row>
    <row r="595" spans="1:8" x14ac:dyDescent="0.25">
      <c r="A595" s="29"/>
      <c r="B595" s="29"/>
      <c r="C595" s="29"/>
      <c r="D595" s="29"/>
      <c r="E595" s="29"/>
      <c r="F595" s="38"/>
      <c r="G595" s="38"/>
      <c r="H595" s="38"/>
    </row>
    <row r="596" spans="1:8" x14ac:dyDescent="0.25">
      <c r="A596" s="29"/>
      <c r="B596" s="29"/>
      <c r="C596" s="29"/>
      <c r="D596" s="29"/>
      <c r="E596" s="29"/>
      <c r="F596" s="38"/>
      <c r="G596" s="38"/>
      <c r="H596" s="38"/>
    </row>
    <row r="597" spans="1:8" x14ac:dyDescent="0.25">
      <c r="A597" s="29"/>
      <c r="B597" s="29"/>
      <c r="C597" s="29"/>
      <c r="D597" s="29"/>
      <c r="E597" s="29"/>
      <c r="F597" s="38"/>
      <c r="G597" s="38"/>
      <c r="H597" s="38"/>
    </row>
    <row r="598" spans="1:8" x14ac:dyDescent="0.25">
      <c r="A598" s="29"/>
      <c r="B598" s="29"/>
      <c r="C598" s="29"/>
      <c r="D598" s="29"/>
      <c r="E598" s="29"/>
      <c r="F598" s="38"/>
      <c r="G598" s="38"/>
      <c r="H598" s="38"/>
    </row>
    <row r="599" spans="1:8" x14ac:dyDescent="0.25">
      <c r="A599" s="29"/>
      <c r="B599" s="29"/>
      <c r="C599" s="29"/>
      <c r="D599" s="29"/>
      <c r="E599" s="29"/>
      <c r="F599" s="38"/>
      <c r="G599" s="38"/>
      <c r="H599" s="38"/>
    </row>
    <row r="600" spans="1:8" x14ac:dyDescent="0.25">
      <c r="A600" s="29"/>
      <c r="B600" s="29"/>
      <c r="C600" s="29"/>
      <c r="D600" s="29"/>
      <c r="E600" s="29"/>
      <c r="F600" s="38"/>
      <c r="G600" s="38"/>
      <c r="H600" s="38"/>
    </row>
    <row r="601" spans="1:8" x14ac:dyDescent="0.25">
      <c r="A601" s="29"/>
      <c r="B601" s="29"/>
      <c r="C601" s="29"/>
      <c r="D601" s="29"/>
      <c r="E601" s="29"/>
      <c r="F601" s="38"/>
      <c r="G601" s="38"/>
      <c r="H601" s="38"/>
    </row>
    <row r="602" spans="1:8" x14ac:dyDescent="0.25">
      <c r="A602" s="29"/>
      <c r="B602" s="29"/>
      <c r="C602" s="29"/>
      <c r="D602" s="29"/>
      <c r="E602" s="29"/>
      <c r="F602" s="38"/>
      <c r="G602" s="38"/>
      <c r="H602" s="38"/>
    </row>
    <row r="603" spans="1:8" x14ac:dyDescent="0.25">
      <c r="A603" s="29"/>
      <c r="B603" s="29"/>
      <c r="C603" s="29"/>
      <c r="D603" s="29"/>
      <c r="E603" s="29"/>
      <c r="F603" s="38"/>
      <c r="G603" s="38"/>
      <c r="H603" s="38"/>
    </row>
    <row r="604" spans="1:8" x14ac:dyDescent="0.25">
      <c r="A604" s="29"/>
      <c r="B604" s="29"/>
      <c r="C604" s="29"/>
      <c r="D604" s="29"/>
      <c r="E604" s="29"/>
      <c r="F604" s="38"/>
      <c r="G604" s="38"/>
      <c r="H604" s="38"/>
    </row>
    <row r="605" spans="1:8" x14ac:dyDescent="0.25">
      <c r="A605" s="29"/>
      <c r="B605" s="29"/>
      <c r="C605" s="29"/>
      <c r="D605" s="29"/>
      <c r="E605" s="29"/>
      <c r="F605" s="38"/>
      <c r="G605" s="38"/>
      <c r="H605" s="38"/>
    </row>
    <row r="606" spans="1:8" x14ac:dyDescent="0.25">
      <c r="A606" s="29"/>
      <c r="B606" s="29"/>
      <c r="C606" s="29"/>
      <c r="D606" s="29"/>
      <c r="E606" s="29"/>
      <c r="F606" s="38"/>
      <c r="G606" s="38"/>
      <c r="H606" s="38"/>
    </row>
    <row r="607" spans="1:8" x14ac:dyDescent="0.25">
      <c r="A607" s="29"/>
      <c r="B607" s="29"/>
      <c r="C607" s="29"/>
      <c r="D607" s="29"/>
      <c r="E607" s="29"/>
      <c r="F607" s="38"/>
      <c r="G607" s="38"/>
      <c r="H607" s="38"/>
    </row>
    <row r="608" spans="1:8" x14ac:dyDescent="0.25">
      <c r="A608" s="29"/>
      <c r="B608" s="29"/>
      <c r="C608" s="29"/>
      <c r="D608" s="29"/>
      <c r="E608" s="29"/>
      <c r="F608" s="38"/>
      <c r="G608" s="38"/>
      <c r="H608" s="38"/>
    </row>
    <row r="609" spans="1:8" x14ac:dyDescent="0.25">
      <c r="A609" s="29"/>
      <c r="B609" s="29"/>
      <c r="C609" s="29"/>
      <c r="D609" s="29"/>
      <c r="E609" s="29"/>
      <c r="F609" s="38"/>
      <c r="G609" s="38"/>
      <c r="H609" s="38"/>
    </row>
    <row r="610" spans="1:8" x14ac:dyDescent="0.25">
      <c r="A610" s="29"/>
      <c r="B610" s="29"/>
      <c r="C610" s="29"/>
      <c r="D610" s="29"/>
      <c r="E610" s="29"/>
      <c r="F610" s="38"/>
      <c r="G610" s="38"/>
      <c r="H610" s="38"/>
    </row>
    <row r="611" spans="1:8" x14ac:dyDescent="0.25">
      <c r="A611" s="29"/>
      <c r="B611" s="29"/>
      <c r="C611" s="29"/>
      <c r="D611" s="29"/>
      <c r="E611" s="29"/>
      <c r="F611" s="38"/>
      <c r="G611" s="38"/>
      <c r="H611" s="38"/>
    </row>
    <row r="612" spans="1:8" x14ac:dyDescent="0.25">
      <c r="A612" s="29"/>
      <c r="B612" s="29"/>
      <c r="C612" s="29"/>
      <c r="D612" s="29"/>
      <c r="E612" s="29"/>
      <c r="F612" s="38"/>
      <c r="G612" s="38"/>
      <c r="H612" s="38"/>
    </row>
    <row r="613" spans="1:8" x14ac:dyDescent="0.25">
      <c r="A613" s="29"/>
      <c r="B613" s="29"/>
      <c r="C613" s="29"/>
      <c r="D613" s="29"/>
      <c r="E613" s="29"/>
      <c r="F613" s="38"/>
      <c r="G613" s="38"/>
      <c r="H613" s="38"/>
    </row>
    <row r="614" spans="1:8" x14ac:dyDescent="0.25">
      <c r="A614" s="29"/>
      <c r="B614" s="29"/>
      <c r="C614" s="29"/>
      <c r="D614" s="29"/>
      <c r="E614" s="29"/>
      <c r="F614" s="38"/>
      <c r="G614" s="38"/>
      <c r="H614" s="38"/>
    </row>
    <row r="615" spans="1:8" x14ac:dyDescent="0.25">
      <c r="A615" s="29"/>
      <c r="B615" s="29"/>
      <c r="C615" s="29"/>
      <c r="D615" s="29"/>
      <c r="E615" s="29"/>
      <c r="F615" s="38"/>
      <c r="G615" s="38"/>
      <c r="H615" s="38"/>
    </row>
    <row r="616" spans="1:8" x14ac:dyDescent="0.25">
      <c r="A616" s="29"/>
      <c r="B616" s="29"/>
      <c r="C616" s="29"/>
      <c r="D616" s="29"/>
      <c r="E616" s="29"/>
      <c r="F616" s="38"/>
      <c r="G616" s="38"/>
      <c r="H616" s="38"/>
    </row>
    <row r="617" spans="1:8" x14ac:dyDescent="0.25">
      <c r="A617" s="29"/>
      <c r="B617" s="29"/>
      <c r="C617" s="29"/>
      <c r="D617" s="29"/>
      <c r="E617" s="29"/>
      <c r="F617" s="38"/>
      <c r="G617" s="38"/>
      <c r="H617" s="38"/>
    </row>
    <row r="618" spans="1:8" x14ac:dyDescent="0.25">
      <c r="A618" s="29"/>
      <c r="B618" s="29"/>
      <c r="C618" s="29"/>
      <c r="D618" s="29"/>
      <c r="E618" s="29"/>
      <c r="F618" s="38"/>
      <c r="G618" s="38"/>
      <c r="H618" s="38"/>
    </row>
    <row r="619" spans="1:8" x14ac:dyDescent="0.25">
      <c r="A619" s="29"/>
      <c r="B619" s="29"/>
      <c r="C619" s="29"/>
      <c r="D619" s="29"/>
      <c r="E619" s="29"/>
      <c r="F619" s="38"/>
      <c r="G619" s="38"/>
      <c r="H619" s="38"/>
    </row>
    <row r="620" spans="1:8" x14ac:dyDescent="0.25">
      <c r="A620" s="29"/>
      <c r="B620" s="29"/>
      <c r="C620" s="29"/>
      <c r="D620" s="29"/>
      <c r="E620" s="29"/>
      <c r="F620" s="38"/>
      <c r="G620" s="38"/>
      <c r="H620" s="38"/>
    </row>
    <row r="621" spans="1:8" x14ac:dyDescent="0.25">
      <c r="A621" s="29"/>
      <c r="B621" s="29"/>
      <c r="C621" s="29"/>
      <c r="D621" s="29"/>
      <c r="E621" s="29"/>
      <c r="F621" s="38"/>
      <c r="G621" s="38"/>
      <c r="H621" s="38"/>
    </row>
    <row r="622" spans="1:8" x14ac:dyDescent="0.25">
      <c r="A622" s="29"/>
      <c r="B622" s="29"/>
      <c r="C622" s="29"/>
      <c r="D622" s="29"/>
      <c r="E622" s="29"/>
      <c r="F622" s="38"/>
      <c r="G622" s="38"/>
      <c r="H622" s="38"/>
    </row>
    <row r="623" spans="1:8" x14ac:dyDescent="0.25">
      <c r="A623" s="29"/>
      <c r="B623" s="29"/>
      <c r="C623" s="29"/>
      <c r="D623" s="29"/>
      <c r="E623" s="29"/>
      <c r="F623" s="38"/>
      <c r="G623" s="38"/>
      <c r="H623" s="38"/>
    </row>
    <row r="624" spans="1:8" x14ac:dyDescent="0.25">
      <c r="A624" s="29"/>
      <c r="B624" s="29"/>
      <c r="C624" s="29"/>
      <c r="D624" s="29"/>
      <c r="E624" s="29"/>
      <c r="F624" s="38"/>
      <c r="G624" s="38"/>
      <c r="H624" s="38"/>
    </row>
    <row r="625" spans="1:8" x14ac:dyDescent="0.25">
      <c r="A625" s="29"/>
      <c r="B625" s="29"/>
      <c r="C625" s="29"/>
      <c r="D625" s="29"/>
      <c r="E625" s="29"/>
      <c r="F625" s="38"/>
      <c r="G625" s="38"/>
      <c r="H625" s="38"/>
    </row>
    <row r="626" spans="1:8" x14ac:dyDescent="0.25">
      <c r="A626" s="29"/>
      <c r="B626" s="29"/>
      <c r="C626" s="29"/>
      <c r="D626" s="29"/>
      <c r="E626" s="29"/>
      <c r="F626" s="38"/>
      <c r="G626" s="38"/>
      <c r="H626" s="38"/>
    </row>
    <row r="627" spans="1:8" x14ac:dyDescent="0.25">
      <c r="A627" s="29"/>
      <c r="B627" s="29"/>
      <c r="C627" s="29"/>
      <c r="D627" s="29"/>
      <c r="E627" s="29"/>
      <c r="F627" s="38"/>
      <c r="G627" s="38"/>
      <c r="H627" s="38"/>
    </row>
    <row r="628" spans="1:8" x14ac:dyDescent="0.25">
      <c r="A628" s="29"/>
      <c r="B628" s="29"/>
      <c r="C628" s="29"/>
      <c r="D628" s="29"/>
      <c r="E628" s="29"/>
      <c r="F628" s="38"/>
      <c r="G628" s="38"/>
      <c r="H628" s="38"/>
    </row>
    <row r="629" spans="1:8" x14ac:dyDescent="0.25">
      <c r="A629" s="29"/>
      <c r="B629" s="29"/>
      <c r="C629" s="29"/>
      <c r="D629" s="29"/>
      <c r="E629" s="29"/>
      <c r="F629" s="38"/>
      <c r="G629" s="38"/>
      <c r="H629" s="38"/>
    </row>
    <row r="630" spans="1:8" x14ac:dyDescent="0.25">
      <c r="A630" s="29"/>
      <c r="B630" s="29"/>
      <c r="C630" s="29"/>
      <c r="D630" s="29"/>
      <c r="E630" s="29"/>
      <c r="F630" s="38"/>
      <c r="G630" s="38"/>
      <c r="H630" s="38"/>
    </row>
    <row r="631" spans="1:8" x14ac:dyDescent="0.25">
      <c r="A631" s="29"/>
      <c r="B631" s="29"/>
      <c r="C631" s="29"/>
      <c r="D631" s="29"/>
      <c r="E631" s="29"/>
      <c r="F631" s="38"/>
      <c r="G631" s="38"/>
      <c r="H631" s="38"/>
    </row>
    <row r="632" spans="1:8" x14ac:dyDescent="0.25">
      <c r="A632" s="29"/>
      <c r="B632" s="29"/>
      <c r="C632" s="29"/>
      <c r="D632" s="29"/>
      <c r="E632" s="29"/>
      <c r="F632" s="38"/>
      <c r="G632" s="38"/>
      <c r="H632" s="38"/>
    </row>
    <row r="633" spans="1:8" x14ac:dyDescent="0.25">
      <c r="A633" s="29"/>
      <c r="B633" s="29"/>
      <c r="C633" s="29"/>
      <c r="D633" s="29"/>
      <c r="E633" s="29"/>
      <c r="F633" s="38"/>
      <c r="G633" s="38"/>
      <c r="H633" s="38"/>
    </row>
    <row r="634" spans="1:8" x14ac:dyDescent="0.25">
      <c r="A634" s="29"/>
      <c r="B634" s="29"/>
      <c r="C634" s="29"/>
      <c r="D634" s="29"/>
      <c r="E634" s="29"/>
      <c r="F634" s="38"/>
      <c r="G634" s="38"/>
      <c r="H634" s="38"/>
    </row>
    <row r="635" spans="1:8" x14ac:dyDescent="0.25">
      <c r="A635" s="29"/>
      <c r="B635" s="29"/>
      <c r="C635" s="29"/>
      <c r="D635" s="29"/>
      <c r="E635" s="29"/>
      <c r="F635" s="38"/>
      <c r="G635" s="38"/>
      <c r="H635" s="38"/>
    </row>
    <row r="636" spans="1:8" x14ac:dyDescent="0.25">
      <c r="A636" s="29"/>
      <c r="B636" s="29"/>
      <c r="C636" s="29"/>
      <c r="D636" s="29"/>
      <c r="E636" s="29"/>
      <c r="F636" s="38"/>
      <c r="G636" s="38"/>
      <c r="H636" s="38"/>
    </row>
    <row r="637" spans="1:8" x14ac:dyDescent="0.25">
      <c r="A637" s="29"/>
      <c r="B637" s="29"/>
      <c r="C637" s="29"/>
      <c r="D637" s="29"/>
      <c r="E637" s="29"/>
      <c r="F637" s="38"/>
      <c r="G637" s="38"/>
      <c r="H637" s="38"/>
    </row>
    <row r="638" spans="1:8" x14ac:dyDescent="0.25">
      <c r="A638" s="29"/>
      <c r="B638" s="29"/>
      <c r="C638" s="29"/>
      <c r="D638" s="29"/>
      <c r="E638" s="29"/>
      <c r="F638" s="38"/>
      <c r="G638" s="38"/>
      <c r="H638" s="38"/>
    </row>
    <row r="639" spans="1:8" x14ac:dyDescent="0.25">
      <c r="A639" s="29"/>
      <c r="B639" s="29"/>
      <c r="C639" s="29"/>
      <c r="D639" s="29"/>
      <c r="E639" s="29"/>
      <c r="F639" s="38"/>
      <c r="G639" s="38"/>
      <c r="H639" s="38"/>
    </row>
    <row r="640" spans="1:8" x14ac:dyDescent="0.25">
      <c r="A640" s="29"/>
      <c r="B640" s="29"/>
      <c r="C640" s="29"/>
      <c r="D640" s="29"/>
      <c r="E640" s="29"/>
      <c r="F640" s="38"/>
      <c r="G640" s="38"/>
      <c r="H640" s="38"/>
    </row>
    <row r="641" spans="1:8" x14ac:dyDescent="0.25">
      <c r="A641" s="29"/>
      <c r="B641" s="29"/>
      <c r="C641" s="29"/>
      <c r="D641" s="29"/>
      <c r="E641" s="29"/>
      <c r="F641" s="38"/>
      <c r="G641" s="38"/>
      <c r="H641" s="38"/>
    </row>
    <row r="642" spans="1:8" x14ac:dyDescent="0.25">
      <c r="A642" s="29"/>
      <c r="B642" s="29"/>
      <c r="C642" s="29"/>
      <c r="D642" s="29"/>
      <c r="E642" s="29"/>
      <c r="F642" s="38"/>
      <c r="G642" s="38"/>
      <c r="H642" s="38"/>
    </row>
    <row r="643" spans="1:8" x14ac:dyDescent="0.25">
      <c r="A643" s="29"/>
      <c r="B643" s="29"/>
      <c r="C643" s="29"/>
      <c r="D643" s="29"/>
      <c r="E643" s="29"/>
      <c r="F643" s="38"/>
      <c r="G643" s="38"/>
      <c r="H643" s="38"/>
    </row>
    <row r="644" spans="1:8" x14ac:dyDescent="0.25">
      <c r="A644" s="29"/>
      <c r="B644" s="29"/>
      <c r="C644" s="29"/>
      <c r="D644" s="29"/>
      <c r="E644" s="29"/>
      <c r="F644" s="38"/>
      <c r="G644" s="38"/>
      <c r="H644" s="38"/>
    </row>
    <row r="645" spans="1:8" x14ac:dyDescent="0.25">
      <c r="A645" s="29"/>
      <c r="B645" s="29"/>
      <c r="C645" s="29"/>
      <c r="D645" s="29"/>
      <c r="E645" s="29"/>
      <c r="F645" s="38"/>
      <c r="G645" s="38"/>
      <c r="H645" s="38"/>
    </row>
    <row r="646" spans="1:8" x14ac:dyDescent="0.25">
      <c r="A646" s="29"/>
      <c r="B646" s="29"/>
      <c r="C646" s="29"/>
      <c r="D646" s="29"/>
      <c r="E646" s="29"/>
      <c r="F646" s="38"/>
      <c r="G646" s="38"/>
      <c r="H646" s="38"/>
    </row>
    <row r="647" spans="1:8" x14ac:dyDescent="0.25">
      <c r="A647" s="29"/>
      <c r="B647" s="29"/>
      <c r="C647" s="29"/>
      <c r="D647" s="29"/>
      <c r="E647" s="29"/>
      <c r="F647" s="38"/>
      <c r="G647" s="38"/>
      <c r="H647" s="38"/>
    </row>
    <row r="648" spans="1:8" x14ac:dyDescent="0.25">
      <c r="A648" s="29"/>
      <c r="B648" s="29"/>
      <c r="C648" s="29"/>
      <c r="D648" s="29"/>
      <c r="E648" s="29"/>
      <c r="F648" s="38"/>
      <c r="G648" s="38"/>
      <c r="H648" s="38"/>
    </row>
    <row r="649" spans="1:8" x14ac:dyDescent="0.25">
      <c r="A649" s="29"/>
      <c r="B649" s="29"/>
      <c r="C649" s="29"/>
      <c r="D649" s="29"/>
      <c r="E649" s="29"/>
      <c r="F649" s="38"/>
      <c r="G649" s="38"/>
      <c r="H649" s="38"/>
    </row>
    <row r="650" spans="1:8" x14ac:dyDescent="0.25">
      <c r="A650" s="29"/>
      <c r="B650" s="29"/>
      <c r="C650" s="29"/>
      <c r="D650" s="29"/>
      <c r="E650" s="29"/>
      <c r="F650" s="38"/>
      <c r="G650" s="38"/>
      <c r="H650" s="38"/>
    </row>
    <row r="651" spans="1:8" x14ac:dyDescent="0.25">
      <c r="A651" s="29"/>
      <c r="B651" s="29"/>
      <c r="C651" s="29"/>
      <c r="D651" s="29"/>
      <c r="E651" s="29"/>
      <c r="F651" s="38"/>
      <c r="G651" s="38"/>
      <c r="H651" s="38"/>
    </row>
    <row r="652" spans="1:8" x14ac:dyDescent="0.25">
      <c r="A652" s="29"/>
      <c r="B652" s="29"/>
      <c r="C652" s="29"/>
      <c r="D652" s="29"/>
      <c r="E652" s="29"/>
      <c r="F652" s="38"/>
      <c r="G652" s="38"/>
      <c r="H652" s="38"/>
    </row>
    <row r="653" spans="1:8" x14ac:dyDescent="0.25">
      <c r="A653" s="29"/>
      <c r="B653" s="29"/>
      <c r="C653" s="29"/>
      <c r="D653" s="29"/>
      <c r="E653" s="29"/>
      <c r="F653" s="38"/>
      <c r="G653" s="38"/>
      <c r="H653" s="38"/>
    </row>
    <row r="654" spans="1:8" x14ac:dyDescent="0.25">
      <c r="A654" s="29"/>
      <c r="B654" s="29"/>
      <c r="C654" s="29"/>
      <c r="D654" s="29"/>
      <c r="E654" s="29"/>
      <c r="F654" s="38"/>
      <c r="G654" s="38"/>
      <c r="H654" s="38"/>
    </row>
    <row r="655" spans="1:8" x14ac:dyDescent="0.25">
      <c r="A655" s="29"/>
      <c r="B655" s="29"/>
      <c r="C655" s="29"/>
      <c r="D655" s="29"/>
      <c r="E655" s="29"/>
      <c r="F655" s="38"/>
      <c r="G655" s="38"/>
      <c r="H655" s="38"/>
    </row>
    <row r="656" spans="1:8" x14ac:dyDescent="0.25">
      <c r="A656" s="29"/>
      <c r="B656" s="29"/>
      <c r="C656" s="29"/>
      <c r="D656" s="29"/>
      <c r="E656" s="29"/>
      <c r="F656" s="38"/>
      <c r="G656" s="38"/>
      <c r="H656" s="38"/>
    </row>
    <row r="657" spans="1:8" x14ac:dyDescent="0.25">
      <c r="A657" s="29"/>
      <c r="B657" s="29"/>
      <c r="C657" s="29"/>
      <c r="D657" s="29"/>
      <c r="E657" s="29"/>
      <c r="F657" s="38"/>
      <c r="G657" s="38"/>
      <c r="H657" s="38"/>
    </row>
    <row r="658" spans="1:8" x14ac:dyDescent="0.25">
      <c r="A658" s="29"/>
      <c r="B658" s="29"/>
      <c r="C658" s="29"/>
      <c r="D658" s="29"/>
      <c r="E658" s="29"/>
      <c r="F658" s="38"/>
      <c r="G658" s="38"/>
      <c r="H658" s="38"/>
    </row>
    <row r="659" spans="1:8" x14ac:dyDescent="0.25">
      <c r="A659" s="29"/>
      <c r="B659" s="29"/>
      <c r="C659" s="29"/>
      <c r="D659" s="29"/>
      <c r="E659" s="29"/>
      <c r="F659" s="38"/>
      <c r="G659" s="38"/>
      <c r="H659" s="38"/>
    </row>
    <row r="660" spans="1:8" x14ac:dyDescent="0.25">
      <c r="A660" s="29"/>
      <c r="B660" s="29"/>
      <c r="C660" s="29"/>
      <c r="D660" s="29"/>
      <c r="E660" s="29"/>
      <c r="F660" s="38"/>
      <c r="G660" s="38"/>
      <c r="H660" s="38"/>
    </row>
    <row r="661" spans="1:8" x14ac:dyDescent="0.25">
      <c r="A661" s="29"/>
      <c r="B661" s="29"/>
      <c r="C661" s="29"/>
      <c r="D661" s="29"/>
      <c r="E661" s="29"/>
      <c r="F661" s="38"/>
      <c r="G661" s="38"/>
      <c r="H661" s="38"/>
    </row>
    <row r="662" spans="1:8" x14ac:dyDescent="0.25">
      <c r="A662" s="29"/>
      <c r="B662" s="29"/>
      <c r="C662" s="29"/>
      <c r="D662" s="29"/>
      <c r="E662" s="29"/>
      <c r="F662" s="38"/>
      <c r="G662" s="38"/>
      <c r="H662" s="38"/>
    </row>
    <row r="663" spans="1:8" x14ac:dyDescent="0.25">
      <c r="A663" s="29"/>
      <c r="B663" s="29"/>
      <c r="C663" s="29"/>
      <c r="D663" s="29"/>
      <c r="E663" s="29"/>
      <c r="F663" s="38"/>
      <c r="G663" s="38"/>
      <c r="H663" s="38"/>
    </row>
    <row r="664" spans="1:8" x14ac:dyDescent="0.25">
      <c r="A664" s="29"/>
      <c r="B664" s="29"/>
      <c r="C664" s="29"/>
      <c r="D664" s="29"/>
      <c r="E664" s="29"/>
      <c r="F664" s="38"/>
      <c r="G664" s="38"/>
      <c r="H664" s="38"/>
    </row>
    <row r="665" spans="1:8" x14ac:dyDescent="0.25">
      <c r="A665" s="29"/>
      <c r="B665" s="29"/>
      <c r="C665" s="29"/>
      <c r="D665" s="29"/>
      <c r="E665" s="29"/>
      <c r="F665" s="38"/>
      <c r="G665" s="38"/>
      <c r="H665" s="38"/>
    </row>
    <row r="666" spans="1:8" x14ac:dyDescent="0.25">
      <c r="A666" s="29"/>
      <c r="B666" s="29"/>
      <c r="C666" s="29"/>
      <c r="D666" s="29"/>
      <c r="E666" s="29"/>
      <c r="F666" s="38"/>
      <c r="G666" s="38"/>
      <c r="H666" s="38"/>
    </row>
    <row r="667" spans="1:8" x14ac:dyDescent="0.25">
      <c r="A667" s="29"/>
      <c r="B667" s="29"/>
      <c r="C667" s="29"/>
      <c r="D667" s="29"/>
      <c r="E667" s="29"/>
      <c r="F667" s="38"/>
      <c r="G667" s="38"/>
      <c r="H667" s="38"/>
    </row>
    <row r="668" spans="1:8" x14ac:dyDescent="0.25">
      <c r="A668" s="29"/>
      <c r="B668" s="29"/>
      <c r="C668" s="29"/>
      <c r="D668" s="29"/>
      <c r="E668" s="29"/>
      <c r="F668" s="38"/>
      <c r="G668" s="38"/>
      <c r="H668" s="38"/>
    </row>
    <row r="669" spans="1:8" x14ac:dyDescent="0.25">
      <c r="A669" s="29"/>
      <c r="B669" s="29"/>
      <c r="C669" s="29"/>
      <c r="D669" s="29"/>
      <c r="E669" s="29"/>
      <c r="F669" s="38"/>
      <c r="G669" s="38"/>
      <c r="H669" s="38"/>
    </row>
    <row r="670" spans="1:8" x14ac:dyDescent="0.25">
      <c r="A670" s="29"/>
      <c r="B670" s="29"/>
      <c r="C670" s="29"/>
      <c r="D670" s="29"/>
      <c r="E670" s="29"/>
      <c r="F670" s="38"/>
      <c r="G670" s="38"/>
      <c r="H670" s="38"/>
    </row>
    <row r="671" spans="1:8" x14ac:dyDescent="0.25">
      <c r="A671" s="29"/>
      <c r="B671" s="29"/>
      <c r="C671" s="29"/>
      <c r="D671" s="29"/>
      <c r="E671" s="29"/>
      <c r="F671" s="38"/>
      <c r="G671" s="38"/>
      <c r="H671" s="38"/>
    </row>
    <row r="672" spans="1:8" x14ac:dyDescent="0.25">
      <c r="A672" s="29"/>
      <c r="B672" s="29"/>
      <c r="C672" s="29"/>
      <c r="D672" s="29"/>
      <c r="E672" s="29"/>
      <c r="F672" s="38"/>
      <c r="G672" s="38"/>
      <c r="H672" s="38"/>
    </row>
    <row r="673" spans="1:8" x14ac:dyDescent="0.25">
      <c r="A673" s="29"/>
      <c r="B673" s="29"/>
      <c r="C673" s="29"/>
      <c r="D673" s="29"/>
      <c r="E673" s="29"/>
      <c r="F673" s="38"/>
      <c r="G673" s="38"/>
      <c r="H673" s="38"/>
    </row>
    <row r="674" spans="1:8" x14ac:dyDescent="0.25">
      <c r="A674" s="29"/>
      <c r="B674" s="29"/>
      <c r="C674" s="29"/>
      <c r="D674" s="29"/>
      <c r="E674" s="29"/>
      <c r="F674" s="38"/>
      <c r="G674" s="38"/>
      <c r="H674" s="38"/>
    </row>
    <row r="675" spans="1:8" x14ac:dyDescent="0.25">
      <c r="A675" s="29"/>
      <c r="B675" s="29"/>
      <c r="C675" s="29"/>
      <c r="D675" s="29"/>
      <c r="E675" s="29"/>
      <c r="F675" s="38"/>
      <c r="G675" s="38"/>
      <c r="H675" s="38"/>
    </row>
    <row r="676" spans="1:8" x14ac:dyDescent="0.25">
      <c r="A676" s="29"/>
      <c r="B676" s="29"/>
      <c r="C676" s="29"/>
      <c r="D676" s="29"/>
      <c r="E676" s="29"/>
      <c r="F676" s="38"/>
      <c r="G676" s="38"/>
      <c r="H676" s="38"/>
    </row>
    <row r="677" spans="1:8" x14ac:dyDescent="0.25">
      <c r="A677" s="29"/>
      <c r="B677" s="29"/>
      <c r="C677" s="29"/>
      <c r="D677" s="29"/>
      <c r="E677" s="29"/>
      <c r="F677" s="38"/>
      <c r="G677" s="38"/>
      <c r="H677" s="38"/>
    </row>
    <row r="678" spans="1:8" x14ac:dyDescent="0.25">
      <c r="A678" s="29"/>
      <c r="B678" s="29"/>
      <c r="C678" s="29"/>
      <c r="D678" s="29"/>
      <c r="E678" s="29"/>
      <c r="F678" s="38"/>
      <c r="G678" s="38"/>
      <c r="H678" s="38"/>
    </row>
    <row r="679" spans="1:8" x14ac:dyDescent="0.25">
      <c r="A679" s="29"/>
      <c r="B679" s="29"/>
      <c r="C679" s="29"/>
      <c r="D679" s="29"/>
      <c r="E679" s="29"/>
      <c r="F679" s="38"/>
      <c r="G679" s="38"/>
      <c r="H679" s="38"/>
    </row>
    <row r="680" spans="1:8" x14ac:dyDescent="0.25">
      <c r="A680" s="29"/>
      <c r="B680" s="29"/>
      <c r="C680" s="29"/>
      <c r="D680" s="29"/>
      <c r="E680" s="29"/>
      <c r="F680" s="38"/>
      <c r="G680" s="38"/>
      <c r="H680" s="38"/>
    </row>
    <row r="681" spans="1:8" x14ac:dyDescent="0.25">
      <c r="A681" s="29"/>
      <c r="B681" s="29"/>
      <c r="C681" s="29"/>
      <c r="D681" s="29"/>
      <c r="E681" s="29"/>
      <c r="F681" s="38"/>
      <c r="G681" s="38"/>
      <c r="H681" s="38"/>
    </row>
    <row r="682" spans="1:8" x14ac:dyDescent="0.25">
      <c r="A682" s="29"/>
      <c r="B682" s="29"/>
      <c r="C682" s="29"/>
      <c r="D682" s="29"/>
      <c r="E682" s="29"/>
      <c r="F682" s="38"/>
      <c r="G682" s="38"/>
      <c r="H682" s="38"/>
    </row>
    <row r="683" spans="1:8" x14ac:dyDescent="0.25">
      <c r="A683" s="29"/>
      <c r="B683" s="29"/>
      <c r="C683" s="29"/>
      <c r="D683" s="29"/>
      <c r="E683" s="29"/>
      <c r="F683" s="38"/>
      <c r="G683" s="38"/>
      <c r="H683" s="38"/>
    </row>
    <row r="684" spans="1:8" x14ac:dyDescent="0.25">
      <c r="A684" s="29"/>
      <c r="B684" s="29"/>
      <c r="C684" s="29"/>
      <c r="D684" s="29"/>
      <c r="E684" s="29"/>
      <c r="F684" s="38"/>
      <c r="G684" s="38"/>
      <c r="H684" s="38"/>
    </row>
    <row r="685" spans="1:8" x14ac:dyDescent="0.25">
      <c r="A685" s="29"/>
      <c r="B685" s="29"/>
      <c r="C685" s="29"/>
      <c r="D685" s="29"/>
      <c r="E685" s="29"/>
      <c r="F685" s="38"/>
      <c r="G685" s="38"/>
      <c r="H685" s="38"/>
    </row>
    <row r="686" spans="1:8" x14ac:dyDescent="0.25">
      <c r="A686" s="29"/>
      <c r="B686" s="29"/>
      <c r="C686" s="29"/>
      <c r="D686" s="29"/>
      <c r="E686" s="29"/>
      <c r="F686" s="38"/>
      <c r="G686" s="38"/>
      <c r="H686" s="38"/>
    </row>
    <row r="687" spans="1:8" x14ac:dyDescent="0.25">
      <c r="A687" s="29"/>
      <c r="B687" s="29"/>
      <c r="C687" s="29"/>
      <c r="D687" s="29"/>
      <c r="E687" s="29"/>
      <c r="F687" s="38"/>
      <c r="G687" s="38"/>
      <c r="H687" s="38"/>
    </row>
    <row r="688" spans="1:8" x14ac:dyDescent="0.25">
      <c r="A688" s="29"/>
      <c r="B688" s="29"/>
      <c r="C688" s="29"/>
      <c r="D688" s="29"/>
      <c r="E688" s="29"/>
      <c r="F688" s="38"/>
      <c r="G688" s="38"/>
      <c r="H688" s="38"/>
    </row>
    <row r="689" spans="1:8" x14ac:dyDescent="0.25">
      <c r="A689" s="29"/>
      <c r="B689" s="29"/>
      <c r="C689" s="29"/>
      <c r="D689" s="29"/>
      <c r="E689" s="29"/>
      <c r="F689" s="38"/>
      <c r="G689" s="38"/>
      <c r="H689" s="38"/>
    </row>
    <row r="690" spans="1:8" x14ac:dyDescent="0.25">
      <c r="A690" s="29"/>
      <c r="B690" s="29"/>
      <c r="C690" s="29"/>
      <c r="D690" s="29"/>
      <c r="E690" s="29"/>
      <c r="F690" s="38"/>
      <c r="G690" s="38"/>
      <c r="H690" s="38"/>
    </row>
    <row r="691" spans="1:8" x14ac:dyDescent="0.25">
      <c r="A691" s="29"/>
      <c r="B691" s="29"/>
      <c r="C691" s="29"/>
      <c r="D691" s="29"/>
      <c r="E691" s="29"/>
      <c r="F691" s="38"/>
      <c r="G691" s="38"/>
      <c r="H691" s="38"/>
    </row>
    <row r="692" spans="1:8" x14ac:dyDescent="0.25">
      <c r="A692" s="29"/>
      <c r="B692" s="29"/>
      <c r="C692" s="29"/>
      <c r="D692" s="29"/>
      <c r="E692" s="29"/>
      <c r="F692" s="38"/>
      <c r="G692" s="38"/>
      <c r="H692" s="38"/>
    </row>
    <row r="693" spans="1:8" x14ac:dyDescent="0.25">
      <c r="A693" s="29"/>
      <c r="B693" s="29"/>
      <c r="C693" s="29"/>
      <c r="D693" s="29"/>
      <c r="E693" s="29"/>
      <c r="F693" s="38"/>
      <c r="G693" s="38"/>
      <c r="H693" s="38"/>
    </row>
    <row r="694" spans="1:8" x14ac:dyDescent="0.25">
      <c r="A694" s="29"/>
      <c r="B694" s="29"/>
      <c r="C694" s="29"/>
      <c r="D694" s="29"/>
      <c r="E694" s="29"/>
      <c r="F694" s="38"/>
      <c r="G694" s="38"/>
      <c r="H694" s="38"/>
    </row>
    <row r="695" spans="1:8" x14ac:dyDescent="0.25">
      <c r="A695" s="29"/>
      <c r="B695" s="29"/>
      <c r="C695" s="29"/>
      <c r="D695" s="29"/>
      <c r="E695" s="29"/>
      <c r="F695" s="38"/>
      <c r="G695" s="38"/>
      <c r="H695" s="38"/>
    </row>
    <row r="696" spans="1:8" x14ac:dyDescent="0.25">
      <c r="A696" s="29"/>
      <c r="B696" s="29"/>
      <c r="C696" s="29"/>
      <c r="D696" s="29"/>
      <c r="E696" s="29"/>
      <c r="F696" s="38"/>
      <c r="G696" s="38"/>
      <c r="H696" s="38"/>
    </row>
    <row r="697" spans="1:8" x14ac:dyDescent="0.25">
      <c r="A697" s="29"/>
      <c r="B697" s="29"/>
      <c r="C697" s="29"/>
      <c r="D697" s="29"/>
      <c r="E697" s="29"/>
      <c r="F697" s="38"/>
      <c r="G697" s="38"/>
      <c r="H697" s="38"/>
    </row>
    <row r="698" spans="1:8" x14ac:dyDescent="0.25">
      <c r="A698" s="29"/>
      <c r="B698" s="29"/>
      <c r="C698" s="29"/>
      <c r="D698" s="29"/>
      <c r="E698" s="29"/>
      <c r="F698" s="38"/>
      <c r="G698" s="38"/>
      <c r="H698" s="38"/>
    </row>
    <row r="699" spans="1:8" x14ac:dyDescent="0.25">
      <c r="A699" s="29"/>
      <c r="B699" s="29"/>
      <c r="C699" s="29"/>
      <c r="D699" s="29"/>
      <c r="E699" s="29"/>
      <c r="F699" s="38"/>
      <c r="G699" s="38"/>
      <c r="H699" s="38"/>
    </row>
    <row r="700" spans="1:8" x14ac:dyDescent="0.25">
      <c r="A700" s="29"/>
      <c r="B700" s="29"/>
      <c r="C700" s="29"/>
      <c r="D700" s="29"/>
      <c r="E700" s="29"/>
      <c r="F700" s="38"/>
      <c r="G700" s="38"/>
      <c r="H700" s="38"/>
    </row>
    <row r="701" spans="1:8" x14ac:dyDescent="0.25">
      <c r="A701" s="29"/>
      <c r="B701" s="29"/>
      <c r="C701" s="29"/>
      <c r="D701" s="29"/>
      <c r="E701" s="29"/>
      <c r="F701" s="38"/>
      <c r="G701" s="38"/>
      <c r="H701" s="38"/>
    </row>
    <row r="702" spans="1:8" x14ac:dyDescent="0.25">
      <c r="A702" s="29"/>
      <c r="B702" s="29"/>
      <c r="C702" s="29"/>
      <c r="D702" s="29"/>
      <c r="E702" s="29"/>
      <c r="F702" s="38"/>
      <c r="G702" s="38"/>
      <c r="H702" s="38"/>
    </row>
    <row r="703" spans="1:8" x14ac:dyDescent="0.25">
      <c r="A703" s="29"/>
      <c r="B703" s="29"/>
      <c r="C703" s="29"/>
      <c r="D703" s="29"/>
      <c r="E703" s="29"/>
      <c r="F703" s="38"/>
      <c r="G703" s="38"/>
      <c r="H703" s="38"/>
    </row>
    <row r="704" spans="1:8" x14ac:dyDescent="0.25">
      <c r="A704" s="29"/>
      <c r="B704" s="29"/>
      <c r="C704" s="29"/>
      <c r="D704" s="29"/>
      <c r="E704" s="29"/>
      <c r="F704" s="38"/>
      <c r="G704" s="38"/>
      <c r="H704" s="38"/>
    </row>
    <row r="705" spans="1:8" x14ac:dyDescent="0.25">
      <c r="A705" s="29"/>
      <c r="B705" s="29"/>
      <c r="C705" s="29"/>
      <c r="D705" s="29"/>
      <c r="E705" s="29"/>
      <c r="F705" s="38"/>
      <c r="G705" s="38"/>
      <c r="H705" s="38"/>
    </row>
    <row r="706" spans="1:8" x14ac:dyDescent="0.25">
      <c r="A706" s="29"/>
      <c r="B706" s="29"/>
      <c r="C706" s="29"/>
      <c r="D706" s="29"/>
      <c r="E706" s="29"/>
      <c r="F706" s="38"/>
      <c r="G706" s="38"/>
      <c r="H706" s="38"/>
    </row>
    <row r="707" spans="1:8" x14ac:dyDescent="0.25">
      <c r="A707" s="29"/>
      <c r="B707" s="29"/>
      <c r="C707" s="29"/>
      <c r="D707" s="29"/>
      <c r="E707" s="29"/>
      <c r="F707" s="38"/>
      <c r="G707" s="38"/>
      <c r="H707" s="38"/>
    </row>
    <row r="708" spans="1:8" x14ac:dyDescent="0.25">
      <c r="A708" s="29"/>
      <c r="B708" s="29"/>
      <c r="C708" s="29"/>
      <c r="D708" s="29"/>
      <c r="E708" s="29"/>
      <c r="F708" s="38"/>
      <c r="G708" s="38"/>
      <c r="H708" s="38"/>
    </row>
    <row r="709" spans="1:8" x14ac:dyDescent="0.25">
      <c r="A709" s="29"/>
      <c r="B709" s="29"/>
      <c r="C709" s="29"/>
      <c r="D709" s="29"/>
      <c r="E709" s="29"/>
      <c r="F709" s="38"/>
      <c r="G709" s="38"/>
      <c r="H709" s="38"/>
    </row>
    <row r="710" spans="1:8" x14ac:dyDescent="0.25">
      <c r="A710" s="29"/>
      <c r="B710" s="29"/>
      <c r="C710" s="29"/>
      <c r="D710" s="29"/>
      <c r="E710" s="29"/>
      <c r="F710" s="38"/>
      <c r="G710" s="38"/>
      <c r="H710" s="38"/>
    </row>
    <row r="711" spans="1:8" x14ac:dyDescent="0.25">
      <c r="A711" s="29"/>
      <c r="B711" s="29"/>
      <c r="C711" s="29"/>
      <c r="D711" s="29"/>
      <c r="E711" s="29"/>
      <c r="F711" s="38"/>
      <c r="G711" s="38"/>
      <c r="H711" s="38"/>
    </row>
    <row r="712" spans="1:8" x14ac:dyDescent="0.25">
      <c r="A712" s="29"/>
      <c r="B712" s="29"/>
      <c r="C712" s="29"/>
      <c r="D712" s="29"/>
      <c r="E712" s="29"/>
      <c r="F712" s="38"/>
      <c r="G712" s="38"/>
      <c r="H712" s="38"/>
    </row>
    <row r="713" spans="1:8" x14ac:dyDescent="0.25">
      <c r="A713" s="29"/>
      <c r="B713" s="29"/>
      <c r="C713" s="29"/>
      <c r="D713" s="29"/>
      <c r="E713" s="29"/>
      <c r="F713" s="38"/>
      <c r="G713" s="38"/>
      <c r="H713" s="38"/>
    </row>
    <row r="714" spans="1:8" x14ac:dyDescent="0.25">
      <c r="A714" s="29"/>
      <c r="B714" s="29"/>
      <c r="C714" s="29"/>
      <c r="D714" s="29"/>
      <c r="E714" s="29"/>
      <c r="F714" s="38"/>
      <c r="G714" s="38"/>
      <c r="H714" s="38"/>
    </row>
    <row r="715" spans="1:8" x14ac:dyDescent="0.25">
      <c r="A715" s="29"/>
      <c r="B715" s="29"/>
      <c r="C715" s="29"/>
      <c r="D715" s="29"/>
      <c r="E715" s="29"/>
      <c r="F715" s="38"/>
      <c r="G715" s="38"/>
      <c r="H715" s="38"/>
    </row>
    <row r="716" spans="1:8" x14ac:dyDescent="0.25">
      <c r="A716" s="29"/>
      <c r="B716" s="29"/>
      <c r="C716" s="29"/>
      <c r="D716" s="29"/>
      <c r="E716" s="29"/>
      <c r="F716" s="38"/>
      <c r="G716" s="38"/>
      <c r="H716" s="38"/>
    </row>
    <row r="717" spans="1:8" x14ac:dyDescent="0.25">
      <c r="A717" s="29"/>
      <c r="B717" s="29"/>
      <c r="C717" s="29"/>
      <c r="D717" s="29"/>
      <c r="E717" s="29"/>
      <c r="F717" s="38"/>
      <c r="G717" s="38"/>
      <c r="H717" s="38"/>
    </row>
    <row r="718" spans="1:8" x14ac:dyDescent="0.25">
      <c r="A718" s="29"/>
      <c r="B718" s="29"/>
      <c r="C718" s="29"/>
      <c r="D718" s="29"/>
      <c r="E718" s="29"/>
      <c r="F718" s="38"/>
      <c r="G718" s="38"/>
      <c r="H718" s="38"/>
    </row>
    <row r="719" spans="1:8" x14ac:dyDescent="0.25">
      <c r="A719" s="29"/>
      <c r="B719" s="29"/>
      <c r="C719" s="29"/>
      <c r="D719" s="29"/>
      <c r="E719" s="29"/>
      <c r="F719" s="38"/>
      <c r="G719" s="38"/>
      <c r="H719" s="38"/>
    </row>
    <row r="720" spans="1:8" x14ac:dyDescent="0.25">
      <c r="A720" s="29"/>
      <c r="B720" s="29"/>
      <c r="C720" s="29"/>
      <c r="D720" s="29"/>
      <c r="E720" s="29"/>
      <c r="F720" s="38"/>
      <c r="G720" s="38"/>
      <c r="H720" s="38"/>
    </row>
    <row r="721" spans="1:8" x14ac:dyDescent="0.25">
      <c r="A721" s="29"/>
      <c r="B721" s="29"/>
      <c r="C721" s="29"/>
      <c r="D721" s="29"/>
      <c r="E721" s="29"/>
      <c r="F721" s="38"/>
      <c r="G721" s="38"/>
      <c r="H721" s="38"/>
    </row>
    <row r="722" spans="1:8" x14ac:dyDescent="0.25">
      <c r="A722" s="29"/>
      <c r="B722" s="29"/>
      <c r="C722" s="29"/>
      <c r="D722" s="29"/>
      <c r="E722" s="29"/>
      <c r="F722" s="38"/>
      <c r="G722" s="38"/>
      <c r="H722" s="38"/>
    </row>
    <row r="723" spans="1:8" x14ac:dyDescent="0.25">
      <c r="A723" s="29"/>
      <c r="B723" s="29"/>
      <c r="C723" s="29"/>
      <c r="D723" s="29"/>
      <c r="E723" s="29"/>
      <c r="F723" s="38"/>
      <c r="G723" s="38"/>
      <c r="H723" s="38"/>
    </row>
    <row r="724" spans="1:8" x14ac:dyDescent="0.25">
      <c r="A724" s="29"/>
      <c r="B724" s="29"/>
      <c r="C724" s="29"/>
      <c r="D724" s="29"/>
      <c r="E724" s="29"/>
      <c r="F724" s="38"/>
      <c r="G724" s="38"/>
      <c r="H724" s="38"/>
    </row>
    <row r="725" spans="1:8" x14ac:dyDescent="0.25">
      <c r="A725" s="29"/>
      <c r="B725" s="29"/>
      <c r="C725" s="29"/>
      <c r="D725" s="29"/>
      <c r="E725" s="29"/>
      <c r="F725" s="38"/>
      <c r="G725" s="38"/>
      <c r="H725" s="38"/>
    </row>
    <row r="726" spans="1:8" x14ac:dyDescent="0.25">
      <c r="A726" s="29"/>
      <c r="B726" s="29"/>
      <c r="C726" s="29"/>
      <c r="D726" s="29"/>
      <c r="E726" s="29"/>
      <c r="F726" s="38"/>
      <c r="G726" s="38"/>
      <c r="H726" s="38"/>
    </row>
    <row r="727" spans="1:8" x14ac:dyDescent="0.25">
      <c r="A727" s="29"/>
      <c r="B727" s="29"/>
      <c r="C727" s="29"/>
      <c r="D727" s="29"/>
      <c r="E727" s="29"/>
      <c r="F727" s="38"/>
      <c r="G727" s="38"/>
      <c r="H727" s="38"/>
    </row>
    <row r="728" spans="1:8" x14ac:dyDescent="0.25">
      <c r="A728" s="29"/>
      <c r="B728" s="29"/>
      <c r="C728" s="29"/>
      <c r="D728" s="29"/>
      <c r="E728" s="29"/>
      <c r="F728" s="38"/>
      <c r="G728" s="38"/>
      <c r="H728" s="38"/>
    </row>
    <row r="729" spans="1:8" x14ac:dyDescent="0.25">
      <c r="A729" s="29"/>
      <c r="B729" s="29"/>
      <c r="C729" s="29"/>
      <c r="D729" s="29"/>
      <c r="E729" s="29"/>
      <c r="F729" s="38"/>
      <c r="G729" s="38"/>
      <c r="H729" s="38"/>
    </row>
    <row r="730" spans="1:8" x14ac:dyDescent="0.25">
      <c r="A730" s="29"/>
      <c r="B730" s="29"/>
      <c r="C730" s="29"/>
      <c r="D730" s="29"/>
      <c r="E730" s="29"/>
      <c r="F730" s="38"/>
      <c r="G730" s="38"/>
      <c r="H730" s="38"/>
    </row>
    <row r="731" spans="1:8" x14ac:dyDescent="0.25">
      <c r="A731" s="29"/>
      <c r="B731" s="29"/>
      <c r="C731" s="29"/>
      <c r="D731" s="29"/>
      <c r="E731" s="29"/>
      <c r="F731" s="38"/>
      <c r="G731" s="38"/>
      <c r="H731" s="38"/>
    </row>
    <row r="732" spans="1:8" x14ac:dyDescent="0.25">
      <c r="A732" s="29"/>
      <c r="B732" s="29"/>
      <c r="C732" s="29"/>
      <c r="D732" s="29"/>
      <c r="E732" s="29"/>
      <c r="F732" s="38"/>
      <c r="G732" s="38"/>
      <c r="H732" s="38"/>
    </row>
    <row r="733" spans="1:8" x14ac:dyDescent="0.25">
      <c r="A733" s="29"/>
      <c r="B733" s="29"/>
      <c r="C733" s="29"/>
      <c r="D733" s="29"/>
      <c r="E733" s="29"/>
      <c r="F733" s="38"/>
      <c r="G733" s="38"/>
      <c r="H733" s="38"/>
    </row>
    <row r="734" spans="1:8" x14ac:dyDescent="0.25">
      <c r="A734" s="29"/>
      <c r="B734" s="29"/>
      <c r="C734" s="29"/>
      <c r="D734" s="29"/>
      <c r="E734" s="29"/>
      <c r="F734" s="38"/>
      <c r="G734" s="38"/>
      <c r="H734" s="38"/>
    </row>
    <row r="735" spans="1:8" x14ac:dyDescent="0.25">
      <c r="A735" s="29"/>
      <c r="B735" s="29"/>
      <c r="C735" s="29"/>
      <c r="D735" s="29"/>
      <c r="E735" s="29"/>
      <c r="F735" s="38"/>
      <c r="G735" s="38"/>
      <c r="H735" s="38"/>
    </row>
    <row r="736" spans="1:8" x14ac:dyDescent="0.25">
      <c r="A736" s="29"/>
      <c r="B736" s="29"/>
      <c r="C736" s="29"/>
      <c r="D736" s="29"/>
      <c r="E736" s="29"/>
      <c r="F736" s="38"/>
      <c r="G736" s="38"/>
      <c r="H736" s="38"/>
    </row>
    <row r="737" spans="1:8" x14ac:dyDescent="0.25">
      <c r="A737" s="29"/>
      <c r="B737" s="29"/>
      <c r="C737" s="29"/>
      <c r="D737" s="29"/>
      <c r="E737" s="29"/>
      <c r="F737" s="38"/>
      <c r="G737" s="38"/>
      <c r="H737" s="38"/>
    </row>
    <row r="738" spans="1:8" x14ac:dyDescent="0.25">
      <c r="A738" s="29"/>
      <c r="B738" s="29"/>
      <c r="C738" s="29"/>
      <c r="D738" s="29"/>
      <c r="E738" s="29"/>
      <c r="F738" s="38"/>
      <c r="G738" s="38"/>
      <c r="H738" s="38"/>
    </row>
    <row r="739" spans="1:8" x14ac:dyDescent="0.25">
      <c r="A739" s="29"/>
      <c r="B739" s="29"/>
      <c r="C739" s="29"/>
      <c r="D739" s="29"/>
      <c r="E739" s="29"/>
      <c r="F739" s="38"/>
      <c r="G739" s="38"/>
      <c r="H739" s="38"/>
    </row>
    <row r="740" spans="1:8" x14ac:dyDescent="0.25">
      <c r="A740" s="29"/>
      <c r="B740" s="29"/>
      <c r="C740" s="29"/>
      <c r="D740" s="29"/>
      <c r="E740" s="29"/>
      <c r="F740" s="38"/>
      <c r="G740" s="38"/>
      <c r="H740" s="38"/>
    </row>
    <row r="741" spans="1:8" x14ac:dyDescent="0.25">
      <c r="A741" s="29"/>
      <c r="B741" s="29"/>
      <c r="C741" s="29"/>
      <c r="D741" s="29"/>
      <c r="E741" s="29"/>
      <c r="F741" s="38"/>
      <c r="G741" s="38"/>
      <c r="H741" s="38"/>
    </row>
    <row r="742" spans="1:8" x14ac:dyDescent="0.25">
      <c r="A742" s="29"/>
      <c r="B742" s="29"/>
      <c r="C742" s="29"/>
      <c r="D742" s="29"/>
      <c r="E742" s="29"/>
      <c r="F742" s="38"/>
      <c r="G742" s="38"/>
      <c r="H742" s="38"/>
    </row>
    <row r="743" spans="1:8" x14ac:dyDescent="0.25">
      <c r="A743" s="29"/>
      <c r="B743" s="29"/>
      <c r="C743" s="29"/>
      <c r="D743" s="29"/>
      <c r="E743" s="29"/>
      <c r="F743" s="38"/>
      <c r="G743" s="38"/>
      <c r="H743" s="38"/>
    </row>
    <row r="744" spans="1:8" x14ac:dyDescent="0.25">
      <c r="A744" s="29"/>
      <c r="B744" s="29"/>
      <c r="C744" s="29"/>
      <c r="D744" s="29"/>
      <c r="E744" s="29"/>
      <c r="F744" s="38"/>
      <c r="G744" s="38"/>
      <c r="H744" s="38"/>
    </row>
    <row r="745" spans="1:8" x14ac:dyDescent="0.25">
      <c r="A745" s="29"/>
      <c r="B745" s="29"/>
      <c r="C745" s="29"/>
      <c r="D745" s="29"/>
      <c r="E745" s="29"/>
      <c r="F745" s="38"/>
      <c r="G745" s="38"/>
      <c r="H745" s="38"/>
    </row>
    <row r="746" spans="1:8" x14ac:dyDescent="0.25">
      <c r="A746" s="29"/>
      <c r="B746" s="29"/>
      <c r="C746" s="29"/>
      <c r="D746" s="29"/>
      <c r="E746" s="29"/>
      <c r="F746" s="38"/>
      <c r="G746" s="38"/>
      <c r="H746" s="38"/>
    </row>
    <row r="747" spans="1:8" x14ac:dyDescent="0.25">
      <c r="A747" s="29"/>
      <c r="B747" s="29"/>
      <c r="C747" s="29"/>
      <c r="D747" s="29"/>
      <c r="E747" s="29"/>
      <c r="F747" s="38"/>
      <c r="G747" s="38"/>
      <c r="H747" s="38"/>
    </row>
    <row r="748" spans="1:8" x14ac:dyDescent="0.25">
      <c r="A748" s="29"/>
      <c r="B748" s="29"/>
      <c r="C748" s="29"/>
      <c r="D748" s="29"/>
      <c r="E748" s="29"/>
      <c r="F748" s="38"/>
      <c r="G748" s="38"/>
      <c r="H748" s="38"/>
    </row>
    <row r="749" spans="1:8" x14ac:dyDescent="0.25">
      <c r="A749" s="29"/>
      <c r="B749" s="29"/>
      <c r="C749" s="29"/>
      <c r="D749" s="29"/>
      <c r="E749" s="29"/>
      <c r="F749" s="38"/>
      <c r="G749" s="38"/>
      <c r="H749" s="38"/>
    </row>
    <row r="750" spans="1:8" x14ac:dyDescent="0.25">
      <c r="A750" s="29"/>
      <c r="B750" s="29"/>
      <c r="C750" s="29"/>
      <c r="D750" s="29"/>
      <c r="E750" s="29"/>
      <c r="F750" s="38"/>
      <c r="G750" s="38"/>
      <c r="H750" s="38"/>
    </row>
    <row r="751" spans="1:8" x14ac:dyDescent="0.25">
      <c r="A751" s="29"/>
      <c r="B751" s="29"/>
      <c r="C751" s="29"/>
      <c r="D751" s="29"/>
      <c r="E751" s="29"/>
      <c r="F751" s="38"/>
      <c r="G751" s="38"/>
      <c r="H751" s="38"/>
    </row>
    <row r="752" spans="1:8" x14ac:dyDescent="0.25">
      <c r="A752" s="29"/>
      <c r="B752" s="29"/>
      <c r="C752" s="29"/>
      <c r="D752" s="29"/>
      <c r="E752" s="29"/>
      <c r="F752" s="38"/>
      <c r="G752" s="38"/>
      <c r="H752" s="38"/>
    </row>
    <row r="753" spans="1:8" x14ac:dyDescent="0.25">
      <c r="A753" s="29"/>
      <c r="B753" s="29"/>
      <c r="C753" s="29"/>
      <c r="D753" s="29"/>
      <c r="E753" s="29"/>
      <c r="F753" s="38"/>
      <c r="G753" s="38"/>
      <c r="H753" s="38"/>
    </row>
    <row r="754" spans="1:8" x14ac:dyDescent="0.25">
      <c r="A754" s="29"/>
      <c r="B754" s="29"/>
      <c r="C754" s="29"/>
      <c r="D754" s="29"/>
      <c r="E754" s="29"/>
      <c r="F754" s="38"/>
      <c r="G754" s="38"/>
      <c r="H754" s="38"/>
    </row>
    <row r="755" spans="1:8" x14ac:dyDescent="0.25">
      <c r="A755" s="29"/>
      <c r="B755" s="29"/>
      <c r="C755" s="29"/>
      <c r="D755" s="29"/>
      <c r="E755" s="29"/>
      <c r="F755" s="38"/>
      <c r="G755" s="38"/>
      <c r="H755" s="38"/>
    </row>
    <row r="756" spans="1:8" x14ac:dyDescent="0.25">
      <c r="A756" s="29"/>
      <c r="B756" s="29"/>
      <c r="C756" s="29"/>
      <c r="D756" s="29"/>
      <c r="E756" s="29"/>
      <c r="F756" s="38"/>
      <c r="G756" s="38"/>
      <c r="H756" s="38"/>
    </row>
    <row r="757" spans="1:8" x14ac:dyDescent="0.25">
      <c r="A757" s="29"/>
      <c r="B757" s="29"/>
      <c r="C757" s="29"/>
      <c r="D757" s="29"/>
      <c r="E757" s="29"/>
      <c r="F757" s="38"/>
      <c r="G757" s="38"/>
      <c r="H757" s="38"/>
    </row>
    <row r="758" spans="1:8" x14ac:dyDescent="0.25">
      <c r="A758" s="29"/>
      <c r="B758" s="29"/>
      <c r="C758" s="29"/>
      <c r="D758" s="29"/>
      <c r="E758" s="29"/>
      <c r="F758" s="38"/>
      <c r="G758" s="38"/>
      <c r="H758" s="38"/>
    </row>
    <row r="759" spans="1:8" x14ac:dyDescent="0.25">
      <c r="A759" s="29"/>
      <c r="B759" s="29"/>
      <c r="C759" s="29"/>
      <c r="D759" s="29"/>
      <c r="E759" s="29"/>
      <c r="F759" s="38"/>
      <c r="G759" s="38"/>
      <c r="H759" s="38"/>
    </row>
    <row r="760" spans="1:8" x14ac:dyDescent="0.25">
      <c r="A760" s="29"/>
      <c r="B760" s="29"/>
      <c r="C760" s="29"/>
      <c r="D760" s="29"/>
      <c r="E760" s="29"/>
      <c r="F760" s="38"/>
      <c r="G760" s="38"/>
      <c r="H760" s="38"/>
    </row>
    <row r="761" spans="1:8" x14ac:dyDescent="0.25">
      <c r="A761" s="29"/>
      <c r="B761" s="29"/>
      <c r="C761" s="29"/>
      <c r="D761" s="29"/>
      <c r="E761" s="29"/>
      <c r="F761" s="38"/>
      <c r="G761" s="38"/>
      <c r="H761" s="38"/>
    </row>
    <row r="762" spans="1:8" x14ac:dyDescent="0.25">
      <c r="A762" s="29"/>
      <c r="B762" s="29"/>
      <c r="C762" s="29"/>
      <c r="D762" s="29"/>
      <c r="E762" s="29"/>
      <c r="F762" s="38"/>
      <c r="G762" s="38"/>
      <c r="H762" s="38"/>
    </row>
    <row r="763" spans="1:8" x14ac:dyDescent="0.25">
      <c r="A763" s="29"/>
      <c r="B763" s="29"/>
      <c r="C763" s="29"/>
      <c r="D763" s="29"/>
      <c r="E763" s="29"/>
      <c r="F763" s="38"/>
      <c r="G763" s="38"/>
      <c r="H763" s="38"/>
    </row>
    <row r="764" spans="1:8" x14ac:dyDescent="0.25">
      <c r="A764" s="29"/>
      <c r="B764" s="29"/>
      <c r="C764" s="29"/>
      <c r="D764" s="29"/>
      <c r="E764" s="29"/>
      <c r="F764" s="38"/>
      <c r="G764" s="38"/>
      <c r="H764" s="38"/>
    </row>
    <row r="765" spans="1:8" x14ac:dyDescent="0.25">
      <c r="A765" s="29"/>
      <c r="B765" s="29"/>
      <c r="C765" s="29"/>
      <c r="D765" s="29"/>
      <c r="E765" s="29"/>
      <c r="F765" s="38"/>
      <c r="G765" s="38"/>
      <c r="H765" s="38"/>
    </row>
    <row r="766" spans="1:8" x14ac:dyDescent="0.25">
      <c r="A766" s="29"/>
      <c r="B766" s="29"/>
      <c r="C766" s="29"/>
      <c r="D766" s="29"/>
      <c r="E766" s="29"/>
      <c r="F766" s="38"/>
      <c r="G766" s="38"/>
      <c r="H766" s="38"/>
    </row>
    <row r="767" spans="1:8" x14ac:dyDescent="0.25">
      <c r="A767" s="29"/>
      <c r="B767" s="29"/>
      <c r="C767" s="29"/>
      <c r="D767" s="29"/>
      <c r="E767" s="29"/>
      <c r="F767" s="38"/>
      <c r="G767" s="38"/>
      <c r="H767" s="38"/>
    </row>
    <row r="768" spans="1:8" x14ac:dyDescent="0.25">
      <c r="A768" s="29"/>
      <c r="B768" s="29"/>
      <c r="C768" s="29"/>
      <c r="D768" s="29"/>
      <c r="E768" s="29"/>
      <c r="F768" s="38"/>
      <c r="G768" s="38"/>
      <c r="H768" s="38"/>
    </row>
    <row r="769" spans="1:8" x14ac:dyDescent="0.25">
      <c r="A769" s="29"/>
      <c r="B769" s="29"/>
      <c r="C769" s="29"/>
      <c r="D769" s="29"/>
      <c r="E769" s="29"/>
      <c r="F769" s="38"/>
      <c r="G769" s="38"/>
      <c r="H769" s="38"/>
    </row>
    <row r="770" spans="1:8" x14ac:dyDescent="0.25">
      <c r="A770" s="29"/>
      <c r="B770" s="29"/>
      <c r="C770" s="29"/>
      <c r="D770" s="29"/>
      <c r="E770" s="29"/>
      <c r="F770" s="38"/>
      <c r="G770" s="38"/>
      <c r="H770" s="38"/>
    </row>
    <row r="771" spans="1:8" x14ac:dyDescent="0.25">
      <c r="A771" s="29"/>
      <c r="B771" s="29"/>
      <c r="C771" s="29"/>
      <c r="D771" s="29"/>
      <c r="E771" s="29"/>
      <c r="F771" s="38"/>
      <c r="G771" s="38"/>
      <c r="H771" s="38"/>
    </row>
    <row r="772" spans="1:8" x14ac:dyDescent="0.25">
      <c r="A772" s="29"/>
      <c r="B772" s="29"/>
      <c r="C772" s="29"/>
      <c r="D772" s="29"/>
      <c r="E772" s="29"/>
      <c r="F772" s="38"/>
      <c r="G772" s="38"/>
      <c r="H772" s="38"/>
    </row>
    <row r="773" spans="1:8" x14ac:dyDescent="0.25">
      <c r="A773" s="29"/>
      <c r="B773" s="29"/>
      <c r="C773" s="29"/>
      <c r="D773" s="29"/>
      <c r="E773" s="29"/>
      <c r="F773" s="38"/>
      <c r="G773" s="38"/>
      <c r="H773" s="38"/>
    </row>
    <row r="774" spans="1:8" x14ac:dyDescent="0.25">
      <c r="A774" s="29"/>
      <c r="B774" s="29"/>
      <c r="C774" s="29"/>
      <c r="D774" s="29"/>
      <c r="E774" s="29"/>
      <c r="F774" s="38"/>
      <c r="G774" s="38"/>
      <c r="H774" s="38"/>
    </row>
    <row r="775" spans="1:8" x14ac:dyDescent="0.25">
      <c r="A775" s="29"/>
      <c r="B775" s="29"/>
      <c r="C775" s="29"/>
      <c r="D775" s="29"/>
      <c r="E775" s="29"/>
      <c r="F775" s="38"/>
      <c r="G775" s="38"/>
      <c r="H775" s="38"/>
    </row>
    <row r="776" spans="1:8" x14ac:dyDescent="0.25">
      <c r="A776" s="29"/>
      <c r="B776" s="29"/>
      <c r="C776" s="29"/>
      <c r="D776" s="29"/>
      <c r="E776" s="29"/>
      <c r="F776" s="38"/>
      <c r="G776" s="38"/>
      <c r="H776" s="38"/>
    </row>
    <row r="777" spans="1:8" x14ac:dyDescent="0.25">
      <c r="A777" s="29"/>
      <c r="B777" s="29"/>
      <c r="C777" s="29"/>
      <c r="D777" s="29"/>
      <c r="E777" s="29"/>
      <c r="F777" s="38"/>
      <c r="G777" s="38"/>
      <c r="H777" s="38"/>
    </row>
    <row r="778" spans="1:8" x14ac:dyDescent="0.25">
      <c r="A778" s="29"/>
      <c r="B778" s="29"/>
      <c r="C778" s="29"/>
      <c r="D778" s="29"/>
      <c r="E778" s="29"/>
      <c r="F778" s="38"/>
      <c r="G778" s="38"/>
      <c r="H778" s="38"/>
    </row>
    <row r="779" spans="1:8" x14ac:dyDescent="0.25">
      <c r="A779" s="29"/>
      <c r="B779" s="29"/>
      <c r="C779" s="29"/>
      <c r="D779" s="29"/>
      <c r="E779" s="29"/>
      <c r="F779" s="38"/>
      <c r="G779" s="38"/>
      <c r="H779" s="38"/>
    </row>
    <row r="780" spans="1:8" x14ac:dyDescent="0.25">
      <c r="A780" s="29"/>
      <c r="B780" s="29"/>
      <c r="C780" s="29"/>
      <c r="D780" s="29"/>
      <c r="E780" s="29"/>
      <c r="F780" s="38"/>
      <c r="G780" s="38"/>
      <c r="H780" s="38"/>
    </row>
    <row r="781" spans="1:8" x14ac:dyDescent="0.25">
      <c r="A781" s="29"/>
      <c r="B781" s="29"/>
      <c r="C781" s="29"/>
      <c r="D781" s="29"/>
      <c r="E781" s="29"/>
      <c r="F781" s="38"/>
      <c r="G781" s="38"/>
      <c r="H781" s="38"/>
    </row>
    <row r="782" spans="1:8" x14ac:dyDescent="0.25">
      <c r="A782" s="29"/>
      <c r="B782" s="29"/>
      <c r="C782" s="29"/>
      <c r="D782" s="29"/>
      <c r="E782" s="29"/>
      <c r="F782" s="38"/>
      <c r="G782" s="38"/>
      <c r="H782" s="38"/>
    </row>
    <row r="783" spans="1:8" x14ac:dyDescent="0.25">
      <c r="A783" s="29"/>
      <c r="B783" s="29"/>
      <c r="C783" s="29"/>
      <c r="D783" s="29"/>
      <c r="E783" s="29"/>
      <c r="F783" s="38"/>
      <c r="G783" s="38"/>
      <c r="H783" s="38"/>
    </row>
    <row r="784" spans="1:8" x14ac:dyDescent="0.25">
      <c r="A784" s="29"/>
      <c r="B784" s="29"/>
      <c r="C784" s="29"/>
      <c r="D784" s="29"/>
      <c r="E784" s="29"/>
      <c r="F784" s="38"/>
      <c r="G784" s="38"/>
      <c r="H784" s="38"/>
    </row>
    <row r="785" spans="1:8" x14ac:dyDescent="0.25">
      <c r="A785" s="29"/>
      <c r="B785" s="29"/>
      <c r="C785" s="29"/>
      <c r="D785" s="29"/>
      <c r="E785" s="29"/>
      <c r="F785" s="38"/>
      <c r="G785" s="38"/>
      <c r="H785" s="38"/>
    </row>
    <row r="786" spans="1:8" x14ac:dyDescent="0.25">
      <c r="A786" s="29"/>
      <c r="B786" s="29"/>
      <c r="C786" s="29"/>
      <c r="D786" s="29"/>
      <c r="E786" s="29"/>
      <c r="F786" s="38"/>
      <c r="G786" s="38"/>
      <c r="H786" s="38"/>
    </row>
    <row r="787" spans="1:8" x14ac:dyDescent="0.25">
      <c r="A787" s="29"/>
      <c r="B787" s="29"/>
      <c r="C787" s="29"/>
      <c r="D787" s="29"/>
      <c r="E787" s="29"/>
      <c r="F787" s="38"/>
      <c r="G787" s="38"/>
      <c r="H787" s="38"/>
    </row>
    <row r="788" spans="1:8" x14ac:dyDescent="0.25">
      <c r="A788" s="29"/>
      <c r="B788" s="29"/>
      <c r="C788" s="29"/>
      <c r="D788" s="29"/>
      <c r="E788" s="29"/>
      <c r="F788" s="38"/>
      <c r="G788" s="38"/>
      <c r="H788" s="38"/>
    </row>
    <row r="789" spans="1:8" x14ac:dyDescent="0.25">
      <c r="A789" s="29"/>
      <c r="B789" s="29"/>
      <c r="C789" s="29"/>
      <c r="D789" s="29"/>
      <c r="E789" s="29"/>
      <c r="F789" s="38"/>
      <c r="G789" s="38"/>
      <c r="H789" s="38"/>
    </row>
    <row r="790" spans="1:8" x14ac:dyDescent="0.25">
      <c r="A790" s="29"/>
      <c r="B790" s="29"/>
      <c r="C790" s="29"/>
      <c r="D790" s="29"/>
      <c r="E790" s="29"/>
      <c r="F790" s="38"/>
      <c r="G790" s="38"/>
      <c r="H790" s="38"/>
    </row>
    <row r="791" spans="1:8" x14ac:dyDescent="0.25">
      <c r="A791" s="29"/>
      <c r="B791" s="29"/>
      <c r="C791" s="29"/>
      <c r="D791" s="29"/>
      <c r="E791" s="29"/>
      <c r="F791" s="38"/>
      <c r="G791" s="38"/>
      <c r="H791" s="38"/>
    </row>
    <row r="792" spans="1:8" x14ac:dyDescent="0.25">
      <c r="A792" s="29"/>
      <c r="B792" s="29"/>
      <c r="C792" s="29"/>
      <c r="D792" s="29"/>
      <c r="E792" s="29"/>
      <c r="F792" s="38"/>
      <c r="G792" s="38"/>
      <c r="H792" s="38"/>
    </row>
    <row r="793" spans="1:8" x14ac:dyDescent="0.25">
      <c r="A793" s="29"/>
      <c r="B793" s="29"/>
      <c r="C793" s="29"/>
      <c r="D793" s="29"/>
      <c r="E793" s="29"/>
      <c r="F793" s="38"/>
      <c r="G793" s="38"/>
      <c r="H793" s="38"/>
    </row>
    <row r="794" spans="1:8" x14ac:dyDescent="0.25">
      <c r="A794" s="29"/>
      <c r="B794" s="29"/>
      <c r="C794" s="29"/>
      <c r="D794" s="29"/>
      <c r="E794" s="29"/>
      <c r="F794" s="38"/>
      <c r="G794" s="38"/>
      <c r="H794" s="38"/>
    </row>
    <row r="795" spans="1:8" x14ac:dyDescent="0.25">
      <c r="A795" s="29"/>
      <c r="B795" s="29"/>
      <c r="C795" s="29"/>
      <c r="D795" s="29"/>
      <c r="E795" s="29"/>
      <c r="F795" s="38"/>
      <c r="G795" s="38"/>
      <c r="H795" s="38"/>
    </row>
    <row r="796" spans="1:8" x14ac:dyDescent="0.25">
      <c r="A796" s="29"/>
      <c r="B796" s="29"/>
      <c r="C796" s="29"/>
      <c r="D796" s="29"/>
      <c r="E796" s="29"/>
      <c r="F796" s="38"/>
      <c r="G796" s="38"/>
      <c r="H796" s="38"/>
    </row>
    <row r="797" spans="1:8" x14ac:dyDescent="0.25">
      <c r="A797" s="29"/>
      <c r="B797" s="29"/>
      <c r="C797" s="29"/>
      <c r="D797" s="29"/>
      <c r="E797" s="29"/>
      <c r="F797" s="38"/>
      <c r="G797" s="38"/>
      <c r="H797" s="38"/>
    </row>
    <row r="798" spans="1:8" x14ac:dyDescent="0.25">
      <c r="A798" s="29"/>
      <c r="B798" s="29"/>
      <c r="C798" s="29"/>
      <c r="D798" s="29"/>
      <c r="E798" s="29"/>
      <c r="F798" s="38"/>
      <c r="G798" s="38"/>
      <c r="H798" s="38"/>
    </row>
    <row r="799" spans="1:8" x14ac:dyDescent="0.25">
      <c r="A799" s="29"/>
      <c r="B799" s="29"/>
      <c r="C799" s="29"/>
      <c r="D799" s="29"/>
      <c r="E799" s="29"/>
      <c r="F799" s="38"/>
      <c r="G799" s="38"/>
      <c r="H799" s="38"/>
    </row>
    <row r="800" spans="1:8" x14ac:dyDescent="0.25">
      <c r="A800" s="29"/>
      <c r="B800" s="29"/>
      <c r="C800" s="29"/>
      <c r="D800" s="29"/>
      <c r="E800" s="29"/>
      <c r="F800" s="38"/>
      <c r="G800" s="38"/>
      <c r="H800" s="38"/>
    </row>
    <row r="801" spans="1:8" x14ac:dyDescent="0.25">
      <c r="A801" s="29"/>
      <c r="B801" s="29"/>
      <c r="C801" s="29"/>
      <c r="D801" s="29"/>
      <c r="E801" s="29"/>
      <c r="F801" s="38"/>
      <c r="G801" s="38"/>
      <c r="H801" s="38"/>
    </row>
    <row r="802" spans="1:8" x14ac:dyDescent="0.25">
      <c r="A802" s="29"/>
      <c r="B802" s="29"/>
      <c r="C802" s="29"/>
      <c r="D802" s="29"/>
      <c r="E802" s="29"/>
      <c r="F802" s="38"/>
      <c r="G802" s="38"/>
      <c r="H802" s="38"/>
    </row>
    <row r="803" spans="1:8" x14ac:dyDescent="0.25">
      <c r="A803" s="29"/>
      <c r="B803" s="29"/>
      <c r="C803" s="29"/>
      <c r="D803" s="29"/>
      <c r="E803" s="29"/>
      <c r="F803" s="38"/>
      <c r="G803" s="38"/>
      <c r="H803" s="38"/>
    </row>
    <row r="804" spans="1:8" x14ac:dyDescent="0.25">
      <c r="A804" s="29"/>
      <c r="B804" s="29"/>
      <c r="C804" s="29"/>
      <c r="D804" s="29"/>
      <c r="E804" s="29"/>
      <c r="F804" s="38"/>
      <c r="G804" s="38"/>
      <c r="H804" s="38"/>
    </row>
    <row r="805" spans="1:8" x14ac:dyDescent="0.25">
      <c r="A805" s="29"/>
      <c r="B805" s="29"/>
      <c r="C805" s="29"/>
      <c r="D805" s="29"/>
      <c r="E805" s="29"/>
      <c r="F805" s="38"/>
      <c r="G805" s="38"/>
      <c r="H805" s="38"/>
    </row>
    <row r="806" spans="1:8" x14ac:dyDescent="0.25">
      <c r="A806" s="29"/>
      <c r="B806" s="29"/>
      <c r="C806" s="29"/>
      <c r="D806" s="29"/>
      <c r="E806" s="29"/>
      <c r="F806" s="38"/>
      <c r="G806" s="38"/>
      <c r="H806" s="38"/>
    </row>
    <row r="807" spans="1:8" x14ac:dyDescent="0.25">
      <c r="A807" s="29"/>
      <c r="B807" s="29"/>
      <c r="C807" s="29"/>
      <c r="D807" s="29"/>
      <c r="E807" s="29"/>
      <c r="F807" s="38"/>
      <c r="G807" s="38"/>
      <c r="H807" s="38"/>
    </row>
    <row r="808" spans="1:8" x14ac:dyDescent="0.25">
      <c r="A808" s="29"/>
      <c r="B808" s="29"/>
      <c r="C808" s="29"/>
      <c r="D808" s="29"/>
      <c r="E808" s="29"/>
      <c r="F808" s="38"/>
      <c r="G808" s="38"/>
      <c r="H808" s="38"/>
    </row>
    <row r="809" spans="1:8" x14ac:dyDescent="0.25">
      <c r="A809" s="29"/>
      <c r="B809" s="29"/>
      <c r="C809" s="29"/>
      <c r="D809" s="29"/>
      <c r="E809" s="29"/>
      <c r="F809" s="38"/>
      <c r="G809" s="38"/>
      <c r="H809" s="38"/>
    </row>
    <row r="810" spans="1:8" x14ac:dyDescent="0.25">
      <c r="A810" s="29"/>
      <c r="B810" s="29"/>
      <c r="C810" s="29"/>
      <c r="D810" s="29"/>
      <c r="E810" s="29"/>
      <c r="F810" s="38"/>
      <c r="G810" s="38"/>
      <c r="H810" s="38"/>
    </row>
    <row r="811" spans="1:8" x14ac:dyDescent="0.25">
      <c r="A811" s="29"/>
      <c r="B811" s="29"/>
      <c r="C811" s="29"/>
      <c r="D811" s="29"/>
      <c r="E811" s="29"/>
      <c r="F811" s="38"/>
      <c r="G811" s="38"/>
      <c r="H811" s="38"/>
    </row>
    <row r="812" spans="1:8" x14ac:dyDescent="0.25">
      <c r="A812" s="29"/>
      <c r="B812" s="29"/>
      <c r="C812" s="29"/>
      <c r="D812" s="29"/>
      <c r="E812" s="29"/>
      <c r="F812" s="38"/>
      <c r="G812" s="38"/>
      <c r="H812" s="38"/>
    </row>
    <row r="813" spans="1:8" x14ac:dyDescent="0.25">
      <c r="A813" s="29"/>
      <c r="B813" s="29"/>
      <c r="C813" s="29"/>
      <c r="D813" s="29"/>
      <c r="E813" s="29"/>
      <c r="F813" s="38"/>
      <c r="G813" s="38"/>
      <c r="H813" s="38"/>
    </row>
    <row r="814" spans="1:8" x14ac:dyDescent="0.25">
      <c r="A814" s="29"/>
      <c r="B814" s="29"/>
      <c r="C814" s="29"/>
      <c r="D814" s="29"/>
      <c r="E814" s="29"/>
      <c r="F814" s="38"/>
      <c r="G814" s="38"/>
      <c r="H814" s="38"/>
    </row>
    <row r="815" spans="1:8" x14ac:dyDescent="0.25">
      <c r="A815" s="29"/>
      <c r="B815" s="29"/>
      <c r="C815" s="29"/>
      <c r="D815" s="29"/>
      <c r="E815" s="29"/>
      <c r="F815" s="38"/>
      <c r="G815" s="38"/>
      <c r="H815" s="38"/>
    </row>
    <row r="816" spans="1:8" x14ac:dyDescent="0.25">
      <c r="A816" s="29"/>
      <c r="B816" s="29"/>
      <c r="C816" s="29"/>
      <c r="D816" s="29"/>
      <c r="E816" s="29"/>
      <c r="F816" s="38"/>
      <c r="G816" s="38"/>
      <c r="H816" s="38"/>
    </row>
    <row r="817" spans="1:8" x14ac:dyDescent="0.25">
      <c r="A817" s="29"/>
      <c r="B817" s="29"/>
      <c r="C817" s="29"/>
      <c r="D817" s="29"/>
      <c r="E817" s="29"/>
      <c r="F817" s="38"/>
      <c r="G817" s="38"/>
      <c r="H817" s="38"/>
    </row>
    <row r="818" spans="1:8" x14ac:dyDescent="0.25">
      <c r="A818" s="29"/>
      <c r="B818" s="29"/>
      <c r="C818" s="29"/>
      <c r="D818" s="29"/>
      <c r="E818" s="29"/>
      <c r="F818" s="38"/>
      <c r="G818" s="38"/>
      <c r="H818" s="38"/>
    </row>
    <row r="819" spans="1:8" x14ac:dyDescent="0.25">
      <c r="A819" s="29"/>
      <c r="B819" s="29"/>
      <c r="C819" s="29"/>
      <c r="D819" s="29"/>
      <c r="E819" s="29"/>
      <c r="F819" s="38"/>
      <c r="G819" s="38"/>
      <c r="H819" s="38"/>
    </row>
    <row r="820" spans="1:8" x14ac:dyDescent="0.25">
      <c r="A820" s="29"/>
      <c r="B820" s="29"/>
      <c r="C820" s="29"/>
      <c r="D820" s="29"/>
      <c r="E820" s="29"/>
      <c r="F820" s="38"/>
      <c r="G820" s="38"/>
      <c r="H820" s="38"/>
    </row>
    <row r="821" spans="1:8" x14ac:dyDescent="0.25">
      <c r="A821" s="29"/>
      <c r="B821" s="29"/>
      <c r="C821" s="29"/>
      <c r="D821" s="29"/>
      <c r="E821" s="29"/>
      <c r="F821" s="38"/>
      <c r="G821" s="38"/>
      <c r="H821" s="38"/>
    </row>
    <row r="822" spans="1:8" x14ac:dyDescent="0.25">
      <c r="A822" s="29"/>
      <c r="B822" s="29"/>
      <c r="C822" s="29"/>
      <c r="D822" s="29"/>
      <c r="E822" s="29"/>
      <c r="F822" s="38"/>
      <c r="G822" s="38"/>
      <c r="H822" s="38"/>
    </row>
    <row r="823" spans="1:8" x14ac:dyDescent="0.25">
      <c r="A823" s="29"/>
      <c r="B823" s="29"/>
      <c r="C823" s="29"/>
      <c r="D823" s="29"/>
      <c r="E823" s="29"/>
      <c r="F823" s="38"/>
      <c r="G823" s="38"/>
      <c r="H823" s="38"/>
    </row>
    <row r="824" spans="1:8" x14ac:dyDescent="0.25">
      <c r="A824" s="29"/>
      <c r="B824" s="29"/>
      <c r="C824" s="29"/>
      <c r="D824" s="29"/>
      <c r="E824" s="29"/>
      <c r="F824" s="38"/>
      <c r="G824" s="38"/>
      <c r="H824" s="38"/>
    </row>
    <row r="825" spans="1:8" x14ac:dyDescent="0.25">
      <c r="A825" s="29"/>
      <c r="B825" s="29"/>
      <c r="C825" s="29"/>
      <c r="D825" s="29"/>
      <c r="E825" s="29"/>
      <c r="F825" s="38"/>
      <c r="G825" s="38"/>
      <c r="H825" s="38"/>
    </row>
    <row r="826" spans="1:8" x14ac:dyDescent="0.25">
      <c r="A826" s="29"/>
      <c r="B826" s="29"/>
      <c r="C826" s="29"/>
      <c r="D826" s="29"/>
      <c r="E826" s="29"/>
      <c r="F826" s="38"/>
      <c r="G826" s="38"/>
      <c r="H826" s="38"/>
    </row>
    <row r="827" spans="1:8" x14ac:dyDescent="0.25">
      <c r="A827" s="29"/>
      <c r="B827" s="29"/>
      <c r="C827" s="29"/>
      <c r="D827" s="29"/>
      <c r="E827" s="29"/>
      <c r="F827" s="38"/>
      <c r="G827" s="38"/>
      <c r="H827" s="38"/>
    </row>
    <row r="828" spans="1:8" x14ac:dyDescent="0.25">
      <c r="A828" s="29"/>
      <c r="B828" s="29"/>
      <c r="C828" s="29"/>
      <c r="D828" s="29"/>
      <c r="E828" s="29"/>
      <c r="F828" s="38"/>
      <c r="G828" s="38"/>
      <c r="H828" s="38"/>
    </row>
    <row r="829" spans="1:8" x14ac:dyDescent="0.25">
      <c r="A829" s="29"/>
      <c r="B829" s="29"/>
      <c r="C829" s="29"/>
      <c r="D829" s="29"/>
      <c r="E829" s="29"/>
      <c r="F829" s="38"/>
      <c r="G829" s="38"/>
      <c r="H829" s="38"/>
    </row>
    <row r="830" spans="1:8" x14ac:dyDescent="0.25">
      <c r="A830" s="29"/>
      <c r="B830" s="29"/>
      <c r="C830" s="29"/>
      <c r="D830" s="29"/>
      <c r="E830" s="29"/>
      <c r="F830" s="38"/>
      <c r="G830" s="38"/>
      <c r="H830" s="38"/>
    </row>
    <row r="831" spans="1:8" x14ac:dyDescent="0.25">
      <c r="A831" s="29"/>
      <c r="B831" s="29"/>
      <c r="C831" s="29"/>
      <c r="D831" s="29"/>
      <c r="E831" s="29"/>
      <c r="F831" s="38"/>
      <c r="G831" s="38"/>
      <c r="H831" s="38"/>
    </row>
    <row r="832" spans="1:8" x14ac:dyDescent="0.25">
      <c r="A832" s="29"/>
      <c r="B832" s="29"/>
      <c r="C832" s="29"/>
      <c r="D832" s="29"/>
      <c r="E832" s="29"/>
      <c r="F832" s="38"/>
      <c r="G832" s="38"/>
      <c r="H832" s="38"/>
    </row>
    <row r="833" spans="1:8" x14ac:dyDescent="0.25">
      <c r="A833" s="29"/>
      <c r="B833" s="29"/>
      <c r="C833" s="29"/>
      <c r="D833" s="29"/>
      <c r="E833" s="29"/>
      <c r="F833" s="38"/>
      <c r="G833" s="38"/>
      <c r="H833" s="38"/>
    </row>
    <row r="834" spans="1:8" x14ac:dyDescent="0.25">
      <c r="A834" s="29"/>
      <c r="B834" s="29"/>
      <c r="C834" s="29"/>
      <c r="D834" s="29"/>
      <c r="E834" s="29"/>
      <c r="F834" s="38"/>
      <c r="G834" s="38"/>
      <c r="H834" s="38"/>
    </row>
    <row r="835" spans="1:8" x14ac:dyDescent="0.25">
      <c r="A835" s="29"/>
      <c r="B835" s="29"/>
      <c r="C835" s="29"/>
      <c r="D835" s="29"/>
      <c r="E835" s="29"/>
      <c r="F835" s="38"/>
      <c r="G835" s="38"/>
      <c r="H835" s="38"/>
    </row>
    <row r="836" spans="1:8" x14ac:dyDescent="0.25">
      <c r="A836" s="29"/>
      <c r="B836" s="29"/>
      <c r="C836" s="29"/>
      <c r="D836" s="29"/>
      <c r="E836" s="29"/>
      <c r="F836" s="38"/>
      <c r="G836" s="38"/>
      <c r="H836" s="38"/>
    </row>
    <row r="837" spans="1:8" x14ac:dyDescent="0.25">
      <c r="A837" s="29"/>
      <c r="B837" s="29"/>
      <c r="C837" s="29"/>
      <c r="D837" s="29"/>
      <c r="E837" s="29"/>
      <c r="F837" s="38"/>
      <c r="G837" s="38"/>
      <c r="H837" s="38"/>
    </row>
    <row r="838" spans="1:8" x14ac:dyDescent="0.25">
      <c r="A838" s="29"/>
      <c r="B838" s="29"/>
      <c r="C838" s="29"/>
      <c r="D838" s="29"/>
      <c r="E838" s="29"/>
      <c r="F838" s="38"/>
      <c r="G838" s="38"/>
      <c r="H838" s="38"/>
    </row>
    <row r="839" spans="1:8" x14ac:dyDescent="0.25">
      <c r="A839" s="29"/>
      <c r="B839" s="29"/>
      <c r="C839" s="29"/>
      <c r="D839" s="29"/>
      <c r="E839" s="29"/>
      <c r="F839" s="38"/>
      <c r="G839" s="38"/>
      <c r="H839" s="38"/>
    </row>
    <row r="840" spans="1:8" x14ac:dyDescent="0.25">
      <c r="A840" s="29"/>
      <c r="B840" s="29"/>
      <c r="C840" s="29"/>
      <c r="D840" s="29"/>
      <c r="E840" s="29"/>
      <c r="F840" s="38"/>
      <c r="G840" s="38"/>
      <c r="H840" s="38"/>
    </row>
    <row r="841" spans="1:8" x14ac:dyDescent="0.25">
      <c r="A841" s="29"/>
      <c r="B841" s="29"/>
      <c r="C841" s="29"/>
      <c r="D841" s="29"/>
      <c r="E841" s="29"/>
      <c r="F841" s="38"/>
      <c r="G841" s="38"/>
      <c r="H841" s="38"/>
    </row>
    <row r="842" spans="1:8" x14ac:dyDescent="0.25">
      <c r="A842" s="29"/>
      <c r="B842" s="29"/>
      <c r="C842" s="29"/>
      <c r="D842" s="29"/>
      <c r="E842" s="29"/>
      <c r="F842" s="38"/>
      <c r="G842" s="38"/>
      <c r="H842" s="38"/>
    </row>
    <row r="843" spans="1:8" x14ac:dyDescent="0.25">
      <c r="A843" s="29"/>
      <c r="B843" s="29"/>
      <c r="C843" s="29"/>
      <c r="D843" s="29"/>
      <c r="E843" s="29"/>
      <c r="F843" s="38"/>
      <c r="G843" s="38"/>
      <c r="H843" s="38"/>
    </row>
    <row r="844" spans="1:8" x14ac:dyDescent="0.25">
      <c r="A844" s="29"/>
      <c r="B844" s="29"/>
      <c r="C844" s="29"/>
      <c r="D844" s="29"/>
      <c r="E844" s="29"/>
      <c r="F844" s="38"/>
      <c r="G844" s="38"/>
      <c r="H844" s="38"/>
    </row>
    <row r="845" spans="1:8" x14ac:dyDescent="0.25">
      <c r="A845" s="29"/>
      <c r="B845" s="29"/>
      <c r="C845" s="29"/>
      <c r="D845" s="29"/>
      <c r="E845" s="29"/>
      <c r="F845" s="38"/>
      <c r="G845" s="38"/>
      <c r="H845" s="38"/>
    </row>
    <row r="846" spans="1:8" x14ac:dyDescent="0.25">
      <c r="A846" s="29"/>
      <c r="B846" s="29"/>
      <c r="C846" s="29"/>
      <c r="D846" s="29"/>
      <c r="E846" s="29"/>
      <c r="F846" s="38"/>
      <c r="G846" s="38"/>
      <c r="H846" s="38"/>
    </row>
    <row r="847" spans="1:8" x14ac:dyDescent="0.25">
      <c r="A847" s="29"/>
      <c r="B847" s="29"/>
      <c r="C847" s="29"/>
      <c r="D847" s="29"/>
      <c r="E847" s="29"/>
      <c r="F847" s="38"/>
      <c r="G847" s="38"/>
      <c r="H847" s="38"/>
    </row>
    <row r="848" spans="1:8" x14ac:dyDescent="0.25">
      <c r="A848" s="29"/>
      <c r="B848" s="29"/>
      <c r="C848" s="29"/>
      <c r="D848" s="29"/>
      <c r="E848" s="29"/>
      <c r="F848" s="38"/>
      <c r="G848" s="38"/>
      <c r="H848" s="38"/>
    </row>
    <row r="849" spans="1:8" x14ac:dyDescent="0.25">
      <c r="A849" s="29"/>
      <c r="B849" s="29"/>
      <c r="C849" s="29"/>
      <c r="D849" s="29"/>
      <c r="E849" s="29"/>
      <c r="F849" s="38"/>
      <c r="G849" s="38"/>
      <c r="H849" s="38"/>
    </row>
    <row r="850" spans="1:8" x14ac:dyDescent="0.25">
      <c r="A850" s="29"/>
      <c r="B850" s="29"/>
      <c r="C850" s="29"/>
      <c r="D850" s="29"/>
      <c r="E850" s="29"/>
      <c r="F850" s="38"/>
      <c r="G850" s="38"/>
      <c r="H850" s="38"/>
    </row>
    <row r="851" spans="1:8" x14ac:dyDescent="0.25">
      <c r="A851" s="29"/>
      <c r="B851" s="29"/>
      <c r="C851" s="29"/>
      <c r="D851" s="29"/>
      <c r="E851" s="29"/>
      <c r="F851" s="38"/>
      <c r="G851" s="38"/>
      <c r="H851" s="38"/>
    </row>
    <row r="852" spans="1:8" x14ac:dyDescent="0.25">
      <c r="A852" s="29"/>
      <c r="B852" s="29"/>
      <c r="C852" s="29"/>
      <c r="D852" s="29"/>
      <c r="E852" s="29"/>
      <c r="F852" s="38"/>
      <c r="G852" s="38"/>
      <c r="H852" s="38"/>
    </row>
    <row r="853" spans="1:8" x14ac:dyDescent="0.25">
      <c r="A853" s="29"/>
      <c r="B853" s="29"/>
      <c r="C853" s="29"/>
      <c r="D853" s="29"/>
      <c r="E853" s="29"/>
      <c r="F853" s="38"/>
      <c r="G853" s="38"/>
      <c r="H853" s="38"/>
    </row>
    <row r="854" spans="1:8" x14ac:dyDescent="0.25">
      <c r="A854" s="29"/>
      <c r="B854" s="29"/>
      <c r="C854" s="29"/>
      <c r="D854" s="29"/>
      <c r="E854" s="29"/>
      <c r="F854" s="38"/>
      <c r="G854" s="38"/>
      <c r="H854" s="38"/>
    </row>
    <row r="855" spans="1:8" x14ac:dyDescent="0.25">
      <c r="A855" s="29"/>
      <c r="B855" s="29"/>
      <c r="C855" s="29"/>
      <c r="D855" s="29"/>
      <c r="E855" s="29"/>
      <c r="F855" s="38"/>
      <c r="G855" s="38"/>
      <c r="H855" s="38"/>
    </row>
    <row r="856" spans="1:8" x14ac:dyDescent="0.25">
      <c r="A856" s="29"/>
      <c r="B856" s="29"/>
      <c r="C856" s="29"/>
      <c r="D856" s="29"/>
      <c r="E856" s="29"/>
      <c r="F856" s="38"/>
      <c r="G856" s="38"/>
      <c r="H856" s="38"/>
    </row>
    <row r="857" spans="1:8" x14ac:dyDescent="0.25">
      <c r="A857" s="29"/>
      <c r="B857" s="29"/>
      <c r="C857" s="29"/>
      <c r="D857" s="29"/>
      <c r="E857" s="29"/>
      <c r="F857" s="38"/>
      <c r="G857" s="38"/>
      <c r="H857" s="38"/>
    </row>
    <row r="858" spans="1:8" x14ac:dyDescent="0.25">
      <c r="A858" s="29"/>
      <c r="B858" s="29"/>
      <c r="C858" s="29"/>
      <c r="D858" s="29"/>
      <c r="E858" s="29"/>
      <c r="F858" s="38"/>
      <c r="G858" s="38"/>
      <c r="H858" s="38"/>
    </row>
    <row r="859" spans="1:8" x14ac:dyDescent="0.25">
      <c r="A859" s="29"/>
      <c r="B859" s="29"/>
      <c r="C859" s="29"/>
      <c r="D859" s="29"/>
      <c r="E859" s="29"/>
      <c r="F859" s="38"/>
      <c r="G859" s="38"/>
      <c r="H859" s="38"/>
    </row>
    <row r="860" spans="1:8" x14ac:dyDescent="0.25">
      <c r="A860" s="29"/>
      <c r="B860" s="29"/>
      <c r="C860" s="29"/>
      <c r="D860" s="29"/>
      <c r="E860" s="29"/>
      <c r="F860" s="38"/>
      <c r="G860" s="38"/>
      <c r="H860" s="38"/>
    </row>
    <row r="861" spans="1:8" x14ac:dyDescent="0.25">
      <c r="A861" s="29"/>
      <c r="B861" s="29"/>
      <c r="C861" s="29"/>
      <c r="D861" s="29"/>
      <c r="E861" s="29"/>
      <c r="F861" s="38"/>
      <c r="G861" s="38"/>
      <c r="H861" s="38"/>
    </row>
    <row r="862" spans="1:8" x14ac:dyDescent="0.25">
      <c r="A862" s="29"/>
      <c r="B862" s="29"/>
      <c r="C862" s="29"/>
      <c r="D862" s="29"/>
      <c r="E862" s="29"/>
      <c r="F862" s="38"/>
      <c r="G862" s="38"/>
      <c r="H862" s="38"/>
    </row>
    <row r="863" spans="1:8" x14ac:dyDescent="0.25">
      <c r="A863" s="29"/>
      <c r="B863" s="29"/>
      <c r="C863" s="29"/>
      <c r="D863" s="29"/>
      <c r="E863" s="29"/>
      <c r="F863" s="38"/>
      <c r="G863" s="38"/>
      <c r="H863" s="38"/>
    </row>
    <row r="864" spans="1:8" x14ac:dyDescent="0.25">
      <c r="A864" s="29"/>
      <c r="B864" s="29"/>
      <c r="C864" s="29"/>
      <c r="D864" s="29"/>
      <c r="E864" s="29"/>
      <c r="F864" s="38"/>
      <c r="G864" s="38"/>
      <c r="H864" s="38"/>
    </row>
    <row r="865" spans="1:8" x14ac:dyDescent="0.25">
      <c r="A865" s="29"/>
      <c r="B865" s="29"/>
      <c r="C865" s="29"/>
      <c r="D865" s="29"/>
      <c r="E865" s="29"/>
      <c r="F865" s="38"/>
      <c r="G865" s="38"/>
      <c r="H865" s="38"/>
    </row>
    <row r="866" spans="1:8" x14ac:dyDescent="0.25">
      <c r="A866" s="29"/>
      <c r="B866" s="29"/>
      <c r="C866" s="29"/>
      <c r="D866" s="29"/>
      <c r="E866" s="29"/>
      <c r="F866" s="38"/>
      <c r="G866" s="38"/>
      <c r="H866" s="38"/>
    </row>
    <row r="867" spans="1:8" x14ac:dyDescent="0.25">
      <c r="A867" s="29"/>
      <c r="B867" s="29"/>
      <c r="C867" s="29"/>
      <c r="D867" s="29"/>
      <c r="E867" s="29"/>
      <c r="F867" s="38"/>
      <c r="G867" s="38"/>
      <c r="H867" s="38"/>
    </row>
    <row r="868" spans="1:8" x14ac:dyDescent="0.25">
      <c r="A868" s="29"/>
      <c r="B868" s="29"/>
      <c r="C868" s="29"/>
      <c r="D868" s="29"/>
      <c r="E868" s="29"/>
      <c r="F868" s="38"/>
      <c r="G868" s="38"/>
      <c r="H868" s="38"/>
    </row>
    <row r="869" spans="1:8" x14ac:dyDescent="0.25">
      <c r="A869" s="29"/>
      <c r="B869" s="29"/>
      <c r="C869" s="29"/>
      <c r="D869" s="29"/>
      <c r="E869" s="29"/>
      <c r="F869" s="38"/>
      <c r="G869" s="38"/>
      <c r="H869" s="38"/>
    </row>
    <row r="870" spans="1:8" x14ac:dyDescent="0.25">
      <c r="A870" s="29"/>
      <c r="B870" s="29"/>
      <c r="C870" s="29"/>
      <c r="D870" s="29"/>
      <c r="E870" s="29"/>
      <c r="F870" s="38"/>
      <c r="G870" s="38"/>
      <c r="H870" s="38"/>
    </row>
    <row r="871" spans="1:8" x14ac:dyDescent="0.25">
      <c r="A871" s="29"/>
      <c r="B871" s="29"/>
      <c r="C871" s="29"/>
      <c r="D871" s="29"/>
      <c r="E871" s="29"/>
      <c r="F871" s="38"/>
      <c r="G871" s="38"/>
      <c r="H871" s="38"/>
    </row>
    <row r="872" spans="1:8" x14ac:dyDescent="0.25">
      <c r="A872" s="29"/>
      <c r="B872" s="29"/>
      <c r="C872" s="29"/>
      <c r="D872" s="29"/>
      <c r="E872" s="29"/>
      <c r="F872" s="38"/>
      <c r="G872" s="38"/>
      <c r="H872" s="38"/>
    </row>
    <row r="873" spans="1:8" x14ac:dyDescent="0.25">
      <c r="A873" s="29"/>
      <c r="B873" s="29"/>
      <c r="C873" s="29"/>
      <c r="D873" s="29"/>
      <c r="E873" s="29"/>
      <c r="F873" s="38"/>
      <c r="G873" s="38"/>
      <c r="H873" s="38"/>
    </row>
    <row r="874" spans="1:8" x14ac:dyDescent="0.25">
      <c r="A874" s="29"/>
      <c r="B874" s="29"/>
      <c r="C874" s="29"/>
      <c r="D874" s="29"/>
      <c r="E874" s="29"/>
      <c r="F874" s="38"/>
      <c r="G874" s="38"/>
      <c r="H874" s="38"/>
    </row>
    <row r="875" spans="1:8" x14ac:dyDescent="0.25">
      <c r="A875" s="29"/>
      <c r="B875" s="29"/>
      <c r="C875" s="29"/>
      <c r="D875" s="29"/>
      <c r="E875" s="29"/>
      <c r="F875" s="38"/>
      <c r="G875" s="38"/>
      <c r="H875" s="38"/>
    </row>
    <row r="876" spans="1:8" x14ac:dyDescent="0.25">
      <c r="A876" s="29"/>
      <c r="B876" s="29"/>
      <c r="C876" s="29"/>
      <c r="D876" s="29"/>
      <c r="E876" s="29"/>
      <c r="F876" s="38"/>
      <c r="G876" s="38"/>
      <c r="H876" s="38"/>
    </row>
    <row r="877" spans="1:8" x14ac:dyDescent="0.25">
      <c r="A877" s="29"/>
      <c r="B877" s="29"/>
      <c r="C877" s="29"/>
      <c r="D877" s="29"/>
      <c r="E877" s="29"/>
      <c r="F877" s="38"/>
      <c r="G877" s="38"/>
      <c r="H877" s="38"/>
    </row>
    <row r="878" spans="1:8" x14ac:dyDescent="0.25">
      <c r="A878" s="29"/>
      <c r="B878" s="29"/>
      <c r="C878" s="29"/>
      <c r="D878" s="29"/>
      <c r="E878" s="29"/>
      <c r="F878" s="38"/>
      <c r="G878" s="38"/>
      <c r="H878" s="38"/>
    </row>
    <row r="879" spans="1:8" x14ac:dyDescent="0.25">
      <c r="A879" s="29"/>
      <c r="B879" s="29"/>
      <c r="C879" s="29"/>
      <c r="D879" s="29"/>
      <c r="E879" s="29"/>
      <c r="F879" s="38"/>
      <c r="G879" s="38"/>
      <c r="H879" s="38"/>
    </row>
    <row r="880" spans="1:8" x14ac:dyDescent="0.25">
      <c r="A880" s="29"/>
      <c r="B880" s="29"/>
      <c r="C880" s="29"/>
      <c r="D880" s="29"/>
      <c r="E880" s="29"/>
      <c r="F880" s="38"/>
      <c r="G880" s="38"/>
      <c r="H880" s="38"/>
    </row>
    <row r="881" spans="1:8" x14ac:dyDescent="0.25">
      <c r="A881" s="29"/>
      <c r="B881" s="29"/>
      <c r="C881" s="29"/>
      <c r="D881" s="29"/>
      <c r="E881" s="29"/>
      <c r="F881" s="38"/>
      <c r="G881" s="38"/>
      <c r="H881" s="38"/>
    </row>
    <row r="882" spans="1:8" x14ac:dyDescent="0.25">
      <c r="A882" s="29"/>
      <c r="B882" s="29"/>
      <c r="C882" s="29"/>
      <c r="D882" s="29"/>
      <c r="E882" s="29"/>
      <c r="F882" s="38"/>
      <c r="G882" s="38"/>
      <c r="H882" s="38"/>
    </row>
    <row r="883" spans="1:8" x14ac:dyDescent="0.25">
      <c r="A883" s="29"/>
      <c r="B883" s="29"/>
      <c r="C883" s="29"/>
      <c r="D883" s="29"/>
      <c r="E883" s="29"/>
      <c r="F883" s="38"/>
      <c r="G883" s="38"/>
      <c r="H883" s="38"/>
    </row>
    <row r="884" spans="1:8" x14ac:dyDescent="0.25">
      <c r="A884" s="29"/>
      <c r="B884" s="29"/>
      <c r="C884" s="29"/>
      <c r="D884" s="29"/>
      <c r="E884" s="29"/>
      <c r="F884" s="38"/>
      <c r="G884" s="38"/>
      <c r="H884" s="38"/>
    </row>
    <row r="885" spans="1:8" x14ac:dyDescent="0.25">
      <c r="A885" s="29"/>
      <c r="B885" s="29"/>
      <c r="C885" s="29"/>
      <c r="D885" s="29"/>
      <c r="E885" s="29"/>
      <c r="F885" s="38"/>
      <c r="G885" s="38"/>
      <c r="H885" s="38"/>
    </row>
    <row r="886" spans="1:8" x14ac:dyDescent="0.25">
      <c r="A886" s="29"/>
      <c r="B886" s="29"/>
      <c r="C886" s="29"/>
      <c r="D886" s="29"/>
      <c r="E886" s="29"/>
      <c r="F886" s="38"/>
      <c r="G886" s="38"/>
      <c r="H886" s="38"/>
    </row>
    <row r="887" spans="1:8" x14ac:dyDescent="0.25">
      <c r="A887" s="29"/>
      <c r="B887" s="29"/>
      <c r="C887" s="29"/>
      <c r="D887" s="29"/>
      <c r="E887" s="29"/>
      <c r="F887" s="38"/>
      <c r="G887" s="38"/>
      <c r="H887" s="38"/>
    </row>
    <row r="888" spans="1:8" x14ac:dyDescent="0.25">
      <c r="A888" s="29"/>
      <c r="B888" s="29"/>
      <c r="C888" s="29"/>
      <c r="D888" s="29"/>
      <c r="E888" s="29"/>
      <c r="F888" s="38"/>
      <c r="G888" s="38"/>
      <c r="H888" s="38"/>
    </row>
    <row r="889" spans="1:8" x14ac:dyDescent="0.25">
      <c r="A889" s="29"/>
      <c r="B889" s="29"/>
      <c r="C889" s="29"/>
      <c r="D889" s="29"/>
      <c r="E889" s="29"/>
      <c r="F889" s="38"/>
      <c r="G889" s="38"/>
      <c r="H889" s="38"/>
    </row>
    <row r="890" spans="1:8" x14ac:dyDescent="0.25">
      <c r="A890" s="29"/>
      <c r="B890" s="29"/>
      <c r="C890" s="29"/>
      <c r="D890" s="29"/>
      <c r="E890" s="29"/>
      <c r="F890" s="38"/>
      <c r="G890" s="38"/>
      <c r="H890" s="38"/>
    </row>
    <row r="891" spans="1:8" x14ac:dyDescent="0.25">
      <c r="A891" s="29"/>
      <c r="B891" s="29"/>
      <c r="C891" s="29"/>
      <c r="D891" s="29"/>
      <c r="E891" s="29"/>
      <c r="F891" s="38"/>
      <c r="G891" s="38"/>
      <c r="H891" s="38"/>
    </row>
    <row r="892" spans="1:8" x14ac:dyDescent="0.25">
      <c r="A892" s="29"/>
      <c r="B892" s="29"/>
      <c r="C892" s="29"/>
      <c r="D892" s="29"/>
      <c r="E892" s="29"/>
      <c r="F892" s="38"/>
      <c r="G892" s="38"/>
      <c r="H892" s="38"/>
    </row>
    <row r="893" spans="1:8" x14ac:dyDescent="0.25">
      <c r="A893" s="29"/>
      <c r="B893" s="29"/>
      <c r="C893" s="29"/>
      <c r="D893" s="29"/>
      <c r="E893" s="29"/>
      <c r="F893" s="38"/>
      <c r="G893" s="38"/>
      <c r="H893" s="38"/>
    </row>
    <row r="894" spans="1:8" x14ac:dyDescent="0.25">
      <c r="A894" s="29"/>
      <c r="B894" s="29"/>
      <c r="C894" s="29"/>
      <c r="D894" s="29"/>
      <c r="E894" s="29"/>
      <c r="F894" s="38"/>
      <c r="G894" s="38"/>
      <c r="H894" s="38"/>
    </row>
    <row r="895" spans="1:8" x14ac:dyDescent="0.25">
      <c r="A895" s="29"/>
      <c r="B895" s="29"/>
      <c r="C895" s="29"/>
      <c r="D895" s="29"/>
      <c r="E895" s="29"/>
      <c r="F895" s="38"/>
      <c r="G895" s="38"/>
      <c r="H895" s="38"/>
    </row>
    <row r="896" spans="1:8" x14ac:dyDescent="0.25">
      <c r="A896" s="29"/>
      <c r="B896" s="29"/>
      <c r="C896" s="29"/>
      <c r="D896" s="29"/>
      <c r="E896" s="29"/>
      <c r="F896" s="38"/>
      <c r="G896" s="38"/>
      <c r="H896" s="38"/>
    </row>
    <row r="897" spans="1:8" x14ac:dyDescent="0.25">
      <c r="A897" s="29"/>
      <c r="B897" s="29"/>
      <c r="C897" s="29"/>
      <c r="D897" s="29"/>
      <c r="E897" s="29"/>
      <c r="F897" s="38"/>
      <c r="G897" s="38"/>
      <c r="H897" s="38"/>
    </row>
    <row r="898" spans="1:8" x14ac:dyDescent="0.25">
      <c r="A898" s="29"/>
      <c r="B898" s="29"/>
      <c r="C898" s="29"/>
      <c r="D898" s="29"/>
      <c r="E898" s="29"/>
      <c r="F898" s="38"/>
      <c r="G898" s="38"/>
      <c r="H898" s="38"/>
    </row>
    <row r="899" spans="1:8" x14ac:dyDescent="0.25">
      <c r="A899" s="29"/>
      <c r="B899" s="29"/>
      <c r="C899" s="29"/>
      <c r="D899" s="29"/>
      <c r="E899" s="29"/>
      <c r="F899" s="38"/>
      <c r="G899" s="38"/>
      <c r="H899" s="38"/>
    </row>
    <row r="900" spans="1:8" x14ac:dyDescent="0.25">
      <c r="A900" s="29"/>
      <c r="B900" s="29"/>
      <c r="C900" s="29"/>
      <c r="D900" s="29"/>
      <c r="E900" s="29"/>
      <c r="F900" s="38"/>
      <c r="G900" s="38"/>
      <c r="H900" s="38"/>
    </row>
    <row r="901" spans="1:8" x14ac:dyDescent="0.25">
      <c r="A901" s="29"/>
      <c r="B901" s="29"/>
      <c r="C901" s="29"/>
      <c r="D901" s="29"/>
      <c r="E901" s="29"/>
      <c r="F901" s="38"/>
      <c r="G901" s="38"/>
      <c r="H901" s="38"/>
    </row>
    <row r="902" spans="1:8" x14ac:dyDescent="0.25">
      <c r="A902" s="29"/>
      <c r="B902" s="29"/>
      <c r="C902" s="29"/>
      <c r="D902" s="29"/>
      <c r="E902" s="29"/>
      <c r="F902" s="38"/>
      <c r="G902" s="38"/>
      <c r="H902" s="38"/>
    </row>
    <row r="903" spans="1:8" x14ac:dyDescent="0.25">
      <c r="A903" s="29"/>
      <c r="B903" s="29"/>
      <c r="C903" s="29"/>
      <c r="D903" s="29"/>
      <c r="E903" s="29"/>
      <c r="F903" s="38"/>
      <c r="G903" s="38"/>
      <c r="H903" s="38"/>
    </row>
    <row r="904" spans="1:8" x14ac:dyDescent="0.25">
      <c r="A904" s="29"/>
      <c r="B904" s="29"/>
      <c r="C904" s="29"/>
      <c r="D904" s="29"/>
      <c r="E904" s="29"/>
      <c r="F904" s="38"/>
      <c r="G904" s="38"/>
      <c r="H904" s="38"/>
    </row>
    <row r="905" spans="1:8" x14ac:dyDescent="0.25">
      <c r="A905" s="29"/>
      <c r="B905" s="29"/>
      <c r="C905" s="29"/>
      <c r="D905" s="29"/>
      <c r="E905" s="29"/>
      <c r="F905" s="38"/>
      <c r="G905" s="38"/>
      <c r="H905" s="38"/>
    </row>
    <row r="906" spans="1:8" x14ac:dyDescent="0.25">
      <c r="A906" s="29"/>
      <c r="B906" s="29"/>
      <c r="C906" s="29"/>
      <c r="D906" s="29"/>
      <c r="E906" s="29"/>
      <c r="F906" s="38"/>
      <c r="G906" s="38"/>
      <c r="H906" s="38"/>
    </row>
    <row r="907" spans="1:8" x14ac:dyDescent="0.25">
      <c r="A907" s="29"/>
      <c r="B907" s="29"/>
      <c r="C907" s="29"/>
      <c r="D907" s="29"/>
      <c r="E907" s="29"/>
      <c r="F907" s="38"/>
      <c r="G907" s="38"/>
      <c r="H907" s="38"/>
    </row>
    <row r="908" spans="1:8" x14ac:dyDescent="0.25">
      <c r="A908" s="29"/>
      <c r="B908" s="29"/>
      <c r="C908" s="29"/>
      <c r="D908" s="29"/>
      <c r="E908" s="29"/>
      <c r="F908" s="38"/>
      <c r="G908" s="38"/>
      <c r="H908" s="38"/>
    </row>
    <row r="909" spans="1:8" x14ac:dyDescent="0.25">
      <c r="A909" s="29"/>
      <c r="B909" s="29"/>
      <c r="C909" s="29"/>
      <c r="D909" s="29"/>
      <c r="E909" s="29"/>
      <c r="F909" s="38"/>
      <c r="G909" s="38"/>
      <c r="H909" s="38"/>
    </row>
    <row r="910" spans="1:8" x14ac:dyDescent="0.25">
      <c r="A910" s="29"/>
      <c r="B910" s="29"/>
      <c r="C910" s="29"/>
      <c r="D910" s="29"/>
      <c r="E910" s="29"/>
      <c r="F910" s="38"/>
      <c r="G910" s="38"/>
      <c r="H910" s="38"/>
    </row>
    <row r="911" spans="1:8" x14ac:dyDescent="0.25">
      <c r="A911" s="29"/>
      <c r="B911" s="29"/>
      <c r="C911" s="29"/>
      <c r="D911" s="29"/>
      <c r="E911" s="29"/>
      <c r="F911" s="38"/>
      <c r="G911" s="38"/>
      <c r="H911" s="38"/>
    </row>
    <row r="912" spans="1:8" x14ac:dyDescent="0.25">
      <c r="A912" s="29"/>
      <c r="B912" s="29"/>
      <c r="C912" s="29"/>
      <c r="D912" s="29"/>
      <c r="E912" s="29"/>
      <c r="F912" s="38"/>
      <c r="G912" s="38"/>
      <c r="H912" s="38"/>
    </row>
    <row r="913" spans="1:8" x14ac:dyDescent="0.25">
      <c r="A913" s="29"/>
      <c r="B913" s="29"/>
      <c r="C913" s="29"/>
      <c r="D913" s="29"/>
      <c r="E913" s="29"/>
      <c r="F913" s="38"/>
      <c r="G913" s="38"/>
      <c r="H913" s="38"/>
    </row>
    <row r="914" spans="1:8" x14ac:dyDescent="0.25">
      <c r="A914" s="29"/>
      <c r="B914" s="29"/>
      <c r="C914" s="29"/>
      <c r="D914" s="29"/>
      <c r="E914" s="29"/>
      <c r="F914" s="38"/>
      <c r="G914" s="38"/>
      <c r="H914" s="38"/>
    </row>
    <row r="915" spans="1:8" x14ac:dyDescent="0.25">
      <c r="A915" s="29"/>
      <c r="B915" s="29"/>
      <c r="C915" s="29"/>
      <c r="D915" s="29"/>
      <c r="E915" s="29"/>
      <c r="F915" s="38"/>
      <c r="G915" s="38"/>
      <c r="H915" s="38"/>
    </row>
    <row r="916" spans="1:8" x14ac:dyDescent="0.25">
      <c r="A916" s="29"/>
      <c r="B916" s="29"/>
      <c r="C916" s="29"/>
      <c r="D916" s="29"/>
      <c r="E916" s="29"/>
      <c r="F916" s="38"/>
      <c r="G916" s="38"/>
      <c r="H916" s="38"/>
    </row>
    <row r="917" spans="1:8" x14ac:dyDescent="0.25">
      <c r="A917" s="29"/>
      <c r="B917" s="29"/>
      <c r="C917" s="29"/>
      <c r="D917" s="29"/>
      <c r="E917" s="29"/>
      <c r="F917" s="38"/>
      <c r="G917" s="38"/>
      <c r="H917" s="38"/>
    </row>
    <row r="918" spans="1:8" x14ac:dyDescent="0.25">
      <c r="A918" s="29"/>
      <c r="B918" s="29"/>
      <c r="C918" s="29"/>
      <c r="D918" s="29"/>
      <c r="E918" s="29"/>
      <c r="F918" s="38"/>
      <c r="G918" s="38"/>
      <c r="H918" s="38"/>
    </row>
    <row r="919" spans="1:8" x14ac:dyDescent="0.25">
      <c r="A919" s="29"/>
      <c r="B919" s="29"/>
      <c r="C919" s="29"/>
      <c r="D919" s="29"/>
      <c r="E919" s="29"/>
      <c r="F919" s="38"/>
      <c r="G919" s="38"/>
      <c r="H919" s="38"/>
    </row>
    <row r="920" spans="1:8" x14ac:dyDescent="0.25">
      <c r="A920" s="29"/>
      <c r="B920" s="29"/>
      <c r="C920" s="29"/>
      <c r="D920" s="29"/>
      <c r="E920" s="29"/>
      <c r="F920" s="38"/>
      <c r="G920" s="38"/>
      <c r="H920" s="38"/>
    </row>
    <row r="921" spans="1:8" x14ac:dyDescent="0.25">
      <c r="A921" s="29"/>
      <c r="B921" s="29"/>
      <c r="C921" s="29"/>
      <c r="D921" s="29"/>
      <c r="E921" s="29"/>
      <c r="F921" s="38"/>
      <c r="G921" s="38"/>
      <c r="H921" s="38"/>
    </row>
    <row r="922" spans="1:8" x14ac:dyDescent="0.25">
      <c r="A922" s="29"/>
      <c r="B922" s="29"/>
      <c r="C922" s="29"/>
      <c r="D922" s="29"/>
      <c r="E922" s="29"/>
      <c r="F922" s="38"/>
      <c r="G922" s="38"/>
      <c r="H922" s="38"/>
    </row>
    <row r="923" spans="1:8" x14ac:dyDescent="0.25">
      <c r="A923" s="29"/>
      <c r="B923" s="29"/>
      <c r="C923" s="29"/>
      <c r="D923" s="29"/>
      <c r="E923" s="29"/>
      <c r="F923" s="38"/>
      <c r="G923" s="38"/>
      <c r="H923" s="38"/>
    </row>
    <row r="924" spans="1:8" x14ac:dyDescent="0.25">
      <c r="A924" s="29"/>
      <c r="B924" s="29"/>
      <c r="C924" s="29"/>
      <c r="D924" s="29"/>
      <c r="E924" s="29"/>
      <c r="F924" s="38"/>
      <c r="G924" s="38"/>
      <c r="H924" s="38"/>
    </row>
    <row r="925" spans="1:8" x14ac:dyDescent="0.25">
      <c r="A925" s="29"/>
      <c r="B925" s="29"/>
      <c r="C925" s="29"/>
      <c r="D925" s="29"/>
      <c r="E925" s="29"/>
      <c r="F925" s="38"/>
      <c r="G925" s="38"/>
      <c r="H925" s="38"/>
    </row>
    <row r="926" spans="1:8" x14ac:dyDescent="0.25">
      <c r="A926" s="29"/>
      <c r="B926" s="29"/>
      <c r="C926" s="29"/>
      <c r="D926" s="29"/>
      <c r="E926" s="29"/>
      <c r="F926" s="38"/>
      <c r="G926" s="38"/>
      <c r="H926" s="38"/>
    </row>
    <row r="927" spans="1:8" x14ac:dyDescent="0.25">
      <c r="A927" s="29"/>
      <c r="B927" s="29"/>
      <c r="C927" s="29"/>
      <c r="D927" s="29"/>
      <c r="E927" s="29"/>
      <c r="F927" s="38"/>
      <c r="G927" s="38"/>
      <c r="H927" s="38"/>
    </row>
    <row r="928" spans="1:8" x14ac:dyDescent="0.25">
      <c r="A928" s="29"/>
      <c r="B928" s="29"/>
      <c r="C928" s="29"/>
      <c r="D928" s="29"/>
      <c r="E928" s="29"/>
      <c r="F928" s="38"/>
      <c r="G928" s="38"/>
      <c r="H928" s="38"/>
    </row>
    <row r="929" spans="1:8" x14ac:dyDescent="0.25">
      <c r="A929" s="29"/>
      <c r="B929" s="29"/>
      <c r="C929" s="29"/>
      <c r="D929" s="29"/>
      <c r="E929" s="29"/>
      <c r="F929" s="38"/>
      <c r="G929" s="38"/>
      <c r="H929" s="38"/>
    </row>
    <row r="930" spans="1:8" x14ac:dyDescent="0.25">
      <c r="A930" s="29"/>
      <c r="B930" s="29"/>
      <c r="C930" s="29"/>
      <c r="D930" s="29"/>
      <c r="E930" s="29"/>
      <c r="F930" s="38"/>
      <c r="G930" s="38"/>
      <c r="H930" s="38"/>
    </row>
    <row r="931" spans="1:8" x14ac:dyDescent="0.25">
      <c r="A931" s="29"/>
      <c r="B931" s="29"/>
      <c r="C931" s="29"/>
      <c r="D931" s="29"/>
      <c r="E931" s="29"/>
      <c r="F931" s="38"/>
      <c r="G931" s="38"/>
      <c r="H931" s="38"/>
    </row>
    <row r="932" spans="1:8" x14ac:dyDescent="0.25">
      <c r="A932" s="29"/>
      <c r="B932" s="29"/>
      <c r="C932" s="29"/>
      <c r="D932" s="29"/>
      <c r="E932" s="29"/>
      <c r="F932" s="38"/>
      <c r="G932" s="38"/>
      <c r="H932" s="38"/>
    </row>
    <row r="933" spans="1:8" x14ac:dyDescent="0.25">
      <c r="A933" s="29"/>
      <c r="B933" s="29"/>
      <c r="C933" s="29"/>
      <c r="D933" s="29"/>
      <c r="E933" s="29"/>
      <c r="F933" s="38"/>
      <c r="G933" s="38"/>
      <c r="H933" s="38"/>
    </row>
    <row r="934" spans="1:8" x14ac:dyDescent="0.25">
      <c r="A934" s="29"/>
      <c r="B934" s="29"/>
      <c r="C934" s="29"/>
      <c r="D934" s="29"/>
      <c r="E934" s="29"/>
      <c r="F934" s="38"/>
      <c r="G934" s="38"/>
      <c r="H934" s="38"/>
    </row>
    <row r="935" spans="1:8" x14ac:dyDescent="0.25">
      <c r="A935" s="29"/>
      <c r="B935" s="29"/>
      <c r="C935" s="29"/>
      <c r="D935" s="29"/>
      <c r="E935" s="29"/>
      <c r="F935" s="38"/>
      <c r="G935" s="38"/>
      <c r="H935" s="38"/>
    </row>
    <row r="936" spans="1:8" x14ac:dyDescent="0.25">
      <c r="A936" s="29"/>
      <c r="B936" s="29"/>
      <c r="C936" s="29"/>
      <c r="D936" s="29"/>
      <c r="E936" s="29"/>
      <c r="F936" s="38"/>
      <c r="G936" s="38"/>
      <c r="H936" s="38"/>
    </row>
    <row r="937" spans="1:8" x14ac:dyDescent="0.25">
      <c r="A937" s="29"/>
      <c r="B937" s="29"/>
      <c r="C937" s="29"/>
      <c r="D937" s="29"/>
      <c r="E937" s="29"/>
      <c r="F937" s="38"/>
      <c r="G937" s="38"/>
      <c r="H937" s="38"/>
    </row>
    <row r="938" spans="1:8" x14ac:dyDescent="0.25">
      <c r="A938" s="29"/>
      <c r="B938" s="29"/>
      <c r="C938" s="29"/>
      <c r="D938" s="29"/>
      <c r="E938" s="29"/>
      <c r="F938" s="38"/>
      <c r="G938" s="38"/>
      <c r="H938" s="38"/>
    </row>
    <row r="939" spans="1:8" x14ac:dyDescent="0.25">
      <c r="A939" s="29"/>
      <c r="B939" s="29"/>
      <c r="C939" s="29"/>
      <c r="D939" s="29"/>
      <c r="E939" s="29"/>
      <c r="F939" s="38"/>
      <c r="G939" s="38"/>
      <c r="H939" s="38"/>
    </row>
    <row r="940" spans="1:8" x14ac:dyDescent="0.25">
      <c r="A940" s="29"/>
      <c r="B940" s="29"/>
      <c r="C940" s="29"/>
      <c r="D940" s="29"/>
      <c r="E940" s="29"/>
      <c r="F940" s="38"/>
      <c r="G940" s="38"/>
      <c r="H940" s="38"/>
    </row>
    <row r="941" spans="1:8" x14ac:dyDescent="0.25">
      <c r="A941" s="29"/>
      <c r="B941" s="29"/>
      <c r="C941" s="29"/>
      <c r="D941" s="29"/>
      <c r="E941" s="29"/>
      <c r="F941" s="38"/>
      <c r="G941" s="38"/>
      <c r="H941" s="38"/>
    </row>
    <row r="942" spans="1:8" x14ac:dyDescent="0.25">
      <c r="A942" s="29"/>
      <c r="B942" s="29"/>
      <c r="C942" s="29"/>
      <c r="D942" s="29"/>
      <c r="E942" s="29"/>
      <c r="F942" s="38"/>
      <c r="G942" s="38"/>
      <c r="H942" s="38"/>
    </row>
    <row r="943" spans="1:8" x14ac:dyDescent="0.25">
      <c r="A943" s="29"/>
      <c r="B943" s="29"/>
      <c r="C943" s="29"/>
      <c r="D943" s="29"/>
      <c r="E943" s="29"/>
      <c r="F943" s="38"/>
      <c r="G943" s="38"/>
      <c r="H943" s="38"/>
    </row>
    <row r="944" spans="1:8" x14ac:dyDescent="0.25">
      <c r="A944" s="29"/>
      <c r="B944" s="29"/>
      <c r="C944" s="29"/>
      <c r="D944" s="29"/>
      <c r="E944" s="29"/>
      <c r="F944" s="38"/>
      <c r="G944" s="38"/>
      <c r="H944" s="38"/>
    </row>
    <row r="945" spans="1:8" x14ac:dyDescent="0.25">
      <c r="A945" s="29"/>
      <c r="B945" s="29"/>
      <c r="C945" s="29"/>
      <c r="D945" s="29"/>
      <c r="E945" s="29"/>
      <c r="F945" s="38"/>
      <c r="G945" s="38"/>
      <c r="H945" s="38"/>
    </row>
    <row r="946" spans="1:8" x14ac:dyDescent="0.25">
      <c r="A946" s="29"/>
      <c r="B946" s="29"/>
      <c r="C946" s="29"/>
      <c r="D946" s="29"/>
      <c r="E946" s="29"/>
      <c r="F946" s="38"/>
      <c r="G946" s="38"/>
      <c r="H946" s="38"/>
    </row>
    <row r="947" spans="1:8" x14ac:dyDescent="0.25">
      <c r="A947" s="29"/>
      <c r="B947" s="29"/>
      <c r="C947" s="29"/>
      <c r="D947" s="29"/>
      <c r="E947" s="29"/>
      <c r="F947" s="38"/>
      <c r="G947" s="38"/>
      <c r="H947" s="38"/>
    </row>
    <row r="948" spans="1:8" x14ac:dyDescent="0.25">
      <c r="A948" s="29"/>
      <c r="B948" s="29"/>
      <c r="C948" s="29"/>
      <c r="D948" s="29"/>
      <c r="E948" s="29"/>
      <c r="F948" s="38"/>
      <c r="G948" s="38"/>
      <c r="H948" s="38"/>
    </row>
    <row r="949" spans="1:8" x14ac:dyDescent="0.25">
      <c r="A949" s="29"/>
      <c r="B949" s="29"/>
      <c r="C949" s="29"/>
      <c r="D949" s="29"/>
      <c r="E949" s="29"/>
      <c r="F949" s="38"/>
      <c r="G949" s="38"/>
      <c r="H949" s="38"/>
    </row>
    <row r="950" spans="1:8" x14ac:dyDescent="0.25">
      <c r="A950" s="29"/>
      <c r="B950" s="29"/>
      <c r="C950" s="29"/>
      <c r="D950" s="29"/>
      <c r="E950" s="29"/>
      <c r="F950" s="38"/>
      <c r="G950" s="38"/>
      <c r="H950" s="38"/>
    </row>
    <row r="951" spans="1:8" x14ac:dyDescent="0.25">
      <c r="A951" s="29"/>
      <c r="B951" s="29"/>
      <c r="C951" s="29"/>
      <c r="D951" s="29"/>
      <c r="E951" s="29"/>
      <c r="F951" s="38"/>
      <c r="G951" s="38"/>
      <c r="H951" s="38"/>
    </row>
    <row r="952" spans="1:8" x14ac:dyDescent="0.25">
      <c r="A952" s="29"/>
      <c r="B952" s="29"/>
      <c r="C952" s="29"/>
      <c r="D952" s="29"/>
      <c r="E952" s="29"/>
      <c r="F952" s="38"/>
      <c r="G952" s="38"/>
      <c r="H952" s="38"/>
    </row>
    <row r="953" spans="1:8" x14ac:dyDescent="0.25">
      <c r="A953" s="29"/>
      <c r="B953" s="29"/>
      <c r="C953" s="29"/>
      <c r="D953" s="29"/>
      <c r="E953" s="29"/>
      <c r="F953" s="38"/>
      <c r="G953" s="38"/>
      <c r="H953" s="38"/>
    </row>
    <row r="954" spans="1:8" x14ac:dyDescent="0.25">
      <c r="A954" s="29"/>
      <c r="B954" s="29"/>
      <c r="C954" s="29"/>
      <c r="D954" s="29"/>
      <c r="E954" s="29"/>
      <c r="F954" s="38"/>
      <c r="G954" s="38"/>
      <c r="H954" s="38"/>
    </row>
    <row r="955" spans="1:8" x14ac:dyDescent="0.25">
      <c r="A955" s="29"/>
      <c r="B955" s="29"/>
      <c r="C955" s="29"/>
      <c r="D955" s="29"/>
      <c r="E955" s="29"/>
      <c r="F955" s="38"/>
      <c r="G955" s="38"/>
      <c r="H955" s="38"/>
    </row>
    <row r="956" spans="1:8" x14ac:dyDescent="0.25">
      <c r="A956" s="29"/>
      <c r="B956" s="29"/>
      <c r="C956" s="29"/>
      <c r="D956" s="29"/>
      <c r="E956" s="29"/>
      <c r="F956" s="38"/>
      <c r="G956" s="38"/>
      <c r="H956" s="38"/>
    </row>
    <row r="957" spans="1:8" x14ac:dyDescent="0.25">
      <c r="A957" s="29"/>
      <c r="B957" s="29"/>
      <c r="C957" s="29"/>
      <c r="D957" s="29"/>
      <c r="E957" s="29"/>
      <c r="F957" s="38"/>
      <c r="G957" s="38"/>
      <c r="H957" s="38"/>
    </row>
    <row r="958" spans="1:8" x14ac:dyDescent="0.25">
      <c r="A958" s="29"/>
      <c r="B958" s="29"/>
      <c r="C958" s="29"/>
      <c r="D958" s="29"/>
      <c r="E958" s="29"/>
      <c r="F958" s="38"/>
      <c r="G958" s="38"/>
      <c r="H958" s="38"/>
    </row>
    <row r="959" spans="1:8" x14ac:dyDescent="0.25">
      <c r="A959" s="29"/>
      <c r="B959" s="29"/>
      <c r="C959" s="29"/>
      <c r="D959" s="29"/>
      <c r="E959" s="29"/>
      <c r="F959" s="38"/>
      <c r="G959" s="38"/>
      <c r="H959" s="38"/>
    </row>
    <row r="960" spans="1:8" x14ac:dyDescent="0.25">
      <c r="A960" s="29"/>
      <c r="B960" s="29"/>
      <c r="C960" s="29"/>
      <c r="D960" s="29"/>
      <c r="E960" s="29"/>
      <c r="F960" s="38"/>
      <c r="G960" s="38"/>
      <c r="H960" s="38"/>
    </row>
    <row r="961" spans="1:8" x14ac:dyDescent="0.25">
      <c r="A961" s="29"/>
      <c r="B961" s="29"/>
      <c r="C961" s="29"/>
      <c r="D961" s="29"/>
      <c r="E961" s="29"/>
      <c r="F961" s="38"/>
      <c r="G961" s="38"/>
      <c r="H961" s="38"/>
    </row>
    <row r="962" spans="1:8" x14ac:dyDescent="0.25">
      <c r="A962" s="29"/>
      <c r="B962" s="29"/>
      <c r="C962" s="29"/>
      <c r="D962" s="29"/>
      <c r="E962" s="29"/>
      <c r="F962" s="38"/>
      <c r="G962" s="38"/>
      <c r="H962" s="38"/>
    </row>
    <row r="963" spans="1:8" x14ac:dyDescent="0.25">
      <c r="A963" s="29"/>
      <c r="B963" s="29"/>
      <c r="C963" s="29"/>
      <c r="D963" s="29"/>
      <c r="E963" s="29"/>
      <c r="F963" s="38"/>
      <c r="G963" s="38"/>
      <c r="H963" s="38"/>
    </row>
    <row r="964" spans="1:8" x14ac:dyDescent="0.25">
      <c r="A964" s="29"/>
      <c r="B964" s="29"/>
      <c r="C964" s="29"/>
      <c r="D964" s="29"/>
      <c r="E964" s="29"/>
      <c r="F964" s="38"/>
      <c r="G964" s="38"/>
      <c r="H964" s="38"/>
    </row>
    <row r="965" spans="1:8" x14ac:dyDescent="0.25">
      <c r="A965" s="29"/>
      <c r="B965" s="29"/>
      <c r="C965" s="29"/>
      <c r="D965" s="29"/>
      <c r="E965" s="29"/>
      <c r="F965" s="38"/>
      <c r="G965" s="38"/>
      <c r="H965" s="38"/>
    </row>
    <row r="966" spans="1:8" x14ac:dyDescent="0.25">
      <c r="A966" s="29"/>
      <c r="B966" s="29"/>
      <c r="C966" s="29"/>
      <c r="D966" s="29"/>
      <c r="E966" s="29"/>
      <c r="F966" s="38"/>
      <c r="G966" s="38"/>
      <c r="H966" s="38"/>
    </row>
    <row r="967" spans="1:8" x14ac:dyDescent="0.25">
      <c r="A967" s="29"/>
      <c r="B967" s="29"/>
      <c r="C967" s="29"/>
      <c r="D967" s="29"/>
      <c r="E967" s="29"/>
      <c r="F967" s="38"/>
      <c r="G967" s="38"/>
      <c r="H967" s="38"/>
    </row>
    <row r="968" spans="1:8" x14ac:dyDescent="0.25">
      <c r="A968" s="29"/>
      <c r="B968" s="29"/>
      <c r="C968" s="29"/>
      <c r="D968" s="29"/>
      <c r="E968" s="29"/>
      <c r="F968" s="38"/>
      <c r="G968" s="38"/>
      <c r="H968" s="38"/>
    </row>
    <row r="969" spans="1:8" x14ac:dyDescent="0.25">
      <c r="A969" s="29"/>
      <c r="B969" s="29"/>
      <c r="C969" s="29"/>
      <c r="D969" s="29"/>
      <c r="E969" s="29"/>
      <c r="F969" s="38"/>
      <c r="G969" s="38"/>
      <c r="H969" s="38"/>
    </row>
    <row r="970" spans="1:8" x14ac:dyDescent="0.25">
      <c r="A970" s="29"/>
      <c r="B970" s="29"/>
      <c r="C970" s="29"/>
      <c r="D970" s="29"/>
      <c r="E970" s="29"/>
      <c r="F970" s="38"/>
      <c r="G970" s="38"/>
      <c r="H970" s="38"/>
    </row>
    <row r="971" spans="1:8" x14ac:dyDescent="0.25">
      <c r="A971" s="29"/>
      <c r="B971" s="29"/>
      <c r="C971" s="29"/>
      <c r="D971" s="29"/>
      <c r="E971" s="29"/>
      <c r="F971" s="38"/>
      <c r="G971" s="38"/>
      <c r="H971" s="38"/>
    </row>
    <row r="972" spans="1:8" x14ac:dyDescent="0.25">
      <c r="A972" s="29"/>
      <c r="B972" s="29"/>
      <c r="C972" s="29"/>
      <c r="D972" s="29"/>
      <c r="E972" s="29"/>
      <c r="F972" s="38"/>
      <c r="G972" s="38"/>
      <c r="H972" s="38"/>
    </row>
    <row r="973" spans="1:8" x14ac:dyDescent="0.25">
      <c r="A973" s="29"/>
      <c r="B973" s="29"/>
      <c r="C973" s="29"/>
      <c r="D973" s="29"/>
      <c r="E973" s="29"/>
      <c r="F973" s="38"/>
      <c r="G973" s="38"/>
      <c r="H973" s="38"/>
    </row>
    <row r="974" spans="1:8" x14ac:dyDescent="0.25">
      <c r="A974" s="29"/>
      <c r="B974" s="29"/>
      <c r="C974" s="29"/>
      <c r="D974" s="29"/>
      <c r="E974" s="29"/>
      <c r="F974" s="38"/>
      <c r="G974" s="38"/>
      <c r="H974" s="38"/>
    </row>
    <row r="975" spans="1:8" x14ac:dyDescent="0.25">
      <c r="A975" s="29"/>
      <c r="B975" s="29"/>
      <c r="C975" s="29"/>
      <c r="D975" s="29"/>
      <c r="E975" s="29"/>
      <c r="F975" s="38"/>
      <c r="G975" s="38"/>
      <c r="H975" s="38"/>
    </row>
    <row r="976" spans="1:8" x14ac:dyDescent="0.25">
      <c r="A976" s="29"/>
      <c r="B976" s="29"/>
      <c r="C976" s="29"/>
      <c r="D976" s="29"/>
      <c r="E976" s="29"/>
      <c r="F976" s="38"/>
      <c r="G976" s="38"/>
      <c r="H976" s="38"/>
    </row>
    <row r="977" spans="1:8" x14ac:dyDescent="0.25">
      <c r="A977" s="29"/>
      <c r="B977" s="29"/>
      <c r="C977" s="29"/>
      <c r="D977" s="29"/>
      <c r="E977" s="29"/>
      <c r="F977" s="38"/>
      <c r="G977" s="38"/>
      <c r="H977" s="38"/>
    </row>
    <row r="978" spans="1:8" x14ac:dyDescent="0.25">
      <c r="A978" s="29"/>
      <c r="B978" s="29"/>
      <c r="C978" s="29"/>
      <c r="D978" s="29"/>
      <c r="E978" s="29"/>
      <c r="F978" s="38"/>
      <c r="G978" s="38"/>
      <c r="H978" s="38"/>
    </row>
    <row r="979" spans="1:8" x14ac:dyDescent="0.25">
      <c r="A979" s="29"/>
      <c r="B979" s="29"/>
      <c r="C979" s="29"/>
      <c r="D979" s="29"/>
      <c r="E979" s="29"/>
      <c r="F979" s="38"/>
      <c r="G979" s="38"/>
      <c r="H979" s="38"/>
    </row>
    <row r="980" spans="1:8" x14ac:dyDescent="0.25">
      <c r="A980" s="29"/>
      <c r="B980" s="29"/>
      <c r="C980" s="29"/>
      <c r="D980" s="29"/>
      <c r="E980" s="29"/>
      <c r="F980" s="38"/>
      <c r="G980" s="38"/>
      <c r="H980" s="38"/>
    </row>
    <row r="981" spans="1:8" x14ac:dyDescent="0.25">
      <c r="A981" s="29"/>
      <c r="B981" s="29"/>
      <c r="C981" s="29"/>
      <c r="D981" s="29"/>
      <c r="E981" s="29"/>
      <c r="F981" s="38"/>
      <c r="G981" s="38"/>
      <c r="H981" s="38"/>
    </row>
    <row r="982" spans="1:8" x14ac:dyDescent="0.25">
      <c r="A982" s="29"/>
      <c r="B982" s="29"/>
      <c r="C982" s="29"/>
      <c r="D982" s="29"/>
      <c r="E982" s="29"/>
      <c r="F982" s="38"/>
      <c r="G982" s="38"/>
      <c r="H982" s="38"/>
    </row>
    <row r="983" spans="1:8" x14ac:dyDescent="0.25">
      <c r="A983" s="29"/>
      <c r="B983" s="29"/>
      <c r="C983" s="29"/>
      <c r="D983" s="29"/>
      <c r="E983" s="29"/>
      <c r="F983" s="38"/>
      <c r="G983" s="38"/>
      <c r="H983" s="38"/>
    </row>
    <row r="984" spans="1:8" x14ac:dyDescent="0.25">
      <c r="A984" s="29"/>
      <c r="B984" s="29"/>
      <c r="C984" s="29"/>
      <c r="D984" s="29"/>
      <c r="E984" s="29"/>
      <c r="F984" s="38"/>
      <c r="G984" s="38"/>
      <c r="H984" s="38"/>
    </row>
    <row r="985" spans="1:8" x14ac:dyDescent="0.25">
      <c r="A985" s="29"/>
      <c r="B985" s="29"/>
      <c r="C985" s="29"/>
      <c r="D985" s="29"/>
      <c r="E985" s="29"/>
      <c r="F985" s="38"/>
      <c r="G985" s="38"/>
      <c r="H985" s="38"/>
    </row>
    <row r="986" spans="1:8" x14ac:dyDescent="0.25">
      <c r="A986" s="29"/>
      <c r="B986" s="29"/>
      <c r="C986" s="29"/>
      <c r="D986" s="29"/>
      <c r="E986" s="29"/>
      <c r="F986" s="38"/>
      <c r="G986" s="38"/>
      <c r="H986" s="38"/>
    </row>
    <row r="987" spans="1:8" x14ac:dyDescent="0.25">
      <c r="A987" s="29"/>
      <c r="B987" s="29"/>
      <c r="C987" s="29"/>
      <c r="D987" s="29"/>
      <c r="E987" s="29"/>
      <c r="F987" s="38"/>
      <c r="G987" s="38"/>
      <c r="H987" s="38"/>
    </row>
    <row r="988" spans="1:8" x14ac:dyDescent="0.25">
      <c r="A988" s="29"/>
      <c r="B988" s="29"/>
      <c r="C988" s="29"/>
      <c r="D988" s="29"/>
      <c r="E988" s="29"/>
      <c r="F988" s="38"/>
      <c r="G988" s="38"/>
      <c r="H988" s="38"/>
    </row>
    <row r="989" spans="1:8" x14ac:dyDescent="0.25">
      <c r="A989" s="29"/>
      <c r="B989" s="29"/>
      <c r="C989" s="29"/>
      <c r="D989" s="29"/>
      <c r="E989" s="29"/>
      <c r="F989" s="38"/>
      <c r="G989" s="38"/>
      <c r="H989" s="38"/>
    </row>
    <row r="990" spans="1:8" x14ac:dyDescent="0.25">
      <c r="A990" s="29"/>
      <c r="B990" s="29"/>
      <c r="C990" s="29"/>
      <c r="D990" s="29"/>
      <c r="E990" s="29"/>
      <c r="F990" s="38"/>
      <c r="G990" s="38"/>
      <c r="H990" s="38"/>
    </row>
    <row r="991" spans="1:8" x14ac:dyDescent="0.25">
      <c r="A991" s="29"/>
      <c r="B991" s="29"/>
      <c r="C991" s="29"/>
      <c r="D991" s="29"/>
      <c r="E991" s="29"/>
      <c r="F991" s="38"/>
      <c r="G991" s="38"/>
      <c r="H991" s="38"/>
    </row>
    <row r="992" spans="1:8" x14ac:dyDescent="0.25">
      <c r="A992" s="29"/>
      <c r="B992" s="29"/>
      <c r="C992" s="29"/>
      <c r="D992" s="29"/>
      <c r="E992" s="29"/>
      <c r="F992" s="38"/>
      <c r="G992" s="38"/>
      <c r="H992" s="38"/>
    </row>
    <row r="993" spans="1:8" x14ac:dyDescent="0.25">
      <c r="A993" s="29"/>
      <c r="B993" s="29"/>
      <c r="C993" s="29"/>
      <c r="D993" s="29"/>
      <c r="E993" s="29"/>
      <c r="F993" s="38"/>
      <c r="G993" s="38"/>
      <c r="H993" s="38"/>
    </row>
    <row r="994" spans="1:8" x14ac:dyDescent="0.25">
      <c r="A994" s="29"/>
      <c r="B994" s="29"/>
      <c r="C994" s="29"/>
      <c r="D994" s="29"/>
      <c r="E994" s="29"/>
      <c r="F994" s="38"/>
      <c r="G994" s="38"/>
      <c r="H994" s="38"/>
    </row>
    <row r="995" spans="1:8" x14ac:dyDescent="0.25">
      <c r="A995" s="29"/>
      <c r="B995" s="29"/>
      <c r="C995" s="29"/>
      <c r="D995" s="29"/>
      <c r="E995" s="29"/>
      <c r="F995" s="38"/>
      <c r="G995" s="38"/>
      <c r="H995" s="38"/>
    </row>
    <row r="996" spans="1:8" x14ac:dyDescent="0.25">
      <c r="A996" s="29"/>
      <c r="B996" s="29"/>
      <c r="C996" s="29"/>
      <c r="D996" s="29"/>
      <c r="E996" s="29"/>
      <c r="F996" s="38"/>
      <c r="G996" s="38"/>
      <c r="H996" s="38"/>
    </row>
    <row r="997" spans="1:8" x14ac:dyDescent="0.25">
      <c r="A997" s="29"/>
      <c r="B997" s="29"/>
      <c r="C997" s="29"/>
      <c r="D997" s="29"/>
      <c r="E997" s="29"/>
      <c r="F997" s="38"/>
      <c r="G997" s="38"/>
      <c r="H997" s="38"/>
    </row>
    <row r="998" spans="1:8" x14ac:dyDescent="0.25">
      <c r="A998" s="29"/>
      <c r="B998" s="29"/>
      <c r="C998" s="29"/>
      <c r="D998" s="29"/>
      <c r="E998" s="29"/>
      <c r="F998" s="38"/>
      <c r="G998" s="38"/>
      <c r="H998" s="38"/>
    </row>
    <row r="999" spans="1:8" x14ac:dyDescent="0.25">
      <c r="A999" s="29"/>
      <c r="B999" s="29"/>
      <c r="C999" s="29"/>
      <c r="D999" s="29"/>
      <c r="E999" s="29"/>
      <c r="F999" s="38"/>
      <c r="G999" s="38"/>
      <c r="H999" s="38"/>
    </row>
    <row r="1000" spans="1:8" x14ac:dyDescent="0.25">
      <c r="A1000" s="29"/>
      <c r="B1000" s="29"/>
      <c r="C1000" s="29"/>
      <c r="D1000" s="29"/>
      <c r="E1000" s="29"/>
      <c r="F1000" s="38"/>
      <c r="G1000" s="38"/>
      <c r="H1000" s="38"/>
    </row>
    <row r="1001" spans="1:8" x14ac:dyDescent="0.25">
      <c r="A1001" s="29"/>
      <c r="B1001" s="29"/>
      <c r="C1001" s="29"/>
      <c r="D1001" s="29"/>
      <c r="E1001" s="29"/>
      <c r="F1001" s="38"/>
      <c r="G1001" s="38"/>
      <c r="H1001" s="38"/>
    </row>
    <row r="1002" spans="1:8" x14ac:dyDescent="0.25">
      <c r="A1002" s="29"/>
      <c r="B1002" s="29"/>
      <c r="C1002" s="29"/>
      <c r="D1002" s="29"/>
      <c r="E1002" s="29"/>
      <c r="F1002" s="38"/>
      <c r="G1002" s="38"/>
      <c r="H1002" s="38"/>
    </row>
    <row r="1003" spans="1:8" x14ac:dyDescent="0.25">
      <c r="A1003" s="29"/>
      <c r="B1003" s="29"/>
      <c r="C1003" s="29"/>
      <c r="D1003" s="29"/>
      <c r="E1003" s="29"/>
      <c r="F1003" s="38"/>
      <c r="G1003" s="38"/>
      <c r="H1003" s="38"/>
    </row>
    <row r="1004" spans="1:8" x14ac:dyDescent="0.25">
      <c r="A1004" s="29"/>
      <c r="B1004" s="29"/>
      <c r="C1004" s="29"/>
      <c r="D1004" s="29"/>
      <c r="E1004" s="29"/>
      <c r="F1004" s="38"/>
      <c r="G1004" s="38"/>
      <c r="H1004" s="38"/>
    </row>
    <row r="1005" spans="1:8" x14ac:dyDescent="0.25">
      <c r="A1005" s="29"/>
      <c r="B1005" s="29"/>
      <c r="C1005" s="29"/>
      <c r="D1005" s="29"/>
      <c r="E1005" s="29"/>
      <c r="F1005" s="38"/>
      <c r="G1005" s="38"/>
      <c r="H1005" s="38"/>
    </row>
    <row r="1006" spans="1:8" x14ac:dyDescent="0.25">
      <c r="A1006" s="29"/>
      <c r="B1006" s="29"/>
      <c r="C1006" s="29"/>
      <c r="D1006" s="29"/>
      <c r="E1006" s="29"/>
      <c r="F1006" s="38"/>
      <c r="G1006" s="38"/>
      <c r="H1006" s="38"/>
    </row>
    <row r="1007" spans="1:8" x14ac:dyDescent="0.25">
      <c r="A1007" s="29"/>
      <c r="B1007" s="29"/>
      <c r="C1007" s="29"/>
      <c r="D1007" s="29"/>
      <c r="E1007" s="29"/>
      <c r="F1007" s="38"/>
      <c r="G1007" s="38"/>
      <c r="H1007" s="38"/>
    </row>
    <row r="1008" spans="1:8" x14ac:dyDescent="0.25">
      <c r="A1008" s="29"/>
      <c r="B1008" s="29"/>
      <c r="C1008" s="29"/>
      <c r="D1008" s="29"/>
      <c r="E1008" s="29"/>
      <c r="F1008" s="38"/>
      <c r="G1008" s="38"/>
      <c r="H1008" s="38"/>
    </row>
    <row r="1009" spans="1:8" x14ac:dyDescent="0.25">
      <c r="A1009" s="29"/>
      <c r="B1009" s="29"/>
      <c r="C1009" s="29"/>
      <c r="D1009" s="29"/>
      <c r="E1009" s="29"/>
      <c r="F1009" s="38"/>
      <c r="G1009" s="38"/>
      <c r="H1009" s="38"/>
    </row>
    <row r="1010" spans="1:8" x14ac:dyDescent="0.25">
      <c r="A1010" s="29"/>
      <c r="B1010" s="29"/>
      <c r="C1010" s="29"/>
      <c r="D1010" s="29"/>
      <c r="E1010" s="29"/>
      <c r="F1010" s="38"/>
      <c r="G1010" s="38"/>
      <c r="H1010" s="38"/>
    </row>
    <row r="1011" spans="1:8" x14ac:dyDescent="0.25">
      <c r="A1011" s="29"/>
      <c r="B1011" s="29"/>
      <c r="C1011" s="29"/>
      <c r="D1011" s="29"/>
      <c r="E1011" s="29"/>
      <c r="F1011" s="38"/>
      <c r="G1011" s="38"/>
      <c r="H1011" s="38"/>
    </row>
    <row r="1012" spans="1:8" x14ac:dyDescent="0.25">
      <c r="A1012" s="29"/>
      <c r="B1012" s="29"/>
      <c r="C1012" s="29"/>
      <c r="D1012" s="29"/>
      <c r="E1012" s="29"/>
      <c r="F1012" s="38"/>
      <c r="G1012" s="38"/>
      <c r="H1012" s="38"/>
    </row>
    <row r="1013" spans="1:8" x14ac:dyDescent="0.25">
      <c r="A1013" s="29"/>
      <c r="B1013" s="29"/>
      <c r="C1013" s="29"/>
      <c r="D1013" s="29"/>
      <c r="E1013" s="29"/>
      <c r="F1013" s="38"/>
      <c r="G1013" s="38"/>
      <c r="H1013" s="38"/>
    </row>
    <row r="1014" spans="1:8" x14ac:dyDescent="0.25">
      <c r="A1014" s="29"/>
      <c r="B1014" s="29"/>
      <c r="C1014" s="29"/>
      <c r="D1014" s="29"/>
      <c r="E1014" s="29"/>
      <c r="F1014" s="38"/>
      <c r="G1014" s="38"/>
      <c r="H1014" s="38"/>
    </row>
    <row r="1015" spans="1:8" x14ac:dyDescent="0.25">
      <c r="A1015" s="29"/>
      <c r="B1015" s="29"/>
      <c r="C1015" s="29"/>
      <c r="D1015" s="29"/>
      <c r="E1015" s="29"/>
      <c r="F1015" s="38"/>
      <c r="G1015" s="38"/>
      <c r="H1015" s="38"/>
    </row>
    <row r="1016" spans="1:8" x14ac:dyDescent="0.25">
      <c r="A1016" s="29"/>
      <c r="B1016" s="29"/>
      <c r="C1016" s="29"/>
      <c r="D1016" s="29"/>
      <c r="E1016" s="29"/>
      <c r="F1016" s="38"/>
      <c r="G1016" s="38"/>
      <c r="H1016" s="38"/>
    </row>
    <row r="1017" spans="1:8" x14ac:dyDescent="0.25">
      <c r="A1017" s="29"/>
      <c r="B1017" s="29"/>
      <c r="C1017" s="29"/>
      <c r="D1017" s="29"/>
      <c r="E1017" s="29"/>
      <c r="F1017" s="38"/>
      <c r="G1017" s="38"/>
      <c r="H1017" s="38"/>
    </row>
    <row r="1018" spans="1:8" x14ac:dyDescent="0.25">
      <c r="A1018" s="29"/>
      <c r="B1018" s="29"/>
      <c r="C1018" s="29"/>
      <c r="D1018" s="29"/>
      <c r="E1018" s="29"/>
      <c r="F1018" s="38"/>
      <c r="G1018" s="38"/>
      <c r="H1018" s="38"/>
    </row>
    <row r="1019" spans="1:8" x14ac:dyDescent="0.25">
      <c r="A1019" s="29"/>
      <c r="B1019" s="29"/>
      <c r="C1019" s="29"/>
      <c r="D1019" s="29"/>
      <c r="E1019" s="29"/>
      <c r="F1019" s="38"/>
      <c r="G1019" s="38"/>
      <c r="H1019" s="38"/>
    </row>
    <row r="1020" spans="1:8" x14ac:dyDescent="0.25">
      <c r="A1020" s="29"/>
      <c r="B1020" s="29"/>
      <c r="C1020" s="29"/>
      <c r="D1020" s="29"/>
      <c r="E1020" s="29"/>
      <c r="F1020" s="38"/>
      <c r="G1020" s="38"/>
      <c r="H1020" s="38"/>
    </row>
    <row r="1021" spans="1:8" x14ac:dyDescent="0.25">
      <c r="A1021" s="29"/>
      <c r="B1021" s="29"/>
      <c r="C1021" s="29"/>
      <c r="D1021" s="29"/>
      <c r="E1021" s="29"/>
      <c r="F1021" s="38"/>
      <c r="G1021" s="38"/>
      <c r="H1021" s="38"/>
    </row>
    <row r="1022" spans="1:8" x14ac:dyDescent="0.25">
      <c r="A1022" s="29"/>
      <c r="B1022" s="29"/>
      <c r="C1022" s="29"/>
      <c r="D1022" s="29"/>
      <c r="E1022" s="29"/>
      <c r="F1022" s="38"/>
      <c r="G1022" s="38"/>
      <c r="H1022" s="38"/>
    </row>
    <row r="1023" spans="1:8" x14ac:dyDescent="0.25">
      <c r="A1023" s="29"/>
      <c r="B1023" s="29"/>
      <c r="C1023" s="29"/>
      <c r="D1023" s="29"/>
      <c r="E1023" s="29"/>
      <c r="F1023" s="38"/>
      <c r="G1023" s="38"/>
      <c r="H1023" s="38"/>
    </row>
    <row r="1024" spans="1:8" x14ac:dyDescent="0.25">
      <c r="A1024" s="29"/>
      <c r="B1024" s="29"/>
      <c r="C1024" s="29"/>
      <c r="D1024" s="29"/>
      <c r="E1024" s="29"/>
      <c r="F1024" s="38"/>
      <c r="G1024" s="38"/>
      <c r="H1024" s="38"/>
    </row>
    <row r="1025" spans="1:8" x14ac:dyDescent="0.25">
      <c r="A1025" s="29"/>
      <c r="B1025" s="29"/>
      <c r="C1025" s="29"/>
      <c r="D1025" s="29"/>
      <c r="E1025" s="29"/>
      <c r="F1025" s="38"/>
      <c r="G1025" s="38"/>
      <c r="H1025" s="38"/>
    </row>
    <row r="1026" spans="1:8" x14ac:dyDescent="0.25">
      <c r="A1026" s="29"/>
      <c r="B1026" s="29"/>
      <c r="C1026" s="29"/>
      <c r="D1026" s="29"/>
      <c r="E1026" s="29"/>
      <c r="F1026" s="38"/>
      <c r="G1026" s="38"/>
      <c r="H1026" s="38"/>
    </row>
    <row r="1027" spans="1:8" x14ac:dyDescent="0.25">
      <c r="A1027" s="29"/>
      <c r="B1027" s="29"/>
      <c r="C1027" s="29"/>
      <c r="D1027" s="29"/>
      <c r="E1027" s="29"/>
      <c r="F1027" s="38"/>
      <c r="G1027" s="38"/>
      <c r="H1027" s="38"/>
    </row>
    <row r="1028" spans="1:8" x14ac:dyDescent="0.25">
      <c r="A1028" s="29"/>
      <c r="B1028" s="29"/>
      <c r="C1028" s="29"/>
      <c r="D1028" s="29"/>
      <c r="E1028" s="29"/>
      <c r="F1028" s="38"/>
      <c r="G1028" s="38"/>
      <c r="H1028" s="38"/>
    </row>
    <row r="1029" spans="1:8" x14ac:dyDescent="0.25">
      <c r="A1029" s="29"/>
      <c r="B1029" s="29"/>
      <c r="C1029" s="29"/>
      <c r="D1029" s="29"/>
      <c r="E1029" s="29"/>
      <c r="F1029" s="38"/>
      <c r="G1029" s="38"/>
      <c r="H1029" s="38"/>
    </row>
    <row r="1030" spans="1:8" x14ac:dyDescent="0.25">
      <c r="A1030" s="29"/>
      <c r="B1030" s="29"/>
      <c r="C1030" s="29"/>
      <c r="D1030" s="29"/>
      <c r="E1030" s="29"/>
      <c r="F1030" s="38"/>
      <c r="G1030" s="38"/>
      <c r="H1030" s="38"/>
    </row>
    <row r="1031" spans="1:8" x14ac:dyDescent="0.25">
      <c r="A1031" s="29"/>
      <c r="B1031" s="29"/>
      <c r="C1031" s="29"/>
      <c r="D1031" s="29"/>
      <c r="E1031" s="29"/>
      <c r="F1031" s="38"/>
      <c r="G1031" s="38"/>
      <c r="H1031" s="38"/>
    </row>
    <row r="1032" spans="1:8" x14ac:dyDescent="0.25">
      <c r="A1032" s="29"/>
      <c r="B1032" s="29"/>
      <c r="C1032" s="29"/>
      <c r="D1032" s="29"/>
      <c r="E1032" s="29"/>
      <c r="F1032" s="38"/>
      <c r="G1032" s="38"/>
      <c r="H1032" s="38"/>
    </row>
    <row r="1033" spans="1:8" x14ac:dyDescent="0.25">
      <c r="A1033" s="29"/>
      <c r="B1033" s="29"/>
      <c r="C1033" s="29"/>
      <c r="D1033" s="29"/>
      <c r="E1033" s="29"/>
      <c r="F1033" s="38"/>
      <c r="G1033" s="38"/>
      <c r="H1033" s="38"/>
    </row>
    <row r="1034" spans="1:8" x14ac:dyDescent="0.25">
      <c r="A1034" s="29"/>
      <c r="B1034" s="29"/>
      <c r="C1034" s="29"/>
      <c r="D1034" s="29"/>
      <c r="E1034" s="29"/>
      <c r="F1034" s="38"/>
      <c r="G1034" s="38"/>
      <c r="H1034" s="38"/>
    </row>
    <row r="1035" spans="1:8" x14ac:dyDescent="0.25">
      <c r="A1035" s="29"/>
      <c r="B1035" s="29"/>
      <c r="C1035" s="29"/>
      <c r="D1035" s="29"/>
      <c r="E1035" s="29"/>
      <c r="F1035" s="38"/>
      <c r="G1035" s="38"/>
      <c r="H1035" s="38"/>
    </row>
    <row r="1036" spans="1:8" x14ac:dyDescent="0.25">
      <c r="A1036" s="29"/>
      <c r="B1036" s="29"/>
      <c r="C1036" s="29"/>
      <c r="D1036" s="29"/>
      <c r="E1036" s="29"/>
      <c r="F1036" s="38"/>
      <c r="G1036" s="38"/>
      <c r="H1036" s="38"/>
    </row>
    <row r="1037" spans="1:8" x14ac:dyDescent="0.25">
      <c r="A1037" s="29"/>
      <c r="B1037" s="29"/>
      <c r="C1037" s="29"/>
      <c r="D1037" s="29"/>
      <c r="E1037" s="29"/>
      <c r="F1037" s="38"/>
      <c r="G1037" s="38"/>
      <c r="H1037" s="38"/>
    </row>
    <row r="1038" spans="1:8" x14ac:dyDescent="0.25">
      <c r="A1038" s="29"/>
      <c r="B1038" s="29"/>
      <c r="C1038" s="29"/>
      <c r="D1038" s="29"/>
      <c r="E1038" s="29"/>
      <c r="F1038" s="38"/>
      <c r="G1038" s="38"/>
      <c r="H1038" s="38"/>
    </row>
    <row r="1039" spans="1:8" x14ac:dyDescent="0.25">
      <c r="A1039" s="29"/>
      <c r="B1039" s="29"/>
      <c r="C1039" s="29"/>
      <c r="D1039" s="29"/>
      <c r="E1039" s="29"/>
      <c r="F1039" s="38"/>
      <c r="G1039" s="38"/>
      <c r="H1039" s="38"/>
    </row>
    <row r="1040" spans="1:8" x14ac:dyDescent="0.25">
      <c r="A1040" s="29"/>
      <c r="B1040" s="29"/>
      <c r="C1040" s="29"/>
      <c r="D1040" s="29"/>
      <c r="E1040" s="29"/>
      <c r="F1040" s="38"/>
      <c r="G1040" s="38"/>
      <c r="H1040" s="38"/>
    </row>
    <row r="1041" spans="1:8" x14ac:dyDescent="0.25">
      <c r="A1041" s="29"/>
      <c r="B1041" s="29"/>
      <c r="C1041" s="29"/>
      <c r="D1041" s="29"/>
      <c r="E1041" s="29"/>
      <c r="F1041" s="38"/>
      <c r="G1041" s="38"/>
      <c r="H1041" s="38"/>
    </row>
    <row r="1042" spans="1:8" x14ac:dyDescent="0.25">
      <c r="A1042" s="29"/>
      <c r="B1042" s="29"/>
      <c r="C1042" s="29"/>
      <c r="D1042" s="29"/>
      <c r="E1042" s="29"/>
      <c r="F1042" s="38"/>
      <c r="G1042" s="38"/>
      <c r="H1042" s="38"/>
    </row>
    <row r="1043" spans="1:8" x14ac:dyDescent="0.25">
      <c r="A1043" s="29"/>
      <c r="B1043" s="29"/>
      <c r="C1043" s="29"/>
      <c r="D1043" s="29"/>
      <c r="E1043" s="29"/>
      <c r="F1043" s="38"/>
      <c r="G1043" s="38"/>
      <c r="H1043" s="38"/>
    </row>
    <row r="1044" spans="1:8" x14ac:dyDescent="0.25">
      <c r="A1044" s="29"/>
      <c r="B1044" s="29"/>
      <c r="C1044" s="29"/>
      <c r="D1044" s="29"/>
      <c r="E1044" s="29"/>
      <c r="F1044" s="38"/>
      <c r="G1044" s="38"/>
      <c r="H1044" s="38"/>
    </row>
    <row r="1045" spans="1:8" x14ac:dyDescent="0.25">
      <c r="A1045" s="29"/>
      <c r="B1045" s="29"/>
      <c r="C1045" s="29"/>
      <c r="D1045" s="29"/>
      <c r="E1045" s="29"/>
      <c r="F1045" s="38"/>
      <c r="G1045" s="38"/>
      <c r="H1045" s="38"/>
    </row>
    <row r="1046" spans="1:8" x14ac:dyDescent="0.25">
      <c r="A1046" s="29"/>
      <c r="B1046" s="29"/>
      <c r="C1046" s="29"/>
      <c r="D1046" s="29"/>
      <c r="E1046" s="29"/>
      <c r="F1046" s="38"/>
      <c r="G1046" s="38"/>
      <c r="H1046" s="38"/>
    </row>
    <row r="1047" spans="1:8" x14ac:dyDescent="0.25">
      <c r="A1047" s="29"/>
      <c r="B1047" s="29"/>
      <c r="C1047" s="29"/>
      <c r="D1047" s="29"/>
      <c r="E1047" s="29"/>
      <c r="F1047" s="38"/>
      <c r="G1047" s="38"/>
      <c r="H1047" s="38"/>
    </row>
    <row r="1048" spans="1:8" x14ac:dyDescent="0.25">
      <c r="A1048" s="29"/>
      <c r="B1048" s="29"/>
      <c r="C1048" s="29"/>
      <c r="D1048" s="29"/>
      <c r="E1048" s="29"/>
      <c r="F1048" s="38"/>
      <c r="G1048" s="38"/>
      <c r="H1048" s="38"/>
    </row>
    <row r="1049" spans="1:8" x14ac:dyDescent="0.25">
      <c r="A1049" s="29"/>
      <c r="B1049" s="29"/>
      <c r="C1049" s="29"/>
      <c r="D1049" s="29"/>
      <c r="E1049" s="29"/>
      <c r="F1049" s="38"/>
      <c r="G1049" s="38"/>
      <c r="H1049" s="38"/>
    </row>
    <row r="1050" spans="1:8" x14ac:dyDescent="0.25">
      <c r="A1050" s="29"/>
      <c r="B1050" s="29"/>
      <c r="C1050" s="29"/>
      <c r="D1050" s="29"/>
      <c r="E1050" s="29"/>
      <c r="F1050" s="38"/>
      <c r="G1050" s="38"/>
      <c r="H1050" s="38"/>
    </row>
    <row r="1051" spans="1:8" x14ac:dyDescent="0.25">
      <c r="A1051" s="29"/>
      <c r="B1051" s="29"/>
      <c r="C1051" s="29"/>
      <c r="D1051" s="29"/>
      <c r="E1051" s="29"/>
      <c r="F1051" s="38"/>
      <c r="G1051" s="38"/>
      <c r="H1051" s="38"/>
    </row>
    <row r="1052" spans="1:8" x14ac:dyDescent="0.25">
      <c r="A1052" s="29"/>
      <c r="B1052" s="29"/>
      <c r="C1052" s="29"/>
      <c r="D1052" s="29"/>
      <c r="E1052" s="29"/>
      <c r="F1052" s="38"/>
      <c r="G1052" s="38"/>
      <c r="H1052" s="38"/>
    </row>
    <row r="1053" spans="1:8" x14ac:dyDescent="0.25">
      <c r="A1053" s="29"/>
      <c r="B1053" s="29"/>
      <c r="C1053" s="29"/>
      <c r="D1053" s="29"/>
      <c r="E1053" s="29"/>
      <c r="F1053" s="38"/>
      <c r="G1053" s="38"/>
      <c r="H1053" s="38"/>
    </row>
    <row r="1054" spans="1:8" x14ac:dyDescent="0.25">
      <c r="A1054" s="29"/>
      <c r="B1054" s="29"/>
      <c r="C1054" s="29"/>
      <c r="D1054" s="29"/>
      <c r="E1054" s="29"/>
      <c r="F1054" s="38"/>
      <c r="G1054" s="38"/>
      <c r="H1054" s="38"/>
    </row>
    <row r="1055" spans="1:8" x14ac:dyDescent="0.25">
      <c r="A1055" s="29"/>
      <c r="B1055" s="29"/>
      <c r="C1055" s="29"/>
      <c r="D1055" s="29"/>
      <c r="E1055" s="29"/>
      <c r="F1055" s="38"/>
      <c r="G1055" s="38"/>
      <c r="H1055" s="38"/>
    </row>
    <row r="1056" spans="1:8" x14ac:dyDescent="0.25">
      <c r="A1056" s="29"/>
      <c r="B1056" s="29"/>
      <c r="C1056" s="29"/>
      <c r="D1056" s="29"/>
      <c r="E1056" s="29"/>
      <c r="F1056" s="38"/>
      <c r="G1056" s="38"/>
      <c r="H1056" s="38"/>
    </row>
    <row r="1057" spans="1:8" x14ac:dyDescent="0.25">
      <c r="A1057" s="29"/>
      <c r="B1057" s="29"/>
      <c r="C1057" s="29"/>
      <c r="D1057" s="29"/>
      <c r="E1057" s="29"/>
      <c r="F1057" s="38"/>
      <c r="G1057" s="38"/>
      <c r="H1057" s="38"/>
    </row>
    <row r="1058" spans="1:8" x14ac:dyDescent="0.25">
      <c r="A1058" s="29"/>
      <c r="B1058" s="29"/>
      <c r="C1058" s="29"/>
      <c r="D1058" s="29"/>
      <c r="E1058" s="29"/>
      <c r="F1058" s="38"/>
      <c r="G1058" s="38"/>
      <c r="H1058" s="38"/>
    </row>
    <row r="1059" spans="1:8" x14ac:dyDescent="0.25">
      <c r="A1059" s="29"/>
      <c r="B1059" s="29"/>
      <c r="C1059" s="29"/>
      <c r="D1059" s="29"/>
      <c r="E1059" s="29"/>
      <c r="F1059" s="38"/>
      <c r="G1059" s="38"/>
      <c r="H1059" s="38"/>
    </row>
    <row r="1060" spans="1:8" x14ac:dyDescent="0.25">
      <c r="A1060" s="29"/>
      <c r="B1060" s="29"/>
      <c r="C1060" s="29"/>
      <c r="D1060" s="29"/>
      <c r="E1060" s="29"/>
      <c r="F1060" s="38"/>
      <c r="G1060" s="38"/>
      <c r="H1060" s="38"/>
    </row>
    <row r="1061" spans="1:8" x14ac:dyDescent="0.25">
      <c r="A1061" s="29"/>
      <c r="B1061" s="29"/>
      <c r="C1061" s="29"/>
      <c r="D1061" s="29"/>
      <c r="E1061" s="29"/>
      <c r="F1061" s="38"/>
      <c r="G1061" s="38"/>
      <c r="H1061" s="38"/>
    </row>
    <row r="1062" spans="1:8" x14ac:dyDescent="0.25">
      <c r="A1062" s="29"/>
      <c r="B1062" s="29"/>
      <c r="C1062" s="29"/>
      <c r="D1062" s="29"/>
      <c r="E1062" s="29"/>
      <c r="F1062" s="38"/>
      <c r="G1062" s="38"/>
      <c r="H1062" s="38"/>
    </row>
    <row r="1063" spans="1:8" x14ac:dyDescent="0.25">
      <c r="A1063" s="29"/>
      <c r="B1063" s="29"/>
      <c r="C1063" s="29"/>
      <c r="D1063" s="29"/>
      <c r="E1063" s="29"/>
      <c r="F1063" s="38"/>
      <c r="G1063" s="38"/>
      <c r="H1063" s="38"/>
    </row>
    <row r="1064" spans="1:8" x14ac:dyDescent="0.25">
      <c r="A1064" s="29"/>
      <c r="B1064" s="29"/>
      <c r="C1064" s="29"/>
      <c r="D1064" s="29"/>
      <c r="E1064" s="29"/>
      <c r="F1064" s="38"/>
      <c r="G1064" s="38"/>
      <c r="H1064" s="38"/>
    </row>
    <row r="1065" spans="1:8" x14ac:dyDescent="0.25">
      <c r="A1065" s="29"/>
      <c r="B1065" s="29"/>
      <c r="C1065" s="29"/>
      <c r="D1065" s="29"/>
      <c r="E1065" s="29"/>
      <c r="F1065" s="38"/>
      <c r="G1065" s="38"/>
      <c r="H1065" s="38"/>
    </row>
    <row r="1066" spans="1:8" x14ac:dyDescent="0.25">
      <c r="A1066" s="29"/>
      <c r="B1066" s="29"/>
      <c r="C1066" s="29"/>
      <c r="D1066" s="29"/>
      <c r="E1066" s="29"/>
      <c r="F1066" s="38"/>
      <c r="G1066" s="38"/>
      <c r="H1066" s="38"/>
    </row>
    <row r="1067" spans="1:8" x14ac:dyDescent="0.25">
      <c r="A1067" s="29"/>
      <c r="B1067" s="29"/>
      <c r="C1067" s="29"/>
      <c r="D1067" s="29"/>
      <c r="E1067" s="29"/>
      <c r="F1067" s="38"/>
      <c r="G1067" s="38"/>
      <c r="H1067" s="38"/>
    </row>
    <row r="1068" spans="1:8" x14ac:dyDescent="0.25">
      <c r="A1068" s="29"/>
      <c r="B1068" s="29"/>
      <c r="C1068" s="29"/>
      <c r="D1068" s="29"/>
      <c r="E1068" s="29"/>
      <c r="F1068" s="38"/>
      <c r="G1068" s="38"/>
      <c r="H1068" s="38"/>
    </row>
    <row r="1069" spans="1:8" x14ac:dyDescent="0.25">
      <c r="A1069" s="29"/>
      <c r="B1069" s="29"/>
      <c r="C1069" s="29"/>
      <c r="D1069" s="29"/>
      <c r="E1069" s="29"/>
      <c r="F1069" s="38"/>
      <c r="G1069" s="38"/>
      <c r="H1069" s="38"/>
    </row>
    <row r="1070" spans="1:8" x14ac:dyDescent="0.25">
      <c r="A1070" s="29"/>
      <c r="B1070" s="29"/>
      <c r="C1070" s="29"/>
      <c r="D1070" s="29"/>
      <c r="E1070" s="29"/>
      <c r="F1070" s="38"/>
      <c r="G1070" s="38"/>
      <c r="H1070" s="38"/>
    </row>
    <row r="1071" spans="1:8" x14ac:dyDescent="0.25">
      <c r="A1071" s="29"/>
      <c r="B1071" s="29"/>
      <c r="C1071" s="29"/>
      <c r="D1071" s="29"/>
      <c r="E1071" s="29"/>
      <c r="F1071" s="38"/>
      <c r="G1071" s="38"/>
      <c r="H1071" s="38"/>
    </row>
    <row r="1072" spans="1:8" x14ac:dyDescent="0.25">
      <c r="A1072" s="29"/>
      <c r="B1072" s="29"/>
      <c r="C1072" s="29"/>
      <c r="D1072" s="29"/>
      <c r="E1072" s="29"/>
      <c r="F1072" s="38"/>
      <c r="G1072" s="38"/>
      <c r="H1072" s="38"/>
    </row>
    <row r="1073" spans="1:8" x14ac:dyDescent="0.25">
      <c r="A1073" s="29"/>
      <c r="B1073" s="29"/>
      <c r="C1073" s="29"/>
      <c r="D1073" s="29"/>
      <c r="E1073" s="29"/>
      <c r="F1073" s="38"/>
      <c r="G1073" s="38"/>
      <c r="H1073" s="38"/>
    </row>
    <row r="1074" spans="1:8" x14ac:dyDescent="0.25">
      <c r="A1074" s="29"/>
      <c r="B1074" s="29"/>
      <c r="C1074" s="29"/>
      <c r="D1074" s="29"/>
      <c r="E1074" s="29"/>
      <c r="F1074" s="38"/>
      <c r="G1074" s="38"/>
      <c r="H1074" s="38"/>
    </row>
    <row r="1075" spans="1:8" x14ac:dyDescent="0.25">
      <c r="A1075" s="29"/>
      <c r="B1075" s="29"/>
      <c r="C1075" s="29"/>
      <c r="D1075" s="29"/>
      <c r="E1075" s="29"/>
      <c r="F1075" s="38"/>
      <c r="G1075" s="38"/>
      <c r="H1075" s="38"/>
    </row>
    <row r="1076" spans="1:8" x14ac:dyDescent="0.25">
      <c r="A1076" s="29"/>
      <c r="B1076" s="29"/>
      <c r="C1076" s="29"/>
      <c r="D1076" s="29"/>
      <c r="E1076" s="29"/>
      <c r="F1076" s="38"/>
      <c r="G1076" s="38"/>
      <c r="H1076" s="38"/>
    </row>
    <row r="1077" spans="1:8" x14ac:dyDescent="0.25">
      <c r="A1077" s="29"/>
      <c r="B1077" s="29"/>
      <c r="C1077" s="29"/>
      <c r="D1077" s="29"/>
      <c r="E1077" s="29"/>
      <c r="F1077" s="38"/>
      <c r="G1077" s="38"/>
      <c r="H1077" s="38"/>
    </row>
    <row r="1078" spans="1:8" x14ac:dyDescent="0.25">
      <c r="A1078" s="29"/>
      <c r="B1078" s="29"/>
      <c r="C1078" s="29"/>
      <c r="D1078" s="29"/>
      <c r="E1078" s="29"/>
      <c r="F1078" s="38"/>
      <c r="G1078" s="38"/>
      <c r="H1078" s="38"/>
    </row>
    <row r="1079" spans="1:8" x14ac:dyDescent="0.25">
      <c r="A1079" s="29"/>
      <c r="B1079" s="29"/>
      <c r="C1079" s="29"/>
      <c r="D1079" s="29"/>
      <c r="E1079" s="29"/>
      <c r="F1079" s="38"/>
      <c r="G1079" s="38"/>
      <c r="H1079" s="38"/>
    </row>
    <row r="1080" spans="1:8" x14ac:dyDescent="0.25">
      <c r="A1080" s="29"/>
      <c r="B1080" s="29"/>
      <c r="C1080" s="29"/>
      <c r="D1080" s="29"/>
      <c r="E1080" s="29"/>
      <c r="F1080" s="38"/>
      <c r="G1080" s="38"/>
      <c r="H1080" s="38"/>
    </row>
    <row r="1081" spans="1:8" x14ac:dyDescent="0.25">
      <c r="A1081" s="29"/>
      <c r="B1081" s="29"/>
      <c r="C1081" s="29"/>
      <c r="D1081" s="29"/>
      <c r="E1081" s="29"/>
      <c r="F1081" s="38"/>
      <c r="G1081" s="38"/>
      <c r="H1081" s="38"/>
    </row>
    <row r="1082" spans="1:8" x14ac:dyDescent="0.25">
      <c r="A1082" s="29"/>
      <c r="B1082" s="29"/>
      <c r="C1082" s="29"/>
      <c r="D1082" s="29"/>
      <c r="E1082" s="29"/>
      <c r="F1082" s="38"/>
      <c r="G1082" s="38"/>
      <c r="H1082" s="38"/>
    </row>
    <row r="1083" spans="1:8" x14ac:dyDescent="0.25">
      <c r="A1083" s="29"/>
      <c r="B1083" s="29"/>
      <c r="C1083" s="29"/>
      <c r="D1083" s="29"/>
      <c r="E1083" s="29"/>
      <c r="F1083" s="38"/>
      <c r="G1083" s="38"/>
      <c r="H1083" s="38"/>
    </row>
    <row r="1084" spans="1:8" x14ac:dyDescent="0.25">
      <c r="A1084" s="29"/>
      <c r="B1084" s="29"/>
      <c r="C1084" s="29"/>
      <c r="D1084" s="29"/>
      <c r="E1084" s="29"/>
      <c r="F1084" s="38"/>
      <c r="G1084" s="38"/>
      <c r="H1084" s="38"/>
    </row>
    <row r="1085" spans="1:8" x14ac:dyDescent="0.25">
      <c r="A1085" s="29"/>
      <c r="B1085" s="29"/>
      <c r="C1085" s="29"/>
      <c r="D1085" s="29"/>
      <c r="E1085" s="29"/>
      <c r="F1085" s="38"/>
      <c r="G1085" s="38"/>
      <c r="H1085" s="38"/>
    </row>
    <row r="1086" spans="1:8" x14ac:dyDescent="0.25">
      <c r="A1086" s="29"/>
      <c r="B1086" s="29"/>
      <c r="C1086" s="29"/>
      <c r="D1086" s="29"/>
      <c r="E1086" s="29"/>
      <c r="F1086" s="38"/>
      <c r="G1086" s="38"/>
      <c r="H1086" s="38"/>
    </row>
    <row r="1087" spans="1:8" x14ac:dyDescent="0.25">
      <c r="A1087" s="29"/>
      <c r="B1087" s="29"/>
      <c r="C1087" s="29"/>
      <c r="D1087" s="29"/>
      <c r="E1087" s="29"/>
      <c r="F1087" s="38"/>
      <c r="G1087" s="38"/>
      <c r="H1087" s="38"/>
    </row>
    <row r="1088" spans="1:8" x14ac:dyDescent="0.25">
      <c r="A1088" s="29"/>
      <c r="B1088" s="29"/>
      <c r="C1088" s="29"/>
      <c r="D1088" s="29"/>
      <c r="E1088" s="29"/>
      <c r="F1088" s="38"/>
      <c r="G1088" s="38"/>
      <c r="H1088" s="38"/>
    </row>
    <row r="1089" spans="1:8" x14ac:dyDescent="0.25">
      <c r="A1089" s="29"/>
      <c r="B1089" s="29"/>
      <c r="C1089" s="29"/>
      <c r="D1089" s="29"/>
      <c r="E1089" s="29"/>
      <c r="F1089" s="38"/>
      <c r="G1089" s="38"/>
      <c r="H1089" s="38"/>
    </row>
    <row r="1090" spans="1:8" x14ac:dyDescent="0.25">
      <c r="A1090" s="29"/>
      <c r="B1090" s="29"/>
      <c r="C1090" s="29"/>
      <c r="D1090" s="29"/>
      <c r="E1090" s="29"/>
      <c r="F1090" s="38"/>
      <c r="G1090" s="38"/>
      <c r="H1090" s="38"/>
    </row>
    <row r="1091" spans="1:8" x14ac:dyDescent="0.25">
      <c r="A1091" s="29"/>
      <c r="B1091" s="29"/>
      <c r="C1091" s="29"/>
      <c r="D1091" s="29"/>
      <c r="E1091" s="29"/>
      <c r="F1091" s="38"/>
      <c r="G1091" s="38"/>
      <c r="H1091" s="38"/>
    </row>
    <row r="1092" spans="1:8" x14ac:dyDescent="0.25">
      <c r="A1092" s="29"/>
      <c r="B1092" s="29"/>
      <c r="C1092" s="29"/>
      <c r="D1092" s="29"/>
      <c r="E1092" s="29"/>
      <c r="F1092" s="38"/>
      <c r="G1092" s="38"/>
      <c r="H1092" s="38"/>
    </row>
    <row r="1093" spans="1:8" x14ac:dyDescent="0.25">
      <c r="A1093" s="29"/>
      <c r="B1093" s="29"/>
      <c r="C1093" s="29"/>
      <c r="D1093" s="29"/>
      <c r="E1093" s="29"/>
      <c r="F1093" s="38"/>
      <c r="G1093" s="38"/>
      <c r="H1093" s="38"/>
    </row>
    <row r="1094" spans="1:8" x14ac:dyDescent="0.25">
      <c r="A1094" s="29"/>
      <c r="B1094" s="29"/>
      <c r="C1094" s="29"/>
      <c r="D1094" s="29"/>
      <c r="E1094" s="29"/>
      <c r="F1094" s="38"/>
      <c r="G1094" s="38"/>
      <c r="H1094" s="38"/>
    </row>
    <row r="1095" spans="1:8" x14ac:dyDescent="0.25">
      <c r="A1095" s="29"/>
      <c r="B1095" s="29"/>
      <c r="C1095" s="29"/>
      <c r="D1095" s="29"/>
      <c r="E1095" s="29"/>
      <c r="F1095" s="38"/>
      <c r="G1095" s="38"/>
      <c r="H1095" s="38"/>
    </row>
    <row r="1096" spans="1:8" x14ac:dyDescent="0.25">
      <c r="A1096" s="29"/>
      <c r="B1096" s="29"/>
      <c r="C1096" s="29"/>
      <c r="D1096" s="29"/>
      <c r="E1096" s="29"/>
      <c r="F1096" s="38"/>
      <c r="G1096" s="38"/>
      <c r="H1096" s="38"/>
    </row>
    <row r="1097" spans="1:8" x14ac:dyDescent="0.25">
      <c r="A1097" s="29"/>
      <c r="B1097" s="29"/>
      <c r="C1097" s="29"/>
      <c r="D1097" s="29"/>
      <c r="E1097" s="29"/>
      <c r="F1097" s="38"/>
      <c r="G1097" s="38"/>
      <c r="H1097" s="38"/>
    </row>
    <row r="1098" spans="1:8" x14ac:dyDescent="0.25">
      <c r="A1098" s="29"/>
      <c r="B1098" s="29"/>
      <c r="C1098" s="29"/>
      <c r="D1098" s="29"/>
      <c r="E1098" s="29"/>
      <c r="F1098" s="38"/>
      <c r="G1098" s="38"/>
      <c r="H1098" s="38"/>
    </row>
    <row r="1099" spans="1:8" x14ac:dyDescent="0.25">
      <c r="A1099" s="29"/>
      <c r="B1099" s="29"/>
      <c r="C1099" s="29"/>
      <c r="D1099" s="29"/>
      <c r="E1099" s="29"/>
      <c r="F1099" s="38"/>
      <c r="G1099" s="38"/>
      <c r="H1099" s="38"/>
    </row>
    <row r="1100" spans="1:8" x14ac:dyDescent="0.25">
      <c r="A1100" s="29"/>
      <c r="B1100" s="29"/>
      <c r="C1100" s="29"/>
      <c r="D1100" s="29"/>
      <c r="E1100" s="29"/>
      <c r="F1100" s="38"/>
      <c r="G1100" s="38"/>
      <c r="H1100" s="38"/>
    </row>
    <row r="1101" spans="1:8" x14ac:dyDescent="0.25">
      <c r="A1101" s="29"/>
      <c r="B1101" s="29"/>
      <c r="C1101" s="29"/>
      <c r="D1101" s="29"/>
      <c r="E1101" s="29"/>
      <c r="F1101" s="38"/>
      <c r="G1101" s="38"/>
      <c r="H1101" s="38"/>
    </row>
    <row r="1102" spans="1:8" x14ac:dyDescent="0.25">
      <c r="A1102" s="29"/>
      <c r="B1102" s="29"/>
      <c r="C1102" s="29"/>
      <c r="D1102" s="29"/>
      <c r="E1102" s="29"/>
      <c r="F1102" s="38"/>
      <c r="G1102" s="38"/>
      <c r="H1102" s="38"/>
    </row>
    <row r="1103" spans="1:8" x14ac:dyDescent="0.25">
      <c r="A1103" s="29"/>
      <c r="B1103" s="29"/>
      <c r="C1103" s="29"/>
      <c r="D1103" s="29"/>
      <c r="E1103" s="29"/>
      <c r="F1103" s="38"/>
      <c r="G1103" s="38"/>
      <c r="H1103" s="38"/>
    </row>
    <row r="1104" spans="1:8" x14ac:dyDescent="0.25">
      <c r="A1104" s="29"/>
      <c r="B1104" s="29"/>
      <c r="C1104" s="29"/>
      <c r="D1104" s="29"/>
      <c r="E1104" s="29"/>
      <c r="F1104" s="38"/>
      <c r="G1104" s="38"/>
      <c r="H1104" s="38"/>
    </row>
    <row r="1105" spans="1:8" x14ac:dyDescent="0.25">
      <c r="A1105" s="29"/>
      <c r="B1105" s="29"/>
      <c r="C1105" s="29"/>
      <c r="D1105" s="29"/>
      <c r="E1105" s="29"/>
      <c r="F1105" s="38"/>
      <c r="G1105" s="38"/>
      <c r="H1105" s="38"/>
    </row>
    <row r="1106" spans="1:8" x14ac:dyDescent="0.25">
      <c r="A1106" s="29"/>
      <c r="B1106" s="29"/>
      <c r="C1106" s="29"/>
      <c r="D1106" s="29"/>
      <c r="E1106" s="29"/>
      <c r="F1106" s="38"/>
      <c r="G1106" s="38"/>
      <c r="H1106" s="38"/>
    </row>
    <row r="1107" spans="1:8" x14ac:dyDescent="0.25">
      <c r="A1107" s="29"/>
      <c r="B1107" s="29"/>
      <c r="C1107" s="29"/>
      <c r="D1107" s="29"/>
      <c r="E1107" s="29"/>
      <c r="F1107" s="38"/>
      <c r="G1107" s="38"/>
      <c r="H1107" s="38"/>
    </row>
    <row r="1108" spans="1:8" x14ac:dyDescent="0.25">
      <c r="A1108" s="29"/>
      <c r="B1108" s="29"/>
      <c r="C1108" s="29"/>
      <c r="D1108" s="29"/>
      <c r="E1108" s="29"/>
      <c r="F1108" s="38"/>
      <c r="G1108" s="38"/>
      <c r="H1108" s="38"/>
    </row>
    <row r="1109" spans="1:8" x14ac:dyDescent="0.25">
      <c r="A1109" s="29"/>
      <c r="B1109" s="29"/>
      <c r="C1109" s="29"/>
      <c r="D1109" s="29"/>
      <c r="E1109" s="29"/>
      <c r="F1109" s="38"/>
      <c r="G1109" s="38"/>
      <c r="H1109" s="38"/>
    </row>
    <row r="1110" spans="1:8" x14ac:dyDescent="0.25">
      <c r="A1110" s="29"/>
      <c r="B1110" s="29"/>
      <c r="C1110" s="29"/>
      <c r="D1110" s="29"/>
      <c r="E1110" s="29"/>
      <c r="F1110" s="38"/>
      <c r="G1110" s="38"/>
      <c r="H1110" s="38"/>
    </row>
    <row r="1111" spans="1:8" x14ac:dyDescent="0.25">
      <c r="A1111" s="29"/>
      <c r="B1111" s="29"/>
      <c r="C1111" s="29"/>
      <c r="D1111" s="29"/>
      <c r="E1111" s="29"/>
      <c r="F1111" s="38"/>
      <c r="G1111" s="38"/>
      <c r="H1111" s="38"/>
    </row>
    <row r="1112" spans="1:8" x14ac:dyDescent="0.25">
      <c r="A1112" s="29"/>
      <c r="B1112" s="29"/>
      <c r="C1112" s="29"/>
      <c r="D1112" s="29"/>
      <c r="E1112" s="29"/>
      <c r="F1112" s="38"/>
      <c r="G1112" s="38"/>
      <c r="H1112" s="38"/>
    </row>
    <row r="1113" spans="1:8" x14ac:dyDescent="0.25">
      <c r="A1113" s="29"/>
      <c r="B1113" s="29"/>
      <c r="C1113" s="29"/>
      <c r="D1113" s="29"/>
      <c r="E1113" s="29"/>
      <c r="F1113" s="38"/>
      <c r="G1113" s="38"/>
      <c r="H1113" s="38"/>
    </row>
    <row r="1114" spans="1:8" x14ac:dyDescent="0.25">
      <c r="A1114" s="29"/>
      <c r="B1114" s="29"/>
      <c r="C1114" s="29"/>
      <c r="D1114" s="29"/>
      <c r="E1114" s="29"/>
      <c r="F1114" s="38"/>
      <c r="G1114" s="38"/>
      <c r="H1114" s="38"/>
    </row>
    <row r="1115" spans="1:8" x14ac:dyDescent="0.25">
      <c r="A1115" s="29"/>
      <c r="B1115" s="29"/>
      <c r="C1115" s="29"/>
      <c r="D1115" s="29"/>
      <c r="E1115" s="29"/>
      <c r="F1115" s="38"/>
      <c r="G1115" s="38"/>
      <c r="H1115" s="38"/>
    </row>
    <row r="1116" spans="1:8" x14ac:dyDescent="0.25">
      <c r="A1116" s="29"/>
      <c r="B1116" s="29"/>
      <c r="C1116" s="29"/>
      <c r="D1116" s="29"/>
      <c r="E1116" s="29"/>
      <c r="F1116" s="38"/>
      <c r="G1116" s="38"/>
      <c r="H1116" s="38"/>
    </row>
    <row r="1117" spans="1:8" x14ac:dyDescent="0.25">
      <c r="A1117" s="29"/>
      <c r="B1117" s="29"/>
      <c r="C1117" s="29"/>
      <c r="D1117" s="29"/>
      <c r="E1117" s="29"/>
      <c r="F1117" s="38"/>
      <c r="G1117" s="38"/>
      <c r="H1117" s="38"/>
    </row>
    <row r="1118" spans="1:8" x14ac:dyDescent="0.25">
      <c r="A1118" s="29"/>
      <c r="B1118" s="29"/>
      <c r="C1118" s="29"/>
      <c r="D1118" s="29"/>
      <c r="E1118" s="29"/>
      <c r="F1118" s="38"/>
      <c r="G1118" s="38"/>
      <c r="H1118" s="38"/>
    </row>
    <row r="1119" spans="1:8" x14ac:dyDescent="0.25">
      <c r="A1119" s="29"/>
      <c r="B1119" s="29"/>
      <c r="C1119" s="29"/>
      <c r="D1119" s="29"/>
      <c r="E1119" s="29"/>
      <c r="F1119" s="38"/>
      <c r="G1119" s="38"/>
      <c r="H1119" s="38"/>
    </row>
    <row r="1120" spans="1:8" x14ac:dyDescent="0.25">
      <c r="A1120" s="29"/>
      <c r="B1120" s="29"/>
      <c r="C1120" s="29"/>
      <c r="D1120" s="29"/>
      <c r="E1120" s="29"/>
      <c r="F1120" s="38"/>
      <c r="G1120" s="38"/>
      <c r="H1120" s="38"/>
    </row>
    <row r="1121" spans="1:8" x14ac:dyDescent="0.25">
      <c r="A1121" s="29"/>
      <c r="B1121" s="29"/>
      <c r="C1121" s="29"/>
      <c r="D1121" s="29"/>
      <c r="E1121" s="29"/>
      <c r="F1121" s="38"/>
      <c r="G1121" s="38"/>
      <c r="H1121" s="38"/>
    </row>
    <row r="1122" spans="1:8" x14ac:dyDescent="0.25">
      <c r="A1122" s="29"/>
      <c r="B1122" s="29"/>
      <c r="C1122" s="29"/>
      <c r="D1122" s="29"/>
      <c r="E1122" s="29"/>
      <c r="F1122" s="38"/>
      <c r="G1122" s="38"/>
      <c r="H1122" s="38"/>
    </row>
  </sheetData>
  <autoFilter ref="A1:H441" xr:uid="{00000000-0009-0000-0000-000013000000}">
    <filterColumn colId="3">
      <filters>
        <filter val="KIKO"/>
      </filters>
    </filterColumn>
  </autoFilter>
  <mergeCells count="33">
    <mergeCell ref="A189:D189"/>
    <mergeCell ref="A441:D441"/>
    <mergeCell ref="A82:D82"/>
    <mergeCell ref="A69:D69"/>
    <mergeCell ref="A152:D152"/>
    <mergeCell ref="A175:D175"/>
    <mergeCell ref="A132:D132"/>
    <mergeCell ref="A119:D119"/>
    <mergeCell ref="A97:D97"/>
    <mergeCell ref="A219:D219"/>
    <mergeCell ref="A201:D201"/>
    <mergeCell ref="A234:D234"/>
    <mergeCell ref="A251:D251"/>
    <mergeCell ref="A342:D342"/>
    <mergeCell ref="A432:D432"/>
    <mergeCell ref="A437:D437"/>
    <mergeCell ref="A15:D15"/>
    <mergeCell ref="A26:D26"/>
    <mergeCell ref="B38:D38"/>
    <mergeCell ref="A54:D54"/>
    <mergeCell ref="A62:D62"/>
    <mergeCell ref="A418:D418"/>
    <mergeCell ref="A408:D408"/>
    <mergeCell ref="A400:D400"/>
    <mergeCell ref="A362:D362"/>
    <mergeCell ref="A270:D270"/>
    <mergeCell ref="A285:D285"/>
    <mergeCell ref="A328:D328"/>
    <mergeCell ref="A378:D378"/>
    <mergeCell ref="A390:D390"/>
    <mergeCell ref="A369:D369"/>
    <mergeCell ref="A302:D302"/>
    <mergeCell ref="A288:D288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555"/>
  <sheetViews>
    <sheetView workbookViewId="0">
      <selection activeCell="N38" sqref="N38"/>
    </sheetView>
  </sheetViews>
  <sheetFormatPr defaultRowHeight="15" x14ac:dyDescent="0.25"/>
  <cols>
    <col min="2" max="2" width="9.7109375" bestFit="1" customWidth="1"/>
    <col min="5" max="5" width="9.5703125" bestFit="1" customWidth="1"/>
    <col min="6" max="6" width="13.28515625" bestFit="1" customWidth="1"/>
    <col min="7" max="8" width="11.710937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s="29" t="s">
        <v>26</v>
      </c>
      <c r="B2" s="37">
        <v>44933</v>
      </c>
      <c r="C2" s="29" t="s">
        <v>16</v>
      </c>
      <c r="D2" s="29" t="s">
        <v>11</v>
      </c>
      <c r="E2" s="29">
        <v>4</v>
      </c>
      <c r="F2" s="38">
        <f>E2*1500</f>
        <v>6000</v>
      </c>
      <c r="G2" s="38">
        <f>E2*500</f>
        <v>2000</v>
      </c>
      <c r="H2" s="38">
        <v>4000</v>
      </c>
    </row>
    <row r="3" spans="1:8" x14ac:dyDescent="0.25">
      <c r="A3" s="29"/>
      <c r="B3" s="29"/>
      <c r="C3" s="29"/>
      <c r="D3" s="29" t="s">
        <v>12</v>
      </c>
      <c r="E3" s="29">
        <v>3</v>
      </c>
      <c r="F3" s="38">
        <f>E3*3000</f>
        <v>9000</v>
      </c>
      <c r="G3" s="38">
        <v>6000</v>
      </c>
      <c r="H3" s="38">
        <v>3000</v>
      </c>
    </row>
    <row r="4" spans="1:8" x14ac:dyDescent="0.25">
      <c r="A4" s="29"/>
      <c r="B4" s="29"/>
      <c r="C4" s="29" t="s">
        <v>24</v>
      </c>
      <c r="D4" s="29" t="s">
        <v>243</v>
      </c>
      <c r="E4" s="29">
        <v>3</v>
      </c>
      <c r="F4" s="38">
        <f>E4*13000</f>
        <v>39000</v>
      </c>
      <c r="G4" s="38">
        <f>E4*10000</f>
        <v>30000</v>
      </c>
      <c r="H4" s="38">
        <v>9000</v>
      </c>
    </row>
    <row r="5" spans="1:8" x14ac:dyDescent="0.25">
      <c r="A5" s="126" t="s">
        <v>17</v>
      </c>
      <c r="B5" s="126"/>
      <c r="C5" s="126"/>
      <c r="D5" s="126"/>
      <c r="E5" s="17">
        <f>SUM(E2:E4)</f>
        <v>10</v>
      </c>
      <c r="F5" s="17">
        <f>SUM(F2:F4)</f>
        <v>54000</v>
      </c>
      <c r="G5" s="17">
        <f>SUM(G2:G4)</f>
        <v>38000</v>
      </c>
      <c r="H5" s="17">
        <f>SUM(H2:H4)</f>
        <v>16000</v>
      </c>
    </row>
    <row r="6" spans="1:8" x14ac:dyDescent="0.25">
      <c r="A6" s="29" t="s">
        <v>28</v>
      </c>
      <c r="B6" s="37">
        <v>44964</v>
      </c>
      <c r="C6" s="29" t="s">
        <v>217</v>
      </c>
      <c r="D6" s="29" t="s">
        <v>13</v>
      </c>
      <c r="E6" s="29">
        <v>7</v>
      </c>
      <c r="F6" s="38">
        <f>E6*6500</f>
        <v>45500</v>
      </c>
      <c r="G6" s="38">
        <f>E6*4500</f>
        <v>31500</v>
      </c>
      <c r="H6" s="38">
        <f>E6*2000</f>
        <v>14000</v>
      </c>
    </row>
    <row r="7" spans="1:8" x14ac:dyDescent="0.25">
      <c r="A7" s="29"/>
      <c r="B7" s="29"/>
      <c r="C7" s="29"/>
      <c r="D7" s="29" t="s">
        <v>14</v>
      </c>
      <c r="E7" s="29">
        <v>6</v>
      </c>
      <c r="F7" s="38">
        <f>E7*10000</f>
        <v>60000</v>
      </c>
      <c r="G7" s="38">
        <f>E7*5500</f>
        <v>33000</v>
      </c>
      <c r="H7" s="38">
        <f>E7*4500</f>
        <v>27000</v>
      </c>
    </row>
    <row r="8" spans="1:8" x14ac:dyDescent="0.25">
      <c r="A8" s="29"/>
      <c r="B8" s="29"/>
      <c r="C8" s="29"/>
      <c r="D8" s="29" t="s">
        <v>415</v>
      </c>
      <c r="E8" s="29">
        <v>1</v>
      </c>
      <c r="F8" s="38">
        <v>5000</v>
      </c>
      <c r="G8" s="38">
        <v>2500</v>
      </c>
      <c r="H8" s="38">
        <v>2500</v>
      </c>
    </row>
    <row r="9" spans="1:8" x14ac:dyDescent="0.25">
      <c r="A9" s="29"/>
      <c r="B9" s="29"/>
      <c r="C9" s="29" t="s">
        <v>20</v>
      </c>
      <c r="D9" s="29" t="s">
        <v>13</v>
      </c>
      <c r="E9" s="29">
        <v>13</v>
      </c>
      <c r="F9" s="38">
        <f>E9*6500</f>
        <v>84500</v>
      </c>
      <c r="G9" s="38">
        <f>E9*4500</f>
        <v>58500</v>
      </c>
      <c r="H9" s="38">
        <f>E9*2000</f>
        <v>26000</v>
      </c>
    </row>
    <row r="10" spans="1:8" x14ac:dyDescent="0.25">
      <c r="A10" s="29"/>
      <c r="B10" s="29"/>
      <c r="C10" s="29"/>
      <c r="D10" s="29" t="s">
        <v>14</v>
      </c>
      <c r="E10" s="29">
        <v>10</v>
      </c>
      <c r="F10" s="38">
        <f>E10*10000</f>
        <v>100000</v>
      </c>
      <c r="G10" s="38">
        <f>E10*5500</f>
        <v>55000</v>
      </c>
      <c r="H10" s="38">
        <f>E10*4500</f>
        <v>45000</v>
      </c>
    </row>
    <row r="11" spans="1:8" x14ac:dyDescent="0.25">
      <c r="A11" s="29"/>
      <c r="B11" s="29"/>
      <c r="C11" s="29"/>
      <c r="D11" s="29" t="s">
        <v>243</v>
      </c>
      <c r="E11" s="29">
        <v>2</v>
      </c>
      <c r="F11" s="38">
        <f>E11*15000</f>
        <v>30000</v>
      </c>
      <c r="G11" s="38">
        <f>E11*10000</f>
        <v>20000</v>
      </c>
      <c r="H11" s="38">
        <v>10000</v>
      </c>
    </row>
    <row r="12" spans="1:8" x14ac:dyDescent="0.25">
      <c r="A12" s="29"/>
      <c r="B12" s="29"/>
      <c r="C12" s="29"/>
      <c r="D12" s="29" t="s">
        <v>21</v>
      </c>
      <c r="E12" s="29">
        <v>2</v>
      </c>
      <c r="F12" s="38">
        <f>E12*13000</f>
        <v>26000</v>
      </c>
      <c r="G12" s="38">
        <f>E12*10000</f>
        <v>20000</v>
      </c>
      <c r="H12" s="38">
        <v>6000</v>
      </c>
    </row>
    <row r="13" spans="1:8" x14ac:dyDescent="0.25">
      <c r="A13" s="125" t="s">
        <v>17</v>
      </c>
      <c r="B13" s="125"/>
      <c r="C13" s="125"/>
      <c r="D13" s="125"/>
      <c r="E13" s="17">
        <f>SUM(E6:E12)</f>
        <v>41</v>
      </c>
      <c r="F13" s="17">
        <f>SUM(F6:F12)</f>
        <v>351000</v>
      </c>
      <c r="G13" s="17">
        <f>SUM(G6:G12)</f>
        <v>220500</v>
      </c>
      <c r="H13" s="17">
        <f>SUM(H6:H12)</f>
        <v>130500</v>
      </c>
    </row>
    <row r="14" spans="1:8" x14ac:dyDescent="0.25">
      <c r="A14" s="29" t="s">
        <v>30</v>
      </c>
      <c r="B14" s="37">
        <v>44992</v>
      </c>
      <c r="C14" s="29" t="s">
        <v>16</v>
      </c>
      <c r="D14" s="29" t="s">
        <v>11</v>
      </c>
      <c r="E14" s="29">
        <v>37</v>
      </c>
      <c r="F14" s="38">
        <f>E14*1500</f>
        <v>55500</v>
      </c>
      <c r="G14" s="38">
        <f>E14*500</f>
        <v>18500</v>
      </c>
      <c r="H14" s="38">
        <v>37000</v>
      </c>
    </row>
    <row r="15" spans="1:8" x14ac:dyDescent="0.25">
      <c r="A15" s="29"/>
      <c r="B15" s="29"/>
      <c r="C15" s="29"/>
      <c r="D15" s="29" t="s">
        <v>12</v>
      </c>
      <c r="E15" s="29">
        <v>4</v>
      </c>
      <c r="F15" s="38">
        <f>E15*3000</f>
        <v>12000</v>
      </c>
      <c r="G15" s="38">
        <v>8000</v>
      </c>
      <c r="H15" s="38">
        <v>4000</v>
      </c>
    </row>
    <row r="16" spans="1:8" x14ac:dyDescent="0.25">
      <c r="A16" s="29"/>
      <c r="B16" s="29"/>
      <c r="C16" s="29" t="s">
        <v>217</v>
      </c>
      <c r="D16" s="29" t="s">
        <v>11</v>
      </c>
      <c r="E16" s="29">
        <v>13</v>
      </c>
      <c r="F16" s="38">
        <f>E16*1500</f>
        <v>19500</v>
      </c>
      <c r="G16" s="38">
        <f>E16*500</f>
        <v>6500</v>
      </c>
      <c r="H16" s="38">
        <f>E16*1000</f>
        <v>13000</v>
      </c>
    </row>
    <row r="17" spans="1:8" x14ac:dyDescent="0.25">
      <c r="A17" s="29"/>
      <c r="B17" s="29"/>
      <c r="C17" s="29"/>
      <c r="D17" s="29" t="s">
        <v>13</v>
      </c>
      <c r="E17" s="29">
        <v>8</v>
      </c>
      <c r="F17" s="38">
        <f>E17*6500</f>
        <v>52000</v>
      </c>
      <c r="G17" s="38">
        <f>E17*4500</f>
        <v>36000</v>
      </c>
      <c r="H17" s="38">
        <f>E17*2000</f>
        <v>16000</v>
      </c>
    </row>
    <row r="18" spans="1:8" x14ac:dyDescent="0.25">
      <c r="A18" s="29"/>
      <c r="B18" s="29"/>
      <c r="C18" s="29"/>
      <c r="D18" s="29" t="s">
        <v>14</v>
      </c>
      <c r="E18" s="29">
        <v>3</v>
      </c>
      <c r="F18" s="38">
        <f>E18*10000</f>
        <v>30000</v>
      </c>
      <c r="G18" s="38">
        <f>E18*5500</f>
        <v>16500</v>
      </c>
      <c r="H18" s="38">
        <f>E18*4500</f>
        <v>13500</v>
      </c>
    </row>
    <row r="19" spans="1:8" x14ac:dyDescent="0.25">
      <c r="A19" s="29"/>
      <c r="B19" s="29"/>
      <c r="C19" s="29"/>
      <c r="D19" s="29" t="s">
        <v>630</v>
      </c>
      <c r="E19" s="29">
        <v>5</v>
      </c>
      <c r="F19" s="38">
        <f>E19*2000</f>
        <v>10000</v>
      </c>
      <c r="G19" s="38">
        <v>5000</v>
      </c>
      <c r="H19" s="38">
        <v>5000</v>
      </c>
    </row>
    <row r="20" spans="1:8" x14ac:dyDescent="0.25">
      <c r="A20" s="29"/>
      <c r="B20" s="29"/>
      <c r="C20" s="29"/>
      <c r="D20" s="29" t="s">
        <v>437</v>
      </c>
      <c r="E20" s="29">
        <v>2</v>
      </c>
      <c r="F20" s="38">
        <f>E20*5000</f>
        <v>10000</v>
      </c>
      <c r="G20" s="38">
        <v>5000</v>
      </c>
      <c r="H20" s="38">
        <v>5000</v>
      </c>
    </row>
    <row r="21" spans="1:8" x14ac:dyDescent="0.25">
      <c r="A21" s="29"/>
      <c r="B21" s="29"/>
      <c r="C21" s="29"/>
      <c r="D21" s="29" t="s">
        <v>441</v>
      </c>
      <c r="E21" s="29">
        <v>2</v>
      </c>
      <c r="F21" s="38">
        <f>E21*3000</f>
        <v>6000</v>
      </c>
      <c r="G21" s="38">
        <v>3000</v>
      </c>
      <c r="H21" s="38">
        <v>3000</v>
      </c>
    </row>
    <row r="22" spans="1:8" x14ac:dyDescent="0.25">
      <c r="A22" s="125" t="s">
        <v>17</v>
      </c>
      <c r="B22" s="125"/>
      <c r="C22" s="125"/>
      <c r="D22" s="125"/>
      <c r="E22" s="17">
        <f>SUM(E14:E21)</f>
        <v>74</v>
      </c>
      <c r="F22" s="17">
        <f>SUM(F14:F21)</f>
        <v>195000</v>
      </c>
      <c r="G22" s="17">
        <f>SUM(G14:G21)</f>
        <v>98500</v>
      </c>
      <c r="H22" s="17">
        <f>SUM(H14:H21)</f>
        <v>96500</v>
      </c>
    </row>
    <row r="23" spans="1:8" x14ac:dyDescent="0.25">
      <c r="A23" s="29" t="s">
        <v>32</v>
      </c>
      <c r="B23" s="37">
        <v>45023</v>
      </c>
      <c r="C23" s="29" t="s">
        <v>16</v>
      </c>
      <c r="D23" s="29" t="s">
        <v>11</v>
      </c>
      <c r="E23" s="29">
        <v>80</v>
      </c>
      <c r="F23" s="38">
        <f>E23*1500</f>
        <v>120000</v>
      </c>
      <c r="G23" s="38">
        <f>E23*500</f>
        <v>40000</v>
      </c>
      <c r="H23" s="38">
        <f>E23*1000</f>
        <v>80000</v>
      </c>
    </row>
    <row r="24" spans="1:8" x14ac:dyDescent="0.25">
      <c r="A24" s="29"/>
      <c r="B24" s="29"/>
      <c r="C24" s="29"/>
      <c r="D24" s="29" t="s">
        <v>12</v>
      </c>
      <c r="E24" s="29">
        <v>9</v>
      </c>
      <c r="F24" s="38">
        <f>E24*3000</f>
        <v>27000</v>
      </c>
      <c r="G24" s="38">
        <v>18000</v>
      </c>
      <c r="H24" s="38">
        <v>9000</v>
      </c>
    </row>
    <row r="25" spans="1:8" x14ac:dyDescent="0.25">
      <c r="A25" s="29"/>
      <c r="B25" s="29"/>
      <c r="C25" s="29"/>
      <c r="D25" s="29" t="s">
        <v>13</v>
      </c>
      <c r="E25" s="29">
        <v>2</v>
      </c>
      <c r="F25" s="38">
        <f>E25*6500</f>
        <v>13000</v>
      </c>
      <c r="G25" s="38">
        <f>E25*4500</f>
        <v>9000</v>
      </c>
      <c r="H25" s="38">
        <f>E25*2000</f>
        <v>4000</v>
      </c>
    </row>
    <row r="26" spans="1:8" x14ac:dyDescent="0.25">
      <c r="A26" s="29"/>
      <c r="B26" s="29"/>
      <c r="C26" s="29"/>
      <c r="D26" s="29" t="s">
        <v>14</v>
      </c>
      <c r="E26" s="29">
        <v>1</v>
      </c>
      <c r="F26" s="38">
        <v>10000</v>
      </c>
      <c r="G26" s="38">
        <v>5500</v>
      </c>
      <c r="H26" s="38">
        <v>4500</v>
      </c>
    </row>
    <row r="27" spans="1:8" x14ac:dyDescent="0.25">
      <c r="A27" s="29"/>
      <c r="B27" s="29"/>
      <c r="C27" s="29" t="s">
        <v>217</v>
      </c>
      <c r="D27" s="29" t="s">
        <v>11</v>
      </c>
      <c r="E27" s="29">
        <v>1</v>
      </c>
      <c r="F27" s="38">
        <v>1500</v>
      </c>
      <c r="G27" s="38">
        <v>500</v>
      </c>
      <c r="H27" s="38">
        <v>1000</v>
      </c>
    </row>
    <row r="28" spans="1:8" x14ac:dyDescent="0.25">
      <c r="A28" s="29"/>
      <c r="B28" s="29"/>
      <c r="C28" s="29"/>
      <c r="D28" s="29" t="s">
        <v>14</v>
      </c>
      <c r="E28" s="29">
        <v>5</v>
      </c>
      <c r="F28" s="38">
        <f>E28*10000</f>
        <v>50000</v>
      </c>
      <c r="G28" s="38">
        <f>E28*5500</f>
        <v>27500</v>
      </c>
      <c r="H28" s="38">
        <f>E28*4500</f>
        <v>22500</v>
      </c>
    </row>
    <row r="29" spans="1:8" x14ac:dyDescent="0.25">
      <c r="A29" s="29"/>
      <c r="B29" s="29"/>
      <c r="C29" s="29"/>
      <c r="D29" s="29" t="s">
        <v>520</v>
      </c>
      <c r="E29" s="29">
        <v>2</v>
      </c>
      <c r="F29" s="38">
        <f>E29*2000</f>
        <v>4000</v>
      </c>
      <c r="G29" s="38">
        <v>2000</v>
      </c>
      <c r="H29" s="38">
        <v>2000</v>
      </c>
    </row>
    <row r="30" spans="1:8" x14ac:dyDescent="0.25">
      <c r="A30" s="29"/>
      <c r="B30" s="29"/>
      <c r="C30" s="29"/>
      <c r="D30" s="29" t="s">
        <v>415</v>
      </c>
      <c r="E30" s="29">
        <v>1</v>
      </c>
      <c r="F30" s="38">
        <v>5000</v>
      </c>
      <c r="G30" s="38">
        <v>2500</v>
      </c>
      <c r="H30" s="38">
        <v>2500</v>
      </c>
    </row>
    <row r="31" spans="1:8" x14ac:dyDescent="0.25">
      <c r="A31" s="29"/>
      <c r="B31" s="29"/>
      <c r="C31" s="29"/>
      <c r="D31" s="29" t="s">
        <v>441</v>
      </c>
      <c r="E31" s="29">
        <v>1</v>
      </c>
      <c r="F31" s="38">
        <v>3000</v>
      </c>
      <c r="G31" s="38">
        <v>1500</v>
      </c>
      <c r="H31" s="38">
        <v>1500</v>
      </c>
    </row>
    <row r="32" spans="1:8" x14ac:dyDescent="0.25">
      <c r="A32" s="29"/>
      <c r="B32" s="29"/>
      <c r="C32" s="29"/>
      <c r="D32" s="29" t="s">
        <v>542</v>
      </c>
      <c r="E32" s="29">
        <v>1</v>
      </c>
      <c r="F32" s="38">
        <v>5000</v>
      </c>
      <c r="G32" s="38">
        <v>2500</v>
      </c>
      <c r="H32" s="38">
        <v>2500</v>
      </c>
    </row>
    <row r="33" spans="1:8" x14ac:dyDescent="0.25">
      <c r="A33" s="29"/>
      <c r="B33" s="29"/>
      <c r="C33" s="29" t="s">
        <v>24</v>
      </c>
      <c r="D33" s="29" t="s">
        <v>21</v>
      </c>
      <c r="E33" s="29">
        <v>3</v>
      </c>
      <c r="F33" s="38">
        <f>E33*15000</f>
        <v>45000</v>
      </c>
      <c r="G33" s="38">
        <f>E33*10000</f>
        <v>30000</v>
      </c>
      <c r="H33" s="38">
        <v>15000</v>
      </c>
    </row>
    <row r="34" spans="1:8" x14ac:dyDescent="0.25">
      <c r="A34" s="29"/>
      <c r="B34" s="29"/>
      <c r="C34" s="29" t="s">
        <v>24</v>
      </c>
      <c r="D34" s="29" t="s">
        <v>243</v>
      </c>
      <c r="E34" s="29">
        <v>1</v>
      </c>
      <c r="F34" s="38">
        <v>13000</v>
      </c>
      <c r="G34" s="38">
        <v>10000</v>
      </c>
      <c r="H34" s="38">
        <v>3000</v>
      </c>
    </row>
    <row r="35" spans="1:8" x14ac:dyDescent="0.25">
      <c r="A35" s="125" t="s">
        <v>17</v>
      </c>
      <c r="B35" s="125"/>
      <c r="C35" s="125"/>
      <c r="D35" s="125"/>
      <c r="E35" s="17">
        <f>SUM(E23:E34)</f>
        <v>107</v>
      </c>
      <c r="F35" s="17">
        <f>SUM(F23:F34)</f>
        <v>296500</v>
      </c>
      <c r="G35" s="17">
        <f>SUM(G23:G34)</f>
        <v>149000</v>
      </c>
      <c r="H35" s="17">
        <f>SUM(H23:H34)</f>
        <v>147500</v>
      </c>
    </row>
    <row r="36" spans="1:8" x14ac:dyDescent="0.25">
      <c r="A36" s="29" t="s">
        <v>8</v>
      </c>
      <c r="B36" s="37">
        <v>45053</v>
      </c>
      <c r="C36" s="29" t="s">
        <v>217</v>
      </c>
      <c r="D36" s="29" t="s">
        <v>13</v>
      </c>
      <c r="E36" s="29">
        <v>2</v>
      </c>
      <c r="F36" s="38">
        <f>E36*6500</f>
        <v>13000</v>
      </c>
      <c r="G36" s="38">
        <f>E36*4500</f>
        <v>9000</v>
      </c>
      <c r="H36" s="38">
        <f>E36*2000</f>
        <v>4000</v>
      </c>
    </row>
    <row r="37" spans="1:8" x14ac:dyDescent="0.25">
      <c r="A37" s="29"/>
      <c r="B37" s="29"/>
      <c r="C37" s="29"/>
      <c r="D37" s="29" t="s">
        <v>14</v>
      </c>
      <c r="E37" s="29">
        <v>7</v>
      </c>
      <c r="F37" s="38">
        <f>E37*10000</f>
        <v>70000</v>
      </c>
      <c r="G37" s="38">
        <f>E37*5500</f>
        <v>38500</v>
      </c>
      <c r="H37" s="38">
        <f>E37*4500</f>
        <v>31500</v>
      </c>
    </row>
    <row r="38" spans="1:8" x14ac:dyDescent="0.25">
      <c r="A38" s="29"/>
      <c r="B38" s="29"/>
      <c r="C38" s="29"/>
      <c r="D38" s="29" t="s">
        <v>404</v>
      </c>
      <c r="E38" s="29">
        <v>2</v>
      </c>
      <c r="F38" s="38">
        <f>E38*2000</f>
        <v>4000</v>
      </c>
      <c r="G38" s="38">
        <v>2000</v>
      </c>
      <c r="H38" s="38">
        <v>2000</v>
      </c>
    </row>
    <row r="39" spans="1:8" x14ac:dyDescent="0.25">
      <c r="A39" s="29"/>
      <c r="B39" s="29"/>
      <c r="C39" s="29" t="s">
        <v>16</v>
      </c>
      <c r="D39" s="29" t="s">
        <v>11</v>
      </c>
      <c r="E39" s="29">
        <v>50</v>
      </c>
      <c r="F39" s="38">
        <f>E39*1500</f>
        <v>75000</v>
      </c>
      <c r="G39" s="38">
        <f>E39*500</f>
        <v>25000</v>
      </c>
      <c r="H39" s="38">
        <v>50000</v>
      </c>
    </row>
    <row r="40" spans="1:8" x14ac:dyDescent="0.25">
      <c r="A40" s="29"/>
      <c r="B40" s="29"/>
      <c r="C40" s="29"/>
      <c r="D40" s="29" t="s">
        <v>12</v>
      </c>
      <c r="E40" s="29">
        <v>2</v>
      </c>
      <c r="F40" s="38">
        <f>E40*3000</f>
        <v>6000</v>
      </c>
      <c r="G40" s="38">
        <v>4000</v>
      </c>
      <c r="H40" s="38">
        <v>2000</v>
      </c>
    </row>
    <row r="41" spans="1:8" x14ac:dyDescent="0.25">
      <c r="A41" s="29"/>
      <c r="B41" s="29"/>
      <c r="C41" s="29" t="s">
        <v>127</v>
      </c>
      <c r="D41" s="29" t="s">
        <v>21</v>
      </c>
      <c r="E41" s="29">
        <v>5</v>
      </c>
      <c r="F41" s="38">
        <f>E41*15000</f>
        <v>75000</v>
      </c>
      <c r="G41" s="38">
        <f>E41*10000</f>
        <v>50000</v>
      </c>
      <c r="H41" s="38">
        <v>25000</v>
      </c>
    </row>
    <row r="42" spans="1:8" x14ac:dyDescent="0.25">
      <c r="A42" s="29"/>
      <c r="B42" s="29"/>
      <c r="C42" s="29"/>
      <c r="D42" s="29" t="s">
        <v>243</v>
      </c>
      <c r="E42" s="29">
        <v>1</v>
      </c>
      <c r="F42" s="38">
        <v>13000</v>
      </c>
      <c r="G42" s="38">
        <v>10000</v>
      </c>
      <c r="H42" s="38">
        <v>3000</v>
      </c>
    </row>
    <row r="43" spans="1:8" x14ac:dyDescent="0.25">
      <c r="A43" s="29"/>
      <c r="B43" s="29"/>
      <c r="C43" s="29" t="s">
        <v>24</v>
      </c>
      <c r="D43" s="29" t="s">
        <v>243</v>
      </c>
      <c r="E43" s="29">
        <v>2</v>
      </c>
      <c r="F43" s="38">
        <f>E43*13000</f>
        <v>26000</v>
      </c>
      <c r="G43" s="38">
        <f>E43*10000</f>
        <v>20000</v>
      </c>
      <c r="H43" s="38">
        <v>6000</v>
      </c>
    </row>
    <row r="44" spans="1:8" x14ac:dyDescent="0.25">
      <c r="A44" s="125" t="s">
        <v>17</v>
      </c>
      <c r="B44" s="125"/>
      <c r="C44" s="125"/>
      <c r="D44" s="125"/>
      <c r="E44" s="17">
        <f>SUM(E36:E43)</f>
        <v>71</v>
      </c>
      <c r="F44" s="17">
        <f>SUM(F36:F43)</f>
        <v>282000</v>
      </c>
      <c r="G44" s="17">
        <f>SUM(G36:G43)</f>
        <v>158500</v>
      </c>
      <c r="H44" s="17">
        <f>SUM(H36:H43)</f>
        <v>123500</v>
      </c>
    </row>
    <row r="45" spans="1:8" x14ac:dyDescent="0.25">
      <c r="A45" s="29" t="s">
        <v>18</v>
      </c>
      <c r="B45" s="37">
        <v>45084</v>
      </c>
      <c r="C45" s="29" t="s">
        <v>16</v>
      </c>
      <c r="D45" s="29" t="s">
        <v>11</v>
      </c>
      <c r="E45" s="29">
        <v>47</v>
      </c>
      <c r="F45" s="38">
        <f>E45*1500</f>
        <v>70500</v>
      </c>
      <c r="G45" s="38">
        <f>E45*500</f>
        <v>23500</v>
      </c>
      <c r="H45" s="38">
        <f>E45*1000</f>
        <v>47000</v>
      </c>
    </row>
    <row r="46" spans="1:8" x14ac:dyDescent="0.25">
      <c r="A46" s="29"/>
      <c r="B46" s="29"/>
      <c r="C46" s="29"/>
      <c r="D46" s="29" t="s">
        <v>12</v>
      </c>
      <c r="E46" s="29">
        <v>6</v>
      </c>
      <c r="F46" s="38">
        <f>E46*3000</f>
        <v>18000</v>
      </c>
      <c r="G46" s="38">
        <f>E46*2000</f>
        <v>12000</v>
      </c>
      <c r="H46" s="38">
        <v>6000</v>
      </c>
    </row>
    <row r="47" spans="1:8" x14ac:dyDescent="0.25">
      <c r="A47" s="29"/>
      <c r="B47" s="29"/>
      <c r="C47" s="29"/>
      <c r="D47" s="29" t="s">
        <v>13</v>
      </c>
      <c r="E47" s="29">
        <v>2</v>
      </c>
      <c r="F47" s="38">
        <f>E47*6500</f>
        <v>13000</v>
      </c>
      <c r="G47" s="38">
        <f>E47*4500</f>
        <v>9000</v>
      </c>
      <c r="H47" s="38">
        <v>4000</v>
      </c>
    </row>
    <row r="48" spans="1:8" x14ac:dyDescent="0.25">
      <c r="A48" s="29"/>
      <c r="B48" s="29"/>
      <c r="C48" s="29"/>
      <c r="D48" s="29" t="s">
        <v>14</v>
      </c>
      <c r="E48" s="29">
        <v>1</v>
      </c>
      <c r="F48" s="38">
        <v>10000</v>
      </c>
      <c r="G48" s="38">
        <v>5500</v>
      </c>
      <c r="H48" s="38">
        <v>4500</v>
      </c>
    </row>
    <row r="49" spans="1:8" x14ac:dyDescent="0.25">
      <c r="A49" s="29"/>
      <c r="B49" s="29"/>
      <c r="C49" s="29" t="s">
        <v>217</v>
      </c>
      <c r="D49" s="29" t="s">
        <v>13</v>
      </c>
      <c r="E49" s="29">
        <v>3</v>
      </c>
      <c r="F49" s="38">
        <f>E49*6500</f>
        <v>19500</v>
      </c>
      <c r="G49" s="38">
        <f>E49*4500</f>
        <v>13500</v>
      </c>
      <c r="H49" s="38">
        <f>E49*2000</f>
        <v>6000</v>
      </c>
    </row>
    <row r="50" spans="1:8" x14ac:dyDescent="0.25">
      <c r="A50" s="29"/>
      <c r="B50" s="29"/>
      <c r="C50" s="29"/>
      <c r="D50" s="29" t="s">
        <v>14</v>
      </c>
      <c r="E50" s="29">
        <v>3</v>
      </c>
      <c r="F50" s="38">
        <f>E50*10000</f>
        <v>30000</v>
      </c>
      <c r="G50" s="38">
        <f>E50*5500</f>
        <v>16500</v>
      </c>
      <c r="H50" s="38">
        <f>E50*4500</f>
        <v>13500</v>
      </c>
    </row>
    <row r="51" spans="1:8" x14ac:dyDescent="0.25">
      <c r="A51" s="29"/>
      <c r="B51" s="29"/>
      <c r="C51" s="29" t="s">
        <v>24</v>
      </c>
      <c r="D51" s="29" t="s">
        <v>243</v>
      </c>
      <c r="E51" s="29">
        <v>11</v>
      </c>
      <c r="F51" s="38">
        <f>E51*13000</f>
        <v>143000</v>
      </c>
      <c r="G51" s="38">
        <f>E51*10000</f>
        <v>110000</v>
      </c>
      <c r="H51" s="38">
        <f>E51*3000</f>
        <v>33000</v>
      </c>
    </row>
    <row r="52" spans="1:8" x14ac:dyDescent="0.25">
      <c r="A52" s="125" t="s">
        <v>17</v>
      </c>
      <c r="B52" s="125"/>
      <c r="C52" s="125"/>
      <c r="D52" s="125"/>
      <c r="E52" s="17">
        <f>SUM(E45:E51)</f>
        <v>73</v>
      </c>
      <c r="F52" s="17">
        <f>SUM(F45:F51)</f>
        <v>304000</v>
      </c>
      <c r="G52" s="17">
        <f>SUM(G45:G51)</f>
        <v>190000</v>
      </c>
      <c r="H52" s="17">
        <f>SUM(H45:H51)</f>
        <v>114000</v>
      </c>
    </row>
    <row r="53" spans="1:8" x14ac:dyDescent="0.25">
      <c r="A53" s="29" t="s">
        <v>22</v>
      </c>
      <c r="B53" s="37">
        <v>45114</v>
      </c>
      <c r="C53" s="29">
        <v>0</v>
      </c>
      <c r="D53" s="29">
        <v>0</v>
      </c>
      <c r="E53" s="29">
        <v>0</v>
      </c>
      <c r="F53" s="38">
        <v>0</v>
      </c>
      <c r="G53" s="38">
        <v>0</v>
      </c>
      <c r="H53" s="38">
        <v>0</v>
      </c>
    </row>
    <row r="54" spans="1:8" x14ac:dyDescent="0.25">
      <c r="A54" s="29" t="s">
        <v>26</v>
      </c>
      <c r="B54" s="37">
        <v>45145</v>
      </c>
      <c r="C54" s="29" t="s">
        <v>399</v>
      </c>
      <c r="D54" s="29" t="s">
        <v>11</v>
      </c>
      <c r="E54" s="29">
        <v>5</v>
      </c>
      <c r="F54" s="38">
        <f>E54*1500</f>
        <v>7500</v>
      </c>
      <c r="G54" s="38">
        <f>E54*500</f>
        <v>2500</v>
      </c>
      <c r="H54" s="38">
        <v>5000</v>
      </c>
    </row>
    <row r="55" spans="1:8" x14ac:dyDescent="0.25">
      <c r="A55" s="29"/>
      <c r="B55" s="29"/>
      <c r="C55" s="29"/>
      <c r="D55" s="29" t="s">
        <v>13</v>
      </c>
      <c r="E55" s="29">
        <v>22</v>
      </c>
      <c r="F55" s="38">
        <f>E55*6500</f>
        <v>143000</v>
      </c>
      <c r="G55" s="38">
        <f>E55*4500</f>
        <v>99000</v>
      </c>
      <c r="H55" s="38">
        <f>E55*2000</f>
        <v>44000</v>
      </c>
    </row>
    <row r="56" spans="1:8" x14ac:dyDescent="0.25">
      <c r="A56" s="29"/>
      <c r="B56" s="29"/>
      <c r="C56" s="29"/>
      <c r="D56" s="29" t="s">
        <v>14</v>
      </c>
      <c r="E56" s="29">
        <v>30</v>
      </c>
      <c r="F56" s="38">
        <f>E56*10000</f>
        <v>300000</v>
      </c>
      <c r="G56" s="38">
        <f>E56*5500</f>
        <v>165000</v>
      </c>
      <c r="H56" s="38">
        <f>E56*4500</f>
        <v>135000</v>
      </c>
    </row>
    <row r="57" spans="1:8" x14ac:dyDescent="0.25">
      <c r="A57" s="29"/>
      <c r="B57" s="29"/>
      <c r="C57" s="29"/>
      <c r="D57" s="29" t="s">
        <v>631</v>
      </c>
      <c r="E57" s="29">
        <v>1</v>
      </c>
      <c r="F57" s="38">
        <v>3000</v>
      </c>
      <c r="G57" s="38">
        <v>1500</v>
      </c>
      <c r="H57" s="38">
        <v>1500</v>
      </c>
    </row>
    <row r="58" spans="1:8" x14ac:dyDescent="0.25">
      <c r="A58" s="29"/>
      <c r="B58" s="29"/>
      <c r="C58" s="29"/>
      <c r="D58" s="29" t="s">
        <v>404</v>
      </c>
      <c r="E58" s="29">
        <v>1</v>
      </c>
      <c r="F58" s="38">
        <v>2000</v>
      </c>
      <c r="G58" s="38">
        <v>1000</v>
      </c>
      <c r="H58" s="38">
        <v>1000</v>
      </c>
    </row>
    <row r="59" spans="1:8" x14ac:dyDescent="0.25">
      <c r="A59" s="29"/>
      <c r="B59" s="29"/>
      <c r="C59" s="29"/>
      <c r="D59" s="29" t="s">
        <v>437</v>
      </c>
      <c r="E59" s="29">
        <v>1</v>
      </c>
      <c r="F59" s="38">
        <v>3000</v>
      </c>
      <c r="G59" s="38">
        <v>1500</v>
      </c>
      <c r="H59" s="38">
        <v>1500</v>
      </c>
    </row>
    <row r="60" spans="1:8" x14ac:dyDescent="0.25">
      <c r="A60" s="29"/>
      <c r="B60" s="29"/>
      <c r="C60" s="29" t="s">
        <v>217</v>
      </c>
      <c r="D60" s="29" t="s">
        <v>11</v>
      </c>
      <c r="E60" s="29">
        <v>4</v>
      </c>
      <c r="F60" s="38">
        <f>E60*1500</f>
        <v>6000</v>
      </c>
      <c r="G60" s="38">
        <f>E60*500</f>
        <v>2000</v>
      </c>
      <c r="H60" s="38">
        <v>4000</v>
      </c>
    </row>
    <row r="61" spans="1:8" x14ac:dyDescent="0.25">
      <c r="A61" s="29"/>
      <c r="B61" s="29"/>
      <c r="C61" s="29"/>
      <c r="D61" s="29" t="s">
        <v>13</v>
      </c>
      <c r="E61" s="29">
        <v>14</v>
      </c>
      <c r="F61" s="38">
        <f>E61*6500</f>
        <v>91000</v>
      </c>
      <c r="G61" s="38">
        <f>E61*4500</f>
        <v>63000</v>
      </c>
      <c r="H61" s="38">
        <f>E61*2000</f>
        <v>28000</v>
      </c>
    </row>
    <row r="62" spans="1:8" x14ac:dyDescent="0.25">
      <c r="A62" s="29"/>
      <c r="B62" s="29"/>
      <c r="C62" s="29"/>
      <c r="D62" s="29" t="s">
        <v>14</v>
      </c>
      <c r="E62" s="29">
        <v>5</v>
      </c>
      <c r="F62" s="38">
        <f>E62*10000</f>
        <v>50000</v>
      </c>
      <c r="G62" s="38">
        <f>E62*5500</f>
        <v>27500</v>
      </c>
      <c r="H62" s="38">
        <f>E62*4500</f>
        <v>22500</v>
      </c>
    </row>
    <row r="63" spans="1:8" x14ac:dyDescent="0.25">
      <c r="A63" s="29"/>
      <c r="B63" s="29"/>
      <c r="C63" s="29"/>
      <c r="D63" s="29" t="s">
        <v>415</v>
      </c>
      <c r="E63" s="29">
        <v>1</v>
      </c>
      <c r="F63" s="38">
        <v>5000</v>
      </c>
      <c r="G63" s="38">
        <v>2500</v>
      </c>
      <c r="H63" s="38">
        <v>2500</v>
      </c>
    </row>
    <row r="64" spans="1:8" x14ac:dyDescent="0.25">
      <c r="A64" s="29"/>
      <c r="B64" s="29"/>
      <c r="C64" s="29"/>
      <c r="D64" s="29" t="s">
        <v>434</v>
      </c>
      <c r="E64" s="29">
        <v>2</v>
      </c>
      <c r="F64" s="38">
        <f>E64*3000</f>
        <v>6000</v>
      </c>
      <c r="G64" s="38">
        <v>3000</v>
      </c>
      <c r="H64" s="38">
        <v>3000</v>
      </c>
    </row>
    <row r="65" spans="1:8" x14ac:dyDescent="0.25">
      <c r="A65" s="29"/>
      <c r="B65" s="29"/>
      <c r="C65" s="29"/>
      <c r="D65" s="29" t="s">
        <v>430</v>
      </c>
      <c r="E65" s="29">
        <v>1</v>
      </c>
      <c r="F65" s="38">
        <v>5000</v>
      </c>
      <c r="G65" s="38">
        <v>2500</v>
      </c>
      <c r="H65" s="38">
        <v>2500</v>
      </c>
    </row>
    <row r="66" spans="1:8" x14ac:dyDescent="0.25">
      <c r="A66" s="29"/>
      <c r="B66" s="29"/>
      <c r="C66" s="29" t="s">
        <v>16</v>
      </c>
      <c r="D66" s="29" t="s">
        <v>11</v>
      </c>
      <c r="E66" s="29">
        <v>36</v>
      </c>
      <c r="F66" s="38">
        <f>E66*1500</f>
        <v>54000</v>
      </c>
      <c r="G66" s="38">
        <f>E66*500</f>
        <v>18000</v>
      </c>
      <c r="H66" s="38">
        <v>36000</v>
      </c>
    </row>
    <row r="67" spans="1:8" x14ac:dyDescent="0.25">
      <c r="A67" s="29"/>
      <c r="B67" s="29"/>
      <c r="C67" s="29"/>
      <c r="D67" s="29" t="s">
        <v>13</v>
      </c>
      <c r="E67" s="29">
        <v>1</v>
      </c>
      <c r="F67" s="38">
        <v>6500</v>
      </c>
      <c r="G67" s="38">
        <v>4500</v>
      </c>
      <c r="H67" s="38">
        <v>2000</v>
      </c>
    </row>
    <row r="68" spans="1:8" x14ac:dyDescent="0.25">
      <c r="A68" s="127" t="s">
        <v>17</v>
      </c>
      <c r="B68" s="127"/>
      <c r="C68" s="127"/>
      <c r="D68" s="127"/>
      <c r="E68" s="17">
        <f>SUM(E54:E67)</f>
        <v>124</v>
      </c>
      <c r="F68" s="17">
        <f>SUM(F54:F67)</f>
        <v>682000</v>
      </c>
      <c r="G68" s="17">
        <f>SUM(G54:G67)</f>
        <v>393500</v>
      </c>
      <c r="H68" s="17">
        <f>SUM(H54:H67)</f>
        <v>288500</v>
      </c>
    </row>
    <row r="69" spans="1:8" x14ac:dyDescent="0.25">
      <c r="A69" s="29" t="s">
        <v>28</v>
      </c>
      <c r="B69" s="37">
        <v>45176</v>
      </c>
      <c r="C69" s="29" t="s">
        <v>399</v>
      </c>
      <c r="D69" s="29" t="s">
        <v>11</v>
      </c>
      <c r="E69" s="29">
        <v>9</v>
      </c>
      <c r="F69" s="38">
        <f>E69*1500</f>
        <v>13500</v>
      </c>
      <c r="G69" s="38">
        <f>E69*500</f>
        <v>4500</v>
      </c>
      <c r="H69" s="38">
        <v>9000</v>
      </c>
    </row>
    <row r="70" spans="1:8" x14ac:dyDescent="0.25">
      <c r="A70" s="29"/>
      <c r="B70" s="29"/>
      <c r="C70" s="29"/>
      <c r="D70" s="29" t="s">
        <v>13</v>
      </c>
      <c r="E70" s="29">
        <v>31</v>
      </c>
      <c r="F70" s="38">
        <f>E70*6500</f>
        <v>201500</v>
      </c>
      <c r="G70" s="38">
        <f>E70*4500</f>
        <v>139500</v>
      </c>
      <c r="H70" s="38">
        <f>E70*2000</f>
        <v>62000</v>
      </c>
    </row>
    <row r="71" spans="1:8" x14ac:dyDescent="0.25">
      <c r="A71" s="29"/>
      <c r="B71" s="29"/>
      <c r="C71" s="29"/>
      <c r="D71" s="29" t="s">
        <v>14</v>
      </c>
      <c r="E71" s="29">
        <v>29</v>
      </c>
      <c r="F71" s="38">
        <f>E71*10000</f>
        <v>290000</v>
      </c>
      <c r="G71" s="38">
        <f>E71*5500</f>
        <v>159500</v>
      </c>
      <c r="H71" s="38">
        <f>E71*4500</f>
        <v>130500</v>
      </c>
    </row>
    <row r="72" spans="1:8" x14ac:dyDescent="0.25">
      <c r="A72" s="29"/>
      <c r="B72" s="29"/>
      <c r="C72" s="29"/>
      <c r="D72" s="29" t="s">
        <v>243</v>
      </c>
      <c r="E72" s="29">
        <v>1</v>
      </c>
      <c r="F72" s="38">
        <v>13000</v>
      </c>
      <c r="G72" s="38">
        <v>10000</v>
      </c>
      <c r="H72" s="38">
        <v>3000</v>
      </c>
    </row>
    <row r="73" spans="1:8" x14ac:dyDescent="0.25">
      <c r="A73" s="29"/>
      <c r="B73" s="29"/>
      <c r="C73" s="29"/>
      <c r="D73" s="29" t="s">
        <v>441</v>
      </c>
      <c r="E73" s="29">
        <v>1</v>
      </c>
      <c r="F73" s="38">
        <v>3000</v>
      </c>
      <c r="G73" s="38">
        <v>1500</v>
      </c>
      <c r="H73" s="38">
        <v>1500</v>
      </c>
    </row>
    <row r="74" spans="1:8" x14ac:dyDescent="0.25">
      <c r="A74" s="29"/>
      <c r="B74" s="29"/>
      <c r="C74" s="29" t="s">
        <v>217</v>
      </c>
      <c r="D74" s="29" t="s">
        <v>11</v>
      </c>
      <c r="E74" s="29">
        <v>8</v>
      </c>
      <c r="F74" s="38">
        <f>E74*1500</f>
        <v>12000</v>
      </c>
      <c r="G74" s="38">
        <f>E74*500</f>
        <v>4000</v>
      </c>
      <c r="H74" s="38">
        <v>8000</v>
      </c>
    </row>
    <row r="75" spans="1:8" x14ac:dyDescent="0.25">
      <c r="A75" s="29"/>
      <c r="B75" s="29"/>
      <c r="C75" s="29"/>
      <c r="D75" s="29" t="s">
        <v>13</v>
      </c>
      <c r="E75" s="29">
        <v>6</v>
      </c>
      <c r="F75" s="38">
        <f>E75*6500</f>
        <v>39000</v>
      </c>
      <c r="G75" s="38">
        <f>E75*4500</f>
        <v>27000</v>
      </c>
      <c r="H75" s="38">
        <f>E75*2000</f>
        <v>12000</v>
      </c>
    </row>
    <row r="76" spans="1:8" x14ac:dyDescent="0.25">
      <c r="A76" s="29"/>
      <c r="B76" s="29"/>
      <c r="C76" s="29"/>
      <c r="D76" s="29" t="s">
        <v>14</v>
      </c>
      <c r="E76" s="29">
        <v>2</v>
      </c>
      <c r="F76" s="38">
        <f>E76*10000</f>
        <v>20000</v>
      </c>
      <c r="G76" s="38">
        <f>E76*5500</f>
        <v>11000</v>
      </c>
      <c r="H76" s="38">
        <f>E76*4500</f>
        <v>9000</v>
      </c>
    </row>
    <row r="77" spans="1:8" x14ac:dyDescent="0.25">
      <c r="A77" s="29"/>
      <c r="B77" s="29"/>
      <c r="C77" s="29"/>
      <c r="D77" s="29" t="s">
        <v>441</v>
      </c>
      <c r="E77" s="29">
        <v>2</v>
      </c>
      <c r="F77" s="38">
        <f>E77*3000</f>
        <v>6000</v>
      </c>
      <c r="G77" s="38">
        <v>3000</v>
      </c>
      <c r="H77" s="38">
        <v>3000</v>
      </c>
    </row>
    <row r="78" spans="1:8" x14ac:dyDescent="0.25">
      <c r="A78" s="29"/>
      <c r="B78" s="29"/>
      <c r="C78" s="29"/>
      <c r="D78" s="29" t="s">
        <v>415</v>
      </c>
      <c r="E78" s="29">
        <v>1</v>
      </c>
      <c r="F78" s="38">
        <v>5000</v>
      </c>
      <c r="G78" s="38">
        <v>2500</v>
      </c>
      <c r="H78" s="38">
        <v>2500</v>
      </c>
    </row>
    <row r="79" spans="1:8" x14ac:dyDescent="0.25">
      <c r="A79" s="29"/>
      <c r="B79" s="29"/>
      <c r="C79" s="29"/>
      <c r="D79" s="29" t="s">
        <v>432</v>
      </c>
      <c r="E79" s="29">
        <v>1</v>
      </c>
      <c r="F79" s="38">
        <v>5000</v>
      </c>
      <c r="G79" s="38">
        <v>2500</v>
      </c>
      <c r="H79" s="38">
        <v>2500</v>
      </c>
    </row>
    <row r="80" spans="1:8" x14ac:dyDescent="0.25">
      <c r="A80" s="29"/>
      <c r="B80" s="29"/>
      <c r="C80" s="29"/>
      <c r="D80" s="29" t="s">
        <v>404</v>
      </c>
      <c r="E80" s="29">
        <v>4</v>
      </c>
      <c r="F80" s="38">
        <f>E80*2000</f>
        <v>8000</v>
      </c>
      <c r="G80" s="38">
        <v>4000</v>
      </c>
      <c r="H80" s="38">
        <v>4000</v>
      </c>
    </row>
    <row r="81" spans="1:8" x14ac:dyDescent="0.25">
      <c r="A81" s="125" t="s">
        <v>17</v>
      </c>
      <c r="B81" s="125"/>
      <c r="C81" s="125"/>
      <c r="D81" s="125"/>
      <c r="E81" s="17">
        <f>SUM(E69:E80)</f>
        <v>95</v>
      </c>
      <c r="F81" s="17">
        <f>SUM(F69:F80)</f>
        <v>616000</v>
      </c>
      <c r="G81" s="17">
        <f>SUM(G69:G80)</f>
        <v>369000</v>
      </c>
      <c r="H81" s="17">
        <f>SUM(H69:H80)</f>
        <v>247000</v>
      </c>
    </row>
    <row r="82" spans="1:8" x14ac:dyDescent="0.25">
      <c r="A82" s="29"/>
      <c r="B82" s="29"/>
      <c r="C82" s="29" t="s">
        <v>217</v>
      </c>
      <c r="D82" s="29" t="s">
        <v>11</v>
      </c>
      <c r="E82" s="29">
        <v>8</v>
      </c>
      <c r="F82" s="38">
        <f>E82*1500</f>
        <v>12000</v>
      </c>
      <c r="G82" s="38">
        <f>E82*500</f>
        <v>4000</v>
      </c>
      <c r="H82" s="38">
        <v>8000</v>
      </c>
    </row>
    <row r="83" spans="1:8" x14ac:dyDescent="0.25">
      <c r="A83" s="29"/>
      <c r="B83" s="29"/>
      <c r="C83" s="29"/>
      <c r="D83" s="29" t="s">
        <v>13</v>
      </c>
      <c r="E83" s="29">
        <v>15</v>
      </c>
      <c r="F83" s="38">
        <f>E83*6500</f>
        <v>97500</v>
      </c>
      <c r="G83" s="38">
        <f>E83*4500</f>
        <v>67500</v>
      </c>
      <c r="H83" s="38">
        <f>E83*2000</f>
        <v>30000</v>
      </c>
    </row>
    <row r="84" spans="1:8" x14ac:dyDescent="0.25">
      <c r="A84" s="29"/>
      <c r="B84" s="29"/>
      <c r="C84" s="29"/>
      <c r="D84" s="29" t="s">
        <v>14</v>
      </c>
      <c r="E84" s="29">
        <v>16</v>
      </c>
      <c r="F84" s="38">
        <f>E84*10000</f>
        <v>160000</v>
      </c>
      <c r="G84" s="38">
        <f>E84*5500</f>
        <v>88000</v>
      </c>
      <c r="H84" s="38">
        <f>E84*4500</f>
        <v>72000</v>
      </c>
    </row>
    <row r="85" spans="1:8" x14ac:dyDescent="0.25">
      <c r="A85" s="29"/>
      <c r="B85" s="29"/>
      <c r="C85" s="29"/>
      <c r="D85" s="29" t="s">
        <v>404</v>
      </c>
      <c r="E85" s="29">
        <v>13</v>
      </c>
      <c r="F85" s="38">
        <f>E85*2000</f>
        <v>26000</v>
      </c>
      <c r="G85" s="38">
        <v>13000</v>
      </c>
      <c r="H85" s="38">
        <v>13000</v>
      </c>
    </row>
    <row r="86" spans="1:8" x14ac:dyDescent="0.25">
      <c r="A86" s="29"/>
      <c r="B86" s="29"/>
      <c r="C86" s="29"/>
      <c r="D86" s="29" t="s">
        <v>437</v>
      </c>
      <c r="E86" s="29">
        <v>3</v>
      </c>
      <c r="F86" s="38">
        <f>E86*5000</f>
        <v>15000</v>
      </c>
      <c r="G86" s="38">
        <v>7500</v>
      </c>
      <c r="H86" s="38">
        <v>7500</v>
      </c>
    </row>
    <row r="87" spans="1:8" x14ac:dyDescent="0.25">
      <c r="A87" s="29"/>
      <c r="B87" s="29"/>
      <c r="C87" s="29"/>
      <c r="D87" s="29" t="s">
        <v>441</v>
      </c>
      <c r="E87" s="29">
        <v>1</v>
      </c>
      <c r="F87" s="38">
        <v>3000</v>
      </c>
      <c r="G87" s="38">
        <v>1500</v>
      </c>
      <c r="H87" s="38">
        <v>1500</v>
      </c>
    </row>
    <row r="88" spans="1:8" x14ac:dyDescent="0.25">
      <c r="A88" s="29"/>
      <c r="B88" s="29"/>
      <c r="C88" s="29" t="s">
        <v>399</v>
      </c>
      <c r="D88" s="29" t="s">
        <v>13</v>
      </c>
      <c r="E88" s="29">
        <v>9</v>
      </c>
      <c r="F88" s="38">
        <f>E88*6500</f>
        <v>58500</v>
      </c>
      <c r="G88" s="38">
        <f>E88*4500</f>
        <v>40500</v>
      </c>
      <c r="H88" s="38">
        <f>E88*2000</f>
        <v>18000</v>
      </c>
    </row>
    <row r="89" spans="1:8" x14ac:dyDescent="0.25">
      <c r="A89" s="29"/>
      <c r="B89" s="29"/>
      <c r="C89" s="29"/>
      <c r="D89" s="29" t="s">
        <v>14</v>
      </c>
      <c r="E89" s="29">
        <v>9</v>
      </c>
      <c r="F89" s="38">
        <f>E89*10000</f>
        <v>90000</v>
      </c>
      <c r="G89" s="38">
        <f>E89*5500</f>
        <v>49500</v>
      </c>
      <c r="H89" s="38">
        <f>E89*4500</f>
        <v>40500</v>
      </c>
    </row>
    <row r="90" spans="1:8" x14ac:dyDescent="0.25">
      <c r="A90" s="29"/>
      <c r="B90" s="29"/>
      <c r="C90" s="29" t="s">
        <v>16</v>
      </c>
      <c r="D90" s="29" t="s">
        <v>11</v>
      </c>
      <c r="E90" s="29">
        <v>49</v>
      </c>
      <c r="F90" s="38">
        <f>E90*1500</f>
        <v>73500</v>
      </c>
      <c r="G90" s="38">
        <f>E90*500</f>
        <v>24500</v>
      </c>
      <c r="H90" s="38">
        <f>E90*1000</f>
        <v>49000</v>
      </c>
    </row>
    <row r="91" spans="1:8" x14ac:dyDescent="0.25">
      <c r="A91" s="29"/>
      <c r="B91" s="29"/>
      <c r="C91" s="29"/>
      <c r="D91" s="29" t="s">
        <v>12</v>
      </c>
      <c r="E91" s="29">
        <v>2</v>
      </c>
      <c r="F91" s="38">
        <f>E91*3000</f>
        <v>6000</v>
      </c>
      <c r="G91" s="38">
        <v>4000</v>
      </c>
      <c r="H91" s="38">
        <v>2000</v>
      </c>
    </row>
    <row r="92" spans="1:8" x14ac:dyDescent="0.25">
      <c r="A92" s="29"/>
      <c r="B92" s="29"/>
      <c r="C92" s="29"/>
      <c r="D92" s="29" t="s">
        <v>14</v>
      </c>
      <c r="E92" s="29">
        <v>1</v>
      </c>
      <c r="F92" s="38">
        <v>10000</v>
      </c>
      <c r="G92" s="38">
        <v>5500</v>
      </c>
      <c r="H92" s="38">
        <v>4500</v>
      </c>
    </row>
    <row r="93" spans="1:8" x14ac:dyDescent="0.25">
      <c r="A93" s="29"/>
      <c r="B93" s="29"/>
      <c r="C93" s="29"/>
      <c r="D93" s="29" t="s">
        <v>243</v>
      </c>
      <c r="E93" s="29">
        <v>1</v>
      </c>
      <c r="F93" s="38">
        <v>13000</v>
      </c>
      <c r="G93" s="38">
        <v>10000</v>
      </c>
      <c r="H93" s="38">
        <v>3000</v>
      </c>
    </row>
    <row r="94" spans="1:8" x14ac:dyDescent="0.25">
      <c r="A94" s="29"/>
      <c r="B94" s="29"/>
      <c r="C94" s="29" t="s">
        <v>24</v>
      </c>
      <c r="D94" s="29" t="s">
        <v>243</v>
      </c>
      <c r="E94" s="29">
        <v>2</v>
      </c>
      <c r="F94" s="38">
        <f>E94*13000</f>
        <v>26000</v>
      </c>
      <c r="G94" s="38">
        <v>20000</v>
      </c>
      <c r="H94" s="38">
        <v>6000</v>
      </c>
    </row>
    <row r="95" spans="1:8" x14ac:dyDescent="0.25">
      <c r="A95" s="125" t="s">
        <v>17</v>
      </c>
      <c r="B95" s="125"/>
      <c r="C95" s="125"/>
      <c r="D95" s="125"/>
      <c r="E95" s="17">
        <f>SUM(E82:E94)</f>
        <v>129</v>
      </c>
      <c r="F95" s="17">
        <f>SUM(F82:F94)</f>
        <v>590500</v>
      </c>
      <c r="G95" s="17">
        <f>SUM(G82:G94)</f>
        <v>335500</v>
      </c>
      <c r="H95" s="17">
        <f>SUM(H82:H94)</f>
        <v>255000</v>
      </c>
    </row>
    <row r="96" spans="1:8" x14ac:dyDescent="0.25">
      <c r="A96" s="29" t="s">
        <v>30</v>
      </c>
      <c r="B96" s="37">
        <v>45206</v>
      </c>
      <c r="C96" s="29" t="s">
        <v>217</v>
      </c>
      <c r="D96" s="29" t="s">
        <v>13</v>
      </c>
      <c r="E96" s="29">
        <v>4</v>
      </c>
      <c r="F96" s="38">
        <f>E96*1500</f>
        <v>6000</v>
      </c>
      <c r="G96" s="38">
        <f>E96*500</f>
        <v>2000</v>
      </c>
      <c r="H96" s="38">
        <v>4000</v>
      </c>
    </row>
    <row r="97" spans="1:8" x14ac:dyDescent="0.25">
      <c r="A97" s="29"/>
      <c r="B97" s="29"/>
      <c r="C97" s="29"/>
      <c r="D97" s="29" t="s">
        <v>14</v>
      </c>
      <c r="E97" s="29">
        <v>2</v>
      </c>
      <c r="F97" s="38">
        <f>E97*10000</f>
        <v>20000</v>
      </c>
      <c r="G97" s="38">
        <f>E97*5500</f>
        <v>11000</v>
      </c>
      <c r="H97" s="38">
        <f>E97*4500</f>
        <v>9000</v>
      </c>
    </row>
    <row r="98" spans="1:8" x14ac:dyDescent="0.25">
      <c r="A98" s="29"/>
      <c r="B98" s="29"/>
      <c r="C98" s="29"/>
      <c r="D98" s="29" t="s">
        <v>415</v>
      </c>
      <c r="E98" s="29">
        <v>2</v>
      </c>
      <c r="F98" s="38">
        <f>E98*5000</f>
        <v>10000</v>
      </c>
      <c r="G98" s="38">
        <v>5000</v>
      </c>
      <c r="H98" s="38">
        <v>5000</v>
      </c>
    </row>
    <row r="99" spans="1:8" x14ac:dyDescent="0.25">
      <c r="A99" s="29"/>
      <c r="B99" s="29"/>
      <c r="C99" s="29" t="s">
        <v>16</v>
      </c>
      <c r="D99" s="29" t="s">
        <v>11</v>
      </c>
      <c r="E99" s="29">
        <v>71</v>
      </c>
      <c r="F99" s="38">
        <f>E99*1500</f>
        <v>106500</v>
      </c>
      <c r="G99" s="38">
        <f>E99*500</f>
        <v>35500</v>
      </c>
      <c r="H99" s="38">
        <f>E99*1000</f>
        <v>71000</v>
      </c>
    </row>
    <row r="100" spans="1:8" x14ac:dyDescent="0.25">
      <c r="A100" s="29"/>
      <c r="B100" s="29"/>
      <c r="C100" s="29"/>
      <c r="D100" s="29" t="s">
        <v>12</v>
      </c>
      <c r="E100" s="29">
        <v>4</v>
      </c>
      <c r="F100" s="38">
        <f>E100*3000</f>
        <v>12000</v>
      </c>
      <c r="G100" s="38">
        <f>E100*2000</f>
        <v>8000</v>
      </c>
      <c r="H100" s="38">
        <v>4000</v>
      </c>
    </row>
    <row r="101" spans="1:8" x14ac:dyDescent="0.25">
      <c r="A101" s="29"/>
      <c r="B101" s="29"/>
      <c r="C101" s="29"/>
      <c r="D101" s="29" t="s">
        <v>243</v>
      </c>
      <c r="E101" s="29">
        <v>1</v>
      </c>
      <c r="F101" s="38">
        <v>13000</v>
      </c>
      <c r="G101" s="38">
        <v>10000</v>
      </c>
      <c r="H101" s="38">
        <v>3000</v>
      </c>
    </row>
    <row r="102" spans="1:8" x14ac:dyDescent="0.25">
      <c r="A102" s="125" t="s">
        <v>17</v>
      </c>
      <c r="B102" s="125"/>
      <c r="C102" s="125"/>
      <c r="D102" s="125"/>
      <c r="E102" s="17">
        <f>SUM(E96:E101)</f>
        <v>84</v>
      </c>
      <c r="F102" s="17">
        <f>SUM(F96:F101)</f>
        <v>167500</v>
      </c>
      <c r="G102" s="17">
        <f>SUM(G96:G101)</f>
        <v>71500</v>
      </c>
      <c r="H102" s="17">
        <f>SUM(H96:H101)</f>
        <v>96000</v>
      </c>
    </row>
    <row r="103" spans="1:8" x14ac:dyDescent="0.25">
      <c r="A103" s="29" t="s">
        <v>32</v>
      </c>
      <c r="B103" s="37">
        <v>45237</v>
      </c>
      <c r="C103" s="29" t="s">
        <v>217</v>
      </c>
      <c r="D103" s="29" t="s">
        <v>11</v>
      </c>
      <c r="E103" s="29">
        <v>4</v>
      </c>
      <c r="F103" s="38">
        <f>E103*1500</f>
        <v>6000</v>
      </c>
      <c r="G103" s="38">
        <f>E103*500</f>
        <v>2000</v>
      </c>
      <c r="H103" s="38">
        <v>4000</v>
      </c>
    </row>
    <row r="104" spans="1:8" x14ac:dyDescent="0.25">
      <c r="A104" s="29"/>
      <c r="B104" s="29"/>
      <c r="C104" s="29"/>
      <c r="D104" s="29" t="s">
        <v>14</v>
      </c>
      <c r="E104" s="29">
        <v>1</v>
      </c>
      <c r="F104" s="38">
        <v>10000</v>
      </c>
      <c r="G104" s="38">
        <v>5500</v>
      </c>
      <c r="H104" s="38">
        <v>4500</v>
      </c>
    </row>
    <row r="105" spans="1:8" x14ac:dyDescent="0.25">
      <c r="A105" s="29"/>
      <c r="B105" s="29"/>
      <c r="C105" s="29"/>
      <c r="D105" s="29" t="s">
        <v>404</v>
      </c>
      <c r="E105" s="29">
        <v>1</v>
      </c>
      <c r="F105" s="38">
        <v>2000</v>
      </c>
      <c r="G105" s="38">
        <v>1000</v>
      </c>
      <c r="H105" s="38">
        <v>1000</v>
      </c>
    </row>
    <row r="106" spans="1:8" x14ac:dyDescent="0.25">
      <c r="A106" s="29"/>
      <c r="B106" s="29"/>
      <c r="C106" s="29"/>
      <c r="D106" s="29" t="s">
        <v>415</v>
      </c>
      <c r="E106" s="29">
        <v>1</v>
      </c>
      <c r="F106" s="38">
        <v>5000</v>
      </c>
      <c r="G106" s="38">
        <v>2500</v>
      </c>
      <c r="H106" s="38">
        <v>2500</v>
      </c>
    </row>
    <row r="107" spans="1:8" x14ac:dyDescent="0.25">
      <c r="A107" s="29"/>
      <c r="B107" s="29"/>
      <c r="C107" s="29" t="s">
        <v>16</v>
      </c>
      <c r="D107" s="29" t="s">
        <v>11</v>
      </c>
      <c r="E107" s="29">
        <v>37</v>
      </c>
      <c r="F107" s="38">
        <f>E107*1500</f>
        <v>55500</v>
      </c>
      <c r="G107" s="38">
        <f>E107*500</f>
        <v>18500</v>
      </c>
      <c r="H107" s="38">
        <f>E107*1000</f>
        <v>37000</v>
      </c>
    </row>
    <row r="108" spans="1:8" x14ac:dyDescent="0.25">
      <c r="A108" s="29"/>
      <c r="B108" s="29"/>
      <c r="C108" s="29"/>
      <c r="D108" s="29" t="s">
        <v>12</v>
      </c>
      <c r="E108" s="29">
        <v>2</v>
      </c>
      <c r="F108" s="38">
        <f>E108*3000</f>
        <v>6000</v>
      </c>
      <c r="G108" s="38">
        <v>3000</v>
      </c>
      <c r="H108" s="38">
        <v>3000</v>
      </c>
    </row>
    <row r="109" spans="1:8" x14ac:dyDescent="0.25">
      <c r="A109" s="29"/>
      <c r="B109" s="29"/>
      <c r="C109" s="29"/>
      <c r="D109" s="29" t="s">
        <v>13</v>
      </c>
      <c r="E109" s="29">
        <v>2</v>
      </c>
      <c r="F109" s="38">
        <f>E109*6500</f>
        <v>13000</v>
      </c>
      <c r="G109" s="38">
        <f>E109*4500</f>
        <v>9000</v>
      </c>
      <c r="H109" s="38">
        <f>E109*2000</f>
        <v>4000</v>
      </c>
    </row>
    <row r="110" spans="1:8" x14ac:dyDescent="0.25">
      <c r="A110" s="125" t="s">
        <v>17</v>
      </c>
      <c r="B110" s="125"/>
      <c r="C110" s="125"/>
      <c r="D110" s="125"/>
      <c r="E110" s="17">
        <f>SUM(E103:E109)</f>
        <v>48</v>
      </c>
      <c r="F110" s="17">
        <f>SUM(F103:F109)</f>
        <v>97500</v>
      </c>
      <c r="G110" s="17">
        <f>SUM(G103:G109)</f>
        <v>41500</v>
      </c>
      <c r="H110" s="17">
        <f>SUM(H103:H109)</f>
        <v>56000</v>
      </c>
    </row>
    <row r="111" spans="1:8" x14ac:dyDescent="0.25">
      <c r="A111" s="29" t="s">
        <v>8</v>
      </c>
      <c r="B111" s="37">
        <v>45267</v>
      </c>
      <c r="C111" s="29" t="s">
        <v>16</v>
      </c>
      <c r="D111" s="29" t="s">
        <v>11</v>
      </c>
      <c r="E111" s="29">
        <v>70</v>
      </c>
      <c r="F111" s="38">
        <f>E111*1500</f>
        <v>105000</v>
      </c>
      <c r="G111" s="38">
        <f>E111*500</f>
        <v>35000</v>
      </c>
      <c r="H111" s="38">
        <f>E111*1000</f>
        <v>70000</v>
      </c>
    </row>
    <row r="112" spans="1:8" x14ac:dyDescent="0.25">
      <c r="A112" s="29"/>
      <c r="B112" s="29"/>
      <c r="C112" s="29"/>
      <c r="D112" s="29" t="s">
        <v>12</v>
      </c>
      <c r="E112" s="29">
        <v>8</v>
      </c>
      <c r="F112" s="38">
        <f>E112*3000</f>
        <v>24000</v>
      </c>
      <c r="G112" s="38">
        <f>E112*2000</f>
        <v>16000</v>
      </c>
      <c r="H112" s="38">
        <v>8000</v>
      </c>
    </row>
    <row r="113" spans="1:8" x14ac:dyDescent="0.25">
      <c r="A113" s="29"/>
      <c r="B113" s="29"/>
      <c r="C113" s="29"/>
      <c r="D113" s="29" t="s">
        <v>13</v>
      </c>
      <c r="E113" s="29">
        <v>2</v>
      </c>
      <c r="F113" s="38">
        <f>E113*6500</f>
        <v>13000</v>
      </c>
      <c r="G113" s="38">
        <f>E113*4500</f>
        <v>9000</v>
      </c>
      <c r="H113" s="38">
        <f>E113*2000</f>
        <v>4000</v>
      </c>
    </row>
    <row r="114" spans="1:8" x14ac:dyDescent="0.25">
      <c r="A114" s="29"/>
      <c r="B114" s="29"/>
      <c r="C114" s="29"/>
      <c r="D114" s="29" t="s">
        <v>14</v>
      </c>
      <c r="E114" s="29">
        <v>2</v>
      </c>
      <c r="F114" s="38">
        <f>E114*10000</f>
        <v>20000</v>
      </c>
      <c r="G114" s="38">
        <f>E114*5500</f>
        <v>11000</v>
      </c>
      <c r="H114" s="38">
        <f>E114*4500</f>
        <v>9000</v>
      </c>
    </row>
    <row r="115" spans="1:8" x14ac:dyDescent="0.25">
      <c r="A115" s="29"/>
      <c r="B115" s="29"/>
      <c r="C115" s="29"/>
      <c r="D115" s="29" t="s">
        <v>243</v>
      </c>
      <c r="E115" s="29">
        <v>1</v>
      </c>
      <c r="F115" s="38">
        <v>13000</v>
      </c>
      <c r="G115" s="38">
        <v>10000</v>
      </c>
      <c r="H115" s="38">
        <v>3000</v>
      </c>
    </row>
    <row r="116" spans="1:8" x14ac:dyDescent="0.25">
      <c r="A116" s="29"/>
      <c r="B116" s="29"/>
      <c r="C116" s="29" t="s">
        <v>127</v>
      </c>
      <c r="D116" s="29" t="s">
        <v>21</v>
      </c>
      <c r="E116" s="29">
        <v>5</v>
      </c>
      <c r="F116" s="38">
        <f>E116*15000</f>
        <v>75000</v>
      </c>
      <c r="G116" s="38">
        <f>E116*10000</f>
        <v>50000</v>
      </c>
      <c r="H116" s="38">
        <v>25000</v>
      </c>
    </row>
    <row r="117" spans="1:8" x14ac:dyDescent="0.25">
      <c r="A117" s="29"/>
      <c r="B117" s="29"/>
      <c r="C117" s="29"/>
      <c r="D117" s="29" t="s">
        <v>243</v>
      </c>
      <c r="E117" s="29">
        <v>1</v>
      </c>
      <c r="F117" s="38">
        <v>13000</v>
      </c>
      <c r="G117" s="38">
        <v>10000</v>
      </c>
      <c r="H117" s="38">
        <v>3000</v>
      </c>
    </row>
    <row r="118" spans="1:8" x14ac:dyDescent="0.25">
      <c r="A118" s="29"/>
      <c r="B118" s="29"/>
      <c r="C118" s="29" t="s">
        <v>24</v>
      </c>
      <c r="D118" s="29" t="s">
        <v>243</v>
      </c>
      <c r="E118" s="29">
        <v>2</v>
      </c>
      <c r="F118" s="38">
        <f>E118*13000</f>
        <v>26000</v>
      </c>
      <c r="G118" s="38">
        <v>20000</v>
      </c>
      <c r="H118" s="38">
        <v>6000</v>
      </c>
    </row>
    <row r="119" spans="1:8" x14ac:dyDescent="0.25">
      <c r="A119" s="29"/>
      <c r="B119" s="29"/>
      <c r="C119" s="29" t="s">
        <v>24</v>
      </c>
      <c r="D119" s="29" t="s">
        <v>243</v>
      </c>
      <c r="E119" s="29">
        <v>1</v>
      </c>
      <c r="F119" s="38">
        <v>13000</v>
      </c>
      <c r="G119" s="38">
        <v>10000</v>
      </c>
      <c r="H119" s="38">
        <v>3000</v>
      </c>
    </row>
    <row r="120" spans="1:8" x14ac:dyDescent="0.25">
      <c r="A120" s="29"/>
      <c r="B120" s="29"/>
      <c r="C120" s="29"/>
      <c r="D120" s="29" t="s">
        <v>592</v>
      </c>
      <c r="E120" s="29">
        <v>1</v>
      </c>
      <c r="F120" s="38">
        <v>18000</v>
      </c>
      <c r="G120" s="38">
        <v>10000</v>
      </c>
      <c r="H120" s="38">
        <v>8000</v>
      </c>
    </row>
    <row r="121" spans="1:8" x14ac:dyDescent="0.25">
      <c r="A121" s="29"/>
      <c r="B121" s="29"/>
      <c r="C121" s="29" t="s">
        <v>217</v>
      </c>
      <c r="D121" s="29" t="s">
        <v>13</v>
      </c>
      <c r="E121" s="29">
        <v>9</v>
      </c>
      <c r="F121" s="38">
        <f>E121*6500</f>
        <v>58500</v>
      </c>
      <c r="G121" s="38">
        <f>E121*4500</f>
        <v>40500</v>
      </c>
      <c r="H121" s="38">
        <f>E121*2000</f>
        <v>18000</v>
      </c>
    </row>
    <row r="122" spans="1:8" x14ac:dyDescent="0.25">
      <c r="A122" s="29"/>
      <c r="B122" s="29"/>
      <c r="C122" s="29"/>
      <c r="D122" s="29" t="s">
        <v>14</v>
      </c>
      <c r="E122" s="29">
        <v>4</v>
      </c>
      <c r="F122" s="38">
        <f>E122*10000</f>
        <v>40000</v>
      </c>
      <c r="G122" s="38">
        <f>E122*5500</f>
        <v>22000</v>
      </c>
      <c r="H122" s="38">
        <f>E122*4500</f>
        <v>18000</v>
      </c>
    </row>
    <row r="123" spans="1:8" x14ac:dyDescent="0.25">
      <c r="A123" s="29"/>
      <c r="B123" s="29"/>
      <c r="C123" s="29"/>
      <c r="D123" s="29" t="s">
        <v>437</v>
      </c>
      <c r="E123" s="29">
        <v>2</v>
      </c>
      <c r="F123" s="38">
        <f>E123*5000</f>
        <v>10000</v>
      </c>
      <c r="G123" s="38">
        <v>5000</v>
      </c>
      <c r="H123" s="38">
        <v>5000</v>
      </c>
    </row>
    <row r="124" spans="1:8" x14ac:dyDescent="0.25">
      <c r="A124" s="126" t="s">
        <v>17</v>
      </c>
      <c r="B124" s="126"/>
      <c r="C124" s="126"/>
      <c r="D124" s="126"/>
      <c r="E124" s="17">
        <f>SUM(E111:E123)</f>
        <v>108</v>
      </c>
      <c r="F124" s="17">
        <f t="shared" ref="F124:H124" si="0">SUM(F111:F123)</f>
        <v>428500</v>
      </c>
      <c r="G124" s="17">
        <f t="shared" si="0"/>
        <v>248500</v>
      </c>
      <c r="H124" s="17">
        <f t="shared" si="0"/>
        <v>180000</v>
      </c>
    </row>
    <row r="125" spans="1:8" x14ac:dyDescent="0.25">
      <c r="A125" s="29" t="s">
        <v>18</v>
      </c>
      <c r="B125" s="29" t="s">
        <v>632</v>
      </c>
      <c r="C125" s="29" t="s">
        <v>217</v>
      </c>
      <c r="D125" s="29" t="s">
        <v>13</v>
      </c>
      <c r="E125" s="29">
        <v>3</v>
      </c>
      <c r="F125" s="38">
        <f>E125*6500</f>
        <v>19500</v>
      </c>
      <c r="G125" s="38">
        <f>E125*4500</f>
        <v>13500</v>
      </c>
      <c r="H125" s="38">
        <f>E125*2000</f>
        <v>6000</v>
      </c>
    </row>
    <row r="126" spans="1:8" x14ac:dyDescent="0.25">
      <c r="A126" s="29"/>
      <c r="B126" s="29"/>
      <c r="C126" s="29"/>
      <c r="D126" s="29" t="s">
        <v>14</v>
      </c>
      <c r="E126" s="29">
        <v>1</v>
      </c>
      <c r="F126" s="38">
        <v>10000</v>
      </c>
      <c r="G126" s="38">
        <v>5500</v>
      </c>
      <c r="H126" s="38">
        <v>4500</v>
      </c>
    </row>
    <row r="127" spans="1:8" x14ac:dyDescent="0.25">
      <c r="A127" s="29"/>
      <c r="B127" s="29"/>
      <c r="C127" s="29" t="s">
        <v>16</v>
      </c>
      <c r="D127" s="29" t="s">
        <v>11</v>
      </c>
      <c r="E127" s="29">
        <v>77</v>
      </c>
      <c r="F127" s="38">
        <f>E127*1500</f>
        <v>115500</v>
      </c>
      <c r="G127" s="38">
        <f>E127*500</f>
        <v>38500</v>
      </c>
      <c r="H127" s="38">
        <v>77000</v>
      </c>
    </row>
    <row r="128" spans="1:8" x14ac:dyDescent="0.25">
      <c r="A128" s="29"/>
      <c r="B128" s="29"/>
      <c r="C128" s="29"/>
      <c r="D128" s="29" t="s">
        <v>12</v>
      </c>
      <c r="E128" s="29">
        <v>6</v>
      </c>
      <c r="F128" s="38">
        <f>E128*3000</f>
        <v>18000</v>
      </c>
      <c r="G128" s="38">
        <v>12000</v>
      </c>
      <c r="H128" s="38">
        <v>6000</v>
      </c>
    </row>
    <row r="129" spans="1:8" x14ac:dyDescent="0.25">
      <c r="A129" s="29"/>
      <c r="B129" s="29"/>
      <c r="C129" s="29"/>
      <c r="D129" s="29" t="s">
        <v>243</v>
      </c>
      <c r="E129" s="29">
        <v>1</v>
      </c>
      <c r="F129" s="38">
        <v>13000</v>
      </c>
      <c r="G129" s="38">
        <v>10000</v>
      </c>
      <c r="H129" s="38">
        <v>5000</v>
      </c>
    </row>
    <row r="130" spans="1:8" x14ac:dyDescent="0.25">
      <c r="A130" s="125" t="s">
        <v>17</v>
      </c>
      <c r="B130" s="125"/>
      <c r="C130" s="125"/>
      <c r="D130" s="125"/>
      <c r="E130" s="17">
        <f>SUM(E125:E129)</f>
        <v>88</v>
      </c>
      <c r="F130" s="17">
        <f t="shared" ref="F130:H130" si="1">SUM(F125:F129)</f>
        <v>176000</v>
      </c>
      <c r="G130" s="17">
        <f t="shared" si="1"/>
        <v>79500</v>
      </c>
      <c r="H130" s="17">
        <f t="shared" si="1"/>
        <v>98500</v>
      </c>
    </row>
    <row r="131" spans="1:8" x14ac:dyDescent="0.25">
      <c r="A131" s="29" t="s">
        <v>22</v>
      </c>
      <c r="B131" s="29" t="s">
        <v>633</v>
      </c>
      <c r="C131" s="29" t="s">
        <v>16</v>
      </c>
      <c r="D131" s="29" t="s">
        <v>11</v>
      </c>
      <c r="E131" s="29">
        <v>38</v>
      </c>
      <c r="F131" s="38">
        <f>E131*1500</f>
        <v>57000</v>
      </c>
      <c r="G131" s="38">
        <f>E131*500</f>
        <v>19000</v>
      </c>
      <c r="H131" s="38">
        <f>E131*1000</f>
        <v>38000</v>
      </c>
    </row>
    <row r="132" spans="1:8" x14ac:dyDescent="0.25">
      <c r="A132" s="29"/>
      <c r="B132" s="29"/>
      <c r="C132" s="29"/>
      <c r="D132" s="29" t="s">
        <v>13</v>
      </c>
      <c r="E132" s="29">
        <v>1</v>
      </c>
      <c r="F132" s="38">
        <v>6500</v>
      </c>
      <c r="G132" s="38">
        <v>4500</v>
      </c>
      <c r="H132" s="38">
        <v>2000</v>
      </c>
    </row>
    <row r="133" spans="1:8" x14ac:dyDescent="0.25">
      <c r="A133" s="29"/>
      <c r="B133" s="29"/>
      <c r="C133" s="29" t="s">
        <v>217</v>
      </c>
      <c r="D133" s="29" t="s">
        <v>11</v>
      </c>
      <c r="E133" s="29">
        <v>9</v>
      </c>
      <c r="F133" s="38">
        <f>E133*1500</f>
        <v>13500</v>
      </c>
      <c r="G133" s="38">
        <f>E133*500</f>
        <v>4500</v>
      </c>
      <c r="H133" s="38">
        <v>9000</v>
      </c>
    </row>
    <row r="134" spans="1:8" x14ac:dyDescent="0.25">
      <c r="A134" s="29"/>
      <c r="B134" s="29"/>
      <c r="C134" s="29"/>
      <c r="D134" s="29" t="s">
        <v>13</v>
      </c>
      <c r="E134" s="29">
        <v>2</v>
      </c>
      <c r="F134" s="38">
        <f>E134*6500</f>
        <v>13000</v>
      </c>
      <c r="G134" s="38">
        <f>E134*4500</f>
        <v>9000</v>
      </c>
      <c r="H134" s="38">
        <v>4999</v>
      </c>
    </row>
    <row r="135" spans="1:8" x14ac:dyDescent="0.25">
      <c r="A135" s="29"/>
      <c r="B135" s="29"/>
      <c r="C135" s="29"/>
      <c r="D135" s="29" t="s">
        <v>14</v>
      </c>
      <c r="E135" s="29">
        <v>1</v>
      </c>
      <c r="F135" s="38">
        <v>10000</v>
      </c>
      <c r="G135" s="38">
        <v>5500</v>
      </c>
      <c r="H135" s="38">
        <v>4500</v>
      </c>
    </row>
    <row r="136" spans="1:8" x14ac:dyDescent="0.25">
      <c r="A136" s="29"/>
      <c r="B136" s="29"/>
      <c r="C136" s="29"/>
      <c r="D136" s="29" t="s">
        <v>404</v>
      </c>
      <c r="E136" s="29">
        <v>5</v>
      </c>
      <c r="F136" s="38">
        <f>E136*2000</f>
        <v>10000</v>
      </c>
      <c r="G136" s="38">
        <v>5000</v>
      </c>
      <c r="H136" s="38">
        <v>5000</v>
      </c>
    </row>
    <row r="137" spans="1:8" x14ac:dyDescent="0.25">
      <c r="A137" s="29"/>
      <c r="B137" s="29"/>
      <c r="C137" s="29"/>
      <c r="D137" s="29" t="s">
        <v>415</v>
      </c>
      <c r="E137" s="29">
        <v>1</v>
      </c>
      <c r="F137" s="38">
        <v>5000</v>
      </c>
      <c r="G137" s="38">
        <v>25000</v>
      </c>
      <c r="H137" s="38">
        <v>25000</v>
      </c>
    </row>
    <row r="138" spans="1:8" x14ac:dyDescent="0.25">
      <c r="A138" s="29"/>
      <c r="B138" s="29"/>
      <c r="C138" s="29" t="s">
        <v>24</v>
      </c>
      <c r="D138" s="29" t="s">
        <v>243</v>
      </c>
      <c r="E138" s="29">
        <v>1</v>
      </c>
      <c r="F138" s="38">
        <v>13000</v>
      </c>
      <c r="G138" s="38">
        <v>10000</v>
      </c>
      <c r="H138" s="38">
        <v>3000</v>
      </c>
    </row>
    <row r="139" spans="1:8" x14ac:dyDescent="0.25">
      <c r="A139" s="125" t="s">
        <v>17</v>
      </c>
      <c r="B139" s="125"/>
      <c r="C139" s="125"/>
      <c r="D139" s="125"/>
      <c r="E139" s="17">
        <f>SUM(E131:E138)</f>
        <v>58</v>
      </c>
      <c r="F139" s="17">
        <f t="shared" ref="F139:H139" si="2">SUM(F131:F138)</f>
        <v>128000</v>
      </c>
      <c r="G139" s="17">
        <f t="shared" si="2"/>
        <v>82500</v>
      </c>
      <c r="H139" s="17">
        <f t="shared" si="2"/>
        <v>91499</v>
      </c>
    </row>
    <row r="140" spans="1:8" x14ac:dyDescent="0.25">
      <c r="A140" s="29" t="s">
        <v>26</v>
      </c>
      <c r="B140" s="29" t="s">
        <v>634</v>
      </c>
      <c r="C140" s="29" t="s">
        <v>16</v>
      </c>
      <c r="D140" s="29" t="s">
        <v>11</v>
      </c>
      <c r="E140" s="29">
        <v>39</v>
      </c>
      <c r="F140" s="38">
        <f>E140*1500</f>
        <v>58500</v>
      </c>
      <c r="G140" s="38">
        <f>E140*500</f>
        <v>19500</v>
      </c>
      <c r="H140" s="38">
        <v>39000</v>
      </c>
    </row>
    <row r="141" spans="1:8" x14ac:dyDescent="0.25">
      <c r="A141" s="29"/>
      <c r="B141" s="29"/>
      <c r="C141" s="29"/>
      <c r="D141" s="29" t="s">
        <v>12</v>
      </c>
      <c r="E141" s="29">
        <v>6</v>
      </c>
      <c r="F141" s="38">
        <f>E141*3000</f>
        <v>18000</v>
      </c>
      <c r="G141" s="38">
        <v>12000</v>
      </c>
      <c r="H141" s="38">
        <v>6000</v>
      </c>
    </row>
    <row r="142" spans="1:8" x14ac:dyDescent="0.25">
      <c r="A142" s="29"/>
      <c r="B142" s="29"/>
      <c r="C142" s="29" t="s">
        <v>217</v>
      </c>
      <c r="D142" s="29" t="s">
        <v>11</v>
      </c>
      <c r="E142" s="29">
        <v>4</v>
      </c>
      <c r="F142" s="38">
        <f>E142*1500</f>
        <v>6000</v>
      </c>
      <c r="G142" s="38">
        <f>E142*500</f>
        <v>2000</v>
      </c>
      <c r="H142" s="38">
        <v>4000</v>
      </c>
    </row>
    <row r="143" spans="1:8" x14ac:dyDescent="0.25">
      <c r="A143" s="29"/>
      <c r="B143" s="29"/>
      <c r="C143" s="29"/>
      <c r="D143" s="29" t="s">
        <v>13</v>
      </c>
      <c r="E143" s="29">
        <v>4</v>
      </c>
      <c r="F143" s="38">
        <f>E143*6500</f>
        <v>26000</v>
      </c>
      <c r="G143" s="38">
        <f>E143*4500</f>
        <v>18000</v>
      </c>
      <c r="H143" s="38">
        <v>8000</v>
      </c>
    </row>
    <row r="144" spans="1:8" x14ac:dyDescent="0.25">
      <c r="A144" s="29"/>
      <c r="B144" s="29"/>
      <c r="C144" s="29"/>
      <c r="D144" s="29" t="s">
        <v>404</v>
      </c>
      <c r="E144" s="29">
        <v>2</v>
      </c>
      <c r="F144" s="38">
        <v>4000</v>
      </c>
      <c r="G144" s="38">
        <v>2000</v>
      </c>
      <c r="H144" s="38">
        <v>2000</v>
      </c>
    </row>
    <row r="145" spans="1:8" x14ac:dyDescent="0.25">
      <c r="A145" s="29"/>
      <c r="B145" s="29"/>
      <c r="C145" s="29"/>
      <c r="D145" s="29" t="s">
        <v>436</v>
      </c>
      <c r="E145" s="29">
        <v>1</v>
      </c>
      <c r="F145" s="38">
        <v>3000</v>
      </c>
      <c r="G145" s="38">
        <v>1500</v>
      </c>
      <c r="H145" s="38">
        <v>1500</v>
      </c>
    </row>
    <row r="146" spans="1:8" x14ac:dyDescent="0.25">
      <c r="A146" s="29"/>
      <c r="B146" s="29"/>
      <c r="C146" s="29"/>
      <c r="D146" s="29" t="s">
        <v>415</v>
      </c>
      <c r="E146" s="29">
        <v>2</v>
      </c>
      <c r="F146" s="38">
        <v>10000</v>
      </c>
      <c r="G146" s="38">
        <v>5000</v>
      </c>
      <c r="H146" s="38">
        <v>5000</v>
      </c>
    </row>
    <row r="147" spans="1:8" x14ac:dyDescent="0.25">
      <c r="A147" s="29"/>
      <c r="B147" s="29"/>
      <c r="C147" s="29"/>
      <c r="D147" s="29" t="s">
        <v>437</v>
      </c>
      <c r="E147" s="29">
        <v>3</v>
      </c>
      <c r="F147" s="38">
        <v>15000</v>
      </c>
      <c r="G147" s="38">
        <v>7500</v>
      </c>
      <c r="H147" s="38">
        <v>7500</v>
      </c>
    </row>
    <row r="148" spans="1:8" x14ac:dyDescent="0.25">
      <c r="A148" s="125" t="s">
        <v>17</v>
      </c>
      <c r="B148" s="125"/>
      <c r="C148" s="125"/>
      <c r="D148" s="125"/>
      <c r="E148" s="17">
        <f>SUM(E140:E147)</f>
        <v>61</v>
      </c>
      <c r="F148" s="17">
        <f t="shared" ref="F148:H148" si="3">SUM(F140:F147)</f>
        <v>140500</v>
      </c>
      <c r="G148" s="17">
        <f t="shared" si="3"/>
        <v>67500</v>
      </c>
      <c r="H148" s="17">
        <f t="shared" si="3"/>
        <v>73000</v>
      </c>
    </row>
    <row r="149" spans="1:8" x14ac:dyDescent="0.25">
      <c r="A149" s="29" t="s">
        <v>28</v>
      </c>
      <c r="B149" s="29" t="s">
        <v>635</v>
      </c>
      <c r="C149" s="29" t="s">
        <v>217</v>
      </c>
      <c r="D149" s="29" t="s">
        <v>11</v>
      </c>
      <c r="E149" s="29">
        <v>10</v>
      </c>
      <c r="F149" s="38">
        <f>E149*1500</f>
        <v>15000</v>
      </c>
      <c r="G149" s="38">
        <f>E149*500</f>
        <v>5000</v>
      </c>
      <c r="H149" s="38">
        <v>10000</v>
      </c>
    </row>
    <row r="150" spans="1:8" x14ac:dyDescent="0.25">
      <c r="A150" s="29"/>
      <c r="B150" s="29"/>
      <c r="C150" s="29"/>
      <c r="D150" s="29" t="s">
        <v>13</v>
      </c>
      <c r="E150" s="29">
        <v>18</v>
      </c>
      <c r="F150" s="38">
        <f>E150*6500</f>
        <v>117000</v>
      </c>
      <c r="G150" s="38">
        <f>E150*4500</f>
        <v>81000</v>
      </c>
      <c r="H150" s="38">
        <f>E150*2000</f>
        <v>36000</v>
      </c>
    </row>
    <row r="151" spans="1:8" x14ac:dyDescent="0.25">
      <c r="A151" s="29"/>
      <c r="B151" s="29"/>
      <c r="C151" s="29"/>
      <c r="D151" s="29" t="s">
        <v>14</v>
      </c>
      <c r="E151" s="29">
        <v>7</v>
      </c>
      <c r="F151" s="38">
        <f>E151*10000</f>
        <v>70000</v>
      </c>
      <c r="G151" s="38">
        <f>E151*5500</f>
        <v>38500</v>
      </c>
      <c r="H151" s="38">
        <f>E151*4500</f>
        <v>31500</v>
      </c>
    </row>
    <row r="152" spans="1:8" x14ac:dyDescent="0.25">
      <c r="A152" s="29"/>
      <c r="B152" s="29"/>
      <c r="C152" s="29"/>
      <c r="D152" s="29" t="s">
        <v>14</v>
      </c>
      <c r="E152" s="29">
        <v>10</v>
      </c>
      <c r="F152" s="38">
        <f>E152*8000</f>
        <v>80000</v>
      </c>
      <c r="G152" s="38">
        <f>E152*5500</f>
        <v>55000</v>
      </c>
      <c r="H152" s="38">
        <f>E152*2500</f>
        <v>25000</v>
      </c>
    </row>
    <row r="153" spans="1:8" x14ac:dyDescent="0.25">
      <c r="A153" s="29"/>
      <c r="B153" s="29"/>
      <c r="C153" s="29"/>
      <c r="D153" s="29" t="s">
        <v>404</v>
      </c>
      <c r="E153" s="29">
        <v>3</v>
      </c>
      <c r="F153" s="38">
        <v>6000</v>
      </c>
      <c r="G153" s="38">
        <v>3000</v>
      </c>
      <c r="H153" s="38">
        <v>3000</v>
      </c>
    </row>
    <row r="154" spans="1:8" x14ac:dyDescent="0.25">
      <c r="A154" s="29"/>
      <c r="B154" s="29"/>
      <c r="C154" s="29"/>
      <c r="D154" s="29" t="s">
        <v>441</v>
      </c>
      <c r="E154" s="29">
        <v>4</v>
      </c>
      <c r="F154" s="38">
        <v>12000</v>
      </c>
      <c r="G154" s="38">
        <v>6000</v>
      </c>
      <c r="H154" s="38">
        <v>6000</v>
      </c>
    </row>
    <row r="155" spans="1:8" x14ac:dyDescent="0.25">
      <c r="A155" s="29"/>
      <c r="B155" s="29"/>
      <c r="C155" s="29"/>
      <c r="D155" s="29" t="s">
        <v>437</v>
      </c>
      <c r="E155" s="29">
        <v>1</v>
      </c>
      <c r="F155" s="38">
        <v>5000</v>
      </c>
      <c r="G155" s="38">
        <v>2500</v>
      </c>
      <c r="H155" s="38">
        <v>2500</v>
      </c>
    </row>
    <row r="156" spans="1:8" x14ac:dyDescent="0.25">
      <c r="A156" s="29"/>
      <c r="B156" s="29"/>
      <c r="C156" s="29" t="s">
        <v>399</v>
      </c>
      <c r="D156" s="29" t="s">
        <v>11</v>
      </c>
      <c r="E156" s="29">
        <v>9</v>
      </c>
      <c r="F156" s="38">
        <f>E156*1500</f>
        <v>13500</v>
      </c>
      <c r="G156" s="38">
        <f>E156*500</f>
        <v>4500</v>
      </c>
      <c r="H156" s="38">
        <v>9000</v>
      </c>
    </row>
    <row r="157" spans="1:8" x14ac:dyDescent="0.25">
      <c r="A157" s="29"/>
      <c r="B157" s="29"/>
      <c r="C157" s="29"/>
      <c r="D157" s="29" t="s">
        <v>13</v>
      </c>
      <c r="E157" s="29">
        <v>32</v>
      </c>
      <c r="F157" s="38">
        <f>E157*6500</f>
        <v>208000</v>
      </c>
      <c r="G157" s="38">
        <f>E157*4500</f>
        <v>144000</v>
      </c>
      <c r="H157" s="38">
        <f>E157*2000</f>
        <v>64000</v>
      </c>
    </row>
    <row r="158" spans="1:8" x14ac:dyDescent="0.25">
      <c r="A158" s="29"/>
      <c r="B158" s="29"/>
      <c r="C158" s="29"/>
      <c r="D158" s="29" t="s">
        <v>14</v>
      </c>
      <c r="E158" s="29">
        <v>9</v>
      </c>
      <c r="F158" s="38">
        <f>E158*8000</f>
        <v>72000</v>
      </c>
      <c r="G158" s="38">
        <f>E158*5500</f>
        <v>49500</v>
      </c>
      <c r="H158" s="38">
        <f>E158*2500</f>
        <v>22500</v>
      </c>
    </row>
    <row r="159" spans="1:8" x14ac:dyDescent="0.25">
      <c r="A159" s="29"/>
      <c r="B159" s="29"/>
      <c r="C159" s="29"/>
      <c r="D159" s="29" t="s">
        <v>14</v>
      </c>
      <c r="E159" s="29">
        <v>23</v>
      </c>
      <c r="F159" s="38">
        <f>E159*10000</f>
        <v>230000</v>
      </c>
      <c r="G159" s="38">
        <f>E159*5500</f>
        <v>126500</v>
      </c>
      <c r="H159" s="38">
        <f>E159*4500</f>
        <v>103500</v>
      </c>
    </row>
    <row r="160" spans="1:8" x14ac:dyDescent="0.25">
      <c r="A160" s="29"/>
      <c r="B160" s="29"/>
      <c r="C160" s="29"/>
      <c r="D160" s="29" t="s">
        <v>404</v>
      </c>
      <c r="E160" s="29">
        <v>2</v>
      </c>
      <c r="F160" s="38">
        <v>4000</v>
      </c>
      <c r="G160" s="38">
        <v>2000</v>
      </c>
      <c r="H160" s="38">
        <v>2000</v>
      </c>
    </row>
    <row r="161" spans="1:8" x14ac:dyDescent="0.25">
      <c r="A161" s="29"/>
      <c r="B161" s="29"/>
      <c r="C161" s="29"/>
      <c r="D161" s="29" t="s">
        <v>436</v>
      </c>
      <c r="E161" s="29">
        <v>1</v>
      </c>
      <c r="F161" s="38">
        <v>3000</v>
      </c>
      <c r="G161" s="38">
        <v>1500</v>
      </c>
      <c r="H161" s="38">
        <v>1500</v>
      </c>
    </row>
    <row r="162" spans="1:8" x14ac:dyDescent="0.25">
      <c r="A162" s="125" t="s">
        <v>17</v>
      </c>
      <c r="B162" s="125"/>
      <c r="C162" s="125"/>
      <c r="D162" s="125"/>
      <c r="E162" s="17">
        <f>SUM(E149:E161)</f>
        <v>129</v>
      </c>
      <c r="F162" s="17">
        <f t="shared" ref="F162:H162" si="4">SUM(F149:F161)</f>
        <v>835500</v>
      </c>
      <c r="G162" s="17">
        <f t="shared" si="4"/>
        <v>519000</v>
      </c>
      <c r="H162" s="17">
        <f t="shared" si="4"/>
        <v>316500</v>
      </c>
    </row>
    <row r="163" spans="1:8" x14ac:dyDescent="0.25">
      <c r="A163" s="29"/>
      <c r="B163" s="29"/>
      <c r="C163" s="29" t="s">
        <v>16</v>
      </c>
      <c r="D163" s="29" t="s">
        <v>11</v>
      </c>
      <c r="E163" s="29">
        <v>50</v>
      </c>
      <c r="F163" s="38">
        <f>E163*1500</f>
        <v>75000</v>
      </c>
      <c r="G163" s="38">
        <f>E163*500</f>
        <v>25000</v>
      </c>
      <c r="H163" s="38">
        <v>50000</v>
      </c>
    </row>
    <row r="164" spans="1:8" x14ac:dyDescent="0.25">
      <c r="A164" s="29" t="s">
        <v>30</v>
      </c>
      <c r="B164" s="29" t="s">
        <v>636</v>
      </c>
      <c r="C164" s="29" t="s">
        <v>16</v>
      </c>
      <c r="D164" s="29" t="s">
        <v>11</v>
      </c>
      <c r="E164" s="29">
        <v>19</v>
      </c>
      <c r="F164" s="38">
        <f>E164*1500</f>
        <v>28500</v>
      </c>
      <c r="G164" s="38">
        <f>E164*500</f>
        <v>9500</v>
      </c>
      <c r="H164" s="38">
        <v>19000</v>
      </c>
    </row>
    <row r="165" spans="1:8" x14ac:dyDescent="0.25">
      <c r="A165" s="29"/>
      <c r="B165" s="29"/>
      <c r="C165" s="29"/>
      <c r="D165" s="29" t="s">
        <v>12</v>
      </c>
      <c r="E165" s="29">
        <v>1</v>
      </c>
      <c r="F165" s="38">
        <v>3000</v>
      </c>
      <c r="G165" s="38">
        <v>2000</v>
      </c>
      <c r="H165" s="38">
        <v>1000</v>
      </c>
    </row>
    <row r="166" spans="1:8" x14ac:dyDescent="0.25">
      <c r="A166" s="29"/>
      <c r="B166" s="29"/>
      <c r="C166" s="29"/>
      <c r="D166" s="29" t="s">
        <v>13</v>
      </c>
      <c r="E166" s="29">
        <v>1</v>
      </c>
      <c r="F166" s="38">
        <v>6500</v>
      </c>
      <c r="G166" s="38">
        <v>4500</v>
      </c>
      <c r="H166" s="38">
        <v>2000</v>
      </c>
    </row>
    <row r="167" spans="1:8" x14ac:dyDescent="0.25">
      <c r="A167" s="29"/>
      <c r="B167" s="29"/>
      <c r="C167" s="29"/>
      <c r="D167" s="29" t="s">
        <v>14</v>
      </c>
      <c r="E167" s="29">
        <v>1</v>
      </c>
      <c r="F167" s="38">
        <v>10000</v>
      </c>
      <c r="G167" s="38">
        <v>5500</v>
      </c>
      <c r="H167" s="38">
        <v>4500</v>
      </c>
    </row>
    <row r="168" spans="1:8" x14ac:dyDescent="0.25">
      <c r="A168" s="29"/>
      <c r="B168" s="29"/>
      <c r="C168" s="29"/>
      <c r="D168" s="29" t="s">
        <v>243</v>
      </c>
      <c r="E168" s="29">
        <v>1</v>
      </c>
      <c r="F168" s="38">
        <v>13000</v>
      </c>
      <c r="G168" s="38">
        <v>10000</v>
      </c>
      <c r="H168" s="38">
        <v>3000</v>
      </c>
    </row>
    <row r="169" spans="1:8" x14ac:dyDescent="0.25">
      <c r="A169" s="125" t="s">
        <v>17</v>
      </c>
      <c r="B169" s="125"/>
      <c r="C169" s="125"/>
      <c r="D169" s="125"/>
      <c r="E169" s="17">
        <f>SUM(E163:E168)</f>
        <v>73</v>
      </c>
      <c r="F169" s="17">
        <f t="shared" ref="F169:H169" si="5">SUM(F163:F168)</f>
        <v>136000</v>
      </c>
      <c r="G169" s="17">
        <f t="shared" si="5"/>
        <v>56500</v>
      </c>
      <c r="H169" s="17">
        <f t="shared" si="5"/>
        <v>79500</v>
      </c>
    </row>
    <row r="170" spans="1:8" x14ac:dyDescent="0.25">
      <c r="A170" s="29" t="s">
        <v>32</v>
      </c>
      <c r="B170" s="29" t="s">
        <v>637</v>
      </c>
      <c r="C170" s="29" t="s">
        <v>16</v>
      </c>
      <c r="D170" s="29" t="s">
        <v>11</v>
      </c>
      <c r="E170" s="29">
        <v>48</v>
      </c>
      <c r="F170" s="38">
        <f>E170*1500</f>
        <v>72000</v>
      </c>
      <c r="G170" s="38">
        <f>E170*500</f>
        <v>24000</v>
      </c>
      <c r="H170" s="38">
        <v>48000</v>
      </c>
    </row>
    <row r="171" spans="1:8" x14ac:dyDescent="0.25">
      <c r="A171" s="29"/>
      <c r="B171" s="29"/>
      <c r="C171" s="29"/>
      <c r="D171" s="29" t="s">
        <v>12</v>
      </c>
      <c r="E171" s="29">
        <v>3</v>
      </c>
      <c r="F171" s="38">
        <f>E171*3000</f>
        <v>9000</v>
      </c>
      <c r="G171" s="38">
        <v>6000</v>
      </c>
      <c r="H171" s="38">
        <v>3000</v>
      </c>
    </row>
    <row r="172" spans="1:8" x14ac:dyDescent="0.25">
      <c r="A172" s="29"/>
      <c r="B172" s="29"/>
      <c r="C172" s="29"/>
      <c r="D172" s="29" t="s">
        <v>13</v>
      </c>
      <c r="E172" s="29">
        <v>1</v>
      </c>
      <c r="F172" s="38">
        <v>6500</v>
      </c>
      <c r="G172" s="38">
        <v>4500</v>
      </c>
      <c r="H172" s="38">
        <v>2000</v>
      </c>
    </row>
    <row r="173" spans="1:8" x14ac:dyDescent="0.25">
      <c r="A173" s="29"/>
      <c r="B173" s="29"/>
      <c r="C173" s="29" t="s">
        <v>338</v>
      </c>
      <c r="D173" s="29" t="s">
        <v>11</v>
      </c>
      <c r="E173" s="29">
        <v>80</v>
      </c>
      <c r="F173" s="38">
        <f>E173*1800</f>
        <v>144000</v>
      </c>
      <c r="G173" s="38">
        <f>E173*500</f>
        <v>40000</v>
      </c>
      <c r="H173" s="38">
        <f>E173*1300</f>
        <v>104000</v>
      </c>
    </row>
    <row r="174" spans="1:8" x14ac:dyDescent="0.25">
      <c r="A174" s="29"/>
      <c r="B174" s="29"/>
      <c r="C174" s="29" t="s">
        <v>209</v>
      </c>
      <c r="D174" s="29" t="s">
        <v>11</v>
      </c>
      <c r="E174" s="29">
        <v>23</v>
      </c>
      <c r="F174" s="38">
        <f>E174*1500</f>
        <v>34500</v>
      </c>
      <c r="G174" s="38">
        <f>E174*500</f>
        <v>11500</v>
      </c>
      <c r="H174" s="38">
        <v>23000</v>
      </c>
    </row>
    <row r="175" spans="1:8" x14ac:dyDescent="0.25">
      <c r="A175" s="29"/>
      <c r="B175" s="29"/>
      <c r="C175" s="29" t="s">
        <v>571</v>
      </c>
      <c r="D175" s="29" t="s">
        <v>11</v>
      </c>
      <c r="E175" s="29">
        <v>22</v>
      </c>
      <c r="F175" s="38">
        <f>E175*1700</f>
        <v>37400</v>
      </c>
      <c r="G175" s="38">
        <f>E175*500</f>
        <v>11000</v>
      </c>
      <c r="H175" s="38">
        <f>E175*1200</f>
        <v>26400</v>
      </c>
    </row>
    <row r="176" spans="1:8" x14ac:dyDescent="0.25">
      <c r="A176" s="29"/>
      <c r="B176" s="29"/>
      <c r="C176" s="29" t="s">
        <v>24</v>
      </c>
      <c r="D176" s="29" t="s">
        <v>243</v>
      </c>
      <c r="E176" s="29">
        <v>40</v>
      </c>
      <c r="F176" s="38">
        <f>E176*15000</f>
        <v>600000</v>
      </c>
      <c r="G176" s="38">
        <v>40000</v>
      </c>
      <c r="H176" s="38">
        <v>20000</v>
      </c>
    </row>
    <row r="177" spans="1:8" x14ac:dyDescent="0.25">
      <c r="A177" s="29"/>
      <c r="B177" s="29"/>
      <c r="C177" s="29" t="s">
        <v>24</v>
      </c>
      <c r="D177" s="29" t="s">
        <v>243</v>
      </c>
      <c r="E177" s="29">
        <v>17</v>
      </c>
      <c r="F177" s="38">
        <f>E177*15000</f>
        <v>255000</v>
      </c>
      <c r="G177" s="38">
        <f>E177*10000</f>
        <v>170000</v>
      </c>
      <c r="H177" s="38">
        <f>E177*5000</f>
        <v>85000</v>
      </c>
    </row>
    <row r="178" spans="1:8" x14ac:dyDescent="0.25">
      <c r="A178" s="125" t="s">
        <v>17</v>
      </c>
      <c r="B178" s="125"/>
      <c r="C178" s="125"/>
      <c r="D178" s="125"/>
      <c r="E178" s="17">
        <f>SUM(E170:E177)</f>
        <v>234</v>
      </c>
      <c r="F178" s="17">
        <f t="shared" ref="F178:H178" si="6">SUM(F170:F177)</f>
        <v>1158400</v>
      </c>
      <c r="G178" s="17">
        <f t="shared" si="6"/>
        <v>307000</v>
      </c>
      <c r="H178" s="17">
        <f t="shared" si="6"/>
        <v>311400</v>
      </c>
    </row>
    <row r="179" spans="1:8" x14ac:dyDescent="0.25">
      <c r="A179" s="29" t="s">
        <v>8</v>
      </c>
      <c r="B179" s="29" t="s">
        <v>638</v>
      </c>
      <c r="C179" s="29" t="s">
        <v>16</v>
      </c>
      <c r="D179" s="29" t="s">
        <v>11</v>
      </c>
      <c r="E179" s="29">
        <v>86</v>
      </c>
      <c r="F179" s="38">
        <f>E179*1500</f>
        <v>129000</v>
      </c>
      <c r="G179" s="38">
        <f>E179*500</f>
        <v>43000</v>
      </c>
      <c r="H179" s="38">
        <v>86000</v>
      </c>
    </row>
    <row r="180" spans="1:8" x14ac:dyDescent="0.25">
      <c r="A180" s="29"/>
      <c r="B180" s="29"/>
      <c r="C180" s="29"/>
      <c r="D180" s="29" t="s">
        <v>12</v>
      </c>
      <c r="E180" s="29">
        <v>7</v>
      </c>
      <c r="F180" s="38">
        <f>E180*3000</f>
        <v>21000</v>
      </c>
      <c r="G180" s="38">
        <f>E180*2000</f>
        <v>14000</v>
      </c>
      <c r="H180" s="38">
        <v>7000</v>
      </c>
    </row>
    <row r="181" spans="1:8" x14ac:dyDescent="0.25">
      <c r="A181" s="29"/>
      <c r="B181" s="29"/>
      <c r="C181" s="29"/>
      <c r="D181" s="29" t="s">
        <v>13</v>
      </c>
      <c r="E181" s="29">
        <v>3</v>
      </c>
      <c r="F181" s="38">
        <f>E181*6500</f>
        <v>19500</v>
      </c>
      <c r="G181" s="38">
        <f>E181*4500</f>
        <v>13500</v>
      </c>
      <c r="H181" s="38">
        <f>E181*2000</f>
        <v>6000</v>
      </c>
    </row>
    <row r="182" spans="1:8" x14ac:dyDescent="0.25">
      <c r="A182" s="29"/>
      <c r="B182" s="29"/>
      <c r="C182" s="29"/>
      <c r="D182" s="29" t="s">
        <v>14</v>
      </c>
      <c r="E182" s="29">
        <v>2</v>
      </c>
      <c r="F182" s="38">
        <f>E182*10000</f>
        <v>20000</v>
      </c>
      <c r="G182" s="38">
        <f>E182*5500</f>
        <v>11000</v>
      </c>
      <c r="H182" s="38">
        <f>E182*4500</f>
        <v>9000</v>
      </c>
    </row>
    <row r="183" spans="1:8" x14ac:dyDescent="0.25">
      <c r="A183" s="29"/>
      <c r="B183" s="29"/>
      <c r="C183" s="29"/>
      <c r="D183" s="29" t="s">
        <v>243</v>
      </c>
      <c r="E183" s="29">
        <v>1</v>
      </c>
      <c r="F183" s="38">
        <v>13000</v>
      </c>
      <c r="G183" s="38">
        <v>10000</v>
      </c>
      <c r="H183" s="38">
        <v>3000</v>
      </c>
    </row>
    <row r="184" spans="1:8" x14ac:dyDescent="0.25">
      <c r="A184" s="29"/>
      <c r="B184" s="29"/>
      <c r="C184" s="29" t="s">
        <v>639</v>
      </c>
      <c r="D184" s="29" t="s">
        <v>13</v>
      </c>
      <c r="E184" s="29">
        <v>11</v>
      </c>
      <c r="F184" s="38">
        <f>E184*8000</f>
        <v>88000</v>
      </c>
      <c r="G184" s="38">
        <f>E184*4500</f>
        <v>49500</v>
      </c>
      <c r="H184" s="38">
        <f>E184*3500</f>
        <v>38500</v>
      </c>
    </row>
    <row r="185" spans="1:8" x14ac:dyDescent="0.25">
      <c r="A185" s="29"/>
      <c r="B185" s="29"/>
      <c r="C185" s="29"/>
      <c r="D185" s="29" t="s">
        <v>14</v>
      </c>
      <c r="E185" s="29">
        <v>9</v>
      </c>
      <c r="F185" s="38">
        <f>E185*12000</f>
        <v>108000</v>
      </c>
      <c r="G185" s="38">
        <f>E185*5500</f>
        <v>49500</v>
      </c>
      <c r="H185" s="38">
        <f>E185*6500</f>
        <v>58500</v>
      </c>
    </row>
    <row r="186" spans="1:8" x14ac:dyDescent="0.25">
      <c r="A186" s="29"/>
      <c r="B186" s="29"/>
      <c r="C186" s="29" t="s">
        <v>217</v>
      </c>
      <c r="D186" s="29" t="s">
        <v>13</v>
      </c>
      <c r="E186" s="29">
        <v>8</v>
      </c>
      <c r="F186" s="38">
        <f>E186*7500</f>
        <v>60000</v>
      </c>
      <c r="G186" s="38">
        <f>E186*4500</f>
        <v>36000</v>
      </c>
      <c r="H186" s="38">
        <f>E186*3500</f>
        <v>28000</v>
      </c>
    </row>
    <row r="187" spans="1:8" x14ac:dyDescent="0.25">
      <c r="A187" s="29"/>
      <c r="B187" s="29"/>
      <c r="C187" s="29"/>
      <c r="D187" s="29" t="s">
        <v>14</v>
      </c>
      <c r="E187" s="29">
        <v>2</v>
      </c>
      <c r="F187" s="38">
        <f>E187*12000</f>
        <v>24000</v>
      </c>
      <c r="G187" s="38">
        <f>E187*5500</f>
        <v>11000</v>
      </c>
      <c r="H187" s="38">
        <f>E187*6500</f>
        <v>13000</v>
      </c>
    </row>
    <row r="188" spans="1:8" x14ac:dyDescent="0.25">
      <c r="A188" s="29"/>
      <c r="B188" s="29"/>
      <c r="C188" s="29" t="s">
        <v>127</v>
      </c>
      <c r="D188" s="29" t="s">
        <v>21</v>
      </c>
      <c r="E188" s="29">
        <v>5</v>
      </c>
      <c r="F188" s="38">
        <f>E188*15000</f>
        <v>75000</v>
      </c>
      <c r="G188" s="38">
        <f>E188*10000</f>
        <v>50000</v>
      </c>
      <c r="H188" s="38">
        <v>25000</v>
      </c>
    </row>
    <row r="189" spans="1:8" x14ac:dyDescent="0.25">
      <c r="A189" s="29"/>
      <c r="B189" s="29"/>
      <c r="C189" s="29"/>
      <c r="D189" s="29" t="s">
        <v>243</v>
      </c>
      <c r="E189" s="29">
        <v>1</v>
      </c>
      <c r="F189" s="38">
        <v>13000</v>
      </c>
      <c r="G189" s="38">
        <v>10000</v>
      </c>
      <c r="H189" s="38">
        <v>3000</v>
      </c>
    </row>
    <row r="190" spans="1:8" x14ac:dyDescent="0.25">
      <c r="A190" s="29"/>
      <c r="B190" s="29"/>
      <c r="C190" s="29" t="s">
        <v>24</v>
      </c>
      <c r="D190" s="29" t="s">
        <v>243</v>
      </c>
      <c r="E190" s="29">
        <v>2</v>
      </c>
      <c r="F190" s="38">
        <f>E190*15000</f>
        <v>30000</v>
      </c>
      <c r="G190" s="38">
        <v>20000</v>
      </c>
      <c r="H190" s="38">
        <v>10000</v>
      </c>
    </row>
    <row r="191" spans="1:8" x14ac:dyDescent="0.25">
      <c r="A191" s="29"/>
      <c r="B191" s="29"/>
      <c r="C191" s="29" t="s">
        <v>20</v>
      </c>
      <c r="D191" s="29" t="s">
        <v>13</v>
      </c>
      <c r="E191" s="29">
        <v>8</v>
      </c>
      <c r="F191" s="38">
        <f>E191*8000</f>
        <v>64000</v>
      </c>
      <c r="G191" s="38">
        <f>E191*4500</f>
        <v>36000</v>
      </c>
      <c r="H191" s="38">
        <f>E191*3500</f>
        <v>28000</v>
      </c>
    </row>
    <row r="192" spans="1:8" x14ac:dyDescent="0.25">
      <c r="A192" s="29"/>
      <c r="B192" s="29"/>
      <c r="C192" s="29"/>
      <c r="D192" s="29" t="s">
        <v>14</v>
      </c>
      <c r="E192" s="29">
        <v>7</v>
      </c>
      <c r="F192" s="38">
        <f>E192*12000</f>
        <v>84000</v>
      </c>
      <c r="G192" s="38">
        <f>E192*5500</f>
        <v>38500</v>
      </c>
      <c r="H192" s="38">
        <f>E192*6500</f>
        <v>45500</v>
      </c>
    </row>
    <row r="193" spans="1:8" x14ac:dyDescent="0.25">
      <c r="A193" s="125" t="s">
        <v>17</v>
      </c>
      <c r="B193" s="125"/>
      <c r="C193" s="125"/>
      <c r="D193" s="125"/>
      <c r="E193" s="17">
        <f>SUM(E179:E192)</f>
        <v>152</v>
      </c>
      <c r="F193" s="17">
        <f t="shared" ref="F193:H193" si="7">SUM(F179:F192)</f>
        <v>748500</v>
      </c>
      <c r="G193" s="17">
        <f t="shared" si="7"/>
        <v>392000</v>
      </c>
      <c r="H193" s="17">
        <f t="shared" si="7"/>
        <v>360500</v>
      </c>
    </row>
    <row r="194" spans="1:8" x14ac:dyDescent="0.25">
      <c r="A194" s="29" t="s">
        <v>18</v>
      </c>
      <c r="B194" s="29" t="s">
        <v>640</v>
      </c>
      <c r="C194" s="29" t="s">
        <v>16</v>
      </c>
      <c r="D194" s="29" t="s">
        <v>11</v>
      </c>
      <c r="E194" s="29">
        <v>50</v>
      </c>
      <c r="F194" s="38">
        <f>E194*1500</f>
        <v>75000</v>
      </c>
      <c r="G194" s="38">
        <f>E194*500</f>
        <v>25000</v>
      </c>
      <c r="H194" s="38">
        <v>50000</v>
      </c>
    </row>
    <row r="195" spans="1:8" x14ac:dyDescent="0.25">
      <c r="A195" s="29"/>
      <c r="B195" s="29"/>
      <c r="C195" s="29"/>
      <c r="D195" s="29" t="s">
        <v>12</v>
      </c>
      <c r="E195" s="29">
        <v>2</v>
      </c>
      <c r="F195" s="38">
        <f>E195*3000</f>
        <v>6000</v>
      </c>
      <c r="G195" s="38">
        <v>4000</v>
      </c>
      <c r="H195" s="38">
        <v>2000</v>
      </c>
    </row>
    <row r="196" spans="1:8" x14ac:dyDescent="0.25">
      <c r="A196" s="29"/>
      <c r="B196" s="29"/>
      <c r="C196" s="29" t="s">
        <v>338</v>
      </c>
      <c r="D196" s="29" t="s">
        <v>11</v>
      </c>
      <c r="E196" s="29">
        <v>55</v>
      </c>
      <c r="F196" s="38">
        <f>E196*1800</f>
        <v>99000</v>
      </c>
      <c r="G196" s="38">
        <f>E196*500</f>
        <v>27500</v>
      </c>
      <c r="H196" s="38">
        <f>E196*1300</f>
        <v>71500</v>
      </c>
    </row>
    <row r="197" spans="1:8" x14ac:dyDescent="0.25">
      <c r="A197" s="29"/>
      <c r="B197" s="29"/>
      <c r="C197" s="29" t="s">
        <v>306</v>
      </c>
      <c r="D197" s="29" t="s">
        <v>11</v>
      </c>
      <c r="E197" s="29">
        <v>30</v>
      </c>
      <c r="F197" s="38">
        <f>E197*1800</f>
        <v>54000</v>
      </c>
      <c r="G197" s="38">
        <f>E197*500</f>
        <v>15000</v>
      </c>
      <c r="H197" s="38">
        <f>E197*1300</f>
        <v>39000</v>
      </c>
    </row>
    <row r="198" spans="1:8" x14ac:dyDescent="0.25">
      <c r="A198" s="29"/>
      <c r="B198" s="29"/>
      <c r="C198" s="29" t="s">
        <v>572</v>
      </c>
      <c r="D198" s="29" t="s">
        <v>11</v>
      </c>
      <c r="E198" s="29">
        <v>44</v>
      </c>
      <c r="F198" s="38">
        <f>E198*1700</f>
        <v>74800</v>
      </c>
      <c r="G198" s="38">
        <f>E198*500</f>
        <v>22000</v>
      </c>
      <c r="H198" s="38">
        <f>E198*1200</f>
        <v>52800</v>
      </c>
    </row>
    <row r="199" spans="1:8" x14ac:dyDescent="0.25">
      <c r="A199" s="29"/>
      <c r="B199" s="29"/>
      <c r="C199" s="29" t="s">
        <v>571</v>
      </c>
      <c r="D199" s="29" t="s">
        <v>11</v>
      </c>
      <c r="E199" s="29">
        <v>13</v>
      </c>
      <c r="F199" s="38">
        <f>E199*1700</f>
        <v>22100</v>
      </c>
      <c r="G199" s="38">
        <f>E199*500</f>
        <v>6500</v>
      </c>
      <c r="H199" s="38">
        <f>E199*1200</f>
        <v>15600</v>
      </c>
    </row>
    <row r="200" spans="1:8" x14ac:dyDescent="0.25">
      <c r="A200" s="29"/>
      <c r="B200" s="29"/>
      <c r="C200" s="29" t="s">
        <v>209</v>
      </c>
      <c r="D200" s="29" t="s">
        <v>11</v>
      </c>
      <c r="E200" s="29">
        <v>12</v>
      </c>
      <c r="F200" s="38">
        <f>E200*1500</f>
        <v>18000</v>
      </c>
      <c r="G200" s="38">
        <f>E200*500</f>
        <v>6000</v>
      </c>
      <c r="H200" s="38">
        <v>12000</v>
      </c>
    </row>
    <row r="201" spans="1:8" x14ac:dyDescent="0.25">
      <c r="A201" s="29"/>
      <c r="B201" s="29"/>
      <c r="C201" s="29" t="s">
        <v>217</v>
      </c>
      <c r="D201" s="29" t="s">
        <v>13</v>
      </c>
      <c r="E201" s="29">
        <v>4</v>
      </c>
      <c r="F201" s="38">
        <f>E201*6500</f>
        <v>26000</v>
      </c>
      <c r="G201" s="38">
        <f>E201*4500</f>
        <v>18000</v>
      </c>
      <c r="H201" s="38">
        <f>E201*2000</f>
        <v>8000</v>
      </c>
    </row>
    <row r="202" spans="1:8" x14ac:dyDescent="0.25">
      <c r="A202" s="29"/>
      <c r="B202" s="29"/>
      <c r="C202" s="29"/>
      <c r="D202" s="29" t="s">
        <v>14</v>
      </c>
      <c r="E202" s="29">
        <v>3</v>
      </c>
      <c r="F202" s="38">
        <f>E202*10000</f>
        <v>30000</v>
      </c>
      <c r="G202" s="38">
        <f>E202*5500</f>
        <v>16500</v>
      </c>
      <c r="H202" s="38">
        <f>E202*4500</f>
        <v>13500</v>
      </c>
    </row>
    <row r="203" spans="1:8" x14ac:dyDescent="0.25">
      <c r="A203" s="29"/>
      <c r="B203" s="29"/>
      <c r="C203" s="29" t="s">
        <v>24</v>
      </c>
      <c r="D203" s="29" t="s">
        <v>243</v>
      </c>
      <c r="E203" s="29">
        <v>1</v>
      </c>
      <c r="F203" s="38">
        <v>13000</v>
      </c>
      <c r="G203" s="38">
        <v>10000</v>
      </c>
      <c r="H203" s="38">
        <v>3000</v>
      </c>
    </row>
    <row r="204" spans="1:8" x14ac:dyDescent="0.25">
      <c r="A204" s="29"/>
      <c r="B204" s="29"/>
      <c r="C204" s="29"/>
      <c r="D204" s="29" t="s">
        <v>21</v>
      </c>
      <c r="E204" s="29">
        <v>2</v>
      </c>
      <c r="F204" s="38">
        <v>30000</v>
      </c>
      <c r="G204" s="38">
        <v>20000</v>
      </c>
      <c r="H204" s="38">
        <v>10000</v>
      </c>
    </row>
    <row r="205" spans="1:8" x14ac:dyDescent="0.25">
      <c r="A205" s="125" t="s">
        <v>17</v>
      </c>
      <c r="B205" s="125"/>
      <c r="C205" s="125"/>
      <c r="D205" s="125"/>
      <c r="E205" s="17">
        <f>SUM(E194:E204)</f>
        <v>216</v>
      </c>
      <c r="F205" s="17">
        <f t="shared" ref="F205:H205" si="8">SUM(F194:F204)</f>
        <v>447900</v>
      </c>
      <c r="G205" s="17">
        <f t="shared" si="8"/>
        <v>170500</v>
      </c>
      <c r="H205" s="17">
        <f t="shared" si="8"/>
        <v>277400</v>
      </c>
    </row>
    <row r="206" spans="1:8" x14ac:dyDescent="0.25">
      <c r="A206" s="29" t="s">
        <v>22</v>
      </c>
      <c r="B206" s="29" t="s">
        <v>641</v>
      </c>
      <c r="C206" s="29" t="s">
        <v>16</v>
      </c>
      <c r="D206" s="29" t="s">
        <v>11</v>
      </c>
      <c r="E206" s="29">
        <v>38</v>
      </c>
      <c r="F206" s="38">
        <f>E206*1500</f>
        <v>57000</v>
      </c>
      <c r="G206" s="38">
        <f>E206*500</f>
        <v>19000</v>
      </c>
      <c r="H206" s="38">
        <v>38000</v>
      </c>
    </row>
    <row r="207" spans="1:8" x14ac:dyDescent="0.25">
      <c r="A207" s="29"/>
      <c r="B207" s="29"/>
      <c r="C207" s="29"/>
      <c r="D207" s="29" t="s">
        <v>13</v>
      </c>
      <c r="E207" s="29">
        <v>1</v>
      </c>
      <c r="F207" s="38">
        <v>6500</v>
      </c>
      <c r="G207" s="38">
        <v>4500</v>
      </c>
      <c r="H207" s="38">
        <v>2000</v>
      </c>
    </row>
    <row r="208" spans="1:8" x14ac:dyDescent="0.25">
      <c r="A208" s="29"/>
      <c r="B208" s="29"/>
      <c r="C208" s="29" t="s">
        <v>338</v>
      </c>
      <c r="D208" s="29" t="s">
        <v>11</v>
      </c>
      <c r="E208" s="29">
        <v>75</v>
      </c>
      <c r="F208" s="38">
        <f>E208*1800</f>
        <v>135000</v>
      </c>
      <c r="G208" s="38">
        <f>E208*500</f>
        <v>37500</v>
      </c>
      <c r="H208" s="38">
        <f>E208*1300</f>
        <v>97500</v>
      </c>
    </row>
    <row r="209" spans="1:11" x14ac:dyDescent="0.25">
      <c r="A209" s="29"/>
      <c r="B209" s="29"/>
      <c r="C209" s="29" t="s">
        <v>306</v>
      </c>
      <c r="D209" s="29" t="s">
        <v>11</v>
      </c>
      <c r="E209" s="29">
        <v>30</v>
      </c>
      <c r="F209" s="38">
        <f>E209*1800</f>
        <v>54000</v>
      </c>
      <c r="G209" s="38">
        <f>E209*500</f>
        <v>15000</v>
      </c>
      <c r="H209" s="38">
        <f>E209*1300</f>
        <v>39000</v>
      </c>
    </row>
    <row r="210" spans="1:11" x14ac:dyDescent="0.25">
      <c r="A210" s="29"/>
      <c r="B210" s="29"/>
      <c r="C210" s="29" t="s">
        <v>217</v>
      </c>
      <c r="D210" s="29" t="s">
        <v>11</v>
      </c>
      <c r="E210" s="29">
        <v>27</v>
      </c>
      <c r="F210" s="38">
        <f>E210*1500</f>
        <v>40500</v>
      </c>
      <c r="G210" s="38">
        <f>E210*500</f>
        <v>13500</v>
      </c>
      <c r="H210" s="38">
        <f>E210*1000</f>
        <v>27000</v>
      </c>
    </row>
    <row r="211" spans="1:11" x14ac:dyDescent="0.25">
      <c r="A211" s="29"/>
      <c r="B211" s="29"/>
      <c r="C211" s="29"/>
      <c r="D211" s="29" t="s">
        <v>13</v>
      </c>
      <c r="E211" s="29">
        <v>16</v>
      </c>
      <c r="F211" s="38">
        <f>E211*6500</f>
        <v>104000</v>
      </c>
      <c r="G211" s="38">
        <f>E211*4500</f>
        <v>72000</v>
      </c>
      <c r="H211" s="38">
        <f>E211*2000</f>
        <v>32000</v>
      </c>
    </row>
    <row r="212" spans="1:11" x14ac:dyDescent="0.25">
      <c r="A212" s="29"/>
      <c r="B212" s="29"/>
      <c r="C212" s="29"/>
      <c r="D212" s="29" t="s">
        <v>14</v>
      </c>
      <c r="E212" s="29">
        <v>2</v>
      </c>
      <c r="F212" s="38">
        <f>E212*10000</f>
        <v>20000</v>
      </c>
      <c r="G212" s="38">
        <f>E212*5500</f>
        <v>11000</v>
      </c>
      <c r="H212" s="38">
        <f>E212*4500</f>
        <v>9000</v>
      </c>
      <c r="K212" t="s">
        <v>612</v>
      </c>
    </row>
    <row r="213" spans="1:11" x14ac:dyDescent="0.25">
      <c r="A213" s="29"/>
      <c r="B213" s="29"/>
      <c r="C213" s="29" t="s">
        <v>24</v>
      </c>
      <c r="D213" s="29" t="s">
        <v>13</v>
      </c>
      <c r="E213" s="29">
        <v>4</v>
      </c>
      <c r="F213" s="38">
        <f>E213*6500</f>
        <v>26000</v>
      </c>
      <c r="G213" s="38">
        <f>E213*4500</f>
        <v>18000</v>
      </c>
      <c r="H213" s="38">
        <f>E213*2000</f>
        <v>8000</v>
      </c>
    </row>
    <row r="214" spans="1:11" x14ac:dyDescent="0.25">
      <c r="A214" s="29"/>
      <c r="B214" s="29"/>
      <c r="C214" s="29" t="s">
        <v>24</v>
      </c>
      <c r="D214" s="29" t="s">
        <v>243</v>
      </c>
      <c r="E214" s="29">
        <v>1</v>
      </c>
      <c r="F214" s="38">
        <v>13000</v>
      </c>
      <c r="G214" s="38">
        <v>10000</v>
      </c>
      <c r="H214" s="38">
        <v>3000</v>
      </c>
    </row>
    <row r="215" spans="1:11" x14ac:dyDescent="0.25">
      <c r="A215" s="29"/>
      <c r="B215" s="29"/>
      <c r="C215" s="29"/>
      <c r="D215" s="29" t="s">
        <v>14</v>
      </c>
      <c r="E215" s="29">
        <v>1</v>
      </c>
      <c r="F215" s="38">
        <v>10000</v>
      </c>
      <c r="G215" s="38">
        <v>5500</v>
      </c>
      <c r="H215" s="38">
        <v>4500</v>
      </c>
    </row>
    <row r="216" spans="1:11" x14ac:dyDescent="0.25">
      <c r="A216" s="125" t="s">
        <v>17</v>
      </c>
      <c r="B216" s="125"/>
      <c r="C216" s="125"/>
      <c r="D216" s="125"/>
      <c r="E216" s="17">
        <f>SUM(E206:E215)</f>
        <v>195</v>
      </c>
      <c r="F216" s="17">
        <f t="shared" ref="F216:H216" si="9">SUM(F206:F215)</f>
        <v>466000</v>
      </c>
      <c r="G216" s="17">
        <f t="shared" si="9"/>
        <v>206000</v>
      </c>
      <c r="H216" s="17">
        <f t="shared" si="9"/>
        <v>260000</v>
      </c>
    </row>
    <row r="217" spans="1:11" x14ac:dyDescent="0.25">
      <c r="A217" s="29" t="s">
        <v>26</v>
      </c>
      <c r="B217" s="29" t="s">
        <v>642</v>
      </c>
      <c r="C217" s="29" t="s">
        <v>581</v>
      </c>
      <c r="D217" s="29" t="s">
        <v>11</v>
      </c>
      <c r="E217" s="29">
        <v>35</v>
      </c>
      <c r="F217" s="38">
        <f>E217*1500</f>
        <v>52500</v>
      </c>
      <c r="G217" s="38">
        <f>E217*500</f>
        <v>17500</v>
      </c>
      <c r="H217" s="38">
        <f>E217*1000</f>
        <v>35000</v>
      </c>
    </row>
    <row r="218" spans="1:11" x14ac:dyDescent="0.25">
      <c r="A218" s="29"/>
      <c r="B218" s="29"/>
      <c r="C218" s="29" t="s">
        <v>581</v>
      </c>
      <c r="D218" s="29" t="s">
        <v>11</v>
      </c>
      <c r="E218" s="29">
        <v>29</v>
      </c>
      <c r="F218" s="38">
        <f t="shared" ref="F218:F226" si="10">E218*1500</f>
        <v>43500</v>
      </c>
      <c r="G218" s="38">
        <f t="shared" ref="G218:G226" si="11">E218*500</f>
        <v>14500</v>
      </c>
      <c r="H218" s="38">
        <f t="shared" ref="H218:H226" si="12">E218*1000</f>
        <v>29000</v>
      </c>
    </row>
    <row r="219" spans="1:11" x14ac:dyDescent="0.25">
      <c r="A219" s="29"/>
      <c r="B219" s="29"/>
      <c r="C219" s="29" t="s">
        <v>581</v>
      </c>
      <c r="D219" s="29" t="s">
        <v>11</v>
      </c>
      <c r="E219" s="29">
        <v>31</v>
      </c>
      <c r="F219" s="38">
        <f t="shared" si="10"/>
        <v>46500</v>
      </c>
      <c r="G219" s="38">
        <f t="shared" si="11"/>
        <v>15500</v>
      </c>
      <c r="H219" s="38">
        <f t="shared" si="12"/>
        <v>31000</v>
      </c>
    </row>
    <row r="220" spans="1:11" x14ac:dyDescent="0.25">
      <c r="A220" s="29"/>
      <c r="B220" s="29"/>
      <c r="C220" s="29" t="s">
        <v>581</v>
      </c>
      <c r="D220" s="29" t="s">
        <v>11</v>
      </c>
      <c r="E220" s="29">
        <v>30</v>
      </c>
      <c r="F220" s="38">
        <f t="shared" si="10"/>
        <v>45000</v>
      </c>
      <c r="G220" s="38">
        <f t="shared" si="11"/>
        <v>15000</v>
      </c>
      <c r="H220" s="38">
        <f t="shared" si="12"/>
        <v>30000</v>
      </c>
    </row>
    <row r="221" spans="1:11" x14ac:dyDescent="0.25">
      <c r="A221" s="29"/>
      <c r="B221" s="29"/>
      <c r="C221" s="29" t="s">
        <v>581</v>
      </c>
      <c r="D221" s="29" t="s">
        <v>11</v>
      </c>
      <c r="E221" s="29">
        <v>55</v>
      </c>
      <c r="F221" s="38">
        <f t="shared" si="10"/>
        <v>82500</v>
      </c>
      <c r="G221" s="38">
        <f t="shared" si="11"/>
        <v>27500</v>
      </c>
      <c r="H221" s="38">
        <f t="shared" si="12"/>
        <v>55000</v>
      </c>
    </row>
    <row r="222" spans="1:11" x14ac:dyDescent="0.25">
      <c r="A222" s="29"/>
      <c r="B222" s="29"/>
      <c r="C222" s="29" t="s">
        <v>581</v>
      </c>
      <c r="D222" s="29" t="s">
        <v>11</v>
      </c>
      <c r="E222" s="29">
        <v>39</v>
      </c>
      <c r="F222" s="38">
        <f t="shared" si="10"/>
        <v>58500</v>
      </c>
      <c r="G222" s="38">
        <f t="shared" si="11"/>
        <v>19500</v>
      </c>
      <c r="H222" s="38">
        <f t="shared" si="12"/>
        <v>39000</v>
      </c>
    </row>
    <row r="223" spans="1:11" x14ac:dyDescent="0.25">
      <c r="A223" s="29"/>
      <c r="B223" s="29"/>
      <c r="C223" s="29" t="s">
        <v>581</v>
      </c>
      <c r="D223" s="29" t="s">
        <v>11</v>
      </c>
      <c r="E223" s="29">
        <v>52</v>
      </c>
      <c r="F223" s="38">
        <f t="shared" si="10"/>
        <v>78000</v>
      </c>
      <c r="G223" s="38">
        <f t="shared" si="11"/>
        <v>26000</v>
      </c>
      <c r="H223" s="38">
        <f t="shared" si="12"/>
        <v>52000</v>
      </c>
    </row>
    <row r="224" spans="1:11" x14ac:dyDescent="0.25">
      <c r="A224" s="29"/>
      <c r="B224" s="29"/>
      <c r="C224" s="29" t="s">
        <v>581</v>
      </c>
      <c r="D224" s="29" t="s">
        <v>11</v>
      </c>
      <c r="E224" s="29">
        <v>53</v>
      </c>
      <c r="F224" s="38">
        <f t="shared" si="10"/>
        <v>79500</v>
      </c>
      <c r="G224" s="38">
        <f t="shared" si="11"/>
        <v>26500</v>
      </c>
      <c r="H224" s="38">
        <f t="shared" si="12"/>
        <v>53000</v>
      </c>
    </row>
    <row r="225" spans="1:8" x14ac:dyDescent="0.25">
      <c r="A225" s="29"/>
      <c r="B225" s="29"/>
      <c r="C225" s="29" t="s">
        <v>646</v>
      </c>
      <c r="D225" s="29" t="s">
        <v>11</v>
      </c>
      <c r="E225" s="29">
        <v>100</v>
      </c>
      <c r="F225" s="38">
        <f t="shared" si="10"/>
        <v>150000</v>
      </c>
      <c r="G225" s="38">
        <f t="shared" si="11"/>
        <v>50000</v>
      </c>
      <c r="H225" s="38">
        <f t="shared" si="12"/>
        <v>100000</v>
      </c>
    </row>
    <row r="226" spans="1:8" x14ac:dyDescent="0.25">
      <c r="A226" s="29"/>
      <c r="B226" s="29"/>
      <c r="C226" s="29" t="s">
        <v>16</v>
      </c>
      <c r="D226" s="29" t="s">
        <v>11</v>
      </c>
      <c r="E226" s="29">
        <v>50</v>
      </c>
      <c r="F226" s="38">
        <f t="shared" si="10"/>
        <v>75000</v>
      </c>
      <c r="G226" s="38">
        <f t="shared" si="11"/>
        <v>25000</v>
      </c>
      <c r="H226" s="38">
        <f t="shared" si="12"/>
        <v>50000</v>
      </c>
    </row>
    <row r="227" spans="1:8" x14ac:dyDescent="0.25">
      <c r="A227" s="29"/>
      <c r="B227" s="29"/>
      <c r="C227" s="29"/>
      <c r="D227" s="29" t="s">
        <v>12</v>
      </c>
      <c r="E227" s="29">
        <v>2</v>
      </c>
      <c r="F227" s="38">
        <f>E227*3000</f>
        <v>6000</v>
      </c>
      <c r="G227" s="38">
        <v>4000</v>
      </c>
      <c r="H227" s="38">
        <v>2000</v>
      </c>
    </row>
    <row r="228" spans="1:8" x14ac:dyDescent="0.25">
      <c r="A228" s="29"/>
      <c r="B228" s="29"/>
      <c r="C228" s="29" t="s">
        <v>217</v>
      </c>
      <c r="D228" s="29" t="s">
        <v>11</v>
      </c>
      <c r="E228" s="29">
        <v>3</v>
      </c>
      <c r="F228" s="38">
        <f>E228*1500</f>
        <v>4500</v>
      </c>
      <c r="G228" s="38">
        <f>E228*500</f>
        <v>1500</v>
      </c>
      <c r="H228" s="38">
        <v>3000</v>
      </c>
    </row>
    <row r="229" spans="1:8" x14ac:dyDescent="0.25">
      <c r="A229" s="29"/>
      <c r="B229" s="29"/>
      <c r="C229" s="29"/>
      <c r="D229" s="29" t="s">
        <v>13</v>
      </c>
      <c r="E229" s="29">
        <v>3</v>
      </c>
      <c r="F229" s="38">
        <f>E229*6500</f>
        <v>19500</v>
      </c>
      <c r="G229" s="38">
        <f>E229*4500</f>
        <v>13500</v>
      </c>
      <c r="H229" s="38">
        <f>E229*2000</f>
        <v>6000</v>
      </c>
    </row>
    <row r="230" spans="1:8" x14ac:dyDescent="0.25">
      <c r="A230" s="29"/>
      <c r="B230" s="29"/>
      <c r="C230" s="29"/>
      <c r="D230" s="29" t="s">
        <v>14</v>
      </c>
      <c r="E230" s="29">
        <v>4</v>
      </c>
      <c r="F230" s="38">
        <f>E230*10000</f>
        <v>40000</v>
      </c>
      <c r="G230" s="38">
        <f>E230*5500</f>
        <v>22000</v>
      </c>
      <c r="H230" s="38">
        <f>E230*4500</f>
        <v>18000</v>
      </c>
    </row>
    <row r="231" spans="1:8" x14ac:dyDescent="0.25">
      <c r="A231" s="29"/>
      <c r="B231" s="29"/>
      <c r="C231" s="29"/>
      <c r="D231" s="29" t="s">
        <v>404</v>
      </c>
      <c r="E231" s="29">
        <v>6</v>
      </c>
      <c r="F231" s="38">
        <f>E231*2000</f>
        <v>12000</v>
      </c>
      <c r="G231" s="38">
        <v>6000</v>
      </c>
      <c r="H231" s="38">
        <v>6000</v>
      </c>
    </row>
    <row r="232" spans="1:8" x14ac:dyDescent="0.25">
      <c r="A232" s="29"/>
      <c r="B232" s="29"/>
      <c r="C232" s="29"/>
      <c r="D232" s="29" t="s">
        <v>437</v>
      </c>
      <c r="E232" s="29">
        <v>4</v>
      </c>
      <c r="F232" s="38">
        <f>E232*5000</f>
        <v>20000</v>
      </c>
      <c r="G232" s="38">
        <v>10000</v>
      </c>
      <c r="H232" s="38">
        <v>10000</v>
      </c>
    </row>
    <row r="233" spans="1:8" x14ac:dyDescent="0.25">
      <c r="A233" s="29"/>
      <c r="B233" s="29"/>
      <c r="C233" s="29"/>
      <c r="D233" s="29" t="s">
        <v>415</v>
      </c>
      <c r="E233" s="29">
        <v>1</v>
      </c>
      <c r="F233" s="38">
        <v>3000</v>
      </c>
      <c r="G233" s="38">
        <v>1500</v>
      </c>
      <c r="H233" s="38">
        <v>1500</v>
      </c>
    </row>
    <row r="234" spans="1:8" x14ac:dyDescent="0.25">
      <c r="A234" s="29"/>
      <c r="B234" s="29"/>
      <c r="C234" s="29" t="s">
        <v>399</v>
      </c>
      <c r="D234" s="29" t="s">
        <v>13</v>
      </c>
      <c r="E234" s="29">
        <v>11</v>
      </c>
      <c r="F234" s="38">
        <f>E234*6500</f>
        <v>71500</v>
      </c>
      <c r="G234" s="38">
        <f>E234*4500</f>
        <v>49500</v>
      </c>
      <c r="H234" s="38">
        <f>E234*2000</f>
        <v>22000</v>
      </c>
    </row>
    <row r="235" spans="1:8" x14ac:dyDescent="0.25">
      <c r="A235" s="29"/>
      <c r="B235" s="29"/>
      <c r="C235" s="29"/>
      <c r="D235" s="29" t="s">
        <v>14</v>
      </c>
      <c r="E235" s="29">
        <v>2</v>
      </c>
      <c r="F235" s="38">
        <f>E235*10000</f>
        <v>20000</v>
      </c>
      <c r="G235" s="38">
        <f>E235*5500</f>
        <v>11000</v>
      </c>
      <c r="H235" s="38">
        <f>E235*4500</f>
        <v>9000</v>
      </c>
    </row>
    <row r="236" spans="1:8" x14ac:dyDescent="0.25">
      <c r="A236" s="29"/>
      <c r="B236" s="29"/>
      <c r="C236" s="29"/>
      <c r="D236" s="29" t="s">
        <v>631</v>
      </c>
      <c r="E236" s="29">
        <v>2</v>
      </c>
      <c r="F236" s="38">
        <f>E236*3000</f>
        <v>6000</v>
      </c>
      <c r="G236" s="38">
        <v>3000</v>
      </c>
      <c r="H236" s="38">
        <v>3000</v>
      </c>
    </row>
    <row r="237" spans="1:8" x14ac:dyDescent="0.25">
      <c r="A237" s="29"/>
      <c r="B237" s="29"/>
      <c r="C237" s="29"/>
      <c r="D237" s="29" t="s">
        <v>415</v>
      </c>
      <c r="E237" s="29">
        <v>4</v>
      </c>
      <c r="F237" s="38">
        <f>E237*5000</f>
        <v>20000</v>
      </c>
      <c r="G237" s="38">
        <v>10000</v>
      </c>
      <c r="H237" s="38">
        <v>10000</v>
      </c>
    </row>
    <row r="238" spans="1:8" x14ac:dyDescent="0.25">
      <c r="A238" s="125" t="s">
        <v>17</v>
      </c>
      <c r="B238" s="125"/>
      <c r="C238" s="125"/>
      <c r="D238" s="125"/>
      <c r="E238" s="17">
        <f>SUM(E217:E237)</f>
        <v>516</v>
      </c>
      <c r="F238" s="17">
        <f t="shared" ref="F238:H238" si="13">SUM(F217:F237)</f>
        <v>933500</v>
      </c>
      <c r="G238" s="17">
        <f t="shared" si="13"/>
        <v>369000</v>
      </c>
      <c r="H238" s="17">
        <f t="shared" si="13"/>
        <v>564500</v>
      </c>
    </row>
    <row r="239" spans="1:8" x14ac:dyDescent="0.25">
      <c r="A239" s="29"/>
      <c r="B239" s="29"/>
      <c r="C239" s="29"/>
      <c r="D239" s="29" t="s">
        <v>554</v>
      </c>
      <c r="E239" s="29" t="s">
        <v>13</v>
      </c>
      <c r="F239" s="38">
        <v>22</v>
      </c>
      <c r="G239" s="38"/>
      <c r="H239" s="38"/>
    </row>
    <row r="240" spans="1:8" x14ac:dyDescent="0.25">
      <c r="A240" s="29" t="s">
        <v>28</v>
      </c>
      <c r="B240" s="29" t="s">
        <v>643</v>
      </c>
      <c r="C240" s="29" t="s">
        <v>399</v>
      </c>
      <c r="D240" s="29" t="s">
        <v>11</v>
      </c>
      <c r="E240" s="29">
        <v>7</v>
      </c>
      <c r="F240" s="38">
        <f>E240*1500</f>
        <v>10500</v>
      </c>
      <c r="G240" s="38">
        <f>E240*500</f>
        <v>3500</v>
      </c>
      <c r="H240" s="38">
        <v>7000</v>
      </c>
    </row>
    <row r="241" spans="1:8" x14ac:dyDescent="0.25">
      <c r="A241" s="29"/>
      <c r="B241" s="29"/>
      <c r="C241" s="29"/>
      <c r="D241" s="29" t="s">
        <v>13</v>
      </c>
      <c r="E241" s="29">
        <v>21</v>
      </c>
      <c r="F241" s="38">
        <f>E241*6500</f>
        <v>136500</v>
      </c>
      <c r="G241" s="38">
        <f>E241*4500</f>
        <v>94500</v>
      </c>
      <c r="H241" s="38">
        <f>E241*2000</f>
        <v>42000</v>
      </c>
    </row>
    <row r="242" spans="1:8" x14ac:dyDescent="0.25">
      <c r="A242" s="29"/>
      <c r="B242" s="29"/>
      <c r="C242" s="29"/>
      <c r="D242" s="29" t="s">
        <v>14</v>
      </c>
      <c r="E242" s="29">
        <v>16</v>
      </c>
      <c r="F242" s="38">
        <f>E242*10000</f>
        <v>160000</v>
      </c>
      <c r="G242" s="38">
        <f>E242*5500</f>
        <v>88000</v>
      </c>
      <c r="H242" s="38">
        <f>E242*4500</f>
        <v>72000</v>
      </c>
    </row>
    <row r="243" spans="1:8" x14ac:dyDescent="0.25">
      <c r="A243" s="29"/>
      <c r="B243" s="29"/>
      <c r="C243" s="29"/>
      <c r="D243" s="29" t="s">
        <v>436</v>
      </c>
      <c r="E243" s="29">
        <v>1</v>
      </c>
      <c r="F243" s="38">
        <v>3000</v>
      </c>
      <c r="G243" s="38">
        <v>1500</v>
      </c>
      <c r="H243" s="38">
        <v>1500</v>
      </c>
    </row>
    <row r="244" spans="1:8" x14ac:dyDescent="0.25">
      <c r="A244" s="29"/>
      <c r="B244" s="29"/>
      <c r="C244" s="29"/>
      <c r="D244" s="29" t="s">
        <v>631</v>
      </c>
      <c r="E244" s="29">
        <v>3</v>
      </c>
      <c r="F244" s="38">
        <f>E244*3000</f>
        <v>9000</v>
      </c>
      <c r="G244" s="38">
        <v>4500</v>
      </c>
      <c r="H244" s="38">
        <v>4500</v>
      </c>
    </row>
    <row r="245" spans="1:8" x14ac:dyDescent="0.25">
      <c r="A245" s="29"/>
      <c r="B245" s="29"/>
      <c r="C245" s="29"/>
      <c r="D245" s="29" t="s">
        <v>415</v>
      </c>
      <c r="E245" s="29">
        <v>2</v>
      </c>
      <c r="F245" s="38">
        <f>E245*5000</f>
        <v>10000</v>
      </c>
      <c r="G245" s="38">
        <v>5000</v>
      </c>
      <c r="H245" s="38">
        <v>5000</v>
      </c>
    </row>
    <row r="246" spans="1:8" x14ac:dyDescent="0.25">
      <c r="A246" s="29"/>
      <c r="B246" s="29"/>
      <c r="C246" s="29"/>
      <c r="D246" s="29" t="s">
        <v>243</v>
      </c>
      <c r="E246" s="29">
        <v>2</v>
      </c>
      <c r="F246" s="38">
        <f>E246*13000</f>
        <v>26000</v>
      </c>
      <c r="G246" s="38">
        <v>10000</v>
      </c>
      <c r="H246" s="38">
        <v>6000</v>
      </c>
    </row>
    <row r="247" spans="1:8" x14ac:dyDescent="0.25">
      <c r="A247" s="29"/>
      <c r="B247" s="29"/>
      <c r="C247" s="29" t="s">
        <v>217</v>
      </c>
      <c r="D247" s="29" t="s">
        <v>11</v>
      </c>
      <c r="E247" s="29">
        <v>20</v>
      </c>
      <c r="F247" s="38">
        <f>E247*1500</f>
        <v>30000</v>
      </c>
      <c r="G247" s="38">
        <f>E247*500</f>
        <v>10000</v>
      </c>
      <c r="H247" s="38">
        <v>20000</v>
      </c>
    </row>
    <row r="248" spans="1:8" x14ac:dyDescent="0.25">
      <c r="A248" s="29"/>
      <c r="B248" s="29"/>
      <c r="C248" s="29"/>
      <c r="D248" s="29" t="s">
        <v>13</v>
      </c>
      <c r="E248" s="29">
        <v>10</v>
      </c>
      <c r="F248" s="38">
        <f>E248*6500</f>
        <v>65000</v>
      </c>
      <c r="G248" s="38">
        <f>E248*4500</f>
        <v>45000</v>
      </c>
      <c r="H248" s="38">
        <f>E248*2000</f>
        <v>20000</v>
      </c>
    </row>
    <row r="249" spans="1:8" x14ac:dyDescent="0.25">
      <c r="A249" s="29"/>
      <c r="B249" s="29"/>
      <c r="C249" s="29"/>
      <c r="D249" s="29" t="s">
        <v>14</v>
      </c>
      <c r="E249" s="29">
        <v>5</v>
      </c>
      <c r="F249" s="38">
        <f>E249*10000</f>
        <v>50000</v>
      </c>
      <c r="G249" s="38">
        <f>E249*5500</f>
        <v>27500</v>
      </c>
      <c r="H249" s="38">
        <f>E249*4500</f>
        <v>22500</v>
      </c>
    </row>
    <row r="250" spans="1:8" x14ac:dyDescent="0.25">
      <c r="A250" s="29"/>
      <c r="B250" s="29"/>
      <c r="C250" s="29"/>
      <c r="D250" s="29" t="s">
        <v>404</v>
      </c>
      <c r="E250" s="29">
        <v>7</v>
      </c>
      <c r="F250" s="38">
        <f>E250*2000</f>
        <v>14000</v>
      </c>
      <c r="G250" s="38">
        <v>7000</v>
      </c>
      <c r="H250" s="38">
        <v>7000</v>
      </c>
    </row>
    <row r="251" spans="1:8" x14ac:dyDescent="0.25">
      <c r="A251" s="29"/>
      <c r="B251" s="29"/>
      <c r="C251" s="29"/>
      <c r="D251" s="29" t="s">
        <v>437</v>
      </c>
      <c r="E251" s="29">
        <v>3</v>
      </c>
      <c r="F251" s="38">
        <f>E251*5000</f>
        <v>15000</v>
      </c>
      <c r="G251" s="38">
        <v>7500</v>
      </c>
      <c r="H251" s="38">
        <v>7500</v>
      </c>
    </row>
    <row r="252" spans="1:8" x14ac:dyDescent="0.25">
      <c r="A252" s="29"/>
      <c r="B252" s="29"/>
      <c r="C252" s="29"/>
      <c r="D252" s="29" t="s">
        <v>441</v>
      </c>
      <c r="E252" s="29">
        <v>1</v>
      </c>
      <c r="F252" s="38">
        <v>3000</v>
      </c>
      <c r="G252" s="38">
        <v>1500</v>
      </c>
      <c r="H252" s="38">
        <v>1500</v>
      </c>
    </row>
    <row r="253" spans="1:8" x14ac:dyDescent="0.25">
      <c r="A253" s="29"/>
      <c r="B253" s="29"/>
      <c r="C253" s="29" t="s">
        <v>24</v>
      </c>
      <c r="D253" s="29" t="s">
        <v>243</v>
      </c>
      <c r="E253" s="29">
        <v>1</v>
      </c>
      <c r="F253" s="38">
        <v>13000</v>
      </c>
      <c r="G253" s="38">
        <v>10000</v>
      </c>
      <c r="H253" s="38">
        <v>3000</v>
      </c>
    </row>
    <row r="254" spans="1:8" x14ac:dyDescent="0.25">
      <c r="A254" s="125" t="s">
        <v>17</v>
      </c>
      <c r="B254" s="125"/>
      <c r="C254" s="125"/>
      <c r="D254" s="125"/>
      <c r="E254" s="17">
        <f>SUM(E240:E253)</f>
        <v>99</v>
      </c>
      <c r="F254" s="17">
        <f t="shared" ref="F254:H254" si="14">SUM(F240:F253)</f>
        <v>545000</v>
      </c>
      <c r="G254" s="17">
        <f t="shared" si="14"/>
        <v>315500</v>
      </c>
      <c r="H254" s="17">
        <f t="shared" si="14"/>
        <v>219500</v>
      </c>
    </row>
    <row r="255" spans="1:8" x14ac:dyDescent="0.25">
      <c r="A255" s="29"/>
      <c r="B255" s="29"/>
      <c r="C255" s="29" t="s">
        <v>16</v>
      </c>
      <c r="D255" s="29" t="s">
        <v>11</v>
      </c>
      <c r="E255" s="29">
        <v>65</v>
      </c>
      <c r="F255" s="38">
        <f>E255*1500</f>
        <v>97500</v>
      </c>
      <c r="G255" s="38">
        <f>E255*500</f>
        <v>32500</v>
      </c>
      <c r="H255" s="38">
        <f>E255*1000</f>
        <v>65000</v>
      </c>
    </row>
    <row r="256" spans="1:8" x14ac:dyDescent="0.25">
      <c r="A256" s="29"/>
      <c r="B256" s="29"/>
      <c r="C256" s="29"/>
      <c r="D256" s="29" t="s">
        <v>12</v>
      </c>
      <c r="E256" s="29">
        <v>4</v>
      </c>
      <c r="F256" s="38">
        <f>E256*3000</f>
        <v>12000</v>
      </c>
      <c r="G256" s="38">
        <v>8000</v>
      </c>
      <c r="H256" s="38">
        <v>4000</v>
      </c>
    </row>
    <row r="257" spans="1:8" x14ac:dyDescent="0.25">
      <c r="A257" s="29"/>
      <c r="B257" s="29"/>
      <c r="C257" s="29"/>
      <c r="D257" s="29" t="s">
        <v>13</v>
      </c>
      <c r="E257" s="29">
        <v>1</v>
      </c>
      <c r="F257" s="38">
        <v>6500</v>
      </c>
      <c r="G257" s="38">
        <v>4500</v>
      </c>
      <c r="H257" s="38">
        <v>2000</v>
      </c>
    </row>
    <row r="258" spans="1:8" x14ac:dyDescent="0.25">
      <c r="A258" s="29"/>
      <c r="B258" s="29"/>
      <c r="C258" s="29"/>
      <c r="D258" s="29" t="s">
        <v>14</v>
      </c>
      <c r="E258" s="29">
        <v>1</v>
      </c>
      <c r="F258" s="38">
        <v>10000</v>
      </c>
      <c r="G258" s="38">
        <v>5500</v>
      </c>
      <c r="H258" s="38">
        <v>4500</v>
      </c>
    </row>
    <row r="259" spans="1:8" x14ac:dyDescent="0.25">
      <c r="A259" s="29"/>
      <c r="B259" s="29"/>
      <c r="C259" s="29" t="s">
        <v>217</v>
      </c>
      <c r="D259" s="29" t="s">
        <v>11</v>
      </c>
      <c r="E259" s="29">
        <v>2</v>
      </c>
      <c r="F259" s="38">
        <f>E259*1500</f>
        <v>3000</v>
      </c>
      <c r="G259" s="38">
        <f>E259*500</f>
        <v>1000</v>
      </c>
      <c r="H259" s="38">
        <v>2000</v>
      </c>
    </row>
    <row r="260" spans="1:8" x14ac:dyDescent="0.25">
      <c r="A260" s="29"/>
      <c r="B260" s="29"/>
      <c r="C260" s="29"/>
      <c r="D260" s="29" t="s">
        <v>13</v>
      </c>
      <c r="E260" s="29">
        <v>1</v>
      </c>
      <c r="F260" s="38">
        <v>6500</v>
      </c>
      <c r="G260" s="38">
        <v>4500</v>
      </c>
      <c r="H260" s="38">
        <v>2000</v>
      </c>
    </row>
    <row r="261" spans="1:8" x14ac:dyDescent="0.25">
      <c r="A261" s="29"/>
      <c r="B261" s="29"/>
      <c r="C261" s="29"/>
      <c r="D261" s="29" t="s">
        <v>14</v>
      </c>
      <c r="E261" s="29">
        <v>3</v>
      </c>
      <c r="F261" s="38">
        <f>E261*10000</f>
        <v>30000</v>
      </c>
      <c r="G261" s="38">
        <f>E261*5500</f>
        <v>16500</v>
      </c>
      <c r="H261" s="38">
        <f>E261*4500</f>
        <v>13500</v>
      </c>
    </row>
    <row r="262" spans="1:8" x14ac:dyDescent="0.25">
      <c r="A262" s="29"/>
      <c r="B262" s="29"/>
      <c r="C262" s="29"/>
      <c r="D262" s="29" t="s">
        <v>404</v>
      </c>
      <c r="E262" s="29">
        <v>1</v>
      </c>
      <c r="F262" s="38">
        <v>3000</v>
      </c>
      <c r="G262" s="38">
        <v>1500</v>
      </c>
      <c r="H262" s="38">
        <v>1500</v>
      </c>
    </row>
    <row r="263" spans="1:8" x14ac:dyDescent="0.25">
      <c r="A263" s="29"/>
      <c r="B263" s="29"/>
      <c r="C263" s="29"/>
      <c r="D263" s="29" t="s">
        <v>437</v>
      </c>
      <c r="E263" s="29">
        <v>1</v>
      </c>
      <c r="F263" s="38">
        <v>5000</v>
      </c>
      <c r="G263" s="38">
        <v>2500</v>
      </c>
      <c r="H263" s="38">
        <v>2500</v>
      </c>
    </row>
    <row r="264" spans="1:8" x14ac:dyDescent="0.25">
      <c r="A264" s="29"/>
      <c r="B264" s="29"/>
      <c r="C264" s="29" t="s">
        <v>399</v>
      </c>
      <c r="D264" s="29" t="s">
        <v>13</v>
      </c>
      <c r="E264" s="29">
        <v>11</v>
      </c>
      <c r="F264" s="38">
        <f>E264*8000</f>
        <v>88000</v>
      </c>
      <c r="G264" s="38">
        <f>E264*4500</f>
        <v>49500</v>
      </c>
      <c r="H264" s="38">
        <f>E264*3500</f>
        <v>38500</v>
      </c>
    </row>
    <row r="265" spans="1:8" x14ac:dyDescent="0.25">
      <c r="A265" s="29"/>
      <c r="B265" s="29"/>
      <c r="C265" s="29"/>
      <c r="D265" s="29" t="s">
        <v>14</v>
      </c>
      <c r="E265" s="29">
        <v>15</v>
      </c>
      <c r="F265" s="38">
        <f>E265*13000</f>
        <v>195000</v>
      </c>
      <c r="G265" s="38">
        <f>E265*5500</f>
        <v>82500</v>
      </c>
      <c r="H265" s="38">
        <f>E265*7500</f>
        <v>112500</v>
      </c>
    </row>
    <row r="266" spans="1:8" x14ac:dyDescent="0.25">
      <c r="A266" s="29"/>
      <c r="B266" s="29"/>
      <c r="C266" s="29"/>
      <c r="D266" s="29" t="s">
        <v>404</v>
      </c>
      <c r="E266" s="29">
        <v>3</v>
      </c>
      <c r="F266" s="38">
        <f>E266*3000</f>
        <v>9000</v>
      </c>
      <c r="G266" s="38">
        <v>1500</v>
      </c>
      <c r="H266" s="38">
        <v>1500</v>
      </c>
    </row>
    <row r="267" spans="1:8" x14ac:dyDescent="0.25">
      <c r="A267" s="29"/>
      <c r="B267" s="29"/>
      <c r="C267" s="29"/>
      <c r="D267" s="29" t="s">
        <v>441</v>
      </c>
      <c r="E267" s="29">
        <v>2</v>
      </c>
      <c r="F267" s="38">
        <f>E267*3000</f>
        <v>6000</v>
      </c>
      <c r="G267" s="38">
        <v>3000</v>
      </c>
      <c r="H267" s="38">
        <v>3000</v>
      </c>
    </row>
    <row r="268" spans="1:8" x14ac:dyDescent="0.25">
      <c r="A268" s="125" t="s">
        <v>17</v>
      </c>
      <c r="B268" s="125"/>
      <c r="C268" s="125"/>
      <c r="D268" s="125"/>
      <c r="E268" s="17">
        <f>SUM(E255:E267)</f>
        <v>110</v>
      </c>
      <c r="F268" s="17">
        <f t="shared" ref="F268:H268" si="15">SUM(F255:F267)</f>
        <v>471500</v>
      </c>
      <c r="G268" s="17">
        <f t="shared" si="15"/>
        <v>213000</v>
      </c>
      <c r="H268" s="17">
        <f t="shared" si="15"/>
        <v>252500</v>
      </c>
    </row>
    <row r="269" spans="1:8" x14ac:dyDescent="0.25">
      <c r="A269" s="29" t="s">
        <v>30</v>
      </c>
      <c r="B269" s="29" t="s">
        <v>644</v>
      </c>
      <c r="C269" s="29" t="s">
        <v>338</v>
      </c>
      <c r="D269" s="29" t="s">
        <v>11</v>
      </c>
      <c r="E269" s="29">
        <v>75</v>
      </c>
      <c r="F269" s="38">
        <f>E269*1800</f>
        <v>135000</v>
      </c>
      <c r="G269" s="38">
        <f>E269*500</f>
        <v>37500</v>
      </c>
      <c r="H269" s="38">
        <f>E269*1300</f>
        <v>97500</v>
      </c>
    </row>
    <row r="270" spans="1:8" x14ac:dyDescent="0.25">
      <c r="A270" s="29"/>
      <c r="B270" s="29"/>
      <c r="C270" s="29" t="s">
        <v>306</v>
      </c>
      <c r="D270" s="29" t="s">
        <v>11</v>
      </c>
      <c r="E270" s="29">
        <v>8</v>
      </c>
      <c r="F270" s="38">
        <f>E270*1800</f>
        <v>14400</v>
      </c>
      <c r="G270" s="38">
        <f>E270*500</f>
        <v>4000</v>
      </c>
      <c r="H270" s="38">
        <f>E270*1200</f>
        <v>9600</v>
      </c>
    </row>
    <row r="271" spans="1:8" x14ac:dyDescent="0.25">
      <c r="A271" s="29"/>
      <c r="B271" s="29"/>
      <c r="C271" s="29" t="s">
        <v>571</v>
      </c>
      <c r="D271" s="29" t="s">
        <v>11</v>
      </c>
      <c r="E271" s="29">
        <v>25</v>
      </c>
      <c r="F271" s="38">
        <f>E271*1700</f>
        <v>42500</v>
      </c>
      <c r="G271" s="38">
        <f>E271*500</f>
        <v>12500</v>
      </c>
      <c r="H271" s="38">
        <f>E271*1200</f>
        <v>30000</v>
      </c>
    </row>
    <row r="272" spans="1:8" x14ac:dyDescent="0.25">
      <c r="A272" s="29"/>
      <c r="B272" s="29"/>
      <c r="C272" s="29" t="s">
        <v>16</v>
      </c>
      <c r="D272" s="29" t="s">
        <v>11</v>
      </c>
      <c r="E272" s="29">
        <v>59</v>
      </c>
      <c r="F272" s="38">
        <f>E272*1500</f>
        <v>88500</v>
      </c>
      <c r="G272" s="38">
        <f>E272*500</f>
        <v>29500</v>
      </c>
      <c r="H272" s="38">
        <v>59000</v>
      </c>
    </row>
    <row r="273" spans="1:8" x14ac:dyDescent="0.25">
      <c r="A273" s="29"/>
      <c r="B273" s="29"/>
      <c r="C273" s="29" t="s">
        <v>612</v>
      </c>
      <c r="D273" s="29" t="s">
        <v>12</v>
      </c>
      <c r="E273" s="29">
        <v>4</v>
      </c>
      <c r="F273" s="38">
        <f>E273*3000</f>
        <v>12000</v>
      </c>
      <c r="G273" s="38">
        <v>8000</v>
      </c>
      <c r="H273" s="38">
        <v>4000</v>
      </c>
    </row>
    <row r="274" spans="1:8" x14ac:dyDescent="0.25">
      <c r="A274" s="29"/>
      <c r="B274" s="29"/>
      <c r="C274" s="29"/>
      <c r="D274" s="29" t="s">
        <v>13</v>
      </c>
      <c r="E274" s="29">
        <v>2</v>
      </c>
      <c r="F274" s="38">
        <f>E274*6500</f>
        <v>13000</v>
      </c>
      <c r="G274" s="38">
        <f>E274*4500</f>
        <v>9000</v>
      </c>
      <c r="H274" s="38">
        <f>E274*2000</f>
        <v>4000</v>
      </c>
    </row>
    <row r="275" spans="1:8" x14ac:dyDescent="0.25">
      <c r="A275" s="29"/>
      <c r="B275" s="29"/>
      <c r="C275" s="29"/>
      <c r="D275" s="29" t="s">
        <v>14</v>
      </c>
      <c r="E275" s="29">
        <v>1</v>
      </c>
      <c r="F275" s="38">
        <v>10000</v>
      </c>
      <c r="G275" s="38">
        <v>5500</v>
      </c>
      <c r="H275" s="38">
        <v>4500</v>
      </c>
    </row>
    <row r="276" spans="1:8" x14ac:dyDescent="0.25">
      <c r="A276" s="29"/>
      <c r="B276" s="29"/>
      <c r="C276" s="29"/>
      <c r="D276" s="29" t="s">
        <v>243</v>
      </c>
      <c r="E276" s="29">
        <v>1</v>
      </c>
      <c r="F276" s="38">
        <v>13000</v>
      </c>
      <c r="G276" s="38">
        <v>10000</v>
      </c>
      <c r="H276" s="38">
        <v>3000</v>
      </c>
    </row>
    <row r="277" spans="1:8" x14ac:dyDescent="0.25">
      <c r="A277" s="29"/>
      <c r="B277" s="29"/>
      <c r="C277" s="29" t="s">
        <v>24</v>
      </c>
      <c r="D277" s="29" t="s">
        <v>243</v>
      </c>
      <c r="E277" s="29">
        <v>2</v>
      </c>
      <c r="F277" s="38">
        <v>26000</v>
      </c>
      <c r="G277" s="38">
        <v>20000</v>
      </c>
      <c r="H277" s="38">
        <v>6000</v>
      </c>
    </row>
    <row r="278" spans="1:8" x14ac:dyDescent="0.25">
      <c r="A278" s="125" t="s">
        <v>17</v>
      </c>
      <c r="B278" s="125"/>
      <c r="C278" s="125"/>
      <c r="D278" s="125"/>
      <c r="E278" s="17">
        <f>SUM(E269:E277)</f>
        <v>177</v>
      </c>
      <c r="F278" s="17">
        <f t="shared" ref="F278:H278" si="16">SUM(F269:F277)</f>
        <v>354400</v>
      </c>
      <c r="G278" s="17">
        <f t="shared" si="16"/>
        <v>136000</v>
      </c>
      <c r="H278" s="17">
        <f t="shared" si="16"/>
        <v>217600</v>
      </c>
    </row>
    <row r="279" spans="1:8" x14ac:dyDescent="0.25">
      <c r="A279" s="29" t="s">
        <v>32</v>
      </c>
      <c r="B279" s="29" t="s">
        <v>645</v>
      </c>
      <c r="C279" s="29" t="s">
        <v>338</v>
      </c>
      <c r="D279" s="29" t="s">
        <v>11</v>
      </c>
      <c r="E279" s="29">
        <v>75</v>
      </c>
      <c r="F279" s="38">
        <f>E279*1800</f>
        <v>135000</v>
      </c>
      <c r="G279" s="38">
        <f>E279*500</f>
        <v>37500</v>
      </c>
      <c r="H279" s="38">
        <f>E279*1300</f>
        <v>97500</v>
      </c>
    </row>
    <row r="280" spans="1:8" x14ac:dyDescent="0.25">
      <c r="A280" s="29"/>
      <c r="B280" s="29"/>
      <c r="C280" s="29" t="s">
        <v>306</v>
      </c>
      <c r="D280" s="29" t="s">
        <v>11</v>
      </c>
      <c r="E280" s="29">
        <v>38</v>
      </c>
      <c r="F280" s="38">
        <f>E280*1800</f>
        <v>68400</v>
      </c>
      <c r="G280" s="38">
        <f>E280*500</f>
        <v>19000</v>
      </c>
      <c r="H280" s="38">
        <f>E280*1300</f>
        <v>49400</v>
      </c>
    </row>
    <row r="281" spans="1:8" x14ac:dyDescent="0.25">
      <c r="A281" s="29"/>
      <c r="B281" s="29"/>
      <c r="C281" s="29" t="s">
        <v>647</v>
      </c>
      <c r="D281" s="29" t="s">
        <v>11</v>
      </c>
      <c r="E281" s="29">
        <v>102</v>
      </c>
      <c r="F281" s="38">
        <f>E281*1700</f>
        <v>173400</v>
      </c>
      <c r="G281" s="38">
        <f>E281*500</f>
        <v>51000</v>
      </c>
      <c r="H281" s="38">
        <f>E281*1200</f>
        <v>122400</v>
      </c>
    </row>
    <row r="282" spans="1:8" x14ac:dyDescent="0.25">
      <c r="A282" s="29"/>
      <c r="B282" s="29"/>
      <c r="C282" s="29" t="s">
        <v>16</v>
      </c>
      <c r="D282" s="29" t="s">
        <v>11</v>
      </c>
      <c r="E282" s="29">
        <v>36</v>
      </c>
      <c r="F282" s="38">
        <f>E282*1500</f>
        <v>54000</v>
      </c>
      <c r="G282" s="38">
        <f>E282*500</f>
        <v>18000</v>
      </c>
      <c r="H282" s="38">
        <v>36000</v>
      </c>
    </row>
    <row r="283" spans="1:8" x14ac:dyDescent="0.25">
      <c r="A283" s="29"/>
      <c r="B283" s="29"/>
      <c r="C283" s="29"/>
      <c r="D283" s="29" t="s">
        <v>12</v>
      </c>
      <c r="E283" s="29">
        <v>3</v>
      </c>
      <c r="F283" s="38">
        <f>E283*3000</f>
        <v>9000</v>
      </c>
      <c r="G283" s="38">
        <v>6000</v>
      </c>
      <c r="H283" s="38">
        <v>3000</v>
      </c>
    </row>
    <row r="284" spans="1:8" x14ac:dyDescent="0.25">
      <c r="A284" s="29"/>
      <c r="B284" s="29"/>
      <c r="C284" s="29"/>
      <c r="D284" s="29" t="s">
        <v>13</v>
      </c>
      <c r="E284" s="29">
        <v>1</v>
      </c>
      <c r="F284" s="38">
        <v>6500</v>
      </c>
      <c r="G284" s="38">
        <v>4500</v>
      </c>
      <c r="H284" s="38">
        <v>2000</v>
      </c>
    </row>
    <row r="285" spans="1:8" x14ac:dyDescent="0.25">
      <c r="A285" s="29"/>
      <c r="B285" s="29"/>
      <c r="C285" s="29"/>
      <c r="D285" s="29" t="s">
        <v>14</v>
      </c>
      <c r="E285" s="29">
        <v>1</v>
      </c>
      <c r="F285" s="38">
        <v>10000</v>
      </c>
      <c r="G285" s="38">
        <v>5500</v>
      </c>
      <c r="H285" s="38">
        <v>4500</v>
      </c>
    </row>
    <row r="286" spans="1:8" x14ac:dyDescent="0.25">
      <c r="A286" s="29"/>
      <c r="B286" s="29"/>
      <c r="C286" s="29" t="s">
        <v>217</v>
      </c>
      <c r="D286" s="29" t="s">
        <v>11</v>
      </c>
      <c r="E286" s="29">
        <v>17</v>
      </c>
      <c r="F286" s="38">
        <f>E286*1500</f>
        <v>25500</v>
      </c>
      <c r="G286" s="38">
        <f>E286*500</f>
        <v>8500</v>
      </c>
      <c r="H286" s="38">
        <v>17000</v>
      </c>
    </row>
    <row r="287" spans="1:8" x14ac:dyDescent="0.25">
      <c r="A287" s="29"/>
      <c r="B287" s="29"/>
      <c r="C287" s="29"/>
      <c r="D287" s="29" t="s">
        <v>520</v>
      </c>
      <c r="E287" s="29">
        <v>1</v>
      </c>
      <c r="F287" s="38">
        <v>2000</v>
      </c>
      <c r="G287" s="38">
        <v>1000</v>
      </c>
      <c r="H287" s="38">
        <v>1000</v>
      </c>
    </row>
    <row r="288" spans="1:8" x14ac:dyDescent="0.25">
      <c r="A288" s="29"/>
      <c r="B288" s="29"/>
      <c r="C288" s="29"/>
      <c r="D288" s="29" t="s">
        <v>441</v>
      </c>
      <c r="E288" s="29">
        <v>1</v>
      </c>
      <c r="F288" s="38">
        <v>3000</v>
      </c>
      <c r="G288" s="38">
        <v>1500</v>
      </c>
      <c r="H288" s="38">
        <v>1500</v>
      </c>
    </row>
    <row r="289" spans="1:8" x14ac:dyDescent="0.25">
      <c r="A289" s="29"/>
      <c r="B289" s="29"/>
      <c r="C289" s="29"/>
      <c r="D289" s="29" t="s">
        <v>437</v>
      </c>
      <c r="E289" s="29">
        <v>1</v>
      </c>
      <c r="F289" s="38">
        <v>500</v>
      </c>
      <c r="G289" s="38">
        <v>2500</v>
      </c>
      <c r="H289" s="38">
        <v>2500</v>
      </c>
    </row>
    <row r="290" spans="1:8" x14ac:dyDescent="0.25">
      <c r="A290" s="126" t="s">
        <v>17</v>
      </c>
      <c r="B290" s="126"/>
      <c r="C290" s="126"/>
      <c r="D290" s="126"/>
      <c r="E290" s="16">
        <f>SUM(E279:E289)</f>
        <v>276</v>
      </c>
      <c r="F290" s="17">
        <f t="shared" ref="F290:H290" si="17">SUM(F279:F289)</f>
        <v>487300</v>
      </c>
      <c r="G290" s="17">
        <f t="shared" si="17"/>
        <v>155000</v>
      </c>
      <c r="H290" s="17">
        <f t="shared" si="17"/>
        <v>336800</v>
      </c>
    </row>
    <row r="291" spans="1:8" x14ac:dyDescent="0.25">
      <c r="A291" s="29" t="s">
        <v>8</v>
      </c>
      <c r="B291" s="29" t="s">
        <v>648</v>
      </c>
      <c r="C291" s="29" t="s">
        <v>338</v>
      </c>
      <c r="D291" s="29" t="s">
        <v>11</v>
      </c>
      <c r="E291" s="29">
        <v>75</v>
      </c>
      <c r="F291" s="38">
        <f>E291*1800</f>
        <v>135000</v>
      </c>
      <c r="G291" s="38">
        <f t="shared" ref="G291:G297" si="18">E291*500</f>
        <v>37500</v>
      </c>
      <c r="H291" s="38">
        <f>E291*1300</f>
        <v>97500</v>
      </c>
    </row>
    <row r="292" spans="1:8" x14ac:dyDescent="0.25">
      <c r="A292" s="29"/>
      <c r="B292" s="29"/>
      <c r="C292" s="29" t="s">
        <v>646</v>
      </c>
      <c r="D292" s="29" t="s">
        <v>11</v>
      </c>
      <c r="E292" s="29">
        <v>200</v>
      </c>
      <c r="F292" s="38">
        <f>E292*1500</f>
        <v>300000</v>
      </c>
      <c r="G292" s="38">
        <f t="shared" si="18"/>
        <v>100000</v>
      </c>
      <c r="H292" s="38">
        <v>200000</v>
      </c>
    </row>
    <row r="293" spans="1:8" x14ac:dyDescent="0.25">
      <c r="A293" s="29"/>
      <c r="B293" s="29"/>
      <c r="C293" s="29" t="s">
        <v>306</v>
      </c>
      <c r="D293" s="29" t="s">
        <v>11</v>
      </c>
      <c r="E293" s="29">
        <v>34</v>
      </c>
      <c r="F293" s="38">
        <f>E293*1800</f>
        <v>61200</v>
      </c>
      <c r="G293" s="38">
        <f t="shared" si="18"/>
        <v>17000</v>
      </c>
      <c r="H293" s="38">
        <f>E293*1300</f>
        <v>44200</v>
      </c>
    </row>
    <row r="294" spans="1:8" x14ac:dyDescent="0.25">
      <c r="A294" s="29"/>
      <c r="B294" s="29"/>
      <c r="C294" s="29" t="s">
        <v>572</v>
      </c>
      <c r="D294" s="29" t="s">
        <v>11</v>
      </c>
      <c r="E294" s="29">
        <v>39</v>
      </c>
      <c r="F294" s="38">
        <f>E294*1700</f>
        <v>66300</v>
      </c>
      <c r="G294" s="38">
        <f t="shared" si="18"/>
        <v>19500</v>
      </c>
      <c r="H294" s="38">
        <f>E294*1200</f>
        <v>46800</v>
      </c>
    </row>
    <row r="295" spans="1:8" x14ac:dyDescent="0.25">
      <c r="A295" s="29"/>
      <c r="B295" s="29"/>
      <c r="C295" s="29" t="s">
        <v>209</v>
      </c>
      <c r="D295" s="29" t="s">
        <v>11</v>
      </c>
      <c r="E295" s="29">
        <v>27</v>
      </c>
      <c r="F295" s="38">
        <f>E295*1500</f>
        <v>40500</v>
      </c>
      <c r="G295" s="38">
        <f t="shared" si="18"/>
        <v>13500</v>
      </c>
      <c r="H295" s="38">
        <v>27000</v>
      </c>
    </row>
    <row r="296" spans="1:8" x14ac:dyDescent="0.25">
      <c r="A296" s="29"/>
      <c r="B296" s="29"/>
      <c r="C296" s="29" t="s">
        <v>649</v>
      </c>
      <c r="D296" s="29" t="s">
        <v>11</v>
      </c>
      <c r="E296" s="29">
        <f>80+96</f>
        <v>176</v>
      </c>
      <c r="F296" s="38">
        <f>E296*1700</f>
        <v>299200</v>
      </c>
      <c r="G296" s="38">
        <f t="shared" si="18"/>
        <v>88000</v>
      </c>
      <c r="H296" s="38">
        <f>E296*1200</f>
        <v>211200</v>
      </c>
    </row>
    <row r="297" spans="1:8" x14ac:dyDescent="0.25">
      <c r="A297" s="29"/>
      <c r="B297" s="29"/>
      <c r="C297" s="29" t="s">
        <v>16</v>
      </c>
      <c r="D297" s="29" t="s">
        <v>11</v>
      </c>
      <c r="E297" s="29">
        <v>63</v>
      </c>
      <c r="F297" s="38">
        <f>E297*1500</f>
        <v>94500</v>
      </c>
      <c r="G297" s="38">
        <f t="shared" si="18"/>
        <v>31500</v>
      </c>
      <c r="H297" s="38">
        <f>E297*1000</f>
        <v>63000</v>
      </c>
    </row>
    <row r="298" spans="1:8" x14ac:dyDescent="0.25">
      <c r="A298" s="29"/>
      <c r="B298" s="29"/>
      <c r="C298" s="29"/>
      <c r="D298" s="29" t="s">
        <v>12</v>
      </c>
      <c r="E298" s="29">
        <v>4</v>
      </c>
      <c r="F298" s="38">
        <f>E298*3000</f>
        <v>12000</v>
      </c>
      <c r="G298" s="38">
        <v>8000</v>
      </c>
      <c r="H298" s="38">
        <v>4000</v>
      </c>
    </row>
    <row r="299" spans="1:8" x14ac:dyDescent="0.25">
      <c r="A299" s="29"/>
      <c r="B299" s="29"/>
      <c r="C299" s="29" t="s">
        <v>24</v>
      </c>
      <c r="D299" s="29" t="s">
        <v>243</v>
      </c>
      <c r="E299" s="29">
        <v>4</v>
      </c>
      <c r="F299" s="38">
        <f>E299*13000</f>
        <v>52000</v>
      </c>
      <c r="G299" s="38">
        <v>40000</v>
      </c>
      <c r="H299" s="38">
        <v>12000</v>
      </c>
    </row>
    <row r="300" spans="1:8" x14ac:dyDescent="0.25">
      <c r="A300" s="29"/>
      <c r="B300" s="29"/>
      <c r="C300" s="29" t="s">
        <v>24</v>
      </c>
      <c r="D300" s="29" t="s">
        <v>243</v>
      </c>
      <c r="E300" s="29">
        <v>2</v>
      </c>
      <c r="F300" s="38">
        <f>E300*13000</f>
        <v>26000</v>
      </c>
      <c r="G300" s="38">
        <v>20000</v>
      </c>
      <c r="H300" s="38">
        <v>6000</v>
      </c>
    </row>
    <row r="301" spans="1:8" x14ac:dyDescent="0.25">
      <c r="A301" s="29"/>
      <c r="B301" s="29"/>
      <c r="C301" s="29" t="s">
        <v>127</v>
      </c>
      <c r="D301" s="29" t="s">
        <v>21</v>
      </c>
      <c r="E301" s="29">
        <v>5</v>
      </c>
      <c r="F301" s="38">
        <f>E301*15000</f>
        <v>75000</v>
      </c>
      <c r="G301" s="38">
        <v>50000</v>
      </c>
      <c r="H301" s="38">
        <v>25000</v>
      </c>
    </row>
    <row r="302" spans="1:8" x14ac:dyDescent="0.25">
      <c r="A302" s="29"/>
      <c r="B302" s="29"/>
      <c r="C302" s="29"/>
      <c r="D302" s="29" t="s">
        <v>243</v>
      </c>
      <c r="E302" s="29">
        <v>1</v>
      </c>
      <c r="F302" s="38">
        <v>13000</v>
      </c>
      <c r="G302" s="38">
        <v>10000</v>
      </c>
      <c r="H302" s="38">
        <v>3000</v>
      </c>
    </row>
    <row r="303" spans="1:8" x14ac:dyDescent="0.25">
      <c r="A303" s="29"/>
      <c r="B303" s="29"/>
      <c r="C303" s="29" t="s">
        <v>217</v>
      </c>
      <c r="D303" s="29" t="s">
        <v>11</v>
      </c>
      <c r="E303" s="29">
        <v>20</v>
      </c>
      <c r="F303" s="38">
        <f>E303*1500</f>
        <v>30000</v>
      </c>
      <c r="G303" s="38">
        <f>E303*500</f>
        <v>10000</v>
      </c>
      <c r="H303" s="38">
        <v>20000</v>
      </c>
    </row>
    <row r="304" spans="1:8" x14ac:dyDescent="0.25">
      <c r="A304" s="29"/>
      <c r="B304" s="29"/>
      <c r="C304" s="29"/>
      <c r="D304" s="29" t="s">
        <v>13</v>
      </c>
      <c r="E304" s="29">
        <v>7</v>
      </c>
      <c r="F304" s="38">
        <f>E304*6500</f>
        <v>45500</v>
      </c>
      <c r="G304" s="38">
        <f>E304*4500</f>
        <v>31500</v>
      </c>
      <c r="H304" s="38">
        <f>E304*2000</f>
        <v>14000</v>
      </c>
    </row>
    <row r="305" spans="1:8" x14ac:dyDescent="0.25">
      <c r="A305" s="29"/>
      <c r="B305" s="29"/>
      <c r="C305" s="29"/>
      <c r="D305" s="29" t="s">
        <v>404</v>
      </c>
      <c r="E305" s="29">
        <v>2</v>
      </c>
      <c r="F305" s="38">
        <f>E305*2000</f>
        <v>4000</v>
      </c>
      <c r="G305" s="38">
        <v>2000</v>
      </c>
      <c r="H305" s="38">
        <v>2000</v>
      </c>
    </row>
    <row r="306" spans="1:8" x14ac:dyDescent="0.25">
      <c r="A306" s="29"/>
      <c r="B306" s="29"/>
      <c r="C306" s="29"/>
      <c r="D306" s="29" t="s">
        <v>437</v>
      </c>
      <c r="E306" s="29">
        <v>2</v>
      </c>
      <c r="F306" s="38">
        <f>E306*5000</f>
        <v>10000</v>
      </c>
      <c r="G306" s="38">
        <v>5000</v>
      </c>
      <c r="H306" s="38">
        <v>5000</v>
      </c>
    </row>
    <row r="307" spans="1:8" x14ac:dyDescent="0.25">
      <c r="A307" s="125" t="s">
        <v>17</v>
      </c>
      <c r="B307" s="125"/>
      <c r="C307" s="125"/>
      <c r="D307" s="125"/>
      <c r="E307" s="17">
        <f>SUM(E291:E306)</f>
        <v>661</v>
      </c>
      <c r="F307" s="17">
        <f>SUM(F291:F306)</f>
        <v>1264200</v>
      </c>
      <c r="G307" s="17">
        <f>SUM(G291:G306)</f>
        <v>483500</v>
      </c>
      <c r="H307" s="17">
        <f>SUM(H291:H306)</f>
        <v>780700</v>
      </c>
    </row>
    <row r="308" spans="1:8" x14ac:dyDescent="0.25">
      <c r="A308" s="29" t="s">
        <v>18</v>
      </c>
      <c r="B308" s="29" t="s">
        <v>650</v>
      </c>
      <c r="C308" s="29" t="s">
        <v>338</v>
      </c>
      <c r="D308" s="29" t="s">
        <v>11</v>
      </c>
      <c r="E308" s="29">
        <v>73</v>
      </c>
      <c r="F308" s="38">
        <f>E308*1800</f>
        <v>131400</v>
      </c>
      <c r="G308" s="38">
        <f>E308*500</f>
        <v>36500</v>
      </c>
      <c r="H308" s="38">
        <f>E308*1300</f>
        <v>94900</v>
      </c>
    </row>
    <row r="309" spans="1:8" x14ac:dyDescent="0.25">
      <c r="A309" s="29"/>
      <c r="B309" s="29"/>
      <c r="C309" s="29" t="s">
        <v>306</v>
      </c>
      <c r="D309" s="29" t="s">
        <v>11</v>
      </c>
      <c r="E309" s="29">
        <v>30</v>
      </c>
      <c r="F309" s="38">
        <f>E309*1800</f>
        <v>54000</v>
      </c>
      <c r="G309" s="38">
        <f>E309*500</f>
        <v>15000</v>
      </c>
      <c r="H309" s="38">
        <f>E309*1300</f>
        <v>39000</v>
      </c>
    </row>
    <row r="310" spans="1:8" x14ac:dyDescent="0.25">
      <c r="A310" s="29"/>
      <c r="B310" s="29"/>
      <c r="C310" s="29" t="s">
        <v>651</v>
      </c>
      <c r="D310" s="29" t="s">
        <v>11</v>
      </c>
      <c r="E310" s="29">
        <v>34</v>
      </c>
      <c r="F310" s="38">
        <f>E310*1700</f>
        <v>57800</v>
      </c>
      <c r="G310" s="38">
        <f>E310*500</f>
        <v>17000</v>
      </c>
      <c r="H310" s="38">
        <f>E310*1200</f>
        <v>40800</v>
      </c>
    </row>
    <row r="311" spans="1:8" x14ac:dyDescent="0.25">
      <c r="A311" s="29"/>
      <c r="B311" s="29"/>
      <c r="C311" s="29" t="s">
        <v>571</v>
      </c>
      <c r="D311" s="29" t="s">
        <v>11</v>
      </c>
      <c r="E311" s="29">
        <v>27</v>
      </c>
      <c r="F311" s="38">
        <f>E311*1700</f>
        <v>45900</v>
      </c>
      <c r="G311" s="38">
        <f>E311*500</f>
        <v>13500</v>
      </c>
      <c r="H311" s="38">
        <f>E311*1200</f>
        <v>32400</v>
      </c>
    </row>
    <row r="312" spans="1:8" x14ac:dyDescent="0.25">
      <c r="A312" s="29"/>
      <c r="B312" s="29"/>
      <c r="C312" s="29" t="s">
        <v>16</v>
      </c>
      <c r="D312" s="29" t="s">
        <v>11</v>
      </c>
      <c r="E312" s="29">
        <v>40</v>
      </c>
      <c r="F312" s="38">
        <f>E312*1500</f>
        <v>60000</v>
      </c>
      <c r="G312" s="38">
        <f>E312*500</f>
        <v>20000</v>
      </c>
      <c r="H312" s="38">
        <v>40000</v>
      </c>
    </row>
    <row r="313" spans="1:8" x14ac:dyDescent="0.25">
      <c r="A313" s="29"/>
      <c r="B313" s="29"/>
      <c r="C313" s="29"/>
      <c r="D313" s="29" t="s">
        <v>12</v>
      </c>
      <c r="E313" s="29">
        <v>5</v>
      </c>
      <c r="F313" s="38">
        <f>E313*3000</f>
        <v>15000</v>
      </c>
      <c r="G313" s="38">
        <v>10000</v>
      </c>
      <c r="H313" s="38">
        <v>5000</v>
      </c>
    </row>
    <row r="314" spans="1:8" x14ac:dyDescent="0.25">
      <c r="A314" s="29"/>
      <c r="B314" s="29"/>
      <c r="C314" s="29"/>
      <c r="D314" s="29" t="s">
        <v>14</v>
      </c>
      <c r="E314" s="29">
        <v>1</v>
      </c>
      <c r="F314" s="38">
        <v>10000</v>
      </c>
      <c r="G314" s="38">
        <v>5500</v>
      </c>
      <c r="H314" s="38">
        <v>4500</v>
      </c>
    </row>
    <row r="315" spans="1:8" x14ac:dyDescent="0.25">
      <c r="A315" s="29"/>
      <c r="B315" s="29"/>
      <c r="C315" s="29" t="s">
        <v>217</v>
      </c>
      <c r="D315" s="29" t="s">
        <v>11</v>
      </c>
      <c r="E315" s="29">
        <v>36</v>
      </c>
      <c r="F315" s="38">
        <f>E315*1500</f>
        <v>54000</v>
      </c>
      <c r="G315" s="38">
        <f>E315*500</f>
        <v>18000</v>
      </c>
      <c r="H315" s="38">
        <v>36000</v>
      </c>
    </row>
    <row r="316" spans="1:8" x14ac:dyDescent="0.25">
      <c r="A316" s="29"/>
      <c r="B316" s="29"/>
      <c r="C316" s="29"/>
      <c r="D316" s="29" t="s">
        <v>13</v>
      </c>
      <c r="E316" s="29">
        <v>3</v>
      </c>
      <c r="F316" s="38">
        <f>E316*6500</f>
        <v>19500</v>
      </c>
      <c r="G316" s="38">
        <f>E316*4500</f>
        <v>13500</v>
      </c>
      <c r="H316" s="38">
        <f>E316*2000</f>
        <v>6000</v>
      </c>
    </row>
    <row r="317" spans="1:8" x14ac:dyDescent="0.25">
      <c r="A317" s="29"/>
      <c r="B317" s="29"/>
      <c r="C317" s="29"/>
      <c r="D317" s="29" t="s">
        <v>14</v>
      </c>
      <c r="E317" s="29">
        <v>3</v>
      </c>
      <c r="F317" s="38">
        <f>E317*10000</f>
        <v>30000</v>
      </c>
      <c r="G317" s="38">
        <f>E317*5500</f>
        <v>16500</v>
      </c>
      <c r="H317" s="38">
        <f>E317*4500</f>
        <v>13500</v>
      </c>
    </row>
    <row r="318" spans="1:8" x14ac:dyDescent="0.25">
      <c r="A318" s="29"/>
      <c r="B318" s="29"/>
      <c r="C318" s="29"/>
      <c r="D318" s="29" t="s">
        <v>404</v>
      </c>
      <c r="E318" s="29">
        <v>3</v>
      </c>
      <c r="F318" s="38">
        <f>E318*2000</f>
        <v>6000</v>
      </c>
      <c r="G318" s="38">
        <v>3000</v>
      </c>
      <c r="H318" s="38">
        <v>3000</v>
      </c>
    </row>
    <row r="319" spans="1:8" x14ac:dyDescent="0.25">
      <c r="A319" s="29"/>
      <c r="B319" s="29"/>
      <c r="C319" s="29"/>
      <c r="D319" s="29" t="s">
        <v>437</v>
      </c>
      <c r="E319" s="29">
        <v>2</v>
      </c>
      <c r="F319" s="38">
        <f>E319*5000</f>
        <v>10000</v>
      </c>
      <c r="G319" s="38">
        <v>5000</v>
      </c>
      <c r="H319" s="38">
        <v>5000</v>
      </c>
    </row>
    <row r="320" spans="1:8" x14ac:dyDescent="0.25">
      <c r="A320" s="29"/>
      <c r="B320" s="29"/>
      <c r="C320" s="29"/>
      <c r="D320" s="29" t="s">
        <v>441</v>
      </c>
      <c r="E320" s="29">
        <v>1</v>
      </c>
      <c r="F320" s="38">
        <v>3000</v>
      </c>
      <c r="G320" s="38">
        <v>1500</v>
      </c>
      <c r="H320" s="38">
        <v>1500</v>
      </c>
    </row>
    <row r="321" spans="1:8" x14ac:dyDescent="0.25">
      <c r="A321" s="29"/>
      <c r="B321" s="29"/>
      <c r="C321" s="29"/>
      <c r="D321" s="29" t="s">
        <v>415</v>
      </c>
      <c r="E321" s="29">
        <v>1</v>
      </c>
      <c r="F321" s="38">
        <v>5000</v>
      </c>
      <c r="G321" s="38">
        <v>2500</v>
      </c>
      <c r="H321" s="38">
        <v>2500</v>
      </c>
    </row>
    <row r="322" spans="1:8" x14ac:dyDescent="0.25">
      <c r="A322" s="29"/>
      <c r="B322" s="29"/>
      <c r="C322" s="29" t="s">
        <v>24</v>
      </c>
      <c r="D322" s="29" t="s">
        <v>243</v>
      </c>
      <c r="E322" s="29">
        <v>1</v>
      </c>
      <c r="F322" s="38">
        <v>13000</v>
      </c>
      <c r="G322" s="38">
        <v>10000</v>
      </c>
      <c r="H322" s="38">
        <v>3000</v>
      </c>
    </row>
    <row r="323" spans="1:8" x14ac:dyDescent="0.25">
      <c r="A323" s="29"/>
      <c r="B323" s="29"/>
      <c r="C323" s="29" t="s">
        <v>24</v>
      </c>
      <c r="D323" s="29" t="s">
        <v>652</v>
      </c>
      <c r="E323" s="29">
        <v>3</v>
      </c>
      <c r="F323" s="38">
        <f>E323*15000</f>
        <v>45000</v>
      </c>
      <c r="G323" s="38">
        <v>30000</v>
      </c>
      <c r="H323" s="38">
        <v>15000</v>
      </c>
    </row>
    <row r="324" spans="1:8" x14ac:dyDescent="0.25">
      <c r="A324" s="125" t="s">
        <v>17</v>
      </c>
      <c r="B324" s="125"/>
      <c r="C324" s="125"/>
      <c r="D324" s="125"/>
      <c r="E324" s="17">
        <f>SUM(E308:E323)</f>
        <v>263</v>
      </c>
      <c r="F324" s="17">
        <f t="shared" ref="F324:H324" si="19">SUM(F308:F323)</f>
        <v>559600</v>
      </c>
      <c r="G324" s="17">
        <f>SUM(G308:G323)</f>
        <v>217500</v>
      </c>
      <c r="H324" s="17">
        <f t="shared" si="19"/>
        <v>342100</v>
      </c>
    </row>
    <row r="325" spans="1:8" x14ac:dyDescent="0.25">
      <c r="A325" s="29" t="s">
        <v>22</v>
      </c>
      <c r="B325" s="29" t="s">
        <v>653</v>
      </c>
      <c r="C325" s="29" t="s">
        <v>338</v>
      </c>
      <c r="D325" s="29" t="s">
        <v>11</v>
      </c>
      <c r="E325" s="29">
        <v>73</v>
      </c>
      <c r="F325" s="38">
        <f>E325*1800</f>
        <v>131400</v>
      </c>
      <c r="G325" s="38">
        <f>E325*500</f>
        <v>36500</v>
      </c>
      <c r="H325" s="38">
        <f>E325*1300</f>
        <v>94900</v>
      </c>
    </row>
    <row r="326" spans="1:8" x14ac:dyDescent="0.25">
      <c r="A326" s="29"/>
      <c r="B326" s="29"/>
      <c r="C326" s="29" t="s">
        <v>306</v>
      </c>
      <c r="D326" s="29" t="s">
        <v>11</v>
      </c>
      <c r="E326" s="29">
        <v>38</v>
      </c>
      <c r="F326" s="38">
        <f>E326*1800</f>
        <v>68400</v>
      </c>
      <c r="G326" s="38">
        <f>E326*500</f>
        <v>19000</v>
      </c>
      <c r="H326" s="38">
        <f>E326*1300</f>
        <v>49400</v>
      </c>
    </row>
    <row r="327" spans="1:8" x14ac:dyDescent="0.25">
      <c r="A327" s="29"/>
      <c r="B327" s="29"/>
      <c r="C327" s="29" t="s">
        <v>572</v>
      </c>
      <c r="D327" s="29" t="s">
        <v>11</v>
      </c>
      <c r="E327" s="29">
        <v>38</v>
      </c>
      <c r="F327" s="38">
        <f>E327*1700</f>
        <v>64600</v>
      </c>
      <c r="G327" s="38">
        <f>E327*500</f>
        <v>19000</v>
      </c>
      <c r="H327" s="38">
        <f>E327*1200</f>
        <v>45600</v>
      </c>
    </row>
    <row r="328" spans="1:8" x14ac:dyDescent="0.25">
      <c r="A328" s="29"/>
      <c r="B328" s="29"/>
      <c r="C328" s="29" t="s">
        <v>571</v>
      </c>
      <c r="D328" s="29" t="s">
        <v>11</v>
      </c>
      <c r="E328" s="29">
        <v>19</v>
      </c>
      <c r="F328" s="38">
        <f t="shared" ref="F328:F330" si="20">E328*1700</f>
        <v>32300</v>
      </c>
      <c r="G328" s="38">
        <f t="shared" ref="G328:G331" si="21">E328*500</f>
        <v>9500</v>
      </c>
      <c r="H328" s="38">
        <f>E328*1200</f>
        <v>22800</v>
      </c>
    </row>
    <row r="329" spans="1:8" x14ac:dyDescent="0.25">
      <c r="A329" s="29"/>
      <c r="B329" s="29"/>
      <c r="C329" s="29" t="s">
        <v>209</v>
      </c>
      <c r="D329" s="29" t="s">
        <v>11</v>
      </c>
      <c r="E329" s="29">
        <v>26</v>
      </c>
      <c r="F329" s="38">
        <f>E329*1500</f>
        <v>39000</v>
      </c>
      <c r="G329" s="38">
        <f t="shared" si="21"/>
        <v>13000</v>
      </c>
      <c r="H329" s="38">
        <v>26000</v>
      </c>
    </row>
    <row r="330" spans="1:8" x14ac:dyDescent="0.25">
      <c r="A330" s="29"/>
      <c r="B330" s="29"/>
      <c r="C330" s="29" t="s">
        <v>649</v>
      </c>
      <c r="D330" s="29" t="s">
        <v>11</v>
      </c>
      <c r="E330" s="29">
        <v>90</v>
      </c>
      <c r="F330" s="38">
        <f t="shared" si="20"/>
        <v>153000</v>
      </c>
      <c r="G330" s="38">
        <f t="shared" si="21"/>
        <v>45000</v>
      </c>
      <c r="H330" s="38">
        <f>E330*1200</f>
        <v>108000</v>
      </c>
    </row>
    <row r="331" spans="1:8" x14ac:dyDescent="0.25">
      <c r="A331" s="29"/>
      <c r="B331" s="29"/>
      <c r="C331" s="29" t="s">
        <v>16</v>
      </c>
      <c r="D331" s="29" t="s">
        <v>11</v>
      </c>
      <c r="E331" s="29">
        <v>67</v>
      </c>
      <c r="F331" s="38">
        <f>E331*1500</f>
        <v>100500</v>
      </c>
      <c r="G331" s="38">
        <f t="shared" si="21"/>
        <v>33500</v>
      </c>
      <c r="H331" s="38">
        <v>67000</v>
      </c>
    </row>
    <row r="332" spans="1:8" x14ac:dyDescent="0.25">
      <c r="A332" s="29"/>
      <c r="B332" s="29"/>
      <c r="C332" s="29"/>
      <c r="D332" s="29" t="s">
        <v>243</v>
      </c>
      <c r="E332" s="29">
        <v>1</v>
      </c>
      <c r="F332" s="38">
        <v>13000</v>
      </c>
      <c r="G332" s="38">
        <v>10000</v>
      </c>
      <c r="H332" s="38">
        <v>3000</v>
      </c>
    </row>
    <row r="333" spans="1:8" x14ac:dyDescent="0.25">
      <c r="A333" s="29"/>
      <c r="B333" s="29"/>
      <c r="C333" s="29" t="s">
        <v>217</v>
      </c>
      <c r="D333" s="29" t="s">
        <v>11</v>
      </c>
      <c r="E333" s="29">
        <v>6</v>
      </c>
      <c r="F333" s="38">
        <f>E333*1500</f>
        <v>9000</v>
      </c>
      <c r="G333" s="38">
        <f>E333*500</f>
        <v>3000</v>
      </c>
      <c r="H333" s="38">
        <v>6000</v>
      </c>
    </row>
    <row r="334" spans="1:8" x14ac:dyDescent="0.25">
      <c r="A334" s="29"/>
      <c r="B334" s="29"/>
      <c r="C334" s="29"/>
      <c r="D334" s="29" t="s">
        <v>13</v>
      </c>
      <c r="E334" s="29">
        <v>4</v>
      </c>
      <c r="F334" s="38">
        <f>E334*6500</f>
        <v>26000</v>
      </c>
      <c r="G334" s="38">
        <f>E334*4500</f>
        <v>18000</v>
      </c>
      <c r="H334" s="38">
        <f>E334*2000</f>
        <v>8000</v>
      </c>
    </row>
    <row r="335" spans="1:8" x14ac:dyDescent="0.25">
      <c r="A335" s="29"/>
      <c r="B335" s="29"/>
      <c r="C335" s="29"/>
      <c r="D335" s="29" t="s">
        <v>14</v>
      </c>
      <c r="E335" s="29">
        <v>2</v>
      </c>
      <c r="F335" s="38">
        <f>E335*10000</f>
        <v>20000</v>
      </c>
      <c r="G335" s="38">
        <f>E335*5500</f>
        <v>11000</v>
      </c>
      <c r="H335" s="38">
        <f>E335*4500</f>
        <v>9000</v>
      </c>
    </row>
    <row r="336" spans="1:8" x14ac:dyDescent="0.25">
      <c r="A336" s="29"/>
      <c r="B336" s="29"/>
      <c r="C336" s="29"/>
      <c r="D336" s="29" t="s">
        <v>404</v>
      </c>
      <c r="E336" s="29">
        <v>2</v>
      </c>
      <c r="F336" s="38">
        <f>E336*2000</f>
        <v>4000</v>
      </c>
      <c r="G336" s="38">
        <v>2000</v>
      </c>
      <c r="H336" s="38">
        <v>2000</v>
      </c>
    </row>
    <row r="337" spans="1:11" x14ac:dyDescent="0.25">
      <c r="A337" s="125" t="s">
        <v>17</v>
      </c>
      <c r="B337" s="125"/>
      <c r="C337" s="125"/>
      <c r="D337" s="125"/>
      <c r="E337" s="17">
        <f>SUM(E325:E336)</f>
        <v>366</v>
      </c>
      <c r="F337" s="17">
        <f t="shared" ref="F337:H337" si="22">SUM(F325:F336)</f>
        <v>661200</v>
      </c>
      <c r="G337" s="17">
        <f t="shared" si="22"/>
        <v>219500</v>
      </c>
      <c r="H337" s="17">
        <f t="shared" si="22"/>
        <v>441700</v>
      </c>
    </row>
    <row r="338" spans="1:11" x14ac:dyDescent="0.25">
      <c r="A338" s="29" t="s">
        <v>26</v>
      </c>
      <c r="B338" s="29" t="s">
        <v>654</v>
      </c>
      <c r="C338" s="29" t="s">
        <v>338</v>
      </c>
      <c r="D338" s="29" t="s">
        <v>11</v>
      </c>
      <c r="E338" s="29">
        <v>73</v>
      </c>
      <c r="F338" s="38">
        <f>E338*1800</f>
        <v>131400</v>
      </c>
      <c r="G338" s="38">
        <f>E338*500</f>
        <v>36500</v>
      </c>
      <c r="H338" s="38">
        <f>E338*1300</f>
        <v>94900</v>
      </c>
    </row>
    <row r="339" spans="1:11" x14ac:dyDescent="0.25">
      <c r="A339" s="29"/>
      <c r="B339" s="29"/>
      <c r="C339" s="29" t="s">
        <v>646</v>
      </c>
      <c r="D339" s="29" t="s">
        <v>11</v>
      </c>
      <c r="E339" s="29">
        <v>100</v>
      </c>
      <c r="F339" s="38">
        <f>E339*1500</f>
        <v>150000</v>
      </c>
      <c r="G339" s="38">
        <f>E339*500</f>
        <v>50000</v>
      </c>
      <c r="H339" s="38">
        <v>100000</v>
      </c>
    </row>
    <row r="340" spans="1:11" x14ac:dyDescent="0.25">
      <c r="A340" s="29"/>
      <c r="B340" s="29"/>
      <c r="C340" s="29" t="s">
        <v>649</v>
      </c>
      <c r="D340" s="29" t="s">
        <v>11</v>
      </c>
      <c r="E340" s="29">
        <v>75</v>
      </c>
      <c r="F340" s="38">
        <f>E340*1700</f>
        <v>127500</v>
      </c>
      <c r="G340" s="38">
        <f>E340*500</f>
        <v>37500</v>
      </c>
      <c r="H340" s="38">
        <f>E340*1200</f>
        <v>90000</v>
      </c>
    </row>
    <row r="341" spans="1:11" x14ac:dyDescent="0.25">
      <c r="A341" s="29"/>
      <c r="B341" s="29"/>
      <c r="C341" s="29" t="s">
        <v>16</v>
      </c>
      <c r="D341" s="29" t="s">
        <v>11</v>
      </c>
      <c r="E341" s="29">
        <v>70</v>
      </c>
      <c r="F341" s="38">
        <f>E341*1500</f>
        <v>105000</v>
      </c>
      <c r="G341" s="38">
        <f>E341*500</f>
        <v>35000</v>
      </c>
      <c r="H341" s="38">
        <v>70000</v>
      </c>
    </row>
    <row r="342" spans="1:11" x14ac:dyDescent="0.25">
      <c r="A342" s="29"/>
      <c r="B342" s="29"/>
      <c r="C342" s="29"/>
      <c r="D342" s="29" t="s">
        <v>12</v>
      </c>
      <c r="E342" s="29">
        <v>1</v>
      </c>
      <c r="F342" s="38">
        <v>3000</v>
      </c>
      <c r="G342" s="38">
        <v>2000</v>
      </c>
      <c r="H342" s="38">
        <v>1000</v>
      </c>
    </row>
    <row r="343" spans="1:11" x14ac:dyDescent="0.25">
      <c r="A343" s="29"/>
      <c r="B343" s="29"/>
      <c r="C343" s="29"/>
      <c r="D343" s="29" t="s">
        <v>13</v>
      </c>
      <c r="E343" s="29">
        <v>1</v>
      </c>
      <c r="F343" s="38">
        <v>6500</v>
      </c>
      <c r="G343" s="38">
        <v>4500</v>
      </c>
      <c r="H343" s="38">
        <v>2000</v>
      </c>
    </row>
    <row r="344" spans="1:11" x14ac:dyDescent="0.25">
      <c r="A344" s="29"/>
      <c r="B344" s="29"/>
      <c r="C344" s="29" t="s">
        <v>217</v>
      </c>
      <c r="D344" s="29" t="s">
        <v>11</v>
      </c>
      <c r="E344" s="29">
        <v>40</v>
      </c>
      <c r="F344" s="38">
        <f>E344*1500</f>
        <v>60000</v>
      </c>
      <c r="G344" s="38">
        <f>E344*500</f>
        <v>20000</v>
      </c>
      <c r="H344" s="38">
        <v>40000</v>
      </c>
      <c r="K344" t="s">
        <v>612</v>
      </c>
    </row>
    <row r="345" spans="1:11" x14ac:dyDescent="0.25">
      <c r="A345" s="29"/>
      <c r="B345" s="29"/>
      <c r="C345" s="29"/>
      <c r="D345" s="29" t="s">
        <v>13</v>
      </c>
      <c r="E345" s="29">
        <v>23</v>
      </c>
      <c r="F345" s="38">
        <f>E345*7000</f>
        <v>161000</v>
      </c>
      <c r="G345" s="38">
        <f>E345*4500</f>
        <v>103500</v>
      </c>
      <c r="H345" s="38">
        <f>E345*3000</f>
        <v>69000</v>
      </c>
    </row>
    <row r="346" spans="1:11" x14ac:dyDescent="0.25">
      <c r="A346" s="29"/>
      <c r="B346" s="29"/>
      <c r="C346" s="29"/>
      <c r="D346" s="29" t="s">
        <v>14</v>
      </c>
      <c r="E346" s="29">
        <v>17</v>
      </c>
      <c r="F346" s="38">
        <f>E346*11000</f>
        <v>187000</v>
      </c>
      <c r="G346" s="38">
        <f>E346*5500</f>
        <v>93500</v>
      </c>
      <c r="H346" s="38">
        <f>E346*5500</f>
        <v>93500</v>
      </c>
    </row>
    <row r="347" spans="1:11" x14ac:dyDescent="0.25">
      <c r="A347" s="29"/>
      <c r="B347" s="29"/>
      <c r="C347" s="29" t="s">
        <v>24</v>
      </c>
      <c r="D347" s="29" t="s">
        <v>243</v>
      </c>
      <c r="E347" s="29">
        <v>2</v>
      </c>
      <c r="F347" s="38">
        <f>E347*13000</f>
        <v>26000</v>
      </c>
      <c r="G347" s="38">
        <v>20000</v>
      </c>
      <c r="H347" s="38">
        <v>6000</v>
      </c>
    </row>
    <row r="348" spans="1:11" x14ac:dyDescent="0.25">
      <c r="A348" s="125" t="s">
        <v>17</v>
      </c>
      <c r="B348" s="125"/>
      <c r="C348" s="125"/>
      <c r="D348" s="125"/>
      <c r="E348" s="17">
        <f>SUM(E338:E347)</f>
        <v>402</v>
      </c>
      <c r="F348" s="17">
        <f t="shared" ref="F348:H348" si="23">SUM(F338:F347)</f>
        <v>957400</v>
      </c>
      <c r="G348" s="17">
        <f t="shared" si="23"/>
        <v>402500</v>
      </c>
      <c r="H348" s="17">
        <f t="shared" si="23"/>
        <v>566400</v>
      </c>
    </row>
    <row r="349" spans="1:11" x14ac:dyDescent="0.25">
      <c r="A349" s="29" t="s">
        <v>28</v>
      </c>
      <c r="B349" s="29" t="s">
        <v>655</v>
      </c>
      <c r="C349" s="29" t="s">
        <v>16</v>
      </c>
      <c r="D349" s="29" t="s">
        <v>11</v>
      </c>
      <c r="E349" s="29">
        <v>17</v>
      </c>
      <c r="F349" s="38">
        <f>E349*1500</f>
        <v>25500</v>
      </c>
      <c r="G349" s="38">
        <f>E349*500</f>
        <v>8500</v>
      </c>
      <c r="H349" s="38">
        <v>17000</v>
      </c>
    </row>
    <row r="350" spans="1:11" x14ac:dyDescent="0.25">
      <c r="A350" s="29"/>
      <c r="B350" s="29"/>
      <c r="C350" s="29"/>
      <c r="D350" s="29" t="s">
        <v>12</v>
      </c>
      <c r="E350" s="29">
        <v>2</v>
      </c>
      <c r="F350" s="38">
        <f>E350*3000</f>
        <v>6000</v>
      </c>
      <c r="G350" s="38">
        <v>4000</v>
      </c>
      <c r="H350" s="38">
        <v>2000</v>
      </c>
    </row>
    <row r="351" spans="1:11" x14ac:dyDescent="0.25">
      <c r="A351" s="29"/>
      <c r="B351" s="29"/>
      <c r="C351" s="29" t="s">
        <v>217</v>
      </c>
      <c r="D351" s="29" t="s">
        <v>11</v>
      </c>
      <c r="E351" s="29">
        <v>5</v>
      </c>
      <c r="F351" s="38">
        <f>E351*1500</f>
        <v>7500</v>
      </c>
      <c r="G351" s="38">
        <f>E351*500</f>
        <v>2500</v>
      </c>
      <c r="H351" s="38">
        <v>5000</v>
      </c>
    </row>
    <row r="352" spans="1:11" x14ac:dyDescent="0.25">
      <c r="A352" s="29"/>
      <c r="B352" s="29"/>
      <c r="C352" s="29"/>
      <c r="D352" s="29" t="s">
        <v>13</v>
      </c>
      <c r="E352" s="29">
        <v>5</v>
      </c>
      <c r="F352" s="38">
        <f>E352*6500</f>
        <v>32500</v>
      </c>
      <c r="G352" s="38">
        <f>E352*4500</f>
        <v>22500</v>
      </c>
      <c r="H352" s="38">
        <f>E352*2000</f>
        <v>10000</v>
      </c>
    </row>
    <row r="353" spans="1:8" x14ac:dyDescent="0.25">
      <c r="A353" s="29"/>
      <c r="B353" s="29"/>
      <c r="C353" s="29"/>
      <c r="D353" s="29" t="s">
        <v>14</v>
      </c>
      <c r="E353" s="29">
        <v>4</v>
      </c>
      <c r="F353" s="38">
        <f>E353*10000</f>
        <v>40000</v>
      </c>
      <c r="G353" s="38">
        <f>E353*5500</f>
        <v>22000</v>
      </c>
      <c r="H353" s="38">
        <f>E353*4500</f>
        <v>18000</v>
      </c>
    </row>
    <row r="354" spans="1:8" x14ac:dyDescent="0.25">
      <c r="A354" s="29"/>
      <c r="B354" s="29"/>
      <c r="C354" s="29"/>
      <c r="D354" s="29" t="s">
        <v>404</v>
      </c>
      <c r="E354" s="29">
        <v>5</v>
      </c>
      <c r="F354" s="38">
        <f>E354*2000</f>
        <v>10000</v>
      </c>
      <c r="G354" s="38">
        <v>5000</v>
      </c>
      <c r="H354" s="38">
        <v>5000</v>
      </c>
    </row>
    <row r="355" spans="1:8" x14ac:dyDescent="0.25">
      <c r="A355" s="29"/>
      <c r="B355" s="29"/>
      <c r="C355" s="29"/>
      <c r="D355" s="29" t="s">
        <v>441</v>
      </c>
      <c r="E355" s="29">
        <v>2</v>
      </c>
      <c r="F355" s="38">
        <f>E355*3000</f>
        <v>6000</v>
      </c>
      <c r="G355" s="38">
        <v>3000</v>
      </c>
      <c r="H355" s="38">
        <v>3000</v>
      </c>
    </row>
    <row r="356" spans="1:8" x14ac:dyDescent="0.25">
      <c r="A356" s="29"/>
      <c r="B356" s="29"/>
      <c r="C356" s="29"/>
      <c r="D356" s="29" t="s">
        <v>437</v>
      </c>
      <c r="E356" s="29">
        <v>5</v>
      </c>
      <c r="F356" s="38">
        <f>E356*5000</f>
        <v>25000</v>
      </c>
      <c r="G356" s="38">
        <v>12500</v>
      </c>
      <c r="H356" s="38">
        <v>12500</v>
      </c>
    </row>
    <row r="357" spans="1:8" x14ac:dyDescent="0.25">
      <c r="A357" s="29"/>
      <c r="B357" s="29"/>
      <c r="C357" s="29" t="s">
        <v>399</v>
      </c>
      <c r="D357" s="29" t="s">
        <v>11</v>
      </c>
      <c r="E357" s="29">
        <v>6</v>
      </c>
      <c r="F357" s="38">
        <f>E357*1500</f>
        <v>9000</v>
      </c>
      <c r="G357" s="38">
        <f>E357*500</f>
        <v>3000</v>
      </c>
      <c r="H357" s="38">
        <v>6000</v>
      </c>
    </row>
    <row r="358" spans="1:8" x14ac:dyDescent="0.25">
      <c r="A358" s="29"/>
      <c r="B358" s="29"/>
      <c r="C358" s="29"/>
      <c r="D358" s="29" t="s">
        <v>13</v>
      </c>
      <c r="E358" s="29">
        <v>16</v>
      </c>
      <c r="F358" s="38">
        <f>E358*7000</f>
        <v>112000</v>
      </c>
      <c r="G358" s="38">
        <f>E358*4500</f>
        <v>72000</v>
      </c>
      <c r="H358" s="38">
        <f>E358*2500</f>
        <v>40000</v>
      </c>
    </row>
    <row r="359" spans="1:8" x14ac:dyDescent="0.25">
      <c r="A359" s="29"/>
      <c r="B359" s="29"/>
      <c r="C359" s="29"/>
      <c r="D359" s="29" t="s">
        <v>14</v>
      </c>
      <c r="E359" s="29">
        <v>4</v>
      </c>
      <c r="F359" s="38">
        <f>E359*10000</f>
        <v>40000</v>
      </c>
      <c r="G359" s="38">
        <f>E359*5500</f>
        <v>22000</v>
      </c>
      <c r="H359" s="38">
        <f>E359*4500</f>
        <v>18000</v>
      </c>
    </row>
    <row r="360" spans="1:8" x14ac:dyDescent="0.25">
      <c r="A360" s="29"/>
      <c r="B360" s="29"/>
      <c r="C360" s="29" t="s">
        <v>217</v>
      </c>
      <c r="D360" s="29" t="s">
        <v>11</v>
      </c>
      <c r="E360" s="29">
        <v>29</v>
      </c>
      <c r="F360" s="38">
        <f>E360*1500</f>
        <v>43500</v>
      </c>
      <c r="G360" s="38">
        <f>E360*500</f>
        <v>14500</v>
      </c>
      <c r="H360" s="38">
        <f>E360*1000</f>
        <v>29000</v>
      </c>
    </row>
    <row r="361" spans="1:8" x14ac:dyDescent="0.25">
      <c r="A361" s="29"/>
      <c r="B361" s="29"/>
      <c r="C361" s="29"/>
      <c r="D361" s="29" t="s">
        <v>11</v>
      </c>
      <c r="E361" s="29">
        <v>26</v>
      </c>
      <c r="F361" s="38">
        <f>E361*2500</f>
        <v>65000</v>
      </c>
      <c r="G361" s="38">
        <f>E361*500</f>
        <v>13000</v>
      </c>
      <c r="H361" s="38">
        <f>E361*2000</f>
        <v>52000</v>
      </c>
    </row>
    <row r="362" spans="1:8" x14ac:dyDescent="0.25">
      <c r="A362" s="29"/>
      <c r="B362" s="29"/>
      <c r="C362" s="29"/>
      <c r="D362" s="29" t="s">
        <v>13</v>
      </c>
      <c r="E362" s="29">
        <v>29</v>
      </c>
      <c r="F362" s="38">
        <f>E362*7500</f>
        <v>217500</v>
      </c>
      <c r="G362" s="38">
        <f>E362*4500</f>
        <v>130500</v>
      </c>
      <c r="H362" s="38">
        <f>E362*3000</f>
        <v>87000</v>
      </c>
    </row>
    <row r="363" spans="1:8" x14ac:dyDescent="0.25">
      <c r="A363" s="29"/>
      <c r="B363" s="29"/>
      <c r="C363" s="29"/>
      <c r="D363" s="29" t="s">
        <v>14</v>
      </c>
      <c r="E363" s="29">
        <v>31</v>
      </c>
      <c r="F363" s="38">
        <f>E363*12000</f>
        <v>372000</v>
      </c>
      <c r="G363" s="38">
        <f>E363*5500</f>
        <v>170500</v>
      </c>
      <c r="H363" s="38">
        <f>E363*6500</f>
        <v>201500</v>
      </c>
    </row>
    <row r="364" spans="1:8" x14ac:dyDescent="0.25">
      <c r="A364" s="29"/>
      <c r="B364" s="29"/>
      <c r="C364" s="29" t="s">
        <v>399</v>
      </c>
      <c r="D364" s="29" t="s">
        <v>11</v>
      </c>
      <c r="E364" s="29">
        <v>15</v>
      </c>
      <c r="F364" s="38">
        <f>E364*2500</f>
        <v>37500</v>
      </c>
      <c r="G364" s="38">
        <f>E364*500</f>
        <v>7500</v>
      </c>
      <c r="H364" s="38">
        <f>E364*2000</f>
        <v>30000</v>
      </c>
    </row>
    <row r="365" spans="1:8" x14ac:dyDescent="0.25">
      <c r="A365" s="29"/>
      <c r="B365" s="29"/>
      <c r="C365" s="29"/>
      <c r="D365" s="29" t="s">
        <v>13</v>
      </c>
      <c r="E365" s="29">
        <v>23</v>
      </c>
      <c r="F365" s="38">
        <f>E365*8000</f>
        <v>184000</v>
      </c>
      <c r="G365" s="38">
        <f>E365*4500</f>
        <v>103500</v>
      </c>
      <c r="H365" s="38">
        <f>E365*3500</f>
        <v>80500</v>
      </c>
    </row>
    <row r="366" spans="1:8" x14ac:dyDescent="0.25">
      <c r="A366" s="29"/>
      <c r="B366" s="29"/>
      <c r="C366" s="29"/>
      <c r="D366" s="29" t="s">
        <v>14</v>
      </c>
      <c r="E366" s="29">
        <v>24</v>
      </c>
      <c r="F366" s="38">
        <f>E366*12000</f>
        <v>288000</v>
      </c>
      <c r="G366" s="38">
        <f>E366*5500</f>
        <v>132000</v>
      </c>
      <c r="H366" s="38">
        <f>E366*6500</f>
        <v>156000</v>
      </c>
    </row>
    <row r="367" spans="1:8" x14ac:dyDescent="0.25">
      <c r="A367" s="29"/>
      <c r="B367" s="29"/>
      <c r="C367" s="29"/>
      <c r="D367" s="29" t="s">
        <v>631</v>
      </c>
      <c r="E367" s="29">
        <v>2</v>
      </c>
      <c r="F367" s="38">
        <f>E367*3000</f>
        <v>6000</v>
      </c>
      <c r="G367" s="38">
        <v>3000</v>
      </c>
      <c r="H367" s="38">
        <v>3000</v>
      </c>
    </row>
    <row r="368" spans="1:8" x14ac:dyDescent="0.25">
      <c r="A368" s="29"/>
      <c r="B368" s="29"/>
      <c r="C368" s="29" t="s">
        <v>24</v>
      </c>
      <c r="D368" s="29" t="s">
        <v>21</v>
      </c>
      <c r="E368" s="29">
        <v>2</v>
      </c>
      <c r="F368" s="38">
        <f>E368*15000</f>
        <v>30000</v>
      </c>
      <c r="G368" s="38">
        <v>20000</v>
      </c>
      <c r="H368" s="38">
        <v>10000</v>
      </c>
    </row>
    <row r="369" spans="1:8" x14ac:dyDescent="0.25">
      <c r="A369" s="125" t="s">
        <v>17</v>
      </c>
      <c r="B369" s="125"/>
      <c r="C369" s="125"/>
      <c r="D369" s="125"/>
      <c r="E369" s="17">
        <f>SUM(E349:E368)</f>
        <v>252</v>
      </c>
      <c r="F369" s="17">
        <f t="shared" ref="F369:H369" si="24">SUM(F349:F368)</f>
        <v>1557000</v>
      </c>
      <c r="G369" s="17">
        <f t="shared" si="24"/>
        <v>771500</v>
      </c>
      <c r="H369" s="17">
        <f t="shared" si="24"/>
        <v>785500</v>
      </c>
    </row>
    <row r="370" spans="1:8" x14ac:dyDescent="0.25">
      <c r="A370" s="29" t="s">
        <v>30</v>
      </c>
      <c r="B370" s="29" t="s">
        <v>656</v>
      </c>
      <c r="C370" s="29" t="s">
        <v>338</v>
      </c>
      <c r="D370" s="29" t="s">
        <v>11</v>
      </c>
      <c r="E370" s="29">
        <v>75</v>
      </c>
      <c r="F370" s="38">
        <f>E370*1800</f>
        <v>135000</v>
      </c>
      <c r="G370" s="38">
        <f>E370*500</f>
        <v>37500</v>
      </c>
      <c r="H370" s="38">
        <f>E370*1300</f>
        <v>97500</v>
      </c>
    </row>
    <row r="371" spans="1:8" x14ac:dyDescent="0.25">
      <c r="A371" s="29"/>
      <c r="B371" s="29"/>
      <c r="C371" s="29" t="s">
        <v>306</v>
      </c>
      <c r="D371" s="29" t="s">
        <v>11</v>
      </c>
      <c r="E371" s="29">
        <f>42-5</f>
        <v>37</v>
      </c>
      <c r="F371" s="38">
        <f>E371*1800</f>
        <v>66600</v>
      </c>
      <c r="G371" s="38">
        <f>E371*500</f>
        <v>18500</v>
      </c>
      <c r="H371" s="38">
        <f>E371*1300</f>
        <v>48100</v>
      </c>
    </row>
    <row r="372" spans="1:8" x14ac:dyDescent="0.25">
      <c r="A372" s="29"/>
      <c r="B372" s="29"/>
      <c r="C372" s="29" t="s">
        <v>572</v>
      </c>
      <c r="D372" s="29" t="s">
        <v>11</v>
      </c>
      <c r="E372" s="29">
        <f>35-8</f>
        <v>27</v>
      </c>
      <c r="F372" s="38">
        <f>E372*1700</f>
        <v>45900</v>
      </c>
      <c r="G372" s="38">
        <f>E372*500</f>
        <v>13500</v>
      </c>
      <c r="H372" s="38">
        <f>E372*1200</f>
        <v>32400</v>
      </c>
    </row>
    <row r="373" spans="1:8" x14ac:dyDescent="0.25">
      <c r="A373" s="29"/>
      <c r="B373" s="29"/>
      <c r="C373" s="29" t="s">
        <v>571</v>
      </c>
      <c r="D373" s="29" t="s">
        <v>11</v>
      </c>
      <c r="E373" s="29">
        <f>20-7</f>
        <v>13</v>
      </c>
      <c r="F373" s="38">
        <f>E373*1700</f>
        <v>22100</v>
      </c>
      <c r="G373" s="38">
        <f>E373*500</f>
        <v>6500</v>
      </c>
      <c r="H373" s="38">
        <f>E373*1200</f>
        <v>15600</v>
      </c>
    </row>
    <row r="374" spans="1:8" x14ac:dyDescent="0.25">
      <c r="A374" s="29"/>
      <c r="B374" s="29"/>
      <c r="C374" s="29" t="s">
        <v>16</v>
      </c>
      <c r="D374" s="29" t="s">
        <v>11</v>
      </c>
      <c r="E374" s="29">
        <v>75</v>
      </c>
      <c r="F374" s="38">
        <f>E374*1500</f>
        <v>112500</v>
      </c>
      <c r="G374" s="38">
        <f>E374*500</f>
        <v>37500</v>
      </c>
      <c r="H374" s="38">
        <v>75000</v>
      </c>
    </row>
    <row r="375" spans="1:8" x14ac:dyDescent="0.25">
      <c r="A375" s="29"/>
      <c r="B375" s="29"/>
      <c r="C375" s="29"/>
      <c r="D375" s="29" t="s">
        <v>12</v>
      </c>
      <c r="E375" s="29">
        <v>7</v>
      </c>
      <c r="F375" s="38">
        <f>E375*3000</f>
        <v>21000</v>
      </c>
      <c r="G375" s="38">
        <f>E375*2000</f>
        <v>14000</v>
      </c>
      <c r="H375" s="38">
        <v>7000</v>
      </c>
    </row>
    <row r="376" spans="1:8" x14ac:dyDescent="0.25">
      <c r="A376" s="29"/>
      <c r="B376" s="29"/>
      <c r="C376" s="29" t="s">
        <v>217</v>
      </c>
      <c r="D376" s="29" t="s">
        <v>11</v>
      </c>
      <c r="E376" s="29">
        <v>23</v>
      </c>
      <c r="F376" s="38">
        <f>E376*1500</f>
        <v>34500</v>
      </c>
      <c r="G376" s="38">
        <f>E376*500</f>
        <v>11500</v>
      </c>
      <c r="H376" s="38">
        <v>23000</v>
      </c>
    </row>
    <row r="377" spans="1:8" x14ac:dyDescent="0.25">
      <c r="A377" s="29"/>
      <c r="B377" s="29"/>
      <c r="C377" s="29"/>
      <c r="D377" s="29" t="s">
        <v>13</v>
      </c>
      <c r="E377" s="29">
        <v>6</v>
      </c>
      <c r="F377" s="38">
        <f>E377*6500</f>
        <v>39000</v>
      </c>
      <c r="G377" s="38">
        <f>E377*4500</f>
        <v>27000</v>
      </c>
      <c r="H377" s="38">
        <f>E377*2000</f>
        <v>12000</v>
      </c>
    </row>
    <row r="378" spans="1:8" x14ac:dyDescent="0.25">
      <c r="A378" s="29"/>
      <c r="B378" s="29"/>
      <c r="C378" s="29"/>
      <c r="D378" s="29" t="s">
        <v>404</v>
      </c>
      <c r="E378" s="29">
        <v>1</v>
      </c>
      <c r="F378" s="38">
        <v>2000</v>
      </c>
      <c r="G378" s="38">
        <v>1000</v>
      </c>
      <c r="H378" s="38">
        <v>1000</v>
      </c>
    </row>
    <row r="379" spans="1:8" x14ac:dyDescent="0.25">
      <c r="A379" s="125" t="s">
        <v>17</v>
      </c>
      <c r="B379" s="125"/>
      <c r="C379" s="125"/>
      <c r="D379" s="125"/>
      <c r="E379" s="17">
        <f>SUM(E370:E378)</f>
        <v>264</v>
      </c>
      <c r="F379" s="17">
        <f t="shared" ref="F379:H379" si="25">SUM(F370:F378)</f>
        <v>478600</v>
      </c>
      <c r="G379" s="17">
        <f t="shared" si="25"/>
        <v>167000</v>
      </c>
      <c r="H379" s="17">
        <f t="shared" si="25"/>
        <v>311600</v>
      </c>
    </row>
    <row r="380" spans="1:8" x14ac:dyDescent="0.25">
      <c r="F380" s="4"/>
      <c r="G380" s="4"/>
      <c r="H380" s="4"/>
    </row>
    <row r="381" spans="1:8" x14ac:dyDescent="0.25">
      <c r="F381" s="4"/>
      <c r="G381" s="4"/>
      <c r="H381" s="4"/>
    </row>
    <row r="382" spans="1:8" x14ac:dyDescent="0.25">
      <c r="F382" s="4"/>
      <c r="G382" s="4"/>
      <c r="H382" s="4"/>
    </row>
    <row r="383" spans="1:8" x14ac:dyDescent="0.25">
      <c r="F383" s="4"/>
      <c r="G383" s="4"/>
      <c r="H383" s="4"/>
    </row>
    <row r="384" spans="1:8" x14ac:dyDescent="0.25">
      <c r="F384" s="4"/>
      <c r="G384" s="4"/>
      <c r="H384" s="4"/>
    </row>
    <row r="385" spans="6:8" x14ac:dyDescent="0.25">
      <c r="F385" s="4"/>
      <c r="G385" s="4"/>
      <c r="H385" s="4"/>
    </row>
    <row r="386" spans="6:8" x14ac:dyDescent="0.25">
      <c r="F386" s="4"/>
      <c r="G386" s="4"/>
      <c r="H386" s="4"/>
    </row>
    <row r="387" spans="6:8" x14ac:dyDescent="0.25">
      <c r="F387" s="4"/>
      <c r="G387" s="4"/>
      <c r="H387" s="4"/>
    </row>
    <row r="388" spans="6:8" x14ac:dyDescent="0.25">
      <c r="F388" s="4"/>
      <c r="G388" s="4"/>
      <c r="H388" s="4"/>
    </row>
    <row r="389" spans="6:8" x14ac:dyDescent="0.25">
      <c r="F389" s="4"/>
      <c r="G389" s="4"/>
      <c r="H389" s="4"/>
    </row>
    <row r="390" spans="6:8" x14ac:dyDescent="0.25">
      <c r="F390" s="4"/>
      <c r="G390" s="4"/>
      <c r="H390" s="4"/>
    </row>
    <row r="391" spans="6:8" x14ac:dyDescent="0.25">
      <c r="F391" s="4"/>
      <c r="G391" s="4"/>
      <c r="H391" s="4"/>
    </row>
    <row r="392" spans="6:8" x14ac:dyDescent="0.25">
      <c r="F392" s="4"/>
      <c r="G392" s="4"/>
      <c r="H392" s="4"/>
    </row>
    <row r="393" spans="6:8" x14ac:dyDescent="0.25">
      <c r="F393" s="4"/>
      <c r="G393" s="4"/>
      <c r="H393" s="4"/>
    </row>
    <row r="394" spans="6:8" x14ac:dyDescent="0.25">
      <c r="F394" s="4"/>
      <c r="G394" s="4"/>
      <c r="H394" s="4"/>
    </row>
    <row r="395" spans="6:8" x14ac:dyDescent="0.25">
      <c r="F395" s="4"/>
      <c r="G395" s="4"/>
      <c r="H395" s="4"/>
    </row>
    <row r="396" spans="6:8" x14ac:dyDescent="0.25">
      <c r="F396" s="4"/>
      <c r="G396" s="4"/>
      <c r="H396" s="4"/>
    </row>
    <row r="397" spans="6:8" x14ac:dyDescent="0.25">
      <c r="F397" s="4"/>
      <c r="G397" s="4"/>
      <c r="H397" s="4"/>
    </row>
    <row r="398" spans="6:8" x14ac:dyDescent="0.25">
      <c r="F398" s="4"/>
      <c r="G398" s="4"/>
      <c r="H398" s="4"/>
    </row>
    <row r="399" spans="6:8" x14ac:dyDescent="0.25">
      <c r="F399" s="4"/>
      <c r="G399" s="4"/>
      <c r="H399" s="4"/>
    </row>
    <row r="400" spans="6:8" x14ac:dyDescent="0.25">
      <c r="F400" s="4"/>
      <c r="G400" s="4"/>
      <c r="H400" s="4"/>
    </row>
    <row r="401" spans="6:8" x14ac:dyDescent="0.25">
      <c r="F401" s="4"/>
      <c r="G401" s="4"/>
      <c r="H401" s="4"/>
    </row>
    <row r="402" spans="6:8" x14ac:dyDescent="0.25">
      <c r="F402" s="4"/>
      <c r="G402" s="4"/>
      <c r="H402" s="4"/>
    </row>
    <row r="403" spans="6:8" x14ac:dyDescent="0.25">
      <c r="F403" s="4"/>
      <c r="G403" s="4"/>
      <c r="H403" s="4"/>
    </row>
    <row r="404" spans="6:8" x14ac:dyDescent="0.25">
      <c r="F404" s="4"/>
      <c r="G404" s="4"/>
      <c r="H404" s="4"/>
    </row>
    <row r="405" spans="6:8" x14ac:dyDescent="0.25">
      <c r="F405" s="4"/>
      <c r="G405" s="4"/>
      <c r="H405" s="4"/>
    </row>
    <row r="406" spans="6:8" x14ac:dyDescent="0.25">
      <c r="F406" s="4"/>
      <c r="G406" s="4"/>
      <c r="H406" s="4"/>
    </row>
    <row r="407" spans="6:8" x14ac:dyDescent="0.25">
      <c r="F407" s="4"/>
      <c r="G407" s="4"/>
      <c r="H407" s="4"/>
    </row>
    <row r="408" spans="6:8" x14ac:dyDescent="0.25">
      <c r="F408" s="4"/>
      <c r="G408" s="4"/>
      <c r="H408" s="4"/>
    </row>
    <row r="409" spans="6:8" x14ac:dyDescent="0.25">
      <c r="F409" s="4"/>
      <c r="G409" s="4"/>
      <c r="H409" s="4"/>
    </row>
    <row r="410" spans="6:8" x14ac:dyDescent="0.25">
      <c r="F410" s="4"/>
      <c r="G410" s="4"/>
      <c r="H410" s="4"/>
    </row>
    <row r="411" spans="6:8" x14ac:dyDescent="0.25">
      <c r="F411" s="4"/>
      <c r="G411" s="4"/>
      <c r="H411" s="4"/>
    </row>
    <row r="412" spans="6:8" x14ac:dyDescent="0.25">
      <c r="F412" s="4"/>
      <c r="G412" s="4"/>
      <c r="H412" s="4"/>
    </row>
    <row r="413" spans="6:8" x14ac:dyDescent="0.25">
      <c r="F413" s="4"/>
      <c r="G413" s="4"/>
      <c r="H413" s="4"/>
    </row>
    <row r="414" spans="6:8" x14ac:dyDescent="0.25">
      <c r="F414" s="4"/>
      <c r="G414" s="4"/>
      <c r="H414" s="4"/>
    </row>
    <row r="415" spans="6:8" x14ac:dyDescent="0.25">
      <c r="F415" s="4"/>
      <c r="G415" s="4"/>
      <c r="H415" s="4"/>
    </row>
    <row r="416" spans="6:8" x14ac:dyDescent="0.25">
      <c r="F416" s="4"/>
      <c r="G416" s="4"/>
      <c r="H416" s="4"/>
    </row>
    <row r="417" spans="6:8" x14ac:dyDescent="0.25">
      <c r="F417" s="4"/>
      <c r="G417" s="4"/>
      <c r="H417" s="4"/>
    </row>
    <row r="418" spans="6:8" x14ac:dyDescent="0.25">
      <c r="F418" s="4"/>
      <c r="G418" s="4"/>
      <c r="H418" s="4"/>
    </row>
    <row r="419" spans="6:8" x14ac:dyDescent="0.25">
      <c r="F419" s="4"/>
      <c r="G419" s="4"/>
      <c r="H419" s="4"/>
    </row>
    <row r="420" spans="6:8" x14ac:dyDescent="0.25">
      <c r="F420" s="4"/>
      <c r="G420" s="4"/>
      <c r="H420" s="4"/>
    </row>
    <row r="421" spans="6:8" x14ac:dyDescent="0.25">
      <c r="F421" s="4"/>
      <c r="G421" s="4"/>
      <c r="H421" s="4"/>
    </row>
    <row r="422" spans="6:8" x14ac:dyDescent="0.25">
      <c r="F422" s="4"/>
      <c r="G422" s="4"/>
      <c r="H422" s="4"/>
    </row>
    <row r="423" spans="6:8" x14ac:dyDescent="0.25">
      <c r="F423" s="4"/>
      <c r="G423" s="4"/>
      <c r="H423" s="4"/>
    </row>
    <row r="424" spans="6:8" x14ac:dyDescent="0.25">
      <c r="F424" s="4"/>
      <c r="G424" s="4"/>
      <c r="H424" s="4"/>
    </row>
    <row r="425" spans="6:8" x14ac:dyDescent="0.25">
      <c r="F425" s="4"/>
      <c r="G425" s="4"/>
      <c r="H425" s="4"/>
    </row>
    <row r="426" spans="6:8" x14ac:dyDescent="0.25">
      <c r="F426" s="4"/>
      <c r="G426" s="4"/>
      <c r="H426" s="4"/>
    </row>
    <row r="427" spans="6:8" x14ac:dyDescent="0.25">
      <c r="F427" s="4"/>
      <c r="G427" s="4"/>
      <c r="H427" s="4"/>
    </row>
    <row r="428" spans="6:8" x14ac:dyDescent="0.25">
      <c r="F428" s="4"/>
      <c r="G428" s="4"/>
      <c r="H428" s="4"/>
    </row>
    <row r="429" spans="6:8" x14ac:dyDescent="0.25">
      <c r="F429" s="4"/>
      <c r="G429" s="4"/>
      <c r="H429" s="4"/>
    </row>
    <row r="430" spans="6:8" x14ac:dyDescent="0.25">
      <c r="F430" s="4"/>
      <c r="G430" s="4"/>
      <c r="H430" s="4"/>
    </row>
    <row r="431" spans="6:8" x14ac:dyDescent="0.25">
      <c r="F431" s="4"/>
      <c r="G431" s="4"/>
      <c r="H431" s="4"/>
    </row>
    <row r="432" spans="6:8" x14ac:dyDescent="0.25">
      <c r="F432" s="4"/>
      <c r="G432" s="4"/>
      <c r="H432" s="4"/>
    </row>
    <row r="433" spans="6:8" x14ac:dyDescent="0.25">
      <c r="F433" s="4"/>
      <c r="G433" s="4"/>
      <c r="H433" s="4"/>
    </row>
    <row r="434" spans="6:8" x14ac:dyDescent="0.25">
      <c r="F434" s="4"/>
      <c r="G434" s="4"/>
      <c r="H434" s="4"/>
    </row>
    <row r="435" spans="6:8" x14ac:dyDescent="0.25">
      <c r="F435" s="4"/>
      <c r="G435" s="4"/>
      <c r="H435" s="4"/>
    </row>
    <row r="436" spans="6:8" x14ac:dyDescent="0.25">
      <c r="F436" s="4"/>
      <c r="G436" s="4"/>
      <c r="H436" s="4"/>
    </row>
    <row r="437" spans="6:8" x14ac:dyDescent="0.25">
      <c r="F437" s="4"/>
      <c r="G437" s="4"/>
      <c r="H437" s="4"/>
    </row>
    <row r="438" spans="6:8" x14ac:dyDescent="0.25">
      <c r="F438" s="4"/>
      <c r="G438" s="4"/>
      <c r="H438" s="4"/>
    </row>
    <row r="439" spans="6:8" x14ac:dyDescent="0.25">
      <c r="F439" s="4"/>
      <c r="G439" s="4"/>
      <c r="H439" s="4"/>
    </row>
    <row r="440" spans="6:8" x14ac:dyDescent="0.25">
      <c r="F440" s="4"/>
      <c r="G440" s="4"/>
      <c r="H440" s="4"/>
    </row>
    <row r="441" spans="6:8" x14ac:dyDescent="0.25">
      <c r="F441" s="4"/>
      <c r="G441" s="4"/>
      <c r="H441" s="4"/>
    </row>
    <row r="442" spans="6:8" x14ac:dyDescent="0.25">
      <c r="F442" s="4"/>
      <c r="G442" s="4"/>
      <c r="H442" s="4"/>
    </row>
    <row r="443" spans="6:8" x14ac:dyDescent="0.25">
      <c r="F443" s="4"/>
      <c r="G443" s="4"/>
      <c r="H443" s="4"/>
    </row>
    <row r="444" spans="6:8" x14ac:dyDescent="0.25">
      <c r="F444" s="4"/>
      <c r="G444" s="4"/>
      <c r="H444" s="4"/>
    </row>
    <row r="445" spans="6:8" x14ac:dyDescent="0.25">
      <c r="F445" s="4"/>
      <c r="G445" s="4"/>
      <c r="H445" s="4"/>
    </row>
    <row r="446" spans="6:8" x14ac:dyDescent="0.25">
      <c r="F446" s="4"/>
      <c r="G446" s="4"/>
      <c r="H446" s="4"/>
    </row>
    <row r="447" spans="6:8" x14ac:dyDescent="0.25">
      <c r="F447" s="4"/>
      <c r="G447" s="4"/>
      <c r="H447" s="4"/>
    </row>
    <row r="448" spans="6:8" x14ac:dyDescent="0.25">
      <c r="F448" s="4"/>
      <c r="G448" s="4"/>
      <c r="H448" s="4"/>
    </row>
    <row r="449" spans="6:8" x14ac:dyDescent="0.25">
      <c r="F449" s="4"/>
      <c r="G449" s="4"/>
      <c r="H449" s="4"/>
    </row>
    <row r="450" spans="6:8" x14ac:dyDescent="0.25">
      <c r="F450" s="4"/>
      <c r="G450" s="4"/>
      <c r="H450" s="4"/>
    </row>
    <row r="451" spans="6:8" x14ac:dyDescent="0.25">
      <c r="F451" s="4"/>
      <c r="G451" s="4"/>
      <c r="H451" s="4"/>
    </row>
    <row r="452" spans="6:8" x14ac:dyDescent="0.25">
      <c r="F452" s="4"/>
      <c r="G452" s="4"/>
      <c r="H452" s="4"/>
    </row>
    <row r="453" spans="6:8" x14ac:dyDescent="0.25">
      <c r="F453" s="4"/>
      <c r="G453" s="4"/>
      <c r="H453" s="4"/>
    </row>
    <row r="454" spans="6:8" x14ac:dyDescent="0.25">
      <c r="F454" s="4"/>
      <c r="G454" s="4"/>
      <c r="H454" s="4"/>
    </row>
    <row r="455" spans="6:8" x14ac:dyDescent="0.25">
      <c r="F455" s="4"/>
      <c r="G455" s="4"/>
      <c r="H455" s="4"/>
    </row>
    <row r="456" spans="6:8" x14ac:dyDescent="0.25">
      <c r="F456" s="4"/>
      <c r="G456" s="4"/>
      <c r="H456" s="4"/>
    </row>
    <row r="457" spans="6:8" x14ac:dyDescent="0.25">
      <c r="F457" s="4"/>
      <c r="G457" s="4"/>
      <c r="H457" s="4"/>
    </row>
    <row r="458" spans="6:8" x14ac:dyDescent="0.25">
      <c r="F458" s="4"/>
      <c r="G458" s="4"/>
      <c r="H458" s="4"/>
    </row>
    <row r="459" spans="6:8" x14ac:dyDescent="0.25">
      <c r="F459" s="4"/>
      <c r="G459" s="4"/>
      <c r="H459" s="4"/>
    </row>
    <row r="460" spans="6:8" x14ac:dyDescent="0.25">
      <c r="F460" s="4"/>
      <c r="G460" s="4"/>
      <c r="H460" s="4"/>
    </row>
    <row r="461" spans="6:8" x14ac:dyDescent="0.25">
      <c r="F461" s="4"/>
      <c r="G461" s="4"/>
      <c r="H461" s="4"/>
    </row>
    <row r="462" spans="6:8" x14ac:dyDescent="0.25">
      <c r="F462" s="4"/>
      <c r="G462" s="4"/>
      <c r="H462" s="4"/>
    </row>
    <row r="463" spans="6:8" x14ac:dyDescent="0.25">
      <c r="F463" s="4"/>
      <c r="G463" s="4"/>
      <c r="H463" s="4"/>
    </row>
    <row r="464" spans="6:8" x14ac:dyDescent="0.25">
      <c r="F464" s="4"/>
      <c r="G464" s="4"/>
      <c r="H464" s="4"/>
    </row>
    <row r="465" spans="6:8" x14ac:dyDescent="0.25">
      <c r="F465" s="4"/>
      <c r="G465" s="4"/>
      <c r="H465" s="4"/>
    </row>
    <row r="466" spans="6:8" x14ac:dyDescent="0.25">
      <c r="F466" s="4"/>
      <c r="G466" s="4"/>
      <c r="H466" s="4"/>
    </row>
    <row r="467" spans="6:8" x14ac:dyDescent="0.25">
      <c r="F467" s="4"/>
      <c r="G467" s="4"/>
      <c r="H467" s="4"/>
    </row>
    <row r="468" spans="6:8" x14ac:dyDescent="0.25">
      <c r="F468" s="4"/>
      <c r="G468" s="4"/>
      <c r="H468" s="4"/>
    </row>
    <row r="469" spans="6:8" x14ac:dyDescent="0.25">
      <c r="F469" s="4"/>
      <c r="G469" s="4"/>
      <c r="H469" s="4"/>
    </row>
    <row r="470" spans="6:8" x14ac:dyDescent="0.25">
      <c r="F470" s="4"/>
      <c r="G470" s="4"/>
      <c r="H470" s="4"/>
    </row>
    <row r="471" spans="6:8" x14ac:dyDescent="0.25">
      <c r="F471" s="4"/>
      <c r="G471" s="4"/>
      <c r="H471" s="4"/>
    </row>
    <row r="472" spans="6:8" x14ac:dyDescent="0.25">
      <c r="F472" s="4"/>
      <c r="G472" s="4"/>
      <c r="H472" s="4"/>
    </row>
    <row r="473" spans="6:8" x14ac:dyDescent="0.25">
      <c r="F473" s="4"/>
      <c r="G473" s="4"/>
      <c r="H473" s="4"/>
    </row>
    <row r="474" spans="6:8" x14ac:dyDescent="0.25">
      <c r="F474" s="4"/>
      <c r="G474" s="4"/>
      <c r="H474" s="4"/>
    </row>
    <row r="475" spans="6:8" x14ac:dyDescent="0.25">
      <c r="F475" s="4"/>
      <c r="G475" s="4"/>
      <c r="H475" s="4"/>
    </row>
    <row r="476" spans="6:8" x14ac:dyDescent="0.25">
      <c r="F476" s="4"/>
      <c r="G476" s="4"/>
      <c r="H476" s="4"/>
    </row>
    <row r="477" spans="6:8" x14ac:dyDescent="0.25">
      <c r="F477" s="4"/>
      <c r="G477" s="4"/>
      <c r="H477" s="4"/>
    </row>
    <row r="478" spans="6:8" x14ac:dyDescent="0.25">
      <c r="F478" s="4"/>
      <c r="G478" s="4"/>
      <c r="H478" s="4"/>
    </row>
    <row r="479" spans="6:8" x14ac:dyDescent="0.25">
      <c r="F479" s="4"/>
      <c r="G479" s="4"/>
      <c r="H479" s="4"/>
    </row>
    <row r="480" spans="6:8" x14ac:dyDescent="0.25">
      <c r="F480" s="4"/>
      <c r="G480" s="4"/>
      <c r="H480" s="4"/>
    </row>
    <row r="481" spans="6:8" x14ac:dyDescent="0.25">
      <c r="F481" s="4"/>
      <c r="G481" s="4"/>
      <c r="H481" s="4"/>
    </row>
    <row r="482" spans="6:8" x14ac:dyDescent="0.25">
      <c r="F482" s="4"/>
      <c r="G482" s="4"/>
      <c r="H482" s="4"/>
    </row>
    <row r="483" spans="6:8" x14ac:dyDescent="0.25">
      <c r="F483" s="4"/>
      <c r="G483" s="4"/>
      <c r="H483" s="4"/>
    </row>
    <row r="484" spans="6:8" x14ac:dyDescent="0.25">
      <c r="F484" s="4"/>
      <c r="G484" s="4"/>
      <c r="H484" s="4"/>
    </row>
    <row r="485" spans="6:8" x14ac:dyDescent="0.25">
      <c r="F485" s="4"/>
      <c r="G485" s="4"/>
      <c r="H485" s="4"/>
    </row>
    <row r="486" spans="6:8" x14ac:dyDescent="0.25">
      <c r="F486" s="4"/>
      <c r="G486" s="4"/>
      <c r="H486" s="4"/>
    </row>
    <row r="487" spans="6:8" x14ac:dyDescent="0.25">
      <c r="F487" s="4"/>
      <c r="G487" s="4"/>
      <c r="H487" s="4"/>
    </row>
    <row r="488" spans="6:8" x14ac:dyDescent="0.25">
      <c r="F488" s="4"/>
      <c r="G488" s="4"/>
      <c r="H488" s="4"/>
    </row>
    <row r="489" spans="6:8" x14ac:dyDescent="0.25">
      <c r="F489" s="4"/>
      <c r="G489" s="4"/>
      <c r="H489" s="4"/>
    </row>
    <row r="490" spans="6:8" x14ac:dyDescent="0.25">
      <c r="F490" s="4"/>
      <c r="G490" s="4"/>
      <c r="H490" s="4"/>
    </row>
    <row r="491" spans="6:8" x14ac:dyDescent="0.25">
      <c r="F491" s="4"/>
      <c r="G491" s="4"/>
      <c r="H491" s="4"/>
    </row>
    <row r="492" spans="6:8" x14ac:dyDescent="0.25">
      <c r="F492" s="4"/>
      <c r="G492" s="4"/>
      <c r="H492" s="4"/>
    </row>
    <row r="493" spans="6:8" x14ac:dyDescent="0.25">
      <c r="F493" s="4"/>
      <c r="G493" s="4"/>
      <c r="H493" s="4"/>
    </row>
    <row r="494" spans="6:8" x14ac:dyDescent="0.25">
      <c r="F494" s="4"/>
      <c r="G494" s="4"/>
      <c r="H494" s="4"/>
    </row>
    <row r="495" spans="6:8" x14ac:dyDescent="0.25">
      <c r="F495" s="4"/>
      <c r="G495" s="4"/>
      <c r="H495" s="4"/>
    </row>
    <row r="496" spans="6:8" x14ac:dyDescent="0.25">
      <c r="F496" s="4"/>
      <c r="G496" s="4"/>
      <c r="H496" s="4"/>
    </row>
    <row r="497" spans="6:8" x14ac:dyDescent="0.25">
      <c r="F497" s="4"/>
      <c r="G497" s="4"/>
      <c r="H497" s="4"/>
    </row>
    <row r="498" spans="6:8" x14ac:dyDescent="0.25">
      <c r="F498" s="4"/>
      <c r="G498" s="4"/>
      <c r="H498" s="4"/>
    </row>
    <row r="499" spans="6:8" x14ac:dyDescent="0.25">
      <c r="F499" s="4"/>
      <c r="G499" s="4"/>
      <c r="H499" s="4"/>
    </row>
    <row r="500" spans="6:8" x14ac:dyDescent="0.25">
      <c r="F500" s="4"/>
      <c r="G500" s="4"/>
      <c r="H500" s="4"/>
    </row>
    <row r="501" spans="6:8" x14ac:dyDescent="0.25">
      <c r="F501" s="4"/>
      <c r="G501" s="4"/>
      <c r="H501" s="4"/>
    </row>
    <row r="502" spans="6:8" x14ac:dyDescent="0.25">
      <c r="F502" s="4"/>
      <c r="G502" s="4"/>
      <c r="H502" s="4"/>
    </row>
    <row r="503" spans="6:8" x14ac:dyDescent="0.25">
      <c r="F503" s="4"/>
      <c r="G503" s="4"/>
      <c r="H503" s="4"/>
    </row>
    <row r="504" spans="6:8" x14ac:dyDescent="0.25">
      <c r="F504" s="4"/>
      <c r="G504" s="4"/>
      <c r="H504" s="4"/>
    </row>
    <row r="505" spans="6:8" x14ac:dyDescent="0.25">
      <c r="F505" s="4"/>
      <c r="G505" s="4"/>
      <c r="H505" s="4"/>
    </row>
    <row r="506" spans="6:8" x14ac:dyDescent="0.25">
      <c r="F506" s="4"/>
      <c r="G506" s="4"/>
      <c r="H506" s="4"/>
    </row>
    <row r="507" spans="6:8" x14ac:dyDescent="0.25">
      <c r="F507" s="4"/>
      <c r="G507" s="4"/>
      <c r="H507" s="4"/>
    </row>
    <row r="508" spans="6:8" x14ac:dyDescent="0.25">
      <c r="F508" s="4"/>
      <c r="G508" s="4"/>
      <c r="H508" s="4"/>
    </row>
    <row r="509" spans="6:8" x14ac:dyDescent="0.25">
      <c r="F509" s="4"/>
      <c r="G509" s="4"/>
      <c r="H509" s="4"/>
    </row>
    <row r="510" spans="6:8" x14ac:dyDescent="0.25">
      <c r="F510" s="4"/>
      <c r="G510" s="4"/>
      <c r="H510" s="4"/>
    </row>
    <row r="511" spans="6:8" x14ac:dyDescent="0.25">
      <c r="F511" s="4"/>
      <c r="G511" s="4"/>
      <c r="H511" s="4"/>
    </row>
    <row r="512" spans="6:8" x14ac:dyDescent="0.25">
      <c r="F512" s="4"/>
      <c r="G512" s="4"/>
      <c r="H512" s="4"/>
    </row>
    <row r="513" spans="6:8" x14ac:dyDescent="0.25">
      <c r="F513" s="4"/>
      <c r="G513" s="4"/>
      <c r="H513" s="4"/>
    </row>
    <row r="514" spans="6:8" x14ac:dyDescent="0.25">
      <c r="F514" s="4"/>
      <c r="G514" s="4"/>
      <c r="H514" s="4"/>
    </row>
    <row r="515" spans="6:8" x14ac:dyDescent="0.25">
      <c r="F515" s="4"/>
      <c r="G515" s="4"/>
      <c r="H515" s="4"/>
    </row>
    <row r="516" spans="6:8" x14ac:dyDescent="0.25">
      <c r="F516" s="4"/>
      <c r="G516" s="4"/>
      <c r="H516" s="4"/>
    </row>
    <row r="517" spans="6:8" x14ac:dyDescent="0.25">
      <c r="F517" s="4"/>
      <c r="G517" s="4"/>
      <c r="H517" s="4"/>
    </row>
    <row r="518" spans="6:8" x14ac:dyDescent="0.25">
      <c r="F518" s="4"/>
      <c r="G518" s="4"/>
      <c r="H518" s="4"/>
    </row>
    <row r="519" spans="6:8" x14ac:dyDescent="0.25">
      <c r="F519" s="4"/>
      <c r="G519" s="4"/>
      <c r="H519" s="4"/>
    </row>
    <row r="520" spans="6:8" x14ac:dyDescent="0.25">
      <c r="F520" s="4"/>
      <c r="G520" s="4"/>
      <c r="H520" s="4"/>
    </row>
    <row r="521" spans="6:8" x14ac:dyDescent="0.25">
      <c r="F521" s="4"/>
      <c r="G521" s="4"/>
      <c r="H521" s="4"/>
    </row>
    <row r="522" spans="6:8" x14ac:dyDescent="0.25">
      <c r="F522" s="4"/>
      <c r="G522" s="4"/>
      <c r="H522" s="4"/>
    </row>
    <row r="523" spans="6:8" x14ac:dyDescent="0.25">
      <c r="F523" s="4"/>
      <c r="G523" s="4"/>
      <c r="H523" s="4"/>
    </row>
    <row r="524" spans="6:8" x14ac:dyDescent="0.25">
      <c r="F524" s="4"/>
      <c r="G524" s="4"/>
      <c r="H524" s="4"/>
    </row>
    <row r="525" spans="6:8" x14ac:dyDescent="0.25">
      <c r="F525" s="4"/>
      <c r="G525" s="4"/>
      <c r="H525" s="4"/>
    </row>
    <row r="526" spans="6:8" x14ac:dyDescent="0.25">
      <c r="F526" s="4"/>
      <c r="G526" s="4"/>
      <c r="H526" s="4"/>
    </row>
    <row r="527" spans="6:8" x14ac:dyDescent="0.25">
      <c r="F527" s="4"/>
      <c r="G527" s="4"/>
      <c r="H527" s="4"/>
    </row>
    <row r="528" spans="6:8" x14ac:dyDescent="0.25">
      <c r="F528" s="4"/>
      <c r="G528" s="4"/>
      <c r="H528" s="4"/>
    </row>
    <row r="529" spans="6:8" x14ac:dyDescent="0.25">
      <c r="F529" s="4"/>
      <c r="G529" s="4"/>
      <c r="H529" s="4"/>
    </row>
    <row r="530" spans="6:8" x14ac:dyDescent="0.25">
      <c r="F530" s="4"/>
      <c r="G530" s="4"/>
      <c r="H530" s="4"/>
    </row>
    <row r="531" spans="6:8" x14ac:dyDescent="0.25">
      <c r="F531" s="4"/>
      <c r="G531" s="4"/>
      <c r="H531" s="4"/>
    </row>
    <row r="532" spans="6:8" x14ac:dyDescent="0.25">
      <c r="F532" s="4"/>
      <c r="G532" s="4"/>
      <c r="H532" s="4"/>
    </row>
    <row r="533" spans="6:8" x14ac:dyDescent="0.25">
      <c r="F533" s="4"/>
      <c r="G533" s="4"/>
      <c r="H533" s="4"/>
    </row>
    <row r="534" spans="6:8" x14ac:dyDescent="0.25">
      <c r="F534" s="4"/>
      <c r="G534" s="4"/>
      <c r="H534" s="4"/>
    </row>
    <row r="535" spans="6:8" x14ac:dyDescent="0.25">
      <c r="F535" s="4"/>
      <c r="G535" s="4"/>
      <c r="H535" s="4"/>
    </row>
    <row r="536" spans="6:8" x14ac:dyDescent="0.25">
      <c r="F536" s="4"/>
      <c r="G536" s="4"/>
      <c r="H536" s="4"/>
    </row>
    <row r="537" spans="6:8" x14ac:dyDescent="0.25">
      <c r="F537" s="4"/>
      <c r="G537" s="4"/>
      <c r="H537" s="4"/>
    </row>
    <row r="538" spans="6:8" x14ac:dyDescent="0.25">
      <c r="F538" s="4"/>
      <c r="G538" s="4"/>
      <c r="H538" s="4"/>
    </row>
    <row r="539" spans="6:8" x14ac:dyDescent="0.25">
      <c r="F539" s="4"/>
      <c r="G539" s="4"/>
      <c r="H539" s="4"/>
    </row>
    <row r="540" spans="6:8" x14ac:dyDescent="0.25">
      <c r="F540" s="4"/>
      <c r="G540" s="4"/>
      <c r="H540" s="4"/>
    </row>
    <row r="541" spans="6:8" x14ac:dyDescent="0.25">
      <c r="F541" s="4"/>
      <c r="G541" s="4"/>
      <c r="H541" s="4"/>
    </row>
    <row r="542" spans="6:8" x14ac:dyDescent="0.25">
      <c r="F542" s="4"/>
      <c r="G542" s="4"/>
      <c r="H542" s="4"/>
    </row>
    <row r="543" spans="6:8" x14ac:dyDescent="0.25">
      <c r="F543" s="4"/>
      <c r="G543" s="4"/>
      <c r="H543" s="4"/>
    </row>
    <row r="544" spans="6:8" x14ac:dyDescent="0.25">
      <c r="F544" s="4"/>
      <c r="G544" s="4"/>
      <c r="H544" s="4"/>
    </row>
    <row r="545" spans="6:8" x14ac:dyDescent="0.25">
      <c r="F545" s="4"/>
      <c r="G545" s="4"/>
      <c r="H545" s="4"/>
    </row>
    <row r="546" spans="6:8" x14ac:dyDescent="0.25">
      <c r="F546" s="4"/>
      <c r="G546" s="4"/>
      <c r="H546" s="4"/>
    </row>
    <row r="547" spans="6:8" x14ac:dyDescent="0.25">
      <c r="F547" s="4"/>
      <c r="G547" s="4"/>
      <c r="H547" s="4"/>
    </row>
    <row r="548" spans="6:8" x14ac:dyDescent="0.25">
      <c r="F548" s="4"/>
      <c r="G548" s="4"/>
      <c r="H548" s="4"/>
    </row>
    <row r="549" spans="6:8" x14ac:dyDescent="0.25">
      <c r="F549" s="4"/>
      <c r="G549" s="4"/>
      <c r="H549" s="4"/>
    </row>
    <row r="550" spans="6:8" x14ac:dyDescent="0.25">
      <c r="F550" s="4"/>
      <c r="G550" s="4"/>
      <c r="H550" s="4"/>
    </row>
    <row r="551" spans="6:8" x14ac:dyDescent="0.25">
      <c r="F551" s="4"/>
      <c r="G551" s="4"/>
      <c r="H551" s="4"/>
    </row>
    <row r="552" spans="6:8" x14ac:dyDescent="0.25">
      <c r="F552" s="4"/>
      <c r="G552" s="4"/>
      <c r="H552" s="4"/>
    </row>
    <row r="553" spans="6:8" x14ac:dyDescent="0.25">
      <c r="F553" s="4"/>
      <c r="G553" s="4"/>
      <c r="H553" s="4"/>
    </row>
    <row r="554" spans="6:8" x14ac:dyDescent="0.25">
      <c r="F554" s="4"/>
      <c r="G554" s="4"/>
      <c r="H554" s="4"/>
    </row>
    <row r="555" spans="6:8" x14ac:dyDescent="0.25">
      <c r="F555" s="4"/>
      <c r="G555" s="4"/>
      <c r="H555" s="4"/>
    </row>
  </sheetData>
  <autoFilter ref="A1:K379" xr:uid="{00000000-0009-0000-0000-000014000000}"/>
  <mergeCells count="32">
    <mergeCell ref="A379:D379"/>
    <mergeCell ref="A102:D102"/>
    <mergeCell ref="A95:D95"/>
    <mergeCell ref="A81:D81"/>
    <mergeCell ref="A68:D68"/>
    <mergeCell ref="A124:D124"/>
    <mergeCell ref="A110:D110"/>
    <mergeCell ref="A130:D130"/>
    <mergeCell ref="A193:D193"/>
    <mergeCell ref="A178:D178"/>
    <mergeCell ref="A238:D238"/>
    <mergeCell ref="A254:D254"/>
    <mergeCell ref="A162:D162"/>
    <mergeCell ref="A216:D216"/>
    <mergeCell ref="A205:D205"/>
    <mergeCell ref="A139:D139"/>
    <mergeCell ref="A52:D52"/>
    <mergeCell ref="A5:D5"/>
    <mergeCell ref="A13:D13"/>
    <mergeCell ref="A22:D22"/>
    <mergeCell ref="A35:D35"/>
    <mergeCell ref="A44:D44"/>
    <mergeCell ref="A369:D369"/>
    <mergeCell ref="A307:D307"/>
    <mergeCell ref="A290:D290"/>
    <mergeCell ref="A169:D169"/>
    <mergeCell ref="A148:D148"/>
    <mergeCell ref="A278:D278"/>
    <mergeCell ref="A348:D348"/>
    <mergeCell ref="A268:D268"/>
    <mergeCell ref="A337:D337"/>
    <mergeCell ref="A324:D32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975"/>
  <sheetViews>
    <sheetView zoomScale="84" zoomScaleNormal="84" workbookViewId="0">
      <selection activeCell="P201" sqref="P201"/>
    </sheetView>
  </sheetViews>
  <sheetFormatPr defaultRowHeight="15" x14ac:dyDescent="0.25"/>
  <cols>
    <col min="2" max="2" width="15.85546875" customWidth="1"/>
    <col min="5" max="5" width="9.42578125" bestFit="1" customWidth="1"/>
    <col min="6" max="6" width="13.28515625" bestFit="1" customWidth="1"/>
    <col min="7" max="7" width="11.7109375" bestFit="1" customWidth="1"/>
    <col min="8" max="8" width="11.8554687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32</v>
      </c>
      <c r="B2" s="3">
        <v>44934</v>
      </c>
      <c r="C2" t="s">
        <v>338</v>
      </c>
      <c r="D2" t="s">
        <v>11</v>
      </c>
      <c r="E2">
        <v>75</v>
      </c>
      <c r="F2" s="4">
        <f>E2*1800</f>
        <v>135000</v>
      </c>
      <c r="G2" s="4">
        <f>E2*500</f>
        <v>37500</v>
      </c>
      <c r="H2" s="4">
        <f>E2*1300</f>
        <v>97500</v>
      </c>
    </row>
    <row r="3" spans="1:8" x14ac:dyDescent="0.25">
      <c r="C3" t="s">
        <v>572</v>
      </c>
      <c r="D3" t="s">
        <v>11</v>
      </c>
      <c r="E3">
        <v>27</v>
      </c>
      <c r="F3" s="4">
        <f>E3*1700</f>
        <v>45900</v>
      </c>
      <c r="G3" s="4">
        <f>E3*500</f>
        <v>13500</v>
      </c>
      <c r="H3" s="4">
        <f>E3*1200</f>
        <v>32400</v>
      </c>
    </row>
    <row r="4" spans="1:8" x14ac:dyDescent="0.25">
      <c r="C4" t="s">
        <v>571</v>
      </c>
      <c r="D4" t="s">
        <v>11</v>
      </c>
      <c r="E4">
        <v>8</v>
      </c>
      <c r="F4" s="4">
        <f t="shared" ref="F4:F5" si="0">E4*1700</f>
        <v>13600</v>
      </c>
      <c r="G4" s="4">
        <f t="shared" ref="G4:G6" si="1">E4*500</f>
        <v>4000</v>
      </c>
      <c r="H4" s="4">
        <f t="shared" ref="H4:H5" si="2">E4*1200</f>
        <v>9600</v>
      </c>
    </row>
    <row r="5" spans="1:8" x14ac:dyDescent="0.25">
      <c r="C5" t="s">
        <v>104</v>
      </c>
      <c r="D5" t="s">
        <v>11</v>
      </c>
      <c r="E5">
        <v>148</v>
      </c>
      <c r="F5" s="4">
        <f t="shared" si="0"/>
        <v>251600</v>
      </c>
      <c r="G5" s="4">
        <f t="shared" si="1"/>
        <v>74000</v>
      </c>
      <c r="H5" s="4">
        <f t="shared" si="2"/>
        <v>177600</v>
      </c>
    </row>
    <row r="6" spans="1:8" x14ac:dyDescent="0.25">
      <c r="C6" t="s">
        <v>16</v>
      </c>
      <c r="D6" t="s">
        <v>11</v>
      </c>
      <c r="E6">
        <v>58</v>
      </c>
      <c r="F6" s="4">
        <f>E6*1500</f>
        <v>87000</v>
      </c>
      <c r="G6" s="4">
        <f t="shared" si="1"/>
        <v>29000</v>
      </c>
      <c r="H6" s="4">
        <v>58000</v>
      </c>
    </row>
    <row r="7" spans="1:8" x14ac:dyDescent="0.25">
      <c r="D7" t="s">
        <v>12</v>
      </c>
      <c r="E7">
        <v>5</v>
      </c>
      <c r="F7" s="4">
        <f>E7*3000</f>
        <v>15000</v>
      </c>
      <c r="G7" s="4">
        <f>E7*2000</f>
        <v>10000</v>
      </c>
      <c r="H7" s="4">
        <v>5000</v>
      </c>
    </row>
    <row r="8" spans="1:8" x14ac:dyDescent="0.25">
      <c r="C8" t="s">
        <v>217</v>
      </c>
      <c r="D8" t="s">
        <v>11</v>
      </c>
      <c r="E8">
        <v>17</v>
      </c>
      <c r="F8" s="4">
        <f>E8*1500</f>
        <v>25500</v>
      </c>
      <c r="G8" s="4">
        <f>E8*500</f>
        <v>8500</v>
      </c>
      <c r="H8" s="4">
        <v>17000</v>
      </c>
    </row>
    <row r="9" spans="1:8" x14ac:dyDescent="0.25">
      <c r="D9" t="s">
        <v>13</v>
      </c>
      <c r="E9">
        <v>10</v>
      </c>
      <c r="F9" s="4">
        <f>E9*6500</f>
        <v>65000</v>
      </c>
      <c r="G9" s="4">
        <f>E9*4500</f>
        <v>45000</v>
      </c>
      <c r="H9" s="4">
        <f>E9*2000</f>
        <v>20000</v>
      </c>
    </row>
    <row r="10" spans="1:8" x14ac:dyDescent="0.25">
      <c r="D10" t="s">
        <v>14</v>
      </c>
      <c r="E10">
        <v>1</v>
      </c>
      <c r="F10" s="4">
        <v>10000</v>
      </c>
      <c r="G10" s="4">
        <v>5500</v>
      </c>
      <c r="H10" s="4">
        <v>4500</v>
      </c>
    </row>
    <row r="11" spans="1:8" x14ac:dyDescent="0.25">
      <c r="D11" t="s">
        <v>404</v>
      </c>
      <c r="E11">
        <v>1</v>
      </c>
      <c r="F11" s="4">
        <v>2000</v>
      </c>
      <c r="G11" s="4">
        <v>1000</v>
      </c>
      <c r="H11" s="4">
        <v>1000</v>
      </c>
    </row>
    <row r="12" spans="1:8" x14ac:dyDescent="0.25">
      <c r="D12" t="s">
        <v>437</v>
      </c>
      <c r="E12">
        <v>1</v>
      </c>
      <c r="F12" s="4">
        <v>5000</v>
      </c>
      <c r="G12" s="4">
        <v>2500</v>
      </c>
      <c r="H12" s="4">
        <v>2500</v>
      </c>
    </row>
    <row r="13" spans="1:8" x14ac:dyDescent="0.25">
      <c r="C13" t="s">
        <v>24</v>
      </c>
      <c r="D13" t="s">
        <v>243</v>
      </c>
      <c r="E13">
        <v>2</v>
      </c>
      <c r="F13" s="4">
        <v>26000</v>
      </c>
      <c r="G13" s="4">
        <v>20000</v>
      </c>
      <c r="H13" s="4">
        <v>6000</v>
      </c>
    </row>
    <row r="14" spans="1:8" x14ac:dyDescent="0.25">
      <c r="A14" s="142" t="s">
        <v>17</v>
      </c>
      <c r="B14" s="142"/>
      <c r="C14" s="142"/>
      <c r="D14" s="142"/>
      <c r="E14" s="13">
        <f>SUM(E2:E13)</f>
        <v>353</v>
      </c>
      <c r="F14" s="13">
        <f t="shared" ref="F14:H14" si="3">SUM(F2:F13)</f>
        <v>681600</v>
      </c>
      <c r="G14" s="13">
        <f t="shared" si="3"/>
        <v>250500</v>
      </c>
      <c r="H14" s="13">
        <f t="shared" si="3"/>
        <v>431100</v>
      </c>
    </row>
    <row r="15" spans="1:8" x14ac:dyDescent="0.25">
      <c r="A15" t="s">
        <v>8</v>
      </c>
      <c r="B15" s="3">
        <v>44965</v>
      </c>
      <c r="C15" t="s">
        <v>338</v>
      </c>
      <c r="D15" t="s">
        <v>11</v>
      </c>
      <c r="E15">
        <v>69</v>
      </c>
      <c r="F15" s="4">
        <f>E15*1800</f>
        <v>124200</v>
      </c>
      <c r="G15" s="4">
        <f>E15*500</f>
        <v>34500</v>
      </c>
      <c r="H15" s="4">
        <f>E15*1300</f>
        <v>89700</v>
      </c>
    </row>
    <row r="16" spans="1:8" x14ac:dyDescent="0.25">
      <c r="C16" t="s">
        <v>306</v>
      </c>
      <c r="D16" t="s">
        <v>11</v>
      </c>
      <c r="E16">
        <v>44</v>
      </c>
      <c r="F16" s="4">
        <f>E16*1800</f>
        <v>79200</v>
      </c>
      <c r="G16" s="4">
        <f>E16*500</f>
        <v>22000</v>
      </c>
      <c r="H16" s="4">
        <f>E16*1300</f>
        <v>57200</v>
      </c>
    </row>
    <row r="17" spans="1:8" x14ac:dyDescent="0.25">
      <c r="C17" t="s">
        <v>646</v>
      </c>
      <c r="D17" t="s">
        <v>11</v>
      </c>
      <c r="E17">
        <v>200</v>
      </c>
      <c r="F17" s="4">
        <f>E17*1500</f>
        <v>300000</v>
      </c>
      <c r="G17" s="4">
        <f>E17*500</f>
        <v>100000</v>
      </c>
      <c r="H17" s="4">
        <f>E17*1000</f>
        <v>200000</v>
      </c>
    </row>
    <row r="18" spans="1:8" x14ac:dyDescent="0.25">
      <c r="C18" t="s">
        <v>104</v>
      </c>
      <c r="D18" t="s">
        <v>11</v>
      </c>
      <c r="E18">
        <v>79</v>
      </c>
      <c r="F18" s="4">
        <f>E18*1700</f>
        <v>134300</v>
      </c>
      <c r="G18" s="4">
        <f>E18*500</f>
        <v>39500</v>
      </c>
      <c r="H18" s="4">
        <f>E18*1200</f>
        <v>94800</v>
      </c>
    </row>
    <row r="19" spans="1:8" x14ac:dyDescent="0.25">
      <c r="C19" t="s">
        <v>16</v>
      </c>
      <c r="D19" t="s">
        <v>11</v>
      </c>
      <c r="E19">
        <v>57</v>
      </c>
      <c r="F19" s="4">
        <f>E19*1500</f>
        <v>85500</v>
      </c>
      <c r="G19" s="4">
        <f>E19*500</f>
        <v>28500</v>
      </c>
      <c r="H19" s="4">
        <f>E19*1000</f>
        <v>57000</v>
      </c>
    </row>
    <row r="20" spans="1:8" x14ac:dyDescent="0.25">
      <c r="D20" t="s">
        <v>12</v>
      </c>
      <c r="E20">
        <v>4</v>
      </c>
      <c r="F20" s="4">
        <f>E20*3000</f>
        <v>12000</v>
      </c>
      <c r="G20" s="4">
        <f>E20*2000</f>
        <v>8000</v>
      </c>
      <c r="H20" s="4">
        <v>4000</v>
      </c>
    </row>
    <row r="21" spans="1:8" x14ac:dyDescent="0.25">
      <c r="D21" t="s">
        <v>13</v>
      </c>
      <c r="E21">
        <v>1</v>
      </c>
      <c r="F21" s="4">
        <v>6500</v>
      </c>
      <c r="G21" s="4">
        <v>4500</v>
      </c>
      <c r="H21" s="4">
        <v>2000</v>
      </c>
    </row>
    <row r="22" spans="1:8" x14ac:dyDescent="0.25">
      <c r="C22" t="s">
        <v>217</v>
      </c>
      <c r="D22" t="s">
        <v>11</v>
      </c>
      <c r="E22">
        <v>57</v>
      </c>
      <c r="F22" s="4">
        <f>E22*1500</f>
        <v>85500</v>
      </c>
      <c r="G22" s="4">
        <f>E22*500</f>
        <v>28500</v>
      </c>
      <c r="H22" s="4">
        <v>57000</v>
      </c>
    </row>
    <row r="23" spans="1:8" x14ac:dyDescent="0.25">
      <c r="D23" t="s">
        <v>13</v>
      </c>
      <c r="E23">
        <v>8</v>
      </c>
      <c r="F23" s="4">
        <f>E23*6500</f>
        <v>52000</v>
      </c>
      <c r="G23" s="4">
        <f>E23*4500</f>
        <v>36000</v>
      </c>
      <c r="H23" s="4">
        <f>E23*2000</f>
        <v>16000</v>
      </c>
    </row>
    <row r="24" spans="1:8" x14ac:dyDescent="0.25">
      <c r="D24" t="s">
        <v>14</v>
      </c>
      <c r="E24">
        <v>6</v>
      </c>
      <c r="F24" s="4">
        <f>E24*10000</f>
        <v>60000</v>
      </c>
      <c r="G24" s="4">
        <f>E24*5500</f>
        <v>33000</v>
      </c>
      <c r="H24" s="4">
        <f>E24*4500</f>
        <v>27000</v>
      </c>
    </row>
    <row r="25" spans="1:8" x14ac:dyDescent="0.25">
      <c r="D25" t="s">
        <v>404</v>
      </c>
      <c r="E25">
        <v>3</v>
      </c>
      <c r="F25" s="4">
        <f>E25*2000</f>
        <v>6000</v>
      </c>
      <c r="G25" s="4">
        <v>3000</v>
      </c>
      <c r="H25" s="4">
        <v>3000</v>
      </c>
    </row>
    <row r="26" spans="1:8" x14ac:dyDescent="0.25">
      <c r="A26" s="142" t="s">
        <v>17</v>
      </c>
      <c r="B26" s="142"/>
      <c r="C26" s="142"/>
      <c r="D26" s="142"/>
      <c r="E26" s="13">
        <f>SUM(E15:E25)</f>
        <v>528</v>
      </c>
      <c r="F26" s="13">
        <f t="shared" ref="F26:H26" si="4">SUM(F15:F25)</f>
        <v>945200</v>
      </c>
      <c r="G26" s="13">
        <f t="shared" si="4"/>
        <v>337500</v>
      </c>
      <c r="H26" s="13">
        <f t="shared" si="4"/>
        <v>607700</v>
      </c>
    </row>
    <row r="27" spans="1:8" x14ac:dyDescent="0.25">
      <c r="A27" t="s">
        <v>18</v>
      </c>
      <c r="B27" s="3">
        <v>44993</v>
      </c>
      <c r="C27" t="s">
        <v>338</v>
      </c>
      <c r="D27" t="s">
        <v>11</v>
      </c>
      <c r="E27">
        <v>75</v>
      </c>
      <c r="F27" s="4">
        <f>E27*1800</f>
        <v>135000</v>
      </c>
      <c r="G27" s="4">
        <f t="shared" ref="G27:G33" si="5">E27*500</f>
        <v>37500</v>
      </c>
      <c r="H27" s="4">
        <f>E27*1300</f>
        <v>97500</v>
      </c>
    </row>
    <row r="28" spans="1:8" x14ac:dyDescent="0.25">
      <c r="C28" t="s">
        <v>306</v>
      </c>
      <c r="D28" t="s">
        <v>11</v>
      </c>
      <c r="E28">
        <v>43</v>
      </c>
      <c r="F28" s="4">
        <f>E28*1800</f>
        <v>77400</v>
      </c>
      <c r="G28" s="4">
        <f t="shared" si="5"/>
        <v>21500</v>
      </c>
      <c r="H28" s="4">
        <f>E28*1300</f>
        <v>55900</v>
      </c>
    </row>
    <row r="29" spans="1:8" x14ac:dyDescent="0.25">
      <c r="C29" t="s">
        <v>572</v>
      </c>
      <c r="D29" t="s">
        <v>11</v>
      </c>
      <c r="E29">
        <v>68</v>
      </c>
      <c r="F29" s="4">
        <f>E29*1700</f>
        <v>115600</v>
      </c>
      <c r="G29" s="4">
        <f t="shared" si="5"/>
        <v>34000</v>
      </c>
      <c r="H29" s="4">
        <f>E29*1200</f>
        <v>81600</v>
      </c>
    </row>
    <row r="30" spans="1:8" x14ac:dyDescent="0.25">
      <c r="C30" t="s">
        <v>209</v>
      </c>
      <c r="D30" t="s">
        <v>11</v>
      </c>
      <c r="E30">
        <v>43</v>
      </c>
      <c r="F30" s="4">
        <f>E30*1500</f>
        <v>64500</v>
      </c>
      <c r="G30" s="4">
        <f t="shared" si="5"/>
        <v>21500</v>
      </c>
      <c r="H30" s="4">
        <v>43000</v>
      </c>
    </row>
    <row r="31" spans="1:8" x14ac:dyDescent="0.25">
      <c r="C31" t="s">
        <v>308</v>
      </c>
      <c r="E31">
        <v>18</v>
      </c>
      <c r="F31" s="4">
        <f>E31*1500</f>
        <v>27000</v>
      </c>
      <c r="G31" s="4">
        <f t="shared" si="5"/>
        <v>9000</v>
      </c>
      <c r="H31" s="4">
        <v>18000</v>
      </c>
    </row>
    <row r="32" spans="1:8" x14ac:dyDescent="0.25">
      <c r="C32" t="s">
        <v>104</v>
      </c>
      <c r="D32" t="s">
        <v>11</v>
      </c>
      <c r="E32">
        <v>55</v>
      </c>
      <c r="F32" s="4">
        <f>E32*1700</f>
        <v>93500</v>
      </c>
      <c r="G32" s="4">
        <f t="shared" si="5"/>
        <v>27500</v>
      </c>
      <c r="H32" s="4">
        <f>E32*1200</f>
        <v>66000</v>
      </c>
    </row>
    <row r="33" spans="1:8" x14ac:dyDescent="0.25">
      <c r="C33" t="s">
        <v>16</v>
      </c>
      <c r="D33" t="s">
        <v>11</v>
      </c>
      <c r="E33">
        <v>65</v>
      </c>
      <c r="F33" s="4">
        <f>E33*1500</f>
        <v>97500</v>
      </c>
      <c r="G33" s="4">
        <f t="shared" si="5"/>
        <v>32500</v>
      </c>
      <c r="H33" s="4">
        <v>65000</v>
      </c>
    </row>
    <row r="34" spans="1:8" x14ac:dyDescent="0.25">
      <c r="D34" t="s">
        <v>12</v>
      </c>
      <c r="E34">
        <v>5</v>
      </c>
      <c r="F34" s="4">
        <f>E34*3000</f>
        <v>15000</v>
      </c>
      <c r="G34" s="4">
        <v>10000</v>
      </c>
      <c r="H34" s="4">
        <v>5000</v>
      </c>
    </row>
    <row r="35" spans="1:8" x14ac:dyDescent="0.25">
      <c r="D35" t="s">
        <v>13</v>
      </c>
      <c r="E35">
        <v>1</v>
      </c>
      <c r="F35" s="4">
        <v>6500</v>
      </c>
      <c r="G35" s="4">
        <v>4500</v>
      </c>
      <c r="H35" s="4">
        <v>2000</v>
      </c>
    </row>
    <row r="36" spans="1:8" x14ac:dyDescent="0.25">
      <c r="D36" t="s">
        <v>14</v>
      </c>
      <c r="E36">
        <v>1</v>
      </c>
      <c r="F36" s="4">
        <v>10000</v>
      </c>
      <c r="G36" s="4">
        <v>5500</v>
      </c>
      <c r="H36" s="4">
        <v>4500</v>
      </c>
    </row>
    <row r="37" spans="1:8" x14ac:dyDescent="0.25">
      <c r="C37" t="s">
        <v>217</v>
      </c>
      <c r="D37" t="s">
        <v>11</v>
      </c>
      <c r="E37">
        <v>20</v>
      </c>
      <c r="F37" s="4">
        <f>E37*1500</f>
        <v>30000</v>
      </c>
      <c r="G37" s="4">
        <f>E37*500</f>
        <v>10000</v>
      </c>
      <c r="H37" s="4">
        <v>20000</v>
      </c>
    </row>
    <row r="38" spans="1:8" x14ac:dyDescent="0.25">
      <c r="D38" t="s">
        <v>13</v>
      </c>
      <c r="E38">
        <v>4</v>
      </c>
      <c r="F38" s="4">
        <f>E38*6500</f>
        <v>26000</v>
      </c>
      <c r="G38" s="4">
        <f>E38*4500</f>
        <v>18000</v>
      </c>
      <c r="H38" s="4">
        <f>E38*2000</f>
        <v>8000</v>
      </c>
    </row>
    <row r="39" spans="1:8" x14ac:dyDescent="0.25">
      <c r="D39" t="s">
        <v>404</v>
      </c>
      <c r="E39">
        <v>1</v>
      </c>
      <c r="F39" s="4">
        <v>2000</v>
      </c>
      <c r="G39" s="4">
        <v>1000</v>
      </c>
      <c r="H39" s="4">
        <v>1000</v>
      </c>
    </row>
    <row r="40" spans="1:8" x14ac:dyDescent="0.25">
      <c r="C40" t="s">
        <v>127</v>
      </c>
      <c r="D40" t="s">
        <v>21</v>
      </c>
      <c r="E40">
        <v>5</v>
      </c>
      <c r="F40" s="4">
        <f>E40*15000</f>
        <v>75000</v>
      </c>
      <c r="G40" s="4">
        <v>50000</v>
      </c>
      <c r="H40" s="4">
        <v>25000</v>
      </c>
    </row>
    <row r="41" spans="1:8" x14ac:dyDescent="0.25">
      <c r="D41" t="s">
        <v>243</v>
      </c>
      <c r="E41">
        <v>1</v>
      </c>
      <c r="F41" s="4">
        <v>13000</v>
      </c>
      <c r="G41" s="4">
        <v>10000</v>
      </c>
      <c r="H41" s="4">
        <v>3000</v>
      </c>
    </row>
    <row r="42" spans="1:8" x14ac:dyDescent="0.25">
      <c r="C42" t="s">
        <v>24</v>
      </c>
      <c r="D42" t="s">
        <v>243</v>
      </c>
      <c r="E42">
        <v>2</v>
      </c>
      <c r="F42" s="4">
        <v>26000</v>
      </c>
      <c r="G42" s="4">
        <v>20000</v>
      </c>
      <c r="H42" s="4">
        <v>6000</v>
      </c>
    </row>
    <row r="43" spans="1:8" x14ac:dyDescent="0.25">
      <c r="A43" s="142" t="s">
        <v>17</v>
      </c>
      <c r="B43" s="142"/>
      <c r="C43" s="142"/>
      <c r="D43" s="142"/>
      <c r="E43" s="13">
        <f>SUM(E27:E42)</f>
        <v>407</v>
      </c>
      <c r="F43" s="13">
        <f t="shared" ref="F43:H43" si="6">SUM(F27:F42)</f>
        <v>814000</v>
      </c>
      <c r="G43" s="13">
        <f t="shared" si="6"/>
        <v>312500</v>
      </c>
      <c r="H43" s="13">
        <f t="shared" si="6"/>
        <v>501500</v>
      </c>
    </row>
    <row r="44" spans="1:8" x14ac:dyDescent="0.25">
      <c r="A44" t="s">
        <v>22</v>
      </c>
      <c r="B44" s="3">
        <v>45024</v>
      </c>
      <c r="C44" t="s">
        <v>338</v>
      </c>
      <c r="D44" t="s">
        <v>11</v>
      </c>
      <c r="E44">
        <v>75</v>
      </c>
      <c r="F44" s="4">
        <f>E44*1800</f>
        <v>135000</v>
      </c>
      <c r="G44" s="4">
        <f t="shared" ref="G44:G49" si="7">E44*500</f>
        <v>37500</v>
      </c>
      <c r="H44" s="4">
        <f>E44*1300</f>
        <v>97500</v>
      </c>
    </row>
    <row r="45" spans="1:8" x14ac:dyDescent="0.25">
      <c r="C45" t="s">
        <v>306</v>
      </c>
      <c r="D45" t="s">
        <v>11</v>
      </c>
      <c r="E45">
        <f>58-9</f>
        <v>49</v>
      </c>
      <c r="F45" s="4">
        <f>E45*1800</f>
        <v>88200</v>
      </c>
      <c r="G45" s="4">
        <f t="shared" si="7"/>
        <v>24500</v>
      </c>
      <c r="H45" s="4">
        <f>E45*1300</f>
        <v>63700</v>
      </c>
    </row>
    <row r="46" spans="1:8" x14ac:dyDescent="0.25">
      <c r="C46" t="s">
        <v>572</v>
      </c>
      <c r="D46" t="s">
        <v>11</v>
      </c>
      <c r="E46">
        <v>25</v>
      </c>
      <c r="F46" s="4">
        <f>E46*1700</f>
        <v>42500</v>
      </c>
      <c r="G46" s="4">
        <f t="shared" si="7"/>
        <v>12500</v>
      </c>
      <c r="H46" s="4">
        <f>E46*1200</f>
        <v>30000</v>
      </c>
    </row>
    <row r="47" spans="1:8" x14ac:dyDescent="0.25">
      <c r="C47" t="s">
        <v>308</v>
      </c>
      <c r="D47" t="s">
        <v>11</v>
      </c>
      <c r="E47">
        <v>15</v>
      </c>
      <c r="F47" s="4">
        <f>E47*1500</f>
        <v>22500</v>
      </c>
      <c r="G47" s="4">
        <f t="shared" si="7"/>
        <v>7500</v>
      </c>
      <c r="H47" s="4">
        <v>15000</v>
      </c>
    </row>
    <row r="48" spans="1:8" x14ac:dyDescent="0.25">
      <c r="C48" t="s">
        <v>104</v>
      </c>
      <c r="D48" t="s">
        <v>11</v>
      </c>
      <c r="E48">
        <v>55</v>
      </c>
      <c r="F48" s="4">
        <f>E48*1700</f>
        <v>93500</v>
      </c>
      <c r="G48" s="4">
        <f t="shared" si="7"/>
        <v>27500</v>
      </c>
      <c r="H48" s="4">
        <f>E48*1200</f>
        <v>66000</v>
      </c>
    </row>
    <row r="49" spans="1:10" x14ac:dyDescent="0.25">
      <c r="C49" t="s">
        <v>16</v>
      </c>
      <c r="D49" t="s">
        <v>11</v>
      </c>
      <c r="E49">
        <v>60</v>
      </c>
      <c r="F49" s="4">
        <f>E49*1500</f>
        <v>90000</v>
      </c>
      <c r="G49" s="4">
        <f t="shared" si="7"/>
        <v>30000</v>
      </c>
      <c r="H49" s="4">
        <v>60000</v>
      </c>
    </row>
    <row r="50" spans="1:10" x14ac:dyDescent="0.25">
      <c r="D50" t="s">
        <v>12</v>
      </c>
      <c r="E50">
        <v>2</v>
      </c>
      <c r="F50" s="4">
        <f>E50*3000</f>
        <v>6000</v>
      </c>
      <c r="G50" s="4">
        <v>4000</v>
      </c>
      <c r="H50" s="4">
        <v>2000</v>
      </c>
    </row>
    <row r="51" spans="1:10" x14ac:dyDescent="0.25">
      <c r="D51" t="s">
        <v>14</v>
      </c>
      <c r="E51">
        <v>1</v>
      </c>
      <c r="F51" s="4">
        <v>10000</v>
      </c>
      <c r="G51" s="4">
        <v>5500</v>
      </c>
      <c r="H51" s="4">
        <v>4500</v>
      </c>
    </row>
    <row r="52" spans="1:10" x14ac:dyDescent="0.25">
      <c r="D52" t="s">
        <v>243</v>
      </c>
      <c r="E52">
        <v>1</v>
      </c>
      <c r="F52" s="4">
        <v>13000</v>
      </c>
      <c r="G52" s="4">
        <v>10000</v>
      </c>
      <c r="H52" s="4">
        <v>3000</v>
      </c>
    </row>
    <row r="53" spans="1:10" x14ac:dyDescent="0.25">
      <c r="C53" t="s">
        <v>24</v>
      </c>
      <c r="D53" t="s">
        <v>243</v>
      </c>
      <c r="E53">
        <v>1</v>
      </c>
      <c r="F53" s="4">
        <v>13000</v>
      </c>
      <c r="G53" s="4">
        <v>10000</v>
      </c>
      <c r="H53" s="4">
        <v>3000</v>
      </c>
    </row>
    <row r="54" spans="1:10" x14ac:dyDescent="0.25">
      <c r="A54" s="142" t="s">
        <v>17</v>
      </c>
      <c r="B54" s="142"/>
      <c r="C54" s="142"/>
      <c r="D54" s="142"/>
      <c r="E54" s="13">
        <f>SUM(E44:E53)</f>
        <v>284</v>
      </c>
      <c r="F54" s="13">
        <f t="shared" ref="F54:H54" si="8">SUM(F44:F53)</f>
        <v>513700</v>
      </c>
      <c r="G54" s="13">
        <f t="shared" si="8"/>
        <v>169000</v>
      </c>
      <c r="H54" s="13">
        <f t="shared" si="8"/>
        <v>344700</v>
      </c>
    </row>
    <row r="55" spans="1:10" x14ac:dyDescent="0.25">
      <c r="A55" t="s">
        <v>26</v>
      </c>
      <c r="B55" s="3">
        <v>45054</v>
      </c>
      <c r="C55" t="s">
        <v>308</v>
      </c>
      <c r="D55" t="s">
        <v>11</v>
      </c>
      <c r="E55">
        <v>9</v>
      </c>
      <c r="F55" s="4">
        <f>E55*1500</f>
        <v>13500</v>
      </c>
      <c r="G55" s="4">
        <f>E55*500</f>
        <v>4500</v>
      </c>
      <c r="H55" s="4">
        <v>9000</v>
      </c>
    </row>
    <row r="56" spans="1:10" x14ac:dyDescent="0.25">
      <c r="C56" t="s">
        <v>104</v>
      </c>
      <c r="D56" t="s">
        <v>11</v>
      </c>
      <c r="E56">
        <f>75-18</f>
        <v>57</v>
      </c>
      <c r="F56" s="4">
        <f>E56*1700</f>
        <v>96900</v>
      </c>
      <c r="G56" s="4">
        <f>E56*500</f>
        <v>28500</v>
      </c>
      <c r="H56" s="4">
        <f>E56*1200</f>
        <v>68400</v>
      </c>
    </row>
    <row r="57" spans="1:10" x14ac:dyDescent="0.25">
      <c r="C57" t="s">
        <v>16</v>
      </c>
      <c r="D57" t="s">
        <v>11</v>
      </c>
      <c r="E57">
        <v>63</v>
      </c>
      <c r="F57" s="4">
        <f>E57*1500</f>
        <v>94500</v>
      </c>
      <c r="G57" s="4">
        <f>E57*500</f>
        <v>31500</v>
      </c>
      <c r="H57" s="4">
        <v>63000</v>
      </c>
    </row>
    <row r="58" spans="1:10" x14ac:dyDescent="0.25">
      <c r="D58" t="s">
        <v>12</v>
      </c>
      <c r="E58">
        <v>6</v>
      </c>
      <c r="F58" s="4">
        <f>E58*3000</f>
        <v>18000</v>
      </c>
      <c r="G58" s="73" t="str">
        <f>E58&amp;2000</f>
        <v>62000</v>
      </c>
      <c r="H58" s="4">
        <v>6000</v>
      </c>
      <c r="J58" t="s">
        <v>612</v>
      </c>
    </row>
    <row r="59" spans="1:10" x14ac:dyDescent="0.25">
      <c r="D59" t="s">
        <v>13</v>
      </c>
      <c r="E59">
        <v>2</v>
      </c>
      <c r="F59" s="4">
        <f>E59*6500</f>
        <v>13000</v>
      </c>
      <c r="G59" s="73">
        <f>E59*4500</f>
        <v>9000</v>
      </c>
      <c r="H59" s="4">
        <v>4000</v>
      </c>
    </row>
    <row r="60" spans="1:10" x14ac:dyDescent="0.25">
      <c r="D60" t="s">
        <v>14</v>
      </c>
      <c r="E60">
        <v>1</v>
      </c>
      <c r="F60" s="4">
        <v>10000</v>
      </c>
      <c r="G60" s="73">
        <v>5500</v>
      </c>
      <c r="H60" s="4">
        <v>4500</v>
      </c>
    </row>
    <row r="61" spans="1:10" x14ac:dyDescent="0.25">
      <c r="C61" t="s">
        <v>24</v>
      </c>
      <c r="D61" t="s">
        <v>657</v>
      </c>
      <c r="E61">
        <v>2</v>
      </c>
      <c r="F61" s="4">
        <f>E61*17000</f>
        <v>34000</v>
      </c>
      <c r="G61" s="73">
        <f>E61*10000</f>
        <v>20000</v>
      </c>
      <c r="H61" s="4">
        <v>14000</v>
      </c>
    </row>
    <row r="62" spans="1:10" x14ac:dyDescent="0.25">
      <c r="A62" s="143" t="s">
        <v>17</v>
      </c>
      <c r="B62" s="143"/>
      <c r="C62" s="143"/>
      <c r="D62" s="143"/>
      <c r="E62" s="13">
        <f>SUM(E55:E61)</f>
        <v>140</v>
      </c>
      <c r="F62" s="13">
        <f t="shared" ref="F62:H62" si="9">SUM(F55:F61)</f>
        <v>279900</v>
      </c>
      <c r="G62" s="13">
        <f t="shared" si="9"/>
        <v>99000</v>
      </c>
      <c r="H62" s="13">
        <f t="shared" si="9"/>
        <v>168900</v>
      </c>
    </row>
    <row r="63" spans="1:10" x14ac:dyDescent="0.25">
      <c r="A63" t="s">
        <v>28</v>
      </c>
      <c r="B63" s="3">
        <v>45085</v>
      </c>
      <c r="C63" t="s">
        <v>16</v>
      </c>
      <c r="D63" t="s">
        <v>11</v>
      </c>
      <c r="E63">
        <v>70</v>
      </c>
      <c r="F63" s="4">
        <f>E63*1500</f>
        <v>105000</v>
      </c>
      <c r="G63" s="4">
        <f>E63*500</f>
        <v>35000</v>
      </c>
      <c r="H63" s="4">
        <f>E63*1000</f>
        <v>70000</v>
      </c>
    </row>
    <row r="64" spans="1:10" x14ac:dyDescent="0.25">
      <c r="D64" t="s">
        <v>12</v>
      </c>
      <c r="E64">
        <v>3</v>
      </c>
      <c r="F64" s="4">
        <f>E64*3000</f>
        <v>9000</v>
      </c>
      <c r="G64" s="4">
        <v>6000</v>
      </c>
      <c r="H64" s="4">
        <v>3000</v>
      </c>
    </row>
    <row r="65" spans="3:8" x14ac:dyDescent="0.25">
      <c r="D65" t="s">
        <v>13</v>
      </c>
      <c r="E65">
        <v>2</v>
      </c>
      <c r="F65" s="4">
        <f>E65*6500</f>
        <v>13000</v>
      </c>
      <c r="G65" s="4">
        <f>E65*4500</f>
        <v>9000</v>
      </c>
      <c r="H65" s="4">
        <v>4000</v>
      </c>
    </row>
    <row r="66" spans="3:8" x14ac:dyDescent="0.25">
      <c r="D66" t="s">
        <v>243</v>
      </c>
      <c r="E66">
        <v>1</v>
      </c>
      <c r="F66" s="4">
        <v>13000</v>
      </c>
      <c r="G66" s="4">
        <v>10000</v>
      </c>
      <c r="H66" s="4">
        <v>3000</v>
      </c>
    </row>
    <row r="67" spans="3:8" x14ac:dyDescent="0.25">
      <c r="C67" t="s">
        <v>399</v>
      </c>
      <c r="D67" t="s">
        <v>11</v>
      </c>
      <c r="E67">
        <v>7</v>
      </c>
      <c r="F67" s="4">
        <f>E67*2000</f>
        <v>14000</v>
      </c>
      <c r="G67" s="4">
        <f>E67*500</f>
        <v>3500</v>
      </c>
      <c r="H67" s="4">
        <f>E67*1500</f>
        <v>10500</v>
      </c>
    </row>
    <row r="68" spans="3:8" x14ac:dyDescent="0.25">
      <c r="D68" t="s">
        <v>13</v>
      </c>
      <c r="E68">
        <v>32</v>
      </c>
      <c r="F68" s="4">
        <f>E68*7000</f>
        <v>224000</v>
      </c>
      <c r="G68" s="4">
        <f>E68*4500</f>
        <v>144000</v>
      </c>
      <c r="H68" s="4">
        <f>E68*2500</f>
        <v>80000</v>
      </c>
    </row>
    <row r="69" spans="3:8" x14ac:dyDescent="0.25">
      <c r="D69" t="s">
        <v>14</v>
      </c>
      <c r="E69">
        <v>27</v>
      </c>
      <c r="F69" s="4">
        <f>E69*10000</f>
        <v>270000</v>
      </c>
      <c r="G69" s="4">
        <f>E69*5500</f>
        <v>148500</v>
      </c>
      <c r="H69" s="4">
        <f>E69*4500</f>
        <v>121500</v>
      </c>
    </row>
    <row r="70" spans="3:8" x14ac:dyDescent="0.25">
      <c r="D70" t="s">
        <v>437</v>
      </c>
      <c r="E70">
        <v>1</v>
      </c>
      <c r="F70" s="4">
        <v>5000</v>
      </c>
      <c r="G70" s="4">
        <v>2500</v>
      </c>
      <c r="H70" s="4">
        <v>2500</v>
      </c>
    </row>
    <row r="71" spans="3:8" x14ac:dyDescent="0.25">
      <c r="D71" t="s">
        <v>439</v>
      </c>
      <c r="E71">
        <v>1</v>
      </c>
      <c r="F71" s="4">
        <v>7000</v>
      </c>
      <c r="G71" s="4">
        <v>2000</v>
      </c>
      <c r="H71" s="4">
        <v>5000</v>
      </c>
    </row>
    <row r="72" spans="3:8" x14ac:dyDescent="0.25">
      <c r="D72" t="s">
        <v>243</v>
      </c>
      <c r="E72">
        <v>1</v>
      </c>
      <c r="F72" s="4">
        <v>13000</v>
      </c>
      <c r="G72" s="4">
        <v>10000</v>
      </c>
      <c r="H72" s="4">
        <v>3000</v>
      </c>
    </row>
    <row r="73" spans="3:8" x14ac:dyDescent="0.25">
      <c r="D73" t="s">
        <v>404</v>
      </c>
      <c r="E73">
        <v>2</v>
      </c>
      <c r="F73" s="4">
        <v>4000</v>
      </c>
      <c r="G73" s="4">
        <v>2000</v>
      </c>
      <c r="H73" s="4">
        <v>2000</v>
      </c>
    </row>
    <row r="74" spans="3:8" x14ac:dyDescent="0.25">
      <c r="C74" t="s">
        <v>217</v>
      </c>
      <c r="D74" t="s">
        <v>11</v>
      </c>
      <c r="E74">
        <v>12</v>
      </c>
      <c r="F74" s="4">
        <f>E74*1500</f>
        <v>18000</v>
      </c>
      <c r="G74" s="4">
        <f>E74*500</f>
        <v>6000</v>
      </c>
      <c r="H74" s="4">
        <v>12000</v>
      </c>
    </row>
    <row r="75" spans="3:8" x14ac:dyDescent="0.25">
      <c r="D75" t="s">
        <v>13</v>
      </c>
      <c r="E75">
        <v>8</v>
      </c>
      <c r="F75" s="4">
        <f>E75*6500</f>
        <v>52000</v>
      </c>
      <c r="G75" s="4">
        <f>E75*4500</f>
        <v>36000</v>
      </c>
      <c r="H75" s="4">
        <f>E75*2000</f>
        <v>16000</v>
      </c>
    </row>
    <row r="76" spans="3:8" x14ac:dyDescent="0.25">
      <c r="D76" t="s">
        <v>14</v>
      </c>
      <c r="E76">
        <v>1</v>
      </c>
      <c r="F76" s="4">
        <v>10000</v>
      </c>
      <c r="G76" s="4">
        <v>5500</v>
      </c>
      <c r="H76" s="4">
        <v>4500</v>
      </c>
    </row>
    <row r="77" spans="3:8" x14ac:dyDescent="0.25">
      <c r="D77" t="s">
        <v>404</v>
      </c>
      <c r="E77">
        <v>1</v>
      </c>
      <c r="F77" s="4">
        <v>2000</v>
      </c>
      <c r="G77" s="4">
        <v>1000</v>
      </c>
      <c r="H77" s="4">
        <v>1000</v>
      </c>
    </row>
    <row r="78" spans="3:8" x14ac:dyDescent="0.25">
      <c r="C78" t="s">
        <v>24</v>
      </c>
      <c r="D78" t="s">
        <v>243</v>
      </c>
      <c r="E78">
        <v>5</v>
      </c>
      <c r="F78" s="4">
        <f>E78*13000</f>
        <v>65000</v>
      </c>
      <c r="G78" s="4">
        <f>E78*10000</f>
        <v>50000</v>
      </c>
      <c r="H78" s="4">
        <v>15000</v>
      </c>
    </row>
    <row r="79" spans="3:8" x14ac:dyDescent="0.25">
      <c r="C79" t="s">
        <v>217</v>
      </c>
      <c r="D79" t="s">
        <v>11</v>
      </c>
      <c r="E79">
        <v>6</v>
      </c>
      <c r="F79" s="4">
        <f>E79*1500</f>
        <v>9000</v>
      </c>
      <c r="G79" s="4">
        <f>E79*500</f>
        <v>3000</v>
      </c>
      <c r="H79" s="4">
        <v>6000</v>
      </c>
    </row>
    <row r="80" spans="3:8" x14ac:dyDescent="0.25">
      <c r="D80" t="s">
        <v>13</v>
      </c>
      <c r="E80">
        <v>3</v>
      </c>
      <c r="F80" s="4">
        <f>E80*6500</f>
        <v>19500</v>
      </c>
      <c r="G80" s="4">
        <f>E80*4500</f>
        <v>13500</v>
      </c>
      <c r="H80" s="4">
        <v>6000</v>
      </c>
    </row>
    <row r="81" spans="1:8" x14ac:dyDescent="0.25">
      <c r="D81" t="s">
        <v>14</v>
      </c>
      <c r="E81">
        <v>2</v>
      </c>
      <c r="F81" s="4">
        <f>E81*10000</f>
        <v>20000</v>
      </c>
      <c r="G81" s="4">
        <f>E81*5500</f>
        <v>11000</v>
      </c>
      <c r="H81" s="4">
        <f>E81*4500</f>
        <v>9000</v>
      </c>
    </row>
    <row r="82" spans="1:8" x14ac:dyDescent="0.25">
      <c r="D82" t="s">
        <v>404</v>
      </c>
      <c r="E82">
        <v>1</v>
      </c>
      <c r="F82" s="4">
        <v>2000</v>
      </c>
      <c r="G82" s="4">
        <v>1000</v>
      </c>
      <c r="H82" s="4">
        <v>1000</v>
      </c>
    </row>
    <row r="83" spans="1:8" x14ac:dyDescent="0.25">
      <c r="C83" t="s">
        <v>217</v>
      </c>
      <c r="D83" t="s">
        <v>11</v>
      </c>
      <c r="E83">
        <f>25+8+12+20</f>
        <v>65</v>
      </c>
      <c r="F83" s="4">
        <f>E83*1500</f>
        <v>97500</v>
      </c>
      <c r="G83" s="4">
        <f>E83*500</f>
        <v>32500</v>
      </c>
      <c r="H83" s="4">
        <f>E83*1000</f>
        <v>65000</v>
      </c>
    </row>
    <row r="84" spans="1:8" x14ac:dyDescent="0.25">
      <c r="D84" t="s">
        <v>13</v>
      </c>
      <c r="E84">
        <v>14</v>
      </c>
      <c r="F84" s="4">
        <f>E84*6500</f>
        <v>91000</v>
      </c>
      <c r="G84" s="4">
        <f>E84*4500</f>
        <v>63000</v>
      </c>
      <c r="H84" s="4">
        <f>E84*2000</f>
        <v>28000</v>
      </c>
    </row>
    <row r="85" spans="1:8" x14ac:dyDescent="0.25">
      <c r="D85" t="s">
        <v>14</v>
      </c>
      <c r="E85">
        <v>8</v>
      </c>
      <c r="F85" s="4">
        <f>E85*10000</f>
        <v>80000</v>
      </c>
      <c r="G85" s="4">
        <f>E85*5500</f>
        <v>44000</v>
      </c>
      <c r="H85" s="4">
        <f>E85*4500</f>
        <v>36000</v>
      </c>
    </row>
    <row r="86" spans="1:8" x14ac:dyDescent="0.25">
      <c r="D86" t="s">
        <v>404</v>
      </c>
      <c r="E86">
        <v>1</v>
      </c>
      <c r="F86" s="4">
        <v>2000</v>
      </c>
      <c r="G86" s="4">
        <v>1000</v>
      </c>
      <c r="H86" s="4">
        <v>1000</v>
      </c>
    </row>
    <row r="87" spans="1:8" x14ac:dyDescent="0.25">
      <c r="D87" t="s">
        <v>415</v>
      </c>
      <c r="E87">
        <v>1</v>
      </c>
      <c r="F87" s="4">
        <v>5000</v>
      </c>
      <c r="G87" s="4">
        <v>2500</v>
      </c>
      <c r="H87" s="4">
        <v>2500</v>
      </c>
    </row>
    <row r="88" spans="1:8" x14ac:dyDescent="0.25">
      <c r="D88" t="s">
        <v>441</v>
      </c>
      <c r="E88">
        <v>1</v>
      </c>
      <c r="F88" s="4">
        <v>3000</v>
      </c>
      <c r="G88" s="4">
        <v>1500</v>
      </c>
      <c r="H88" s="4">
        <v>1500</v>
      </c>
    </row>
    <row r="89" spans="1:8" x14ac:dyDescent="0.25">
      <c r="A89" s="142" t="s">
        <v>17</v>
      </c>
      <c r="B89" s="142"/>
      <c r="C89" s="142"/>
      <c r="D89" s="142"/>
      <c r="E89" s="13">
        <f>SUM(E63:E88)</f>
        <v>276</v>
      </c>
      <c r="F89" s="13">
        <f t="shared" ref="F89:H89" si="10">SUM(F63:F88)</f>
        <v>1153000</v>
      </c>
      <c r="G89" s="13">
        <f t="shared" si="10"/>
        <v>644000</v>
      </c>
      <c r="H89" s="13">
        <f t="shared" si="10"/>
        <v>509000</v>
      </c>
    </row>
    <row r="90" spans="1:8" x14ac:dyDescent="0.25">
      <c r="A90" t="s">
        <v>30</v>
      </c>
      <c r="B90" s="3">
        <v>45115</v>
      </c>
      <c r="C90" t="s">
        <v>338</v>
      </c>
      <c r="D90" t="s">
        <v>11</v>
      </c>
      <c r="E90">
        <v>75</v>
      </c>
      <c r="F90" s="4">
        <f>E90*1800</f>
        <v>135000</v>
      </c>
      <c r="G90" s="4">
        <f t="shared" ref="G90:G96" si="11">E90*500</f>
        <v>37500</v>
      </c>
      <c r="H90" s="4">
        <f>E90*1300</f>
        <v>97500</v>
      </c>
    </row>
    <row r="91" spans="1:8" x14ac:dyDescent="0.25">
      <c r="C91" t="s">
        <v>306</v>
      </c>
      <c r="D91" t="s">
        <v>11</v>
      </c>
      <c r="E91">
        <v>42</v>
      </c>
      <c r="F91" s="4">
        <f>E91*1800</f>
        <v>75600</v>
      </c>
      <c r="G91" s="4">
        <f t="shared" si="11"/>
        <v>21000</v>
      </c>
      <c r="H91" s="4">
        <f>E91*1300</f>
        <v>54600</v>
      </c>
    </row>
    <row r="92" spans="1:8" x14ac:dyDescent="0.25">
      <c r="C92" t="s">
        <v>572</v>
      </c>
      <c r="D92" t="s">
        <v>11</v>
      </c>
      <c r="E92">
        <v>40</v>
      </c>
      <c r="F92" s="4">
        <f>E92*1700</f>
        <v>68000</v>
      </c>
      <c r="G92" s="4">
        <f t="shared" si="11"/>
        <v>20000</v>
      </c>
      <c r="H92" s="4">
        <f>E92*1200</f>
        <v>48000</v>
      </c>
    </row>
    <row r="93" spans="1:8" x14ac:dyDescent="0.25">
      <c r="C93" t="s">
        <v>571</v>
      </c>
      <c r="D93" t="s">
        <v>11</v>
      </c>
      <c r="E93">
        <v>40</v>
      </c>
      <c r="F93" s="4">
        <f>E93*1700</f>
        <v>68000</v>
      </c>
      <c r="G93" s="4">
        <f t="shared" si="11"/>
        <v>20000</v>
      </c>
      <c r="H93" s="4">
        <f>E93*1200</f>
        <v>48000</v>
      </c>
    </row>
    <row r="94" spans="1:8" x14ac:dyDescent="0.25">
      <c r="C94" t="s">
        <v>209</v>
      </c>
      <c r="D94" t="s">
        <v>11</v>
      </c>
      <c r="E94">
        <v>30</v>
      </c>
      <c r="F94" s="4">
        <f>E94*1500</f>
        <v>45000</v>
      </c>
      <c r="G94" s="4">
        <f t="shared" si="11"/>
        <v>15000</v>
      </c>
      <c r="H94" s="4">
        <f>E94*1000</f>
        <v>30000</v>
      </c>
    </row>
    <row r="95" spans="1:8" x14ac:dyDescent="0.25">
      <c r="C95" t="s">
        <v>104</v>
      </c>
      <c r="D95" t="s">
        <v>11</v>
      </c>
      <c r="E95">
        <v>65</v>
      </c>
      <c r="F95" s="4">
        <f>E95*1700</f>
        <v>110500</v>
      </c>
      <c r="G95" s="4">
        <f t="shared" si="11"/>
        <v>32500</v>
      </c>
      <c r="H95" s="4">
        <f>E95*1200</f>
        <v>78000</v>
      </c>
    </row>
    <row r="96" spans="1:8" x14ac:dyDescent="0.25">
      <c r="C96" t="s">
        <v>217</v>
      </c>
      <c r="D96" t="s">
        <v>11</v>
      </c>
      <c r="E96">
        <v>28</v>
      </c>
      <c r="F96" s="4">
        <f>E96*1500</f>
        <v>42000</v>
      </c>
      <c r="G96" s="4">
        <f t="shared" si="11"/>
        <v>14000</v>
      </c>
      <c r="H96" s="4">
        <v>28000</v>
      </c>
    </row>
    <row r="97" spans="1:8" x14ac:dyDescent="0.25">
      <c r="D97" t="s">
        <v>13</v>
      </c>
      <c r="E97">
        <v>7</v>
      </c>
      <c r="F97" s="4">
        <f>E97*6500</f>
        <v>45500</v>
      </c>
      <c r="G97" s="4">
        <f>E97*4500</f>
        <v>31500</v>
      </c>
      <c r="H97" s="4">
        <f>E97*2000</f>
        <v>14000</v>
      </c>
    </row>
    <row r="98" spans="1:8" x14ac:dyDescent="0.25">
      <c r="D98" t="s">
        <v>14</v>
      </c>
      <c r="E98">
        <v>4</v>
      </c>
      <c r="F98" s="4">
        <f>E98*10000</f>
        <v>40000</v>
      </c>
      <c r="G98" s="4">
        <f>E98*5500</f>
        <v>22000</v>
      </c>
      <c r="H98" s="4">
        <f>E98*4500</f>
        <v>18000</v>
      </c>
    </row>
    <row r="99" spans="1:8" x14ac:dyDescent="0.25">
      <c r="D99" t="s">
        <v>415</v>
      </c>
      <c r="E99">
        <v>2</v>
      </c>
      <c r="F99" s="4">
        <f>E99*5000</f>
        <v>10000</v>
      </c>
      <c r="G99" s="4">
        <v>5000</v>
      </c>
      <c r="H99" s="4">
        <v>5000</v>
      </c>
    </row>
    <row r="100" spans="1:8" x14ac:dyDescent="0.25">
      <c r="C100" t="s">
        <v>16</v>
      </c>
      <c r="D100" t="s">
        <v>11</v>
      </c>
      <c r="E100">
        <v>54</v>
      </c>
      <c r="F100" s="4">
        <f>E100*1500</f>
        <v>81000</v>
      </c>
      <c r="G100" s="4">
        <f>E100*500</f>
        <v>27000</v>
      </c>
      <c r="H100" s="4">
        <v>54000</v>
      </c>
    </row>
    <row r="101" spans="1:8" x14ac:dyDescent="0.25">
      <c r="D101" t="s">
        <v>12</v>
      </c>
      <c r="E101">
        <v>3</v>
      </c>
      <c r="F101" s="4">
        <f>E101*3000</f>
        <v>9000</v>
      </c>
      <c r="G101" s="4">
        <v>6000</v>
      </c>
      <c r="H101" s="4">
        <v>3000</v>
      </c>
    </row>
    <row r="102" spans="1:8" x14ac:dyDescent="0.25">
      <c r="D102" t="s">
        <v>14</v>
      </c>
      <c r="E102">
        <v>1</v>
      </c>
      <c r="F102" s="4">
        <v>10000</v>
      </c>
      <c r="G102" s="4">
        <v>5500</v>
      </c>
      <c r="H102" s="4">
        <v>4500</v>
      </c>
    </row>
    <row r="103" spans="1:8" x14ac:dyDescent="0.25">
      <c r="C103" t="s">
        <v>581</v>
      </c>
      <c r="D103" t="s">
        <v>11</v>
      </c>
      <c r="E103">
        <v>55</v>
      </c>
      <c r="F103" s="4">
        <f>E103*1500</f>
        <v>82500</v>
      </c>
      <c r="G103" s="4">
        <f>E103*500</f>
        <v>27500</v>
      </c>
      <c r="H103" s="4">
        <f>E103*1000</f>
        <v>55000</v>
      </c>
    </row>
    <row r="104" spans="1:8" x14ac:dyDescent="0.25">
      <c r="C104" t="s">
        <v>581</v>
      </c>
      <c r="D104" t="s">
        <v>11</v>
      </c>
      <c r="E104">
        <v>43</v>
      </c>
      <c r="F104" s="4">
        <f t="shared" ref="F104:F108" si="12">E104*1500</f>
        <v>64500</v>
      </c>
      <c r="G104" s="4">
        <f t="shared" ref="G104:G108" si="13">E104*500</f>
        <v>21500</v>
      </c>
      <c r="H104" s="4">
        <f t="shared" ref="H104:H108" si="14">E104*1000</f>
        <v>43000</v>
      </c>
    </row>
    <row r="105" spans="1:8" x14ac:dyDescent="0.25">
      <c r="C105" t="s">
        <v>581</v>
      </c>
      <c r="D105" t="s">
        <v>11</v>
      </c>
      <c r="E105">
        <v>34</v>
      </c>
      <c r="F105" s="4">
        <f t="shared" si="12"/>
        <v>51000</v>
      </c>
      <c r="G105" s="4">
        <f t="shared" si="13"/>
        <v>17000</v>
      </c>
      <c r="H105" s="4">
        <f t="shared" si="14"/>
        <v>34000</v>
      </c>
    </row>
    <row r="106" spans="1:8" x14ac:dyDescent="0.25">
      <c r="C106" t="s">
        <v>581</v>
      </c>
      <c r="D106" t="s">
        <v>11</v>
      </c>
      <c r="E106">
        <v>30</v>
      </c>
      <c r="F106" s="4">
        <f t="shared" si="12"/>
        <v>45000</v>
      </c>
      <c r="G106" s="4">
        <f t="shared" si="13"/>
        <v>15000</v>
      </c>
      <c r="H106" s="4">
        <f t="shared" si="14"/>
        <v>30000</v>
      </c>
    </row>
    <row r="107" spans="1:8" x14ac:dyDescent="0.25">
      <c r="C107" t="s">
        <v>581</v>
      </c>
      <c r="D107" t="s">
        <v>11</v>
      </c>
      <c r="E107">
        <v>47</v>
      </c>
      <c r="F107" s="4">
        <f t="shared" si="12"/>
        <v>70500</v>
      </c>
      <c r="G107" s="4">
        <f t="shared" si="13"/>
        <v>23500</v>
      </c>
      <c r="H107" s="4">
        <f t="shared" si="14"/>
        <v>47000</v>
      </c>
    </row>
    <row r="108" spans="1:8" x14ac:dyDescent="0.25">
      <c r="C108" t="s">
        <v>581</v>
      </c>
      <c r="D108" t="s">
        <v>11</v>
      </c>
      <c r="E108">
        <v>68</v>
      </c>
      <c r="F108" s="4">
        <f t="shared" si="12"/>
        <v>102000</v>
      </c>
      <c r="G108" s="4">
        <f t="shared" si="13"/>
        <v>34000</v>
      </c>
      <c r="H108" s="4">
        <f t="shared" si="14"/>
        <v>68000</v>
      </c>
    </row>
    <row r="109" spans="1:8" x14ac:dyDescent="0.25">
      <c r="A109" s="142" t="s">
        <v>17</v>
      </c>
      <c r="B109" s="142"/>
      <c r="C109" s="142"/>
      <c r="D109" s="142"/>
      <c r="E109" s="13">
        <f>SUM(E90:E108)</f>
        <v>668</v>
      </c>
      <c r="F109" s="13">
        <f>SUM(F90:F108)</f>
        <v>1155100</v>
      </c>
      <c r="G109" s="13">
        <f>SUM(G90:G108)</f>
        <v>395500</v>
      </c>
      <c r="H109" s="13">
        <f>SUM(H90:H108)</f>
        <v>759600</v>
      </c>
    </row>
    <row r="110" spans="1:8" x14ac:dyDescent="0.25">
      <c r="A110" t="s">
        <v>32</v>
      </c>
      <c r="B110" s="3">
        <v>45146</v>
      </c>
      <c r="C110" t="s">
        <v>338</v>
      </c>
      <c r="D110" t="s">
        <v>11</v>
      </c>
      <c r="E110">
        <v>69</v>
      </c>
      <c r="F110" s="4">
        <f>E110*1800</f>
        <v>124200</v>
      </c>
      <c r="G110" s="4">
        <f>E110*500</f>
        <v>34500</v>
      </c>
      <c r="H110" s="4">
        <f>E110*1300</f>
        <v>89700</v>
      </c>
    </row>
    <row r="111" spans="1:8" x14ac:dyDescent="0.25">
      <c r="C111" t="s">
        <v>306</v>
      </c>
      <c r="D111" t="s">
        <v>11</v>
      </c>
      <c r="E111">
        <v>40</v>
      </c>
      <c r="F111" s="4">
        <f>E111*1800</f>
        <v>72000</v>
      </c>
      <c r="G111" s="4">
        <f>E111*500</f>
        <v>20000</v>
      </c>
      <c r="H111" s="4">
        <f>E111*1300</f>
        <v>52000</v>
      </c>
    </row>
    <row r="112" spans="1:8" x14ac:dyDescent="0.25">
      <c r="C112" t="s">
        <v>572</v>
      </c>
      <c r="D112" t="s">
        <v>11</v>
      </c>
      <c r="E112">
        <v>28</v>
      </c>
      <c r="F112" s="4">
        <f>E112*1700</f>
        <v>47600</v>
      </c>
      <c r="G112" s="4">
        <f>E112*500</f>
        <v>14000</v>
      </c>
      <c r="H112" s="4">
        <f>E112*1200</f>
        <v>33600</v>
      </c>
    </row>
    <row r="113" spans="1:8" x14ac:dyDescent="0.25">
      <c r="C113" t="s">
        <v>16</v>
      </c>
      <c r="D113" t="s">
        <v>11</v>
      </c>
      <c r="E113">
        <v>33</v>
      </c>
      <c r="F113" s="4">
        <f>E113*1500</f>
        <v>49500</v>
      </c>
      <c r="G113" s="4">
        <f>E113*500</f>
        <v>16500</v>
      </c>
      <c r="H113" s="4">
        <f>E113*1000</f>
        <v>33000</v>
      </c>
    </row>
    <row r="114" spans="1:8" x14ac:dyDescent="0.25">
      <c r="D114" t="s">
        <v>12</v>
      </c>
      <c r="E114">
        <v>5</v>
      </c>
      <c r="F114" s="4">
        <f>E114*3000</f>
        <v>15000</v>
      </c>
      <c r="G114" s="4">
        <f>E114*2000</f>
        <v>10000</v>
      </c>
      <c r="H114" s="4">
        <v>5000</v>
      </c>
    </row>
    <row r="115" spans="1:8" x14ac:dyDescent="0.25">
      <c r="C115" t="s">
        <v>217</v>
      </c>
      <c r="D115" t="s">
        <v>11</v>
      </c>
      <c r="E115">
        <v>30</v>
      </c>
      <c r="F115" s="4">
        <f>E115*1500</f>
        <v>45000</v>
      </c>
      <c r="G115" s="4">
        <f>E115*500</f>
        <v>15000</v>
      </c>
      <c r="H115" s="4">
        <v>30000</v>
      </c>
    </row>
    <row r="116" spans="1:8" x14ac:dyDescent="0.25">
      <c r="D116" t="s">
        <v>13</v>
      </c>
      <c r="E116">
        <v>6</v>
      </c>
      <c r="F116" s="4">
        <f>E116*6500</f>
        <v>39000</v>
      </c>
      <c r="G116" s="4">
        <f>E116*4500</f>
        <v>27000</v>
      </c>
      <c r="H116" s="4">
        <f>E116*2000</f>
        <v>12000</v>
      </c>
    </row>
    <row r="117" spans="1:8" x14ac:dyDescent="0.25">
      <c r="D117" t="s">
        <v>14</v>
      </c>
      <c r="E117">
        <v>4</v>
      </c>
      <c r="F117" s="4">
        <f>E117*10000</f>
        <v>40000</v>
      </c>
      <c r="G117" s="4">
        <f>E117*5500</f>
        <v>22000</v>
      </c>
      <c r="H117" s="4">
        <f>E117*4500</f>
        <v>18000</v>
      </c>
    </row>
    <row r="118" spans="1:8" x14ac:dyDescent="0.25">
      <c r="D118" t="s">
        <v>437</v>
      </c>
      <c r="E118">
        <v>2</v>
      </c>
      <c r="F118" s="4">
        <f>E118*5000</f>
        <v>10000</v>
      </c>
      <c r="G118" s="4">
        <v>5000</v>
      </c>
      <c r="H118" s="4">
        <v>5000</v>
      </c>
    </row>
    <row r="119" spans="1:8" x14ac:dyDescent="0.25">
      <c r="C119" t="s">
        <v>24</v>
      </c>
      <c r="D119" t="s">
        <v>243</v>
      </c>
      <c r="E119">
        <v>5</v>
      </c>
      <c r="F119" s="4">
        <f>E119*13000</f>
        <v>65000</v>
      </c>
      <c r="G119" s="4">
        <f>E119*10000</f>
        <v>50000</v>
      </c>
      <c r="H119" s="4">
        <f>E119*3000</f>
        <v>15000</v>
      </c>
    </row>
    <row r="120" spans="1:8" x14ac:dyDescent="0.25">
      <c r="C120" t="s">
        <v>24</v>
      </c>
      <c r="D120" t="s">
        <v>243</v>
      </c>
      <c r="E120">
        <v>2</v>
      </c>
      <c r="F120" s="4">
        <v>13000</v>
      </c>
      <c r="G120" s="4">
        <v>10000</v>
      </c>
      <c r="H120" s="4">
        <v>5000</v>
      </c>
    </row>
    <row r="121" spans="1:8" x14ac:dyDescent="0.25">
      <c r="C121" t="s">
        <v>24</v>
      </c>
      <c r="D121" t="s">
        <v>652</v>
      </c>
      <c r="E121">
        <v>1</v>
      </c>
      <c r="F121" s="4">
        <v>17000</v>
      </c>
      <c r="G121" s="4">
        <v>10000</v>
      </c>
      <c r="H121" s="4">
        <v>7000</v>
      </c>
    </row>
    <row r="122" spans="1:8" x14ac:dyDescent="0.25">
      <c r="A122" s="142" t="s">
        <v>17</v>
      </c>
      <c r="B122" s="142"/>
      <c r="C122" s="142"/>
      <c r="D122" s="142"/>
      <c r="E122" s="13">
        <f>SUM(E110:E121)</f>
        <v>225</v>
      </c>
      <c r="F122" s="13">
        <f t="shared" ref="F122:H122" si="15">SUM(F110:F121)</f>
        <v>537300</v>
      </c>
      <c r="G122" s="13">
        <f t="shared" si="15"/>
        <v>234000</v>
      </c>
      <c r="H122" s="13">
        <f t="shared" si="15"/>
        <v>305300</v>
      </c>
    </row>
    <row r="123" spans="1:8" x14ac:dyDescent="0.25">
      <c r="A123" t="s">
        <v>8</v>
      </c>
      <c r="B123" s="3">
        <v>45177</v>
      </c>
      <c r="C123" t="s">
        <v>338</v>
      </c>
      <c r="D123" t="s">
        <v>11</v>
      </c>
      <c r="E123">
        <v>72</v>
      </c>
      <c r="F123" s="4">
        <f>E123*1800</f>
        <v>129600</v>
      </c>
      <c r="G123" s="4">
        <f t="shared" ref="G123:G132" si="16">E123*500</f>
        <v>36000</v>
      </c>
      <c r="H123" s="4">
        <f>E123*1300</f>
        <v>93600</v>
      </c>
    </row>
    <row r="124" spans="1:8" x14ac:dyDescent="0.25">
      <c r="C124" t="s">
        <v>646</v>
      </c>
      <c r="D124" t="s">
        <v>11</v>
      </c>
      <c r="E124">
        <v>250</v>
      </c>
      <c r="F124" s="4">
        <f>E124*1500</f>
        <v>375000</v>
      </c>
      <c r="G124" s="4">
        <f t="shared" si="16"/>
        <v>125000</v>
      </c>
      <c r="H124" s="4">
        <f>E124*1000</f>
        <v>250000</v>
      </c>
    </row>
    <row r="125" spans="1:8" x14ac:dyDescent="0.25">
      <c r="C125" t="s">
        <v>646</v>
      </c>
      <c r="D125" t="s">
        <v>11</v>
      </c>
      <c r="E125">
        <v>45</v>
      </c>
      <c r="F125" s="4">
        <f>E125*1500</f>
        <v>67500</v>
      </c>
      <c r="G125" s="4">
        <f t="shared" si="16"/>
        <v>22500</v>
      </c>
      <c r="H125" s="4">
        <v>45000</v>
      </c>
    </row>
    <row r="126" spans="1:8" x14ac:dyDescent="0.25">
      <c r="C126" t="s">
        <v>306</v>
      </c>
      <c r="D126" t="s">
        <v>11</v>
      </c>
      <c r="E126">
        <v>42</v>
      </c>
      <c r="F126" s="4">
        <f>E126*1800</f>
        <v>75600</v>
      </c>
      <c r="G126" s="4">
        <f t="shared" si="16"/>
        <v>21000</v>
      </c>
      <c r="H126" s="4">
        <f>E126*1300</f>
        <v>54600</v>
      </c>
    </row>
    <row r="127" spans="1:8" x14ac:dyDescent="0.25">
      <c r="C127" t="s">
        <v>572</v>
      </c>
      <c r="D127" t="s">
        <v>11</v>
      </c>
      <c r="E127">
        <v>23</v>
      </c>
      <c r="F127" s="4">
        <f>E127*1700</f>
        <v>39100</v>
      </c>
      <c r="G127" s="4">
        <f t="shared" si="16"/>
        <v>11500</v>
      </c>
      <c r="H127" s="4">
        <f>E127*1200</f>
        <v>27600</v>
      </c>
    </row>
    <row r="128" spans="1:8" x14ac:dyDescent="0.25">
      <c r="C128" t="s">
        <v>571</v>
      </c>
      <c r="D128" t="s">
        <v>11</v>
      </c>
      <c r="E128">
        <v>28</v>
      </c>
      <c r="F128" s="4">
        <f>E128*1700</f>
        <v>47600</v>
      </c>
      <c r="G128" s="4">
        <f t="shared" si="16"/>
        <v>14000</v>
      </c>
      <c r="H128" s="4">
        <f>E128*1200</f>
        <v>33600</v>
      </c>
    </row>
    <row r="129" spans="1:8" x14ac:dyDescent="0.25">
      <c r="C129" t="s">
        <v>209</v>
      </c>
      <c r="D129" t="s">
        <v>11</v>
      </c>
      <c r="E129">
        <v>11</v>
      </c>
      <c r="F129" s="4">
        <f>E129*1500</f>
        <v>16500</v>
      </c>
      <c r="G129" s="4">
        <f t="shared" si="16"/>
        <v>5500</v>
      </c>
      <c r="H129" s="4">
        <f>E129*1000</f>
        <v>11000</v>
      </c>
    </row>
    <row r="130" spans="1:8" x14ac:dyDescent="0.25">
      <c r="C130" t="s">
        <v>104</v>
      </c>
      <c r="D130" t="s">
        <v>11</v>
      </c>
      <c r="E130">
        <v>47</v>
      </c>
      <c r="F130" s="4">
        <f>E130*1700</f>
        <v>79900</v>
      </c>
      <c r="G130" s="4">
        <f t="shared" si="16"/>
        <v>23500</v>
      </c>
      <c r="H130" s="4">
        <f>E130*1200</f>
        <v>56400</v>
      </c>
    </row>
    <row r="131" spans="1:8" x14ac:dyDescent="0.25">
      <c r="C131" t="s">
        <v>104</v>
      </c>
      <c r="D131" t="s">
        <v>11</v>
      </c>
      <c r="E131">
        <f>75-12</f>
        <v>63</v>
      </c>
      <c r="F131" s="4">
        <f>E131*1700</f>
        <v>107100</v>
      </c>
      <c r="G131" s="4">
        <f t="shared" si="16"/>
        <v>31500</v>
      </c>
      <c r="H131" s="4">
        <f>E131*1200</f>
        <v>75600</v>
      </c>
    </row>
    <row r="132" spans="1:8" x14ac:dyDescent="0.25">
      <c r="C132" t="s">
        <v>16</v>
      </c>
      <c r="D132" t="s">
        <v>11</v>
      </c>
      <c r="E132">
        <v>70</v>
      </c>
      <c r="F132" s="4">
        <f>E132*1500</f>
        <v>105000</v>
      </c>
      <c r="G132" s="4">
        <f t="shared" si="16"/>
        <v>35000</v>
      </c>
      <c r="H132" s="4">
        <v>70000</v>
      </c>
    </row>
    <row r="133" spans="1:8" x14ac:dyDescent="0.25">
      <c r="D133" t="s">
        <v>12</v>
      </c>
      <c r="E133">
        <v>8</v>
      </c>
      <c r="F133" s="4">
        <f>E133*3000</f>
        <v>24000</v>
      </c>
      <c r="G133" s="4">
        <f>E133*2000</f>
        <v>16000</v>
      </c>
      <c r="H133" s="4">
        <v>8000</v>
      </c>
    </row>
    <row r="134" spans="1:8" x14ac:dyDescent="0.25">
      <c r="C134" t="s">
        <v>24</v>
      </c>
      <c r="D134" t="s">
        <v>243</v>
      </c>
      <c r="E134">
        <v>11</v>
      </c>
      <c r="F134" s="4">
        <f>E134*15000</f>
        <v>165000</v>
      </c>
      <c r="G134" s="4">
        <f>E134*10000</f>
        <v>110000</v>
      </c>
      <c r="H134" s="4">
        <f>E134*5000</f>
        <v>55000</v>
      </c>
    </row>
    <row r="135" spans="1:8" x14ac:dyDescent="0.25">
      <c r="C135" t="s">
        <v>127</v>
      </c>
      <c r="D135" t="s">
        <v>21</v>
      </c>
      <c r="E135">
        <v>5</v>
      </c>
      <c r="F135" s="4">
        <f>E135*15000</f>
        <v>75000</v>
      </c>
      <c r="G135" s="4">
        <v>50000</v>
      </c>
      <c r="H135" s="4">
        <v>25000</v>
      </c>
    </row>
    <row r="136" spans="1:8" x14ac:dyDescent="0.25">
      <c r="D136" t="s">
        <v>243</v>
      </c>
      <c r="E136">
        <v>1</v>
      </c>
      <c r="F136" s="4">
        <v>15000</v>
      </c>
      <c r="G136" s="4">
        <v>10000</v>
      </c>
      <c r="H136" s="4">
        <v>5000</v>
      </c>
    </row>
    <row r="137" spans="1:8" x14ac:dyDescent="0.25">
      <c r="C137" t="s">
        <v>24</v>
      </c>
      <c r="D137" t="s">
        <v>243</v>
      </c>
      <c r="E137">
        <v>2</v>
      </c>
      <c r="F137" s="4">
        <f>E137*15000</f>
        <v>30000</v>
      </c>
      <c r="G137" s="4">
        <v>20000</v>
      </c>
      <c r="H137" s="4">
        <v>10000</v>
      </c>
    </row>
    <row r="138" spans="1:8" x14ac:dyDescent="0.25">
      <c r="A138" s="111" t="s">
        <v>17</v>
      </c>
      <c r="B138" s="111"/>
      <c r="C138" s="111"/>
      <c r="D138" s="111"/>
      <c r="E138" s="13">
        <f>SUM(E123:E137)</f>
        <v>678</v>
      </c>
      <c r="F138" s="13">
        <f t="shared" ref="F138:H138" si="17">SUM(F123:F137)</f>
        <v>1351900</v>
      </c>
      <c r="G138" s="13">
        <f t="shared" si="17"/>
        <v>531500</v>
      </c>
      <c r="H138" s="13">
        <f t="shared" si="17"/>
        <v>820400</v>
      </c>
    </row>
    <row r="139" spans="1:8" x14ac:dyDescent="0.25">
      <c r="A139" t="s">
        <v>18</v>
      </c>
      <c r="B139" s="3">
        <v>45207</v>
      </c>
      <c r="C139" t="s">
        <v>338</v>
      </c>
      <c r="D139" t="s">
        <v>11</v>
      </c>
      <c r="E139">
        <v>74</v>
      </c>
      <c r="F139" s="4">
        <f>E139*1800</f>
        <v>133200</v>
      </c>
      <c r="G139" s="4">
        <f>E139*500</f>
        <v>37000</v>
      </c>
      <c r="H139" s="4">
        <f>E139*1300</f>
        <v>96200</v>
      </c>
    </row>
    <row r="140" spans="1:8" x14ac:dyDescent="0.25">
      <c r="C140" t="s">
        <v>306</v>
      </c>
      <c r="D140" t="s">
        <v>11</v>
      </c>
      <c r="E140">
        <f>48-7</f>
        <v>41</v>
      </c>
      <c r="F140" s="4">
        <f>E140*1800</f>
        <v>73800</v>
      </c>
      <c r="G140" s="4">
        <f>E140*500</f>
        <v>20500</v>
      </c>
      <c r="H140" s="4">
        <f>E140*1300</f>
        <v>53300</v>
      </c>
    </row>
    <row r="141" spans="1:8" x14ac:dyDescent="0.25">
      <c r="C141" t="s">
        <v>572</v>
      </c>
      <c r="D141" t="s">
        <v>11</v>
      </c>
      <c r="E141">
        <f>38-6</f>
        <v>32</v>
      </c>
      <c r="F141" s="4">
        <f>E141*1700</f>
        <v>54400</v>
      </c>
      <c r="G141" s="4">
        <f>E141*500</f>
        <v>16000</v>
      </c>
      <c r="H141" s="4">
        <f>E141*1200</f>
        <v>38400</v>
      </c>
    </row>
    <row r="142" spans="1:8" x14ac:dyDescent="0.25">
      <c r="C142" t="s">
        <v>104</v>
      </c>
      <c r="D142" t="s">
        <v>11</v>
      </c>
      <c r="E142">
        <f>75-22</f>
        <v>53</v>
      </c>
      <c r="F142" s="4">
        <f>E142*1700</f>
        <v>90100</v>
      </c>
      <c r="G142" s="4">
        <f>E142*500</f>
        <v>26500</v>
      </c>
      <c r="H142" s="4">
        <f>E142*1200</f>
        <v>63600</v>
      </c>
    </row>
    <row r="143" spans="1:8" x14ac:dyDescent="0.25">
      <c r="C143" t="s">
        <v>16</v>
      </c>
      <c r="D143" t="s">
        <v>11</v>
      </c>
      <c r="E143">
        <v>90</v>
      </c>
      <c r="F143" s="4">
        <f>E143*1500</f>
        <v>135000</v>
      </c>
      <c r="G143" s="4">
        <f>E143*500</f>
        <v>45000</v>
      </c>
      <c r="H143" s="4">
        <v>90000</v>
      </c>
    </row>
    <row r="144" spans="1:8" x14ac:dyDescent="0.25">
      <c r="D144" t="s">
        <v>12</v>
      </c>
      <c r="E144">
        <v>7</v>
      </c>
      <c r="F144" s="4">
        <f>E144*3000</f>
        <v>21000</v>
      </c>
      <c r="G144" s="4">
        <f>E144*2000</f>
        <v>14000</v>
      </c>
      <c r="H144" s="4">
        <v>7000</v>
      </c>
    </row>
    <row r="145" spans="1:8" x14ac:dyDescent="0.25">
      <c r="D145" t="s">
        <v>13</v>
      </c>
      <c r="E145">
        <v>1</v>
      </c>
      <c r="F145" s="4">
        <v>6500</v>
      </c>
      <c r="G145" s="4">
        <v>4500</v>
      </c>
      <c r="H145" s="4">
        <v>2000</v>
      </c>
    </row>
    <row r="146" spans="1:8" x14ac:dyDescent="0.25">
      <c r="C146" t="s">
        <v>217</v>
      </c>
      <c r="D146" t="s">
        <v>11</v>
      </c>
      <c r="E146">
        <v>28</v>
      </c>
      <c r="F146" s="4">
        <f>E146*1500</f>
        <v>42000</v>
      </c>
      <c r="G146" s="4">
        <f>E146*500</f>
        <v>14000</v>
      </c>
      <c r="H146" s="4">
        <v>28000</v>
      </c>
    </row>
    <row r="147" spans="1:8" x14ac:dyDescent="0.25">
      <c r="D147" t="s">
        <v>13</v>
      </c>
      <c r="E147">
        <v>7</v>
      </c>
      <c r="F147" s="4">
        <f>E147*6500</f>
        <v>45500</v>
      </c>
      <c r="G147" s="4">
        <f>E147*4500</f>
        <v>31500</v>
      </c>
      <c r="H147" s="4">
        <v>14000</v>
      </c>
    </row>
    <row r="148" spans="1:8" x14ac:dyDescent="0.25">
      <c r="D148" t="s">
        <v>14</v>
      </c>
      <c r="E148">
        <v>1</v>
      </c>
      <c r="F148" s="4">
        <v>10000</v>
      </c>
      <c r="G148" s="4">
        <v>5500</v>
      </c>
      <c r="H148" s="4">
        <v>4500</v>
      </c>
    </row>
    <row r="149" spans="1:8" x14ac:dyDescent="0.25">
      <c r="D149" t="s">
        <v>404</v>
      </c>
      <c r="E149">
        <v>1</v>
      </c>
      <c r="F149" s="4">
        <v>2000</v>
      </c>
      <c r="G149" s="4">
        <v>1000</v>
      </c>
      <c r="H149" s="4">
        <v>1000</v>
      </c>
    </row>
    <row r="150" spans="1:8" x14ac:dyDescent="0.25">
      <c r="D150" t="s">
        <v>441</v>
      </c>
      <c r="E150">
        <v>1</v>
      </c>
      <c r="F150" s="4">
        <v>3000</v>
      </c>
      <c r="G150" s="4">
        <v>1500</v>
      </c>
      <c r="H150" s="4">
        <v>1500</v>
      </c>
    </row>
    <row r="151" spans="1:8" x14ac:dyDescent="0.25">
      <c r="A151" s="142" t="s">
        <v>17</v>
      </c>
      <c r="B151" s="142"/>
      <c r="C151" s="142"/>
      <c r="D151" s="142"/>
      <c r="E151" s="13">
        <f>SUM(E139:E150)</f>
        <v>336</v>
      </c>
      <c r="F151" s="13">
        <f t="shared" ref="F151:H151" si="18">SUM(F139:F150)</f>
        <v>616500</v>
      </c>
      <c r="G151" s="13">
        <f t="shared" si="18"/>
        <v>217000</v>
      </c>
      <c r="H151" s="13">
        <f t="shared" si="18"/>
        <v>399500</v>
      </c>
    </row>
    <row r="152" spans="1:8" x14ac:dyDescent="0.25">
      <c r="A152" t="s">
        <v>22</v>
      </c>
      <c r="B152" s="3">
        <v>45238</v>
      </c>
      <c r="C152" t="s">
        <v>338</v>
      </c>
      <c r="D152" t="s">
        <v>11</v>
      </c>
      <c r="E152">
        <v>74</v>
      </c>
      <c r="F152" s="4">
        <f>E152*1800</f>
        <v>133200</v>
      </c>
      <c r="G152" s="4">
        <f>E152*500</f>
        <v>37000</v>
      </c>
      <c r="H152" s="4">
        <f>E152*1300</f>
        <v>96200</v>
      </c>
    </row>
    <row r="153" spans="1:8" x14ac:dyDescent="0.25">
      <c r="C153" t="s">
        <v>306</v>
      </c>
      <c r="D153" t="s">
        <v>11</v>
      </c>
      <c r="E153">
        <f>45-21</f>
        <v>24</v>
      </c>
      <c r="F153" s="4">
        <f>E153*1800</f>
        <v>43200</v>
      </c>
      <c r="G153" s="4">
        <f>E153*500</f>
        <v>12000</v>
      </c>
      <c r="H153" s="4">
        <f>E153*1300</f>
        <v>31200</v>
      </c>
    </row>
    <row r="154" spans="1:8" x14ac:dyDescent="0.25">
      <c r="C154" t="s">
        <v>104</v>
      </c>
      <c r="D154" t="s">
        <v>11</v>
      </c>
      <c r="E154">
        <f>65-28</f>
        <v>37</v>
      </c>
      <c r="F154" s="4">
        <f>E154*1700</f>
        <v>62900</v>
      </c>
      <c r="G154" s="4">
        <f>E154*500</f>
        <v>18500</v>
      </c>
      <c r="H154" s="4">
        <f>E154*1200</f>
        <v>44400</v>
      </c>
    </row>
    <row r="155" spans="1:8" x14ac:dyDescent="0.25">
      <c r="C155" t="s">
        <v>16</v>
      </c>
      <c r="D155" t="s">
        <v>11</v>
      </c>
      <c r="E155">
        <v>44</v>
      </c>
      <c r="F155" s="4">
        <f>E155*1500</f>
        <v>66000</v>
      </c>
      <c r="G155" s="4">
        <f>E155*500</f>
        <v>22000</v>
      </c>
      <c r="H155" s="4">
        <f>E155*1000</f>
        <v>44000</v>
      </c>
    </row>
    <row r="156" spans="1:8" x14ac:dyDescent="0.25">
      <c r="D156" t="s">
        <v>12</v>
      </c>
      <c r="E156">
        <v>6</v>
      </c>
      <c r="F156" s="4">
        <f>E156*3000</f>
        <v>18000</v>
      </c>
      <c r="G156" s="4">
        <v>12000</v>
      </c>
      <c r="H156" s="4">
        <v>6000</v>
      </c>
    </row>
    <row r="157" spans="1:8" x14ac:dyDescent="0.25">
      <c r="C157" t="s">
        <v>217</v>
      </c>
      <c r="D157" t="s">
        <v>11</v>
      </c>
      <c r="E157">
        <v>18</v>
      </c>
      <c r="F157" s="4">
        <f>E157*1500</f>
        <v>27000</v>
      </c>
      <c r="G157" s="4">
        <f>E157*500</f>
        <v>9000</v>
      </c>
      <c r="H157" s="4">
        <v>18000</v>
      </c>
    </row>
    <row r="158" spans="1:8" x14ac:dyDescent="0.25">
      <c r="D158" t="s">
        <v>13</v>
      </c>
      <c r="E158">
        <v>4</v>
      </c>
      <c r="F158" s="4">
        <f>E158*6500</f>
        <v>26000</v>
      </c>
      <c r="G158" s="4">
        <f>E158*4500</f>
        <v>18000</v>
      </c>
      <c r="H158" s="4">
        <f>E158*2000</f>
        <v>8000</v>
      </c>
    </row>
    <row r="159" spans="1:8" x14ac:dyDescent="0.25">
      <c r="D159" t="s">
        <v>14</v>
      </c>
      <c r="E159">
        <v>3</v>
      </c>
      <c r="F159" s="4">
        <f>E159*10000</f>
        <v>30000</v>
      </c>
      <c r="G159" s="4">
        <f>E159*5500</f>
        <v>16500</v>
      </c>
      <c r="H159" s="4">
        <f>E159*4500</f>
        <v>13500</v>
      </c>
    </row>
    <row r="160" spans="1:8" x14ac:dyDescent="0.25">
      <c r="D160" t="s">
        <v>404</v>
      </c>
      <c r="E160">
        <v>1</v>
      </c>
      <c r="F160" s="4">
        <v>2000</v>
      </c>
      <c r="G160" s="4">
        <v>1000</v>
      </c>
      <c r="H160" s="4">
        <v>1000</v>
      </c>
    </row>
    <row r="161" spans="1:8" x14ac:dyDescent="0.25">
      <c r="D161" t="s">
        <v>420</v>
      </c>
      <c r="E161">
        <v>1</v>
      </c>
      <c r="F161" s="4">
        <v>3000</v>
      </c>
      <c r="G161" s="4">
        <v>1500</v>
      </c>
      <c r="H161" s="4">
        <v>1500</v>
      </c>
    </row>
    <row r="162" spans="1:8" x14ac:dyDescent="0.25">
      <c r="C162" t="s">
        <v>24</v>
      </c>
      <c r="D162" t="s">
        <v>657</v>
      </c>
      <c r="E162">
        <v>2</v>
      </c>
      <c r="F162" s="4">
        <f>E162*17000</f>
        <v>34000</v>
      </c>
      <c r="G162" s="4">
        <f>E162*10000</f>
        <v>20000</v>
      </c>
      <c r="H162" s="4">
        <f>E162*7000</f>
        <v>14000</v>
      </c>
    </row>
    <row r="163" spans="1:8" x14ac:dyDescent="0.25">
      <c r="A163" s="142" t="s">
        <v>17</v>
      </c>
      <c r="B163" s="142"/>
      <c r="C163" s="142"/>
      <c r="D163" s="142"/>
      <c r="E163" s="13">
        <f>SUM(E152:E162)</f>
        <v>214</v>
      </c>
      <c r="F163" s="13">
        <f t="shared" ref="F163:H163" si="19">SUM(F152:F162)</f>
        <v>445300</v>
      </c>
      <c r="G163" s="13">
        <f t="shared" si="19"/>
        <v>167500</v>
      </c>
      <c r="H163" s="13">
        <f t="shared" si="19"/>
        <v>277800</v>
      </c>
    </row>
    <row r="164" spans="1:8" x14ac:dyDescent="0.25">
      <c r="C164" t="s">
        <v>658</v>
      </c>
      <c r="D164" t="s">
        <v>243</v>
      </c>
      <c r="E164">
        <v>10</v>
      </c>
      <c r="F164" s="4">
        <f>E164*13000</f>
        <v>130000</v>
      </c>
      <c r="G164" s="4">
        <f>E164*10000</f>
        <v>100000</v>
      </c>
      <c r="H164" s="4">
        <f>E164*3000</f>
        <v>30000</v>
      </c>
    </row>
    <row r="165" spans="1:8" x14ac:dyDescent="0.25">
      <c r="A165" t="s">
        <v>26</v>
      </c>
      <c r="B165" s="3">
        <v>45268</v>
      </c>
      <c r="C165" t="s">
        <v>16</v>
      </c>
      <c r="D165" t="s">
        <v>11</v>
      </c>
      <c r="E165">
        <v>22</v>
      </c>
      <c r="F165" s="4">
        <f>E165*1500</f>
        <v>33000</v>
      </c>
      <c r="G165" s="4">
        <f>E165*500</f>
        <v>11000</v>
      </c>
      <c r="H165" s="4">
        <v>2200</v>
      </c>
    </row>
    <row r="166" spans="1:8" x14ac:dyDescent="0.25">
      <c r="D166" t="s">
        <v>12</v>
      </c>
      <c r="E166">
        <v>2</v>
      </c>
      <c r="F166" s="4">
        <f>E166*3000</f>
        <v>6000</v>
      </c>
      <c r="G166" s="4">
        <v>4000</v>
      </c>
      <c r="H166" s="4">
        <v>2000</v>
      </c>
    </row>
    <row r="167" spans="1:8" x14ac:dyDescent="0.25">
      <c r="D167" t="s">
        <v>13</v>
      </c>
      <c r="E167">
        <v>1</v>
      </c>
      <c r="F167" s="4">
        <v>6500</v>
      </c>
      <c r="G167" s="4">
        <v>4500</v>
      </c>
      <c r="H167" s="4">
        <v>2000</v>
      </c>
    </row>
    <row r="168" spans="1:8" x14ac:dyDescent="0.25">
      <c r="D168" t="s">
        <v>14</v>
      </c>
      <c r="E168">
        <v>1</v>
      </c>
      <c r="F168" s="4">
        <v>10000</v>
      </c>
      <c r="G168" s="4">
        <v>5500</v>
      </c>
      <c r="H168" s="4">
        <v>4500</v>
      </c>
    </row>
    <row r="169" spans="1:8" x14ac:dyDescent="0.25">
      <c r="C169" t="s">
        <v>217</v>
      </c>
      <c r="D169" t="s">
        <v>11</v>
      </c>
      <c r="E169">
        <f>35+12</f>
        <v>47</v>
      </c>
      <c r="F169" s="4">
        <f>E169*1500</f>
        <v>70500</v>
      </c>
      <c r="G169" s="4">
        <f>E169*500</f>
        <v>23500</v>
      </c>
      <c r="H169" s="4">
        <v>47000</v>
      </c>
    </row>
    <row r="170" spans="1:8" x14ac:dyDescent="0.25">
      <c r="D170" t="s">
        <v>13</v>
      </c>
      <c r="E170">
        <v>12</v>
      </c>
      <c r="F170" s="4">
        <f>E170*6500</f>
        <v>78000</v>
      </c>
      <c r="G170" s="4">
        <f>E170*4500</f>
        <v>54000</v>
      </c>
      <c r="H170" s="4">
        <f>E170*2000</f>
        <v>24000</v>
      </c>
    </row>
    <row r="171" spans="1:8" x14ac:dyDescent="0.25">
      <c r="D171" t="s">
        <v>14</v>
      </c>
      <c r="E171">
        <v>7</v>
      </c>
      <c r="F171" s="4">
        <f>E171*10000</f>
        <v>70000</v>
      </c>
      <c r="G171" s="4">
        <f>E171*5500</f>
        <v>38500</v>
      </c>
      <c r="H171" s="4">
        <f>E171*4500</f>
        <v>31500</v>
      </c>
    </row>
    <row r="172" spans="1:8" x14ac:dyDescent="0.25">
      <c r="D172" t="s">
        <v>404</v>
      </c>
      <c r="E172">
        <v>7</v>
      </c>
      <c r="F172" s="4">
        <f>E172*2000</f>
        <v>14000</v>
      </c>
      <c r="G172" s="4">
        <v>7000</v>
      </c>
      <c r="H172" s="4">
        <v>7000</v>
      </c>
    </row>
    <row r="173" spans="1:8" x14ac:dyDescent="0.25">
      <c r="D173" t="s">
        <v>441</v>
      </c>
      <c r="E173">
        <v>1</v>
      </c>
      <c r="F173" s="4">
        <v>3000</v>
      </c>
      <c r="G173" s="4">
        <v>1500</v>
      </c>
      <c r="H173" s="4">
        <v>1500</v>
      </c>
    </row>
    <row r="174" spans="1:8" x14ac:dyDescent="0.25">
      <c r="C174" t="s">
        <v>399</v>
      </c>
      <c r="D174" t="s">
        <v>11</v>
      </c>
      <c r="E174">
        <v>75</v>
      </c>
      <c r="F174" s="4">
        <f>E174*2000</f>
        <v>150000</v>
      </c>
      <c r="G174" s="4">
        <f>E174*500</f>
        <v>37500</v>
      </c>
      <c r="H174" s="4">
        <f>E174*1500</f>
        <v>112500</v>
      </c>
    </row>
    <row r="175" spans="1:8" x14ac:dyDescent="0.25">
      <c r="D175" t="s">
        <v>13</v>
      </c>
      <c r="E175">
        <v>7</v>
      </c>
      <c r="F175" s="4">
        <f>E175*7000</f>
        <v>49000</v>
      </c>
      <c r="G175" s="4">
        <f>E175*4500</f>
        <v>31500</v>
      </c>
      <c r="H175" s="4">
        <f>E175*2500</f>
        <v>17500</v>
      </c>
    </row>
    <row r="176" spans="1:8" x14ac:dyDescent="0.25">
      <c r="D176" t="s">
        <v>14</v>
      </c>
      <c r="E176">
        <v>3</v>
      </c>
      <c r="F176" s="4">
        <f>E176*10000</f>
        <v>30000</v>
      </c>
      <c r="G176" s="4">
        <f>E176*5500</f>
        <v>16500</v>
      </c>
      <c r="H176" s="4">
        <f>E176*4500</f>
        <v>13500</v>
      </c>
    </row>
    <row r="177" spans="1:8" x14ac:dyDescent="0.25">
      <c r="D177" t="s">
        <v>441</v>
      </c>
      <c r="E177">
        <v>2</v>
      </c>
      <c r="F177" s="4">
        <f>E177*3000</f>
        <v>6000</v>
      </c>
      <c r="G177" s="4">
        <v>3000</v>
      </c>
      <c r="H177" s="4">
        <v>3000</v>
      </c>
    </row>
    <row r="178" spans="1:8" x14ac:dyDescent="0.25">
      <c r="D178" t="s">
        <v>415</v>
      </c>
      <c r="E178">
        <v>1</v>
      </c>
      <c r="F178" s="4">
        <v>5000</v>
      </c>
      <c r="G178" s="4">
        <v>2500</v>
      </c>
      <c r="H178" s="4">
        <v>2500</v>
      </c>
    </row>
    <row r="179" spans="1:8" x14ac:dyDescent="0.25">
      <c r="D179" t="s">
        <v>404</v>
      </c>
      <c r="E179">
        <v>8</v>
      </c>
      <c r="F179" s="4">
        <f>E179*2000</f>
        <v>16000</v>
      </c>
      <c r="G179" s="4">
        <v>8000</v>
      </c>
      <c r="H179" s="4">
        <v>8000</v>
      </c>
    </row>
    <row r="180" spans="1:8" x14ac:dyDescent="0.25">
      <c r="C180" t="s">
        <v>646</v>
      </c>
      <c r="D180" t="s">
        <v>11</v>
      </c>
      <c r="E180">
        <v>200</v>
      </c>
      <c r="F180" s="4">
        <f>E180*1500</f>
        <v>300000</v>
      </c>
      <c r="G180" s="4">
        <f>E180*500</f>
        <v>100000</v>
      </c>
      <c r="H180" s="4">
        <v>200000</v>
      </c>
    </row>
    <row r="181" spans="1:8" x14ac:dyDescent="0.25">
      <c r="C181" t="s">
        <v>104</v>
      </c>
      <c r="D181" t="s">
        <v>11</v>
      </c>
      <c r="E181">
        <v>56</v>
      </c>
      <c r="F181" s="4">
        <f>E181*1700</f>
        <v>95200</v>
      </c>
      <c r="G181" s="4">
        <f>E181*500</f>
        <v>28000</v>
      </c>
      <c r="H181" s="4">
        <f>E181*1200</f>
        <v>67200</v>
      </c>
    </row>
    <row r="182" spans="1:8" x14ac:dyDescent="0.25">
      <c r="A182" s="142" t="s">
        <v>17</v>
      </c>
      <c r="B182" s="142"/>
      <c r="C182" s="142"/>
      <c r="D182" s="142"/>
      <c r="E182" s="13">
        <f>SUM(E164:E181)</f>
        <v>462</v>
      </c>
      <c r="F182" s="13">
        <f t="shared" ref="F182:H182" si="20">SUM(F164:F181)</f>
        <v>1072200</v>
      </c>
      <c r="G182" s="13">
        <f t="shared" si="20"/>
        <v>476500</v>
      </c>
      <c r="H182" s="13">
        <f t="shared" si="20"/>
        <v>575900</v>
      </c>
    </row>
    <row r="183" spans="1:8" x14ac:dyDescent="0.25">
      <c r="A183" t="s">
        <v>28</v>
      </c>
      <c r="B183" t="s">
        <v>659</v>
      </c>
      <c r="C183" t="s">
        <v>16</v>
      </c>
      <c r="D183" t="s">
        <v>11</v>
      </c>
      <c r="E183">
        <v>100</v>
      </c>
      <c r="F183" s="4">
        <f>E183*1500</f>
        <v>150000</v>
      </c>
      <c r="G183" s="4">
        <f>E183*500</f>
        <v>50000</v>
      </c>
      <c r="H183" s="4">
        <v>100000</v>
      </c>
    </row>
    <row r="184" spans="1:8" x14ac:dyDescent="0.25">
      <c r="D184" t="s">
        <v>12</v>
      </c>
      <c r="E184">
        <v>4</v>
      </c>
      <c r="F184" s="4">
        <f>E184*3000</f>
        <v>12000</v>
      </c>
      <c r="G184" s="4">
        <v>8000</v>
      </c>
      <c r="H184" s="4">
        <v>4000</v>
      </c>
    </row>
    <row r="185" spans="1:8" x14ac:dyDescent="0.25">
      <c r="C185" t="s">
        <v>399</v>
      </c>
      <c r="D185" t="s">
        <v>11</v>
      </c>
      <c r="E185">
        <v>8</v>
      </c>
      <c r="F185" s="4">
        <f>E185*2000</f>
        <v>16000</v>
      </c>
      <c r="G185" s="4">
        <f>E185*500</f>
        <v>4000</v>
      </c>
      <c r="H185" s="4">
        <f>E185*1500</f>
        <v>12000</v>
      </c>
    </row>
    <row r="186" spans="1:8" x14ac:dyDescent="0.25">
      <c r="D186" t="s">
        <v>13</v>
      </c>
      <c r="E186">
        <v>41</v>
      </c>
      <c r="F186" s="4">
        <f>E186*6500</f>
        <v>266500</v>
      </c>
      <c r="G186" s="4">
        <f>E186*4500</f>
        <v>184500</v>
      </c>
      <c r="H186" s="4">
        <f>E186*2000</f>
        <v>82000</v>
      </c>
    </row>
    <row r="187" spans="1:8" x14ac:dyDescent="0.25">
      <c r="D187" t="s">
        <v>14</v>
      </c>
      <c r="E187">
        <v>27</v>
      </c>
      <c r="F187" s="4">
        <f>E187*10000</f>
        <v>270000</v>
      </c>
      <c r="G187" s="4">
        <f>E187*5500</f>
        <v>148500</v>
      </c>
      <c r="H187" s="4">
        <f>E187*4500</f>
        <v>121500</v>
      </c>
    </row>
    <row r="188" spans="1:8" x14ac:dyDescent="0.25">
      <c r="D188" t="s">
        <v>404</v>
      </c>
      <c r="E188">
        <v>9</v>
      </c>
      <c r="F188" s="4">
        <f>E188*2000</f>
        <v>18000</v>
      </c>
      <c r="G188" s="4">
        <v>9000</v>
      </c>
      <c r="H188" s="4">
        <v>9000</v>
      </c>
    </row>
    <row r="189" spans="1:8" x14ac:dyDescent="0.25">
      <c r="D189" t="s">
        <v>415</v>
      </c>
      <c r="E189">
        <v>1</v>
      </c>
      <c r="F189" s="4">
        <v>5000</v>
      </c>
      <c r="G189" s="4">
        <v>2500</v>
      </c>
      <c r="H189" s="4">
        <v>2500</v>
      </c>
    </row>
    <row r="190" spans="1:8" x14ac:dyDescent="0.25">
      <c r="D190" t="s">
        <v>439</v>
      </c>
      <c r="E190">
        <v>2</v>
      </c>
      <c r="F190" s="4">
        <f>E190*3000</f>
        <v>6000</v>
      </c>
      <c r="G190" s="4">
        <v>3000</v>
      </c>
      <c r="H190" s="4">
        <v>3000</v>
      </c>
    </row>
    <row r="191" spans="1:8" x14ac:dyDescent="0.25">
      <c r="C191" t="s">
        <v>24</v>
      </c>
      <c r="D191" t="s">
        <v>243</v>
      </c>
      <c r="E191">
        <v>1</v>
      </c>
      <c r="F191" s="4">
        <v>13000</v>
      </c>
      <c r="G191" s="4">
        <v>10000</v>
      </c>
      <c r="H191" s="4">
        <v>3000</v>
      </c>
    </row>
    <row r="192" spans="1:8" x14ac:dyDescent="0.25">
      <c r="A192" s="142" t="s">
        <v>17</v>
      </c>
      <c r="B192" s="142"/>
      <c r="C192" s="142"/>
      <c r="D192" s="142"/>
      <c r="E192" s="13">
        <f>SUM(E183:E191)</f>
        <v>193</v>
      </c>
      <c r="F192" s="13">
        <f t="shared" ref="F192:H192" si="21">SUM(F183:F191)</f>
        <v>756500</v>
      </c>
      <c r="G192" s="13">
        <f t="shared" si="21"/>
        <v>419500</v>
      </c>
      <c r="H192" s="13">
        <f t="shared" si="21"/>
        <v>337000</v>
      </c>
    </row>
    <row r="193" spans="1:8" x14ac:dyDescent="0.25">
      <c r="A193" t="s">
        <v>30</v>
      </c>
      <c r="B193" t="s">
        <v>660</v>
      </c>
      <c r="C193" s="75" t="s">
        <v>572</v>
      </c>
      <c r="D193" s="75" t="s">
        <v>11</v>
      </c>
      <c r="E193" s="14">
        <f>35-6</f>
        <v>29</v>
      </c>
      <c r="F193" s="14">
        <f t="shared" ref="F193:F194" si="22">E193*1700</f>
        <v>49300</v>
      </c>
      <c r="G193" s="14">
        <f t="shared" ref="G193:G194" si="23">E193*500</f>
        <v>14500</v>
      </c>
      <c r="H193" s="14">
        <f t="shared" ref="H193:H194" si="24">E193*1200</f>
        <v>34800</v>
      </c>
    </row>
    <row r="194" spans="1:8" x14ac:dyDescent="0.25">
      <c r="A194" s="74"/>
      <c r="B194" s="74"/>
      <c r="C194" s="76" t="s">
        <v>571</v>
      </c>
      <c r="D194" s="76" t="s">
        <v>11</v>
      </c>
      <c r="E194" s="14">
        <v>28</v>
      </c>
      <c r="F194" s="14">
        <f t="shared" si="22"/>
        <v>47600</v>
      </c>
      <c r="G194" s="14">
        <f t="shared" si="23"/>
        <v>14000</v>
      </c>
      <c r="H194" s="14">
        <f t="shared" si="24"/>
        <v>33600</v>
      </c>
    </row>
    <row r="195" spans="1:8" x14ac:dyDescent="0.25">
      <c r="A195" s="74"/>
      <c r="B195" s="74"/>
      <c r="C195" s="76" t="s">
        <v>104</v>
      </c>
      <c r="D195" s="75" t="s">
        <v>11</v>
      </c>
      <c r="E195" s="14">
        <f>60-14</f>
        <v>46</v>
      </c>
      <c r="F195" s="14">
        <f>E195*1700</f>
        <v>78200</v>
      </c>
      <c r="G195" s="14">
        <f>E195*500</f>
        <v>23000</v>
      </c>
      <c r="H195" s="14">
        <f>E195*1200</f>
        <v>55200</v>
      </c>
    </row>
    <row r="196" spans="1:8" x14ac:dyDescent="0.25">
      <c r="C196" t="s">
        <v>16</v>
      </c>
      <c r="D196" t="s">
        <v>11</v>
      </c>
      <c r="E196">
        <v>48</v>
      </c>
      <c r="F196" s="4">
        <f>E196*1500</f>
        <v>72000</v>
      </c>
      <c r="G196" s="4">
        <f>E196*500</f>
        <v>24000</v>
      </c>
      <c r="H196" s="4">
        <v>48000</v>
      </c>
    </row>
    <row r="197" spans="1:8" x14ac:dyDescent="0.25">
      <c r="D197" t="s">
        <v>12</v>
      </c>
      <c r="E197">
        <v>1</v>
      </c>
      <c r="F197" s="4">
        <v>3000</v>
      </c>
      <c r="G197" s="4">
        <v>2000</v>
      </c>
      <c r="H197" s="4">
        <v>1000</v>
      </c>
    </row>
    <row r="198" spans="1:8" x14ac:dyDescent="0.25">
      <c r="A198" s="111" t="s">
        <v>17</v>
      </c>
      <c r="B198" s="111"/>
      <c r="C198" s="111"/>
      <c r="D198" s="111"/>
      <c r="E198" s="77">
        <f>SUM(E193:E197)</f>
        <v>152</v>
      </c>
      <c r="F198" s="77">
        <f>SUM(F193:F197)</f>
        <v>250100</v>
      </c>
      <c r="G198" s="77">
        <f t="shared" ref="G198:H198" si="25">SUM(G193:G197)</f>
        <v>77500</v>
      </c>
      <c r="H198" s="77">
        <f t="shared" si="25"/>
        <v>172600</v>
      </c>
    </row>
    <row r="199" spans="1:8" x14ac:dyDescent="0.25">
      <c r="A199" t="s">
        <v>32</v>
      </c>
      <c r="B199" t="s">
        <v>661</v>
      </c>
      <c r="C199" t="s">
        <v>338</v>
      </c>
      <c r="D199" t="s">
        <v>11</v>
      </c>
      <c r="E199">
        <v>146</v>
      </c>
      <c r="F199" s="4">
        <f>E199*1800</f>
        <v>262800</v>
      </c>
      <c r="G199" s="4">
        <f t="shared" ref="G199:G205" si="26">E199*500</f>
        <v>73000</v>
      </c>
      <c r="H199" s="4">
        <f>E199*1300</f>
        <v>189800</v>
      </c>
    </row>
    <row r="200" spans="1:8" x14ac:dyDescent="0.25">
      <c r="C200" t="s">
        <v>306</v>
      </c>
      <c r="D200" t="s">
        <v>11</v>
      </c>
      <c r="E200">
        <v>58</v>
      </c>
      <c r="F200" s="4">
        <f>E200*1800</f>
        <v>104400</v>
      </c>
      <c r="G200" s="4">
        <f t="shared" si="26"/>
        <v>29000</v>
      </c>
      <c r="H200" s="4">
        <f>E200*1300</f>
        <v>75400</v>
      </c>
    </row>
    <row r="201" spans="1:8" x14ac:dyDescent="0.25">
      <c r="C201" t="s">
        <v>572</v>
      </c>
      <c r="D201" t="s">
        <v>11</v>
      </c>
      <c r="E201">
        <v>18</v>
      </c>
      <c r="F201" s="4">
        <f>E201*1700</f>
        <v>30600</v>
      </c>
      <c r="G201" s="4">
        <f t="shared" si="26"/>
        <v>9000</v>
      </c>
      <c r="H201" s="4">
        <f>E201*1200</f>
        <v>21600</v>
      </c>
    </row>
    <row r="202" spans="1:8" x14ac:dyDescent="0.25">
      <c r="C202" t="s">
        <v>571</v>
      </c>
      <c r="D202" t="s">
        <v>11</v>
      </c>
      <c r="E202">
        <v>29</v>
      </c>
      <c r="F202" s="4">
        <f>E202*1700</f>
        <v>49300</v>
      </c>
      <c r="G202" s="4">
        <f t="shared" si="26"/>
        <v>14500</v>
      </c>
      <c r="H202" s="4">
        <f>E202*1200</f>
        <v>34800</v>
      </c>
    </row>
    <row r="203" spans="1:8" x14ac:dyDescent="0.25">
      <c r="C203" t="s">
        <v>209</v>
      </c>
      <c r="D203" t="s">
        <v>11</v>
      </c>
      <c r="E203">
        <v>17</v>
      </c>
      <c r="F203" s="4">
        <f>E203*1500</f>
        <v>25500</v>
      </c>
      <c r="G203" s="4">
        <f t="shared" si="26"/>
        <v>8500</v>
      </c>
      <c r="H203" s="4">
        <v>17000</v>
      </c>
    </row>
    <row r="204" spans="1:8" x14ac:dyDescent="0.25">
      <c r="C204" t="s">
        <v>104</v>
      </c>
      <c r="D204" t="s">
        <v>11</v>
      </c>
      <c r="E204">
        <v>37</v>
      </c>
      <c r="F204" s="4">
        <f>E204*1700</f>
        <v>62900</v>
      </c>
      <c r="G204" s="4">
        <f t="shared" si="26"/>
        <v>18500</v>
      </c>
      <c r="H204" s="4">
        <f>E204*1200</f>
        <v>44400</v>
      </c>
    </row>
    <row r="205" spans="1:8" x14ac:dyDescent="0.25">
      <c r="C205" t="s">
        <v>16</v>
      </c>
      <c r="D205" t="s">
        <v>11</v>
      </c>
      <c r="E205">
        <v>43</v>
      </c>
      <c r="F205" s="4">
        <f>E205*1500</f>
        <v>64500</v>
      </c>
      <c r="G205" s="4">
        <f t="shared" si="26"/>
        <v>21500</v>
      </c>
      <c r="H205" s="4">
        <v>43000</v>
      </c>
    </row>
    <row r="206" spans="1:8" x14ac:dyDescent="0.25">
      <c r="D206" t="s">
        <v>12</v>
      </c>
      <c r="E206">
        <v>3</v>
      </c>
      <c r="F206" s="4">
        <f>E206*3000</f>
        <v>9000</v>
      </c>
      <c r="G206" s="4">
        <v>6000</v>
      </c>
      <c r="H206" s="4">
        <v>3000</v>
      </c>
    </row>
    <row r="207" spans="1:8" x14ac:dyDescent="0.25">
      <c r="C207" t="s">
        <v>217</v>
      </c>
      <c r="D207" t="s">
        <v>11</v>
      </c>
      <c r="E207">
        <f>9+34+3</f>
        <v>46</v>
      </c>
      <c r="F207" s="4">
        <f>E207*1500</f>
        <v>69000</v>
      </c>
      <c r="G207" s="4">
        <f>E207*500</f>
        <v>23000</v>
      </c>
      <c r="H207" s="4">
        <v>46000</v>
      </c>
    </row>
    <row r="208" spans="1:8" x14ac:dyDescent="0.25">
      <c r="D208" t="s">
        <v>13</v>
      </c>
      <c r="E208">
        <v>17</v>
      </c>
      <c r="F208" s="4">
        <f>E208*6500</f>
        <v>110500</v>
      </c>
      <c r="G208" s="4">
        <f>E208*4500</f>
        <v>76500</v>
      </c>
      <c r="H208" s="4">
        <f>E208*2000</f>
        <v>34000</v>
      </c>
    </row>
    <row r="209" spans="1:8" x14ac:dyDescent="0.25">
      <c r="D209" t="s">
        <v>14</v>
      </c>
      <c r="E209">
        <v>22</v>
      </c>
      <c r="F209" s="4">
        <f>E209*10000</f>
        <v>220000</v>
      </c>
      <c r="G209" s="4">
        <f>E209*5500</f>
        <v>121000</v>
      </c>
      <c r="H209" s="4">
        <f>E209*4500</f>
        <v>99000</v>
      </c>
    </row>
    <row r="210" spans="1:8" x14ac:dyDescent="0.25">
      <c r="D210" t="s">
        <v>415</v>
      </c>
      <c r="E210">
        <v>1</v>
      </c>
      <c r="F210" s="4">
        <v>5000</v>
      </c>
      <c r="G210" s="4">
        <v>2500</v>
      </c>
      <c r="H210" s="4">
        <v>2500</v>
      </c>
    </row>
    <row r="211" spans="1:8" x14ac:dyDescent="0.25">
      <c r="D211" t="s">
        <v>404</v>
      </c>
      <c r="E211">
        <v>3</v>
      </c>
      <c r="F211" s="4">
        <f>E211*2000</f>
        <v>6000</v>
      </c>
      <c r="G211" s="4">
        <v>3000</v>
      </c>
      <c r="H211" s="4">
        <v>3000</v>
      </c>
    </row>
    <row r="212" spans="1:8" x14ac:dyDescent="0.25">
      <c r="D212" t="s">
        <v>441</v>
      </c>
      <c r="E212">
        <v>3</v>
      </c>
      <c r="F212" s="4">
        <f>E212*3000</f>
        <v>9000</v>
      </c>
      <c r="G212" s="4">
        <v>4500</v>
      </c>
      <c r="H212" s="4">
        <v>4500</v>
      </c>
    </row>
    <row r="213" spans="1:8" x14ac:dyDescent="0.25">
      <c r="D213" t="s">
        <v>437</v>
      </c>
      <c r="E213">
        <v>2</v>
      </c>
      <c r="F213" s="4">
        <v>10000</v>
      </c>
      <c r="G213" s="4">
        <v>5000</v>
      </c>
      <c r="H213" s="4">
        <v>5000</v>
      </c>
    </row>
    <row r="214" spans="1:8" x14ac:dyDescent="0.25">
      <c r="C214" t="s">
        <v>24</v>
      </c>
      <c r="D214" t="s">
        <v>13</v>
      </c>
      <c r="E214">
        <v>5</v>
      </c>
      <c r="F214" s="4">
        <f>E214*6500</f>
        <v>32500</v>
      </c>
      <c r="G214" s="4">
        <f>E214*4500</f>
        <v>22500</v>
      </c>
      <c r="H214" s="4">
        <f>E214*2000</f>
        <v>10000</v>
      </c>
    </row>
    <row r="215" spans="1:8" x14ac:dyDescent="0.25">
      <c r="D215" t="s">
        <v>14</v>
      </c>
      <c r="E215">
        <v>5</v>
      </c>
      <c r="F215" s="4">
        <f>E215*10000</f>
        <v>50000</v>
      </c>
      <c r="G215" s="4">
        <f>E215*5500</f>
        <v>27500</v>
      </c>
      <c r="H215" s="4">
        <f>E215*4500</f>
        <v>22500</v>
      </c>
    </row>
    <row r="216" spans="1:8" x14ac:dyDescent="0.25">
      <c r="D216" t="s">
        <v>243</v>
      </c>
      <c r="E216">
        <v>5</v>
      </c>
      <c r="F216" s="4">
        <f>E216*13000</f>
        <v>65000</v>
      </c>
      <c r="G216" s="4">
        <f>E216*10000</f>
        <v>50000</v>
      </c>
      <c r="H216" s="4">
        <f>E216*3000</f>
        <v>15000</v>
      </c>
    </row>
    <row r="217" spans="1:8" x14ac:dyDescent="0.25">
      <c r="A217" s="142" t="s">
        <v>17</v>
      </c>
      <c r="B217" s="142"/>
      <c r="C217" s="142"/>
      <c r="D217" s="142"/>
      <c r="E217" s="13">
        <f>SUM(E199:E216)</f>
        <v>460</v>
      </c>
      <c r="F217" s="13">
        <f t="shared" ref="F217:H217" si="27">SUM(F199:F216)</f>
        <v>1186000</v>
      </c>
      <c r="G217" s="13">
        <f t="shared" si="27"/>
        <v>515500</v>
      </c>
      <c r="H217" s="13">
        <f t="shared" si="27"/>
        <v>670500</v>
      </c>
    </row>
    <row r="218" spans="1:8" x14ac:dyDescent="0.25">
      <c r="A218" t="s">
        <v>8</v>
      </c>
      <c r="B218" t="s">
        <v>662</v>
      </c>
      <c r="C218" t="s">
        <v>338</v>
      </c>
      <c r="D218" t="s">
        <v>11</v>
      </c>
      <c r="E218">
        <v>72</v>
      </c>
      <c r="F218" s="4">
        <f>E218*1800</f>
        <v>129600</v>
      </c>
      <c r="G218" s="4">
        <f>E218*500</f>
        <v>36000</v>
      </c>
      <c r="H218" s="4">
        <f>E218*1300</f>
        <v>93600</v>
      </c>
    </row>
    <row r="219" spans="1:8" x14ac:dyDescent="0.25">
      <c r="C219" t="s">
        <v>306</v>
      </c>
      <c r="D219" t="s">
        <v>11</v>
      </c>
      <c r="E219">
        <f>38-9</f>
        <v>29</v>
      </c>
      <c r="F219" s="4">
        <f>E219*1800</f>
        <v>52200</v>
      </c>
      <c r="G219" s="4">
        <f>E219*500</f>
        <v>14500</v>
      </c>
      <c r="H219" s="4">
        <f>E219*1300</f>
        <v>37700</v>
      </c>
    </row>
    <row r="220" spans="1:8" x14ac:dyDescent="0.25">
      <c r="C220" t="s">
        <v>572</v>
      </c>
      <c r="D220" t="s">
        <v>11</v>
      </c>
      <c r="E220">
        <v>30</v>
      </c>
      <c r="F220" s="4">
        <f>E220*1700</f>
        <v>51000</v>
      </c>
      <c r="G220" s="4">
        <f>E220*500</f>
        <v>15000</v>
      </c>
      <c r="H220" s="4">
        <f>E220*1200</f>
        <v>36000</v>
      </c>
    </row>
    <row r="221" spans="1:8" x14ac:dyDescent="0.25">
      <c r="C221" t="s">
        <v>571</v>
      </c>
      <c r="D221" t="s">
        <v>11</v>
      </c>
      <c r="E221">
        <v>13</v>
      </c>
      <c r="F221" s="4">
        <f>E221*1700</f>
        <v>22100</v>
      </c>
      <c r="G221" s="4">
        <f t="shared" ref="G221:G222" si="28">E221*500</f>
        <v>6500</v>
      </c>
      <c r="H221" s="4">
        <f>E221*1200</f>
        <v>15600</v>
      </c>
    </row>
    <row r="222" spans="1:8" x14ac:dyDescent="0.25">
      <c r="C222" t="s">
        <v>16</v>
      </c>
      <c r="D222" t="s">
        <v>11</v>
      </c>
      <c r="E222">
        <v>75</v>
      </c>
      <c r="F222" s="4">
        <f>E222*1500</f>
        <v>112500</v>
      </c>
      <c r="G222" s="4">
        <f t="shared" si="28"/>
        <v>37500</v>
      </c>
      <c r="H222" s="4">
        <v>75000</v>
      </c>
    </row>
    <row r="223" spans="1:8" x14ac:dyDescent="0.25">
      <c r="D223" t="s">
        <v>243</v>
      </c>
      <c r="E223">
        <v>1</v>
      </c>
      <c r="F223" s="4">
        <v>13000</v>
      </c>
      <c r="G223" s="4">
        <v>10000</v>
      </c>
      <c r="H223" s="4">
        <v>3000</v>
      </c>
    </row>
    <row r="224" spans="1:8" x14ac:dyDescent="0.25">
      <c r="C224" t="s">
        <v>217</v>
      </c>
      <c r="D224" t="s">
        <v>11</v>
      </c>
      <c r="E224">
        <v>20</v>
      </c>
      <c r="F224" s="4">
        <f>E224*1500</f>
        <v>30000</v>
      </c>
      <c r="G224" s="4">
        <f>E224*500</f>
        <v>10000</v>
      </c>
      <c r="H224" s="4">
        <v>20000</v>
      </c>
    </row>
    <row r="225" spans="1:8" x14ac:dyDescent="0.25">
      <c r="D225" t="s">
        <v>13</v>
      </c>
      <c r="E225">
        <v>2</v>
      </c>
      <c r="F225" s="4">
        <v>13000</v>
      </c>
      <c r="G225" s="4">
        <v>9000</v>
      </c>
      <c r="H225" s="4">
        <v>4000</v>
      </c>
    </row>
    <row r="226" spans="1:8" x14ac:dyDescent="0.25">
      <c r="C226" t="s">
        <v>127</v>
      </c>
      <c r="D226" t="s">
        <v>21</v>
      </c>
      <c r="E226">
        <v>5</v>
      </c>
      <c r="F226" s="4">
        <f>E226*15000</f>
        <v>75000</v>
      </c>
      <c r="G226" s="4">
        <v>50000</v>
      </c>
      <c r="H226" s="4">
        <v>25000</v>
      </c>
    </row>
    <row r="227" spans="1:8" x14ac:dyDescent="0.25">
      <c r="D227" t="s">
        <v>243</v>
      </c>
      <c r="E227">
        <v>1</v>
      </c>
      <c r="F227" s="4">
        <v>13000</v>
      </c>
      <c r="G227" s="4">
        <v>10000</v>
      </c>
      <c r="H227" s="4">
        <v>3000</v>
      </c>
    </row>
    <row r="228" spans="1:8" x14ac:dyDescent="0.25">
      <c r="C228" t="s">
        <v>24</v>
      </c>
      <c r="D228" t="s">
        <v>243</v>
      </c>
      <c r="E228">
        <v>2</v>
      </c>
      <c r="F228" s="4">
        <v>26000</v>
      </c>
      <c r="G228" s="4">
        <v>20000</v>
      </c>
      <c r="H228" s="4">
        <v>6000</v>
      </c>
    </row>
    <row r="229" spans="1:8" x14ac:dyDescent="0.25">
      <c r="C229" t="s">
        <v>24</v>
      </c>
      <c r="D229" t="s">
        <v>13</v>
      </c>
      <c r="E229">
        <v>3</v>
      </c>
      <c r="F229" s="4">
        <f>E229*6500</f>
        <v>19500</v>
      </c>
      <c r="G229" s="4">
        <f>E229*4500</f>
        <v>13500</v>
      </c>
      <c r="H229" s="4">
        <v>6000</v>
      </c>
    </row>
    <row r="230" spans="1:8" x14ac:dyDescent="0.25">
      <c r="D230" t="s">
        <v>14</v>
      </c>
      <c r="E230">
        <v>1</v>
      </c>
      <c r="F230" s="4">
        <v>10000</v>
      </c>
      <c r="G230" s="4">
        <v>5500</v>
      </c>
      <c r="H230" s="4">
        <v>4500</v>
      </c>
    </row>
    <row r="231" spans="1:8" x14ac:dyDescent="0.25">
      <c r="A231" s="142" t="s">
        <v>17</v>
      </c>
      <c r="B231" s="142"/>
      <c r="C231" s="142"/>
      <c r="D231" s="142"/>
      <c r="E231" s="13">
        <f>SUM(E218:E230)</f>
        <v>254</v>
      </c>
      <c r="F231" s="13">
        <f t="shared" ref="F231:H231" si="29">SUM(F218:F230)</f>
        <v>566900</v>
      </c>
      <c r="G231" s="13">
        <f t="shared" si="29"/>
        <v>237500</v>
      </c>
      <c r="H231" s="13">
        <f t="shared" si="29"/>
        <v>329400</v>
      </c>
    </row>
    <row r="232" spans="1:8" x14ac:dyDescent="0.25">
      <c r="A232" t="s">
        <v>18</v>
      </c>
      <c r="B232" t="s">
        <v>663</v>
      </c>
      <c r="C232" t="s">
        <v>16</v>
      </c>
      <c r="D232" t="s">
        <v>11</v>
      </c>
      <c r="E232">
        <v>10</v>
      </c>
      <c r="F232" s="4">
        <f>E232*1500</f>
        <v>15000</v>
      </c>
      <c r="G232" s="4">
        <f>E232*500</f>
        <v>5000</v>
      </c>
      <c r="H232" s="4">
        <v>10000</v>
      </c>
    </row>
    <row r="233" spans="1:8" x14ac:dyDescent="0.25">
      <c r="C233" t="s">
        <v>399</v>
      </c>
      <c r="D233" t="s">
        <v>243</v>
      </c>
      <c r="E233">
        <v>20</v>
      </c>
      <c r="F233" s="4">
        <f>E233*13000</f>
        <v>260000</v>
      </c>
      <c r="G233" s="4">
        <v>200000</v>
      </c>
      <c r="H233" s="4">
        <v>60000</v>
      </c>
    </row>
    <row r="234" spans="1:8" x14ac:dyDescent="0.25">
      <c r="A234" s="142" t="s">
        <v>17</v>
      </c>
      <c r="B234" s="142"/>
      <c r="C234" s="142"/>
      <c r="D234" s="142"/>
      <c r="E234" s="13">
        <f>SUM(E232:E233)</f>
        <v>30</v>
      </c>
      <c r="F234" s="13">
        <f t="shared" ref="F234:H234" si="30">SUM(F232:F233)</f>
        <v>275000</v>
      </c>
      <c r="G234" s="13">
        <f t="shared" si="30"/>
        <v>205000</v>
      </c>
      <c r="H234" s="13">
        <f t="shared" si="30"/>
        <v>70000</v>
      </c>
    </row>
    <row r="235" spans="1:8" x14ac:dyDescent="0.25">
      <c r="A235" t="s">
        <v>22</v>
      </c>
      <c r="B235" t="s">
        <v>664</v>
      </c>
      <c r="C235" t="s">
        <v>338</v>
      </c>
      <c r="D235" t="s">
        <v>11</v>
      </c>
      <c r="E235">
        <v>75</v>
      </c>
      <c r="F235" s="4">
        <f>E235*1800</f>
        <v>135000</v>
      </c>
      <c r="G235" s="4">
        <f>E235*500</f>
        <v>37500</v>
      </c>
      <c r="H235" s="4">
        <f>E235*1300</f>
        <v>97500</v>
      </c>
    </row>
    <row r="236" spans="1:8" x14ac:dyDescent="0.25">
      <c r="C236" t="s">
        <v>306</v>
      </c>
      <c r="D236" t="s">
        <v>11</v>
      </c>
      <c r="E236">
        <v>26</v>
      </c>
      <c r="F236" s="4">
        <f>E236*1800</f>
        <v>46800</v>
      </c>
      <c r="G236" s="4">
        <f>E236*500</f>
        <v>13000</v>
      </c>
      <c r="H236" s="4">
        <f>E236*1300</f>
        <v>33800</v>
      </c>
    </row>
    <row r="237" spans="1:8" x14ac:dyDescent="0.25">
      <c r="C237" t="s">
        <v>572</v>
      </c>
      <c r="D237" t="s">
        <v>11</v>
      </c>
      <c r="E237">
        <v>40</v>
      </c>
      <c r="F237" s="4">
        <f>E237*1700</f>
        <v>68000</v>
      </c>
      <c r="G237" s="4">
        <f>E237*500</f>
        <v>20000</v>
      </c>
      <c r="H237" s="4">
        <f>E237*1200</f>
        <v>48000</v>
      </c>
    </row>
    <row r="238" spans="1:8" x14ac:dyDescent="0.25">
      <c r="C238" t="s">
        <v>571</v>
      </c>
      <c r="D238" t="s">
        <v>11</v>
      </c>
      <c r="E238">
        <v>16</v>
      </c>
      <c r="F238" s="4">
        <f t="shared" ref="F238:F239" si="31">E238*1700</f>
        <v>27200</v>
      </c>
      <c r="G238" s="4">
        <f t="shared" ref="G238:G239" si="32">E238*500</f>
        <v>8000</v>
      </c>
      <c r="H238" s="4">
        <f t="shared" ref="H238:H239" si="33">E238*1200</f>
        <v>19200</v>
      </c>
    </row>
    <row r="239" spans="1:8" x14ac:dyDescent="0.25">
      <c r="C239" t="s">
        <v>104</v>
      </c>
      <c r="D239" t="s">
        <v>11</v>
      </c>
      <c r="E239">
        <v>87</v>
      </c>
      <c r="F239" s="4">
        <f t="shared" si="31"/>
        <v>147900</v>
      </c>
      <c r="G239" s="4">
        <f t="shared" si="32"/>
        <v>43500</v>
      </c>
      <c r="H239" s="4">
        <f t="shared" si="33"/>
        <v>104400</v>
      </c>
    </row>
    <row r="240" spans="1:8" x14ac:dyDescent="0.25">
      <c r="C240" t="s">
        <v>16</v>
      </c>
      <c r="D240" t="s">
        <v>11</v>
      </c>
      <c r="E240">
        <v>45</v>
      </c>
      <c r="F240" s="4">
        <f>E240*1500</f>
        <v>67500</v>
      </c>
      <c r="G240" s="4">
        <f>E240*500</f>
        <v>22500</v>
      </c>
      <c r="H240" s="4">
        <v>45000</v>
      </c>
    </row>
    <row r="241" spans="1:8" x14ac:dyDescent="0.25">
      <c r="D241" t="s">
        <v>243</v>
      </c>
      <c r="E241">
        <v>1</v>
      </c>
      <c r="F241" s="4">
        <v>13000</v>
      </c>
      <c r="G241" s="4">
        <v>10000</v>
      </c>
      <c r="H241" s="4">
        <v>3000</v>
      </c>
    </row>
    <row r="242" spans="1:8" x14ac:dyDescent="0.25">
      <c r="C242" t="s">
        <v>217</v>
      </c>
      <c r="D242" t="s">
        <v>11</v>
      </c>
      <c r="E242">
        <v>2</v>
      </c>
      <c r="F242" s="4">
        <f>E242*1500</f>
        <v>3000</v>
      </c>
      <c r="G242" s="4">
        <f>E242*500</f>
        <v>1000</v>
      </c>
      <c r="H242" s="4">
        <v>2000</v>
      </c>
    </row>
    <row r="243" spans="1:8" x14ac:dyDescent="0.25">
      <c r="D243" t="s">
        <v>13</v>
      </c>
      <c r="E243">
        <v>14</v>
      </c>
      <c r="F243" s="4">
        <f>E243*6500</f>
        <v>91000</v>
      </c>
      <c r="G243" s="4">
        <f>E243*4500</f>
        <v>63000</v>
      </c>
      <c r="H243" s="4">
        <f>E243*2000</f>
        <v>28000</v>
      </c>
    </row>
    <row r="244" spans="1:8" x14ac:dyDescent="0.25">
      <c r="D244" t="s">
        <v>14</v>
      </c>
      <c r="E244">
        <v>12</v>
      </c>
      <c r="F244" s="4">
        <f>E244*10000</f>
        <v>120000</v>
      </c>
      <c r="G244" s="4">
        <f>E244*5500</f>
        <v>66000</v>
      </c>
      <c r="H244" s="4">
        <f>E244*4500</f>
        <v>54000</v>
      </c>
    </row>
    <row r="245" spans="1:8" x14ac:dyDescent="0.25">
      <c r="D245" t="s">
        <v>404</v>
      </c>
      <c r="E245">
        <v>8</v>
      </c>
      <c r="F245" s="4">
        <f>E245*2000</f>
        <v>16000</v>
      </c>
      <c r="G245" s="4">
        <v>8000</v>
      </c>
      <c r="H245" s="4">
        <v>8000</v>
      </c>
    </row>
    <row r="246" spans="1:8" x14ac:dyDescent="0.25">
      <c r="D246" t="s">
        <v>437</v>
      </c>
      <c r="E246">
        <v>13</v>
      </c>
      <c r="F246" s="4">
        <f>E246*5000</f>
        <v>65000</v>
      </c>
      <c r="G246" s="4">
        <v>32500</v>
      </c>
      <c r="H246" s="4">
        <v>32500</v>
      </c>
    </row>
    <row r="247" spans="1:8" x14ac:dyDescent="0.25">
      <c r="A247" s="142" t="s">
        <v>17</v>
      </c>
      <c r="B247" s="142"/>
      <c r="C247" s="142"/>
      <c r="D247" s="142"/>
      <c r="E247" s="13">
        <f>SUM(E235:E246)</f>
        <v>339</v>
      </c>
      <c r="F247" s="13">
        <f t="shared" ref="F247:H247" si="34">SUM(F235:F246)</f>
        <v>800400</v>
      </c>
      <c r="G247" s="13">
        <f t="shared" si="34"/>
        <v>325000</v>
      </c>
      <c r="H247" s="13">
        <f t="shared" si="34"/>
        <v>475400</v>
      </c>
    </row>
    <row r="248" spans="1:8" x14ac:dyDescent="0.25">
      <c r="A248" t="s">
        <v>26</v>
      </c>
      <c r="B248" t="s">
        <v>665</v>
      </c>
      <c r="C248" t="s">
        <v>217</v>
      </c>
      <c r="D248" t="s">
        <v>11</v>
      </c>
      <c r="E248">
        <v>14</v>
      </c>
      <c r="F248" s="4">
        <f>E248*1500</f>
        <v>21000</v>
      </c>
      <c r="G248" s="4">
        <f>E248*500</f>
        <v>7000</v>
      </c>
      <c r="H248" s="4">
        <v>14000</v>
      </c>
    </row>
    <row r="249" spans="1:8" x14ac:dyDescent="0.25">
      <c r="D249" t="s">
        <v>13</v>
      </c>
      <c r="E249">
        <v>16</v>
      </c>
      <c r="F249" s="4">
        <f>E249*6500</f>
        <v>104000</v>
      </c>
      <c r="G249" s="4">
        <f>E249*4500</f>
        <v>72000</v>
      </c>
      <c r="H249" s="4">
        <f>E249*2000</f>
        <v>32000</v>
      </c>
    </row>
    <row r="250" spans="1:8" x14ac:dyDescent="0.25">
      <c r="D250" t="s">
        <v>14</v>
      </c>
      <c r="E250">
        <v>7</v>
      </c>
      <c r="F250" s="4">
        <f>E250*10000</f>
        <v>70000</v>
      </c>
      <c r="G250" s="4">
        <f>E250*5500</f>
        <v>38500</v>
      </c>
      <c r="H250" s="4">
        <f>E250*4500</f>
        <v>31500</v>
      </c>
    </row>
    <row r="251" spans="1:8" x14ac:dyDescent="0.25">
      <c r="D251" t="s">
        <v>404</v>
      </c>
      <c r="E251">
        <v>16</v>
      </c>
      <c r="F251" s="4">
        <f>E251*2000</f>
        <v>32000</v>
      </c>
      <c r="G251" s="4">
        <v>16000</v>
      </c>
      <c r="H251" s="4">
        <v>16000</v>
      </c>
    </row>
    <row r="252" spans="1:8" x14ac:dyDescent="0.25">
      <c r="D252" t="s">
        <v>437</v>
      </c>
      <c r="E252">
        <v>5</v>
      </c>
      <c r="F252" s="4">
        <f>E252*5000</f>
        <v>25000</v>
      </c>
      <c r="G252" s="4">
        <v>12500</v>
      </c>
      <c r="H252" s="4">
        <v>12500</v>
      </c>
    </row>
    <row r="253" spans="1:8" x14ac:dyDescent="0.25">
      <c r="D253" t="s">
        <v>441</v>
      </c>
      <c r="E253">
        <v>3</v>
      </c>
      <c r="F253" s="4">
        <f>E253*3000</f>
        <v>9000</v>
      </c>
      <c r="G253" s="4">
        <v>4500</v>
      </c>
      <c r="H253" s="4">
        <v>4500</v>
      </c>
    </row>
    <row r="254" spans="1:8" x14ac:dyDescent="0.25">
      <c r="C254" t="s">
        <v>16</v>
      </c>
      <c r="D254" t="s">
        <v>11</v>
      </c>
      <c r="E254">
        <v>70</v>
      </c>
      <c r="F254" s="4">
        <f>E254*1500</f>
        <v>105000</v>
      </c>
      <c r="G254" s="4">
        <f>E254*500</f>
        <v>35000</v>
      </c>
      <c r="H254" s="4">
        <v>70000</v>
      </c>
    </row>
    <row r="255" spans="1:8" x14ac:dyDescent="0.25">
      <c r="D255" t="s">
        <v>12</v>
      </c>
      <c r="E255">
        <v>2</v>
      </c>
      <c r="F255" s="4">
        <f>E255*3000</f>
        <v>6000</v>
      </c>
      <c r="G255" s="4">
        <v>4000</v>
      </c>
      <c r="H255" s="4">
        <v>2000</v>
      </c>
    </row>
    <row r="256" spans="1:8" x14ac:dyDescent="0.25">
      <c r="D256" t="s">
        <v>13</v>
      </c>
      <c r="E256">
        <v>2</v>
      </c>
      <c r="F256" s="4">
        <f>E256*6500</f>
        <v>13000</v>
      </c>
      <c r="G256" s="4">
        <f>E256*4500</f>
        <v>9000</v>
      </c>
      <c r="H256" s="4">
        <f>E256*2000</f>
        <v>4000</v>
      </c>
    </row>
    <row r="257" spans="1:8" x14ac:dyDescent="0.25">
      <c r="C257" t="s">
        <v>581</v>
      </c>
      <c r="D257" t="s">
        <v>11</v>
      </c>
      <c r="E257">
        <f>50+58+65+64+48+22+46+40+47+54</f>
        <v>494</v>
      </c>
      <c r="F257" s="4">
        <f>E257*1500</f>
        <v>741000</v>
      </c>
      <c r="G257" s="4">
        <f>E257*500</f>
        <v>247000</v>
      </c>
      <c r="H257" s="4">
        <f>E257*1000</f>
        <v>494000</v>
      </c>
    </row>
    <row r="258" spans="1:8" x14ac:dyDescent="0.25">
      <c r="A258" s="142" t="s">
        <v>17</v>
      </c>
      <c r="B258" s="142"/>
      <c r="C258" s="142"/>
      <c r="D258" s="142"/>
      <c r="E258" s="13">
        <f>SUM(E248:E257)</f>
        <v>629</v>
      </c>
      <c r="F258" s="13">
        <f t="shared" ref="F258:H258" si="35">SUM(F248:F257)</f>
        <v>1126000</v>
      </c>
      <c r="G258" s="13">
        <f t="shared" si="35"/>
        <v>445500</v>
      </c>
      <c r="H258" s="13">
        <f t="shared" si="35"/>
        <v>680500</v>
      </c>
    </row>
    <row r="259" spans="1:8" x14ac:dyDescent="0.25">
      <c r="A259" t="s">
        <v>28</v>
      </c>
      <c r="B259" t="s">
        <v>666</v>
      </c>
      <c r="C259" t="s">
        <v>399</v>
      </c>
      <c r="D259" t="s">
        <v>11</v>
      </c>
      <c r="E259">
        <v>4</v>
      </c>
      <c r="F259" s="4">
        <f>E259*2000</f>
        <v>8000</v>
      </c>
      <c r="G259" s="4">
        <f>E259*500</f>
        <v>2000</v>
      </c>
      <c r="H259" s="4">
        <f>E259*1500</f>
        <v>6000</v>
      </c>
    </row>
    <row r="260" spans="1:8" x14ac:dyDescent="0.25">
      <c r="D260" t="s">
        <v>13</v>
      </c>
      <c r="E260">
        <v>19</v>
      </c>
      <c r="F260" s="4">
        <f>E260*7000</f>
        <v>133000</v>
      </c>
      <c r="G260" s="4">
        <f>E260*4500</f>
        <v>85500</v>
      </c>
      <c r="H260" s="4">
        <f>E260*2500</f>
        <v>47500</v>
      </c>
    </row>
    <row r="261" spans="1:8" x14ac:dyDescent="0.25">
      <c r="D261" t="s">
        <v>14</v>
      </c>
      <c r="E261">
        <v>13</v>
      </c>
      <c r="F261" s="4">
        <f>E261*10000</f>
        <v>130000</v>
      </c>
      <c r="G261" s="4">
        <f>E261*5500</f>
        <v>71500</v>
      </c>
      <c r="H261" s="4">
        <f>E261*4500</f>
        <v>58500</v>
      </c>
    </row>
    <row r="262" spans="1:8" x14ac:dyDescent="0.25">
      <c r="D262" t="s">
        <v>21</v>
      </c>
      <c r="E262">
        <v>1</v>
      </c>
      <c r="F262" s="4">
        <v>15000</v>
      </c>
      <c r="G262" s="4">
        <v>10000</v>
      </c>
      <c r="H262" s="4">
        <v>5000</v>
      </c>
    </row>
    <row r="263" spans="1:8" x14ac:dyDescent="0.25">
      <c r="D263" t="s">
        <v>439</v>
      </c>
      <c r="E263">
        <v>1</v>
      </c>
      <c r="F263" s="4">
        <v>3000</v>
      </c>
      <c r="G263" s="4">
        <v>1500</v>
      </c>
      <c r="H263" s="4">
        <v>1500</v>
      </c>
    </row>
    <row r="264" spans="1:8" x14ac:dyDescent="0.25">
      <c r="C264" t="s">
        <v>16</v>
      </c>
      <c r="D264" t="s">
        <v>11</v>
      </c>
      <c r="E264">
        <v>100</v>
      </c>
      <c r="F264" s="4">
        <f>E264*1500</f>
        <v>150000</v>
      </c>
      <c r="G264" s="4">
        <f>E264*500</f>
        <v>50000</v>
      </c>
      <c r="H264" s="4">
        <f>E264*1000</f>
        <v>100000</v>
      </c>
    </row>
    <row r="265" spans="1:8" x14ac:dyDescent="0.25">
      <c r="D265" t="s">
        <v>12</v>
      </c>
      <c r="E265">
        <v>8</v>
      </c>
      <c r="F265" s="4">
        <f>E265*3000</f>
        <v>24000</v>
      </c>
      <c r="G265" s="4">
        <f>E265*2000</f>
        <v>16000</v>
      </c>
      <c r="H265" s="4">
        <v>8000</v>
      </c>
    </row>
    <row r="266" spans="1:8" x14ac:dyDescent="0.25">
      <c r="D266" t="s">
        <v>13</v>
      </c>
      <c r="E266">
        <v>2</v>
      </c>
      <c r="F266" s="4">
        <f>E266*6500</f>
        <v>13000</v>
      </c>
      <c r="G266" s="4">
        <f>E266*4500</f>
        <v>9000</v>
      </c>
      <c r="H266" s="4">
        <f>E266*2000</f>
        <v>4000</v>
      </c>
    </row>
    <row r="267" spans="1:8" x14ac:dyDescent="0.25">
      <c r="D267" t="s">
        <v>14</v>
      </c>
      <c r="E267">
        <v>1</v>
      </c>
      <c r="F267" s="4">
        <v>10000</v>
      </c>
      <c r="G267" s="4">
        <v>5500</v>
      </c>
      <c r="H267" s="4">
        <v>4500</v>
      </c>
    </row>
    <row r="268" spans="1:8" x14ac:dyDescent="0.25">
      <c r="A268" s="142" t="s">
        <v>17</v>
      </c>
      <c r="B268" s="142"/>
      <c r="C268" s="142"/>
      <c r="D268" s="142"/>
      <c r="E268" s="13">
        <f>SUM(E259:E267)</f>
        <v>149</v>
      </c>
      <c r="F268" s="13">
        <f t="shared" ref="F268:H268" si="36">SUM(F259:F267)</f>
        <v>486000</v>
      </c>
      <c r="G268" s="13">
        <f t="shared" si="36"/>
        <v>251000</v>
      </c>
      <c r="H268" s="13">
        <f t="shared" si="36"/>
        <v>235000</v>
      </c>
    </row>
    <row r="269" spans="1:8" x14ac:dyDescent="0.25">
      <c r="A269" t="s">
        <v>30</v>
      </c>
      <c r="B269" t="s">
        <v>667</v>
      </c>
      <c r="C269" t="s">
        <v>668</v>
      </c>
      <c r="D269" t="s">
        <v>11</v>
      </c>
      <c r="E269">
        <f>38-7</f>
        <v>31</v>
      </c>
      <c r="F269" s="4">
        <f>E269*1800</f>
        <v>55800</v>
      </c>
      <c r="G269" s="4">
        <f>E269*500</f>
        <v>15500</v>
      </c>
      <c r="H269" s="4">
        <f>E269*1300</f>
        <v>40300</v>
      </c>
    </row>
    <row r="270" spans="1:8" x14ac:dyDescent="0.25">
      <c r="C270" t="s">
        <v>572</v>
      </c>
      <c r="D270" t="s">
        <v>11</v>
      </c>
      <c r="E270">
        <v>16</v>
      </c>
      <c r="F270" s="4">
        <f>E270*1700</f>
        <v>27200</v>
      </c>
      <c r="G270" s="4">
        <f>E270*500</f>
        <v>8000</v>
      </c>
      <c r="H270" s="4">
        <f>E270*1200</f>
        <v>19200</v>
      </c>
    </row>
    <row r="271" spans="1:8" x14ac:dyDescent="0.25">
      <c r="C271" t="s">
        <v>217</v>
      </c>
      <c r="D271" t="s">
        <v>11</v>
      </c>
      <c r="E271">
        <v>13</v>
      </c>
      <c r="F271" s="4">
        <f>E271*1500</f>
        <v>19500</v>
      </c>
      <c r="G271" s="4">
        <f>E271*500</f>
        <v>6500</v>
      </c>
      <c r="H271" s="4">
        <v>13000</v>
      </c>
    </row>
    <row r="272" spans="1:8" x14ac:dyDescent="0.25">
      <c r="D272" t="s">
        <v>13</v>
      </c>
      <c r="E272">
        <v>2</v>
      </c>
      <c r="F272" s="4">
        <f>E272*6500</f>
        <v>13000</v>
      </c>
      <c r="G272" s="4">
        <f>E272*4500</f>
        <v>9000</v>
      </c>
      <c r="H272" s="4">
        <v>4000</v>
      </c>
    </row>
    <row r="273" spans="1:8" x14ac:dyDescent="0.25">
      <c r="D273" t="s">
        <v>14</v>
      </c>
      <c r="E273">
        <v>1</v>
      </c>
      <c r="F273" s="4">
        <v>10000</v>
      </c>
      <c r="G273" s="4">
        <v>5500</v>
      </c>
      <c r="H273" s="4">
        <v>4500</v>
      </c>
    </row>
    <row r="274" spans="1:8" x14ac:dyDescent="0.25">
      <c r="C274" t="s">
        <v>16</v>
      </c>
      <c r="D274" t="s">
        <v>11</v>
      </c>
      <c r="E274">
        <v>51</v>
      </c>
      <c r="F274" s="4">
        <f>E274*1500</f>
        <v>76500</v>
      </c>
      <c r="G274" s="4">
        <f>E274*500</f>
        <v>25500</v>
      </c>
      <c r="H274" s="4">
        <v>51000</v>
      </c>
    </row>
    <row r="275" spans="1:8" x14ac:dyDescent="0.25">
      <c r="D275" t="s">
        <v>12</v>
      </c>
      <c r="E275">
        <v>2</v>
      </c>
      <c r="F275" s="4">
        <f>E275*3000</f>
        <v>6000</v>
      </c>
      <c r="G275" s="4">
        <f>E275*2000</f>
        <v>4000</v>
      </c>
      <c r="H275" s="4">
        <v>2000</v>
      </c>
    </row>
    <row r="276" spans="1:8" x14ac:dyDescent="0.25">
      <c r="D276" t="s">
        <v>13</v>
      </c>
      <c r="E276">
        <v>1</v>
      </c>
      <c r="F276" s="4">
        <v>6500</v>
      </c>
      <c r="G276" s="4">
        <v>4500</v>
      </c>
      <c r="H276" s="4">
        <v>2000</v>
      </c>
    </row>
    <row r="277" spans="1:8" x14ac:dyDescent="0.25">
      <c r="C277" t="s">
        <v>24</v>
      </c>
      <c r="D277" t="s">
        <v>14</v>
      </c>
      <c r="E277">
        <v>2</v>
      </c>
      <c r="F277" s="4">
        <f>E277*10000</f>
        <v>20000</v>
      </c>
      <c r="G277" s="4">
        <f>E277*5500</f>
        <v>11000</v>
      </c>
      <c r="H277" s="4">
        <f>E277*4500</f>
        <v>9000</v>
      </c>
    </row>
    <row r="278" spans="1:8" x14ac:dyDescent="0.25">
      <c r="A278" s="142" t="s">
        <v>17</v>
      </c>
      <c r="B278" s="142"/>
      <c r="C278" s="142"/>
      <c r="D278" s="142"/>
      <c r="E278" s="13">
        <f>SUM(E269:E277)</f>
        <v>119</v>
      </c>
      <c r="F278" s="13">
        <f t="shared" ref="F278:H278" si="37">SUM(F269:F277)</f>
        <v>234500</v>
      </c>
      <c r="G278" s="13">
        <f t="shared" si="37"/>
        <v>89500</v>
      </c>
      <c r="H278" s="13">
        <f t="shared" si="37"/>
        <v>145000</v>
      </c>
    </row>
    <row r="279" spans="1:8" x14ac:dyDescent="0.25">
      <c r="A279" t="s">
        <v>32</v>
      </c>
      <c r="B279" t="s">
        <v>669</v>
      </c>
      <c r="C279" t="s">
        <v>338</v>
      </c>
      <c r="D279" t="s">
        <v>11</v>
      </c>
      <c r="E279">
        <f>72+68</f>
        <v>140</v>
      </c>
      <c r="F279" s="4">
        <f>E279*1800</f>
        <v>252000</v>
      </c>
      <c r="G279" s="4">
        <f>E279*500</f>
        <v>70000</v>
      </c>
      <c r="H279" s="4">
        <f>E279*1300</f>
        <v>182000</v>
      </c>
    </row>
    <row r="280" spans="1:8" x14ac:dyDescent="0.25">
      <c r="C280" t="s">
        <v>306</v>
      </c>
      <c r="D280" t="s">
        <v>11</v>
      </c>
      <c r="E280">
        <f>39-5</f>
        <v>34</v>
      </c>
      <c r="F280" s="4">
        <f>E280*1800</f>
        <v>61200</v>
      </c>
      <c r="G280" s="4">
        <f>E280*500</f>
        <v>17000</v>
      </c>
      <c r="H280" s="4">
        <f>E280*1300</f>
        <v>44200</v>
      </c>
    </row>
    <row r="281" spans="1:8" x14ac:dyDescent="0.25">
      <c r="C281" t="s">
        <v>104</v>
      </c>
      <c r="D281" t="s">
        <v>11</v>
      </c>
      <c r="E281">
        <f>35700/1700</f>
        <v>21</v>
      </c>
      <c r="F281" s="4">
        <f>E281*1700</f>
        <v>35700</v>
      </c>
      <c r="G281" s="4">
        <f>E281*500</f>
        <v>10500</v>
      </c>
      <c r="H281" s="4">
        <f>E281*1200</f>
        <v>25200</v>
      </c>
    </row>
    <row r="282" spans="1:8" x14ac:dyDescent="0.25">
      <c r="C282" t="s">
        <v>16</v>
      </c>
      <c r="D282" t="s">
        <v>11</v>
      </c>
      <c r="E282">
        <v>38</v>
      </c>
      <c r="F282" s="4">
        <f>E282*1500</f>
        <v>57000</v>
      </c>
      <c r="G282" s="4">
        <f>E282*500</f>
        <v>19000</v>
      </c>
      <c r="H282" s="4">
        <v>38000</v>
      </c>
    </row>
    <row r="283" spans="1:8" x14ac:dyDescent="0.25">
      <c r="D283" t="s">
        <v>12</v>
      </c>
      <c r="E283">
        <v>2</v>
      </c>
      <c r="F283" s="4">
        <f>E283*3000</f>
        <v>6000</v>
      </c>
      <c r="G283" s="4">
        <v>4000</v>
      </c>
      <c r="H283" s="4">
        <v>2000</v>
      </c>
    </row>
    <row r="284" spans="1:8" x14ac:dyDescent="0.25">
      <c r="D284" t="s">
        <v>13</v>
      </c>
      <c r="E284">
        <v>2</v>
      </c>
      <c r="F284" s="4">
        <f>E284*6500</f>
        <v>13000</v>
      </c>
      <c r="G284" s="4">
        <f>E284*4500</f>
        <v>9000</v>
      </c>
      <c r="H284" s="4">
        <v>4000</v>
      </c>
    </row>
    <row r="285" spans="1:8" x14ac:dyDescent="0.25">
      <c r="D285" t="s">
        <v>243</v>
      </c>
      <c r="E285">
        <v>1</v>
      </c>
      <c r="F285" s="4">
        <v>13000</v>
      </c>
      <c r="G285" s="4">
        <v>10000</v>
      </c>
      <c r="H285" s="4">
        <v>3000</v>
      </c>
    </row>
    <row r="286" spans="1:8" x14ac:dyDescent="0.25">
      <c r="C286" t="s">
        <v>24</v>
      </c>
      <c r="D286" t="s">
        <v>14</v>
      </c>
      <c r="E286">
        <v>5</v>
      </c>
      <c r="F286" s="4">
        <f>E286*10000</f>
        <v>50000</v>
      </c>
      <c r="G286" s="4">
        <f>E286*5500</f>
        <v>27500</v>
      </c>
      <c r="H286" s="4">
        <f>E286*4500</f>
        <v>22500</v>
      </c>
    </row>
    <row r="287" spans="1:8" x14ac:dyDescent="0.25">
      <c r="A287" s="142" t="s">
        <v>17</v>
      </c>
      <c r="B287" s="142"/>
      <c r="C287" s="142"/>
      <c r="D287" s="142"/>
      <c r="E287" s="13">
        <f>SUM(E279:E286)</f>
        <v>243</v>
      </c>
      <c r="F287" s="13">
        <f t="shared" ref="F287:H287" si="38">SUM(F279:F286)</f>
        <v>487900</v>
      </c>
      <c r="G287" s="13">
        <f t="shared" si="38"/>
        <v>167000</v>
      </c>
      <c r="H287" s="13">
        <f t="shared" si="38"/>
        <v>320900</v>
      </c>
    </row>
    <row r="288" spans="1:8" x14ac:dyDescent="0.25">
      <c r="A288" t="s">
        <v>8</v>
      </c>
      <c r="B288" t="s">
        <v>670</v>
      </c>
      <c r="C288" t="s">
        <v>338</v>
      </c>
      <c r="D288" t="s">
        <v>11</v>
      </c>
      <c r="E288">
        <v>70</v>
      </c>
      <c r="F288" s="4">
        <f>E288*1800</f>
        <v>126000</v>
      </c>
      <c r="G288" s="4">
        <f t="shared" ref="G288:G294" si="39">E288*500</f>
        <v>35000</v>
      </c>
      <c r="H288" s="4">
        <f>E288*1300</f>
        <v>91000</v>
      </c>
    </row>
    <row r="289" spans="1:8" x14ac:dyDescent="0.25">
      <c r="C289" t="s">
        <v>306</v>
      </c>
      <c r="D289" t="s">
        <v>11</v>
      </c>
      <c r="E289">
        <f>45-12</f>
        <v>33</v>
      </c>
      <c r="F289" s="4">
        <f>E289*1800</f>
        <v>59400</v>
      </c>
      <c r="G289" s="4">
        <f t="shared" si="39"/>
        <v>16500</v>
      </c>
      <c r="H289" s="4">
        <f>E289*1300</f>
        <v>42900</v>
      </c>
    </row>
    <row r="290" spans="1:8" x14ac:dyDescent="0.25">
      <c r="C290" t="s">
        <v>571</v>
      </c>
      <c r="E290">
        <v>17</v>
      </c>
      <c r="F290" s="4">
        <f>E290*1700</f>
        <v>28900</v>
      </c>
      <c r="G290" s="4">
        <f t="shared" si="39"/>
        <v>8500</v>
      </c>
      <c r="H290" s="4">
        <f>E290*1200</f>
        <v>20400</v>
      </c>
    </row>
    <row r="291" spans="1:8" x14ac:dyDescent="0.25">
      <c r="C291" t="s">
        <v>572</v>
      </c>
      <c r="D291" t="s">
        <v>11</v>
      </c>
      <c r="E291">
        <v>30</v>
      </c>
      <c r="F291" s="4">
        <f>E291*1700</f>
        <v>51000</v>
      </c>
      <c r="G291" s="4">
        <f t="shared" si="39"/>
        <v>15000</v>
      </c>
      <c r="H291" s="4">
        <f>E291*1200</f>
        <v>36000</v>
      </c>
    </row>
    <row r="292" spans="1:8" x14ac:dyDescent="0.25">
      <c r="C292" t="s">
        <v>209</v>
      </c>
      <c r="D292" t="s">
        <v>11</v>
      </c>
      <c r="E292">
        <v>22</v>
      </c>
      <c r="F292" s="4">
        <f>E292*1500</f>
        <v>33000</v>
      </c>
      <c r="G292" s="4">
        <f t="shared" si="39"/>
        <v>11000</v>
      </c>
      <c r="H292" s="4">
        <v>22000</v>
      </c>
    </row>
    <row r="293" spans="1:8" x14ac:dyDescent="0.25">
      <c r="C293" t="s">
        <v>104</v>
      </c>
      <c r="D293" t="s">
        <v>11</v>
      </c>
      <c r="E293">
        <f>56100/1700</f>
        <v>33</v>
      </c>
      <c r="F293" s="4">
        <f>E293*1700</f>
        <v>56100</v>
      </c>
      <c r="G293" s="4">
        <f t="shared" si="39"/>
        <v>16500</v>
      </c>
      <c r="H293" s="4">
        <f>E293*1200</f>
        <v>39600</v>
      </c>
    </row>
    <row r="294" spans="1:8" x14ac:dyDescent="0.25">
      <c r="C294" t="s">
        <v>16</v>
      </c>
      <c r="D294" t="s">
        <v>11</v>
      </c>
      <c r="E294">
        <v>66</v>
      </c>
      <c r="F294" s="4">
        <f>E294*1500</f>
        <v>99000</v>
      </c>
      <c r="G294" s="4">
        <f t="shared" si="39"/>
        <v>33000</v>
      </c>
      <c r="H294" s="4">
        <v>66000</v>
      </c>
    </row>
    <row r="295" spans="1:8" x14ac:dyDescent="0.25">
      <c r="D295" t="s">
        <v>12</v>
      </c>
      <c r="E295">
        <v>6</v>
      </c>
      <c r="F295" s="4">
        <f>E295*3000</f>
        <v>18000</v>
      </c>
      <c r="G295" s="4">
        <v>12000</v>
      </c>
      <c r="H295" s="4">
        <v>6000</v>
      </c>
    </row>
    <row r="296" spans="1:8" x14ac:dyDescent="0.25">
      <c r="A296" s="142" t="s">
        <v>17</v>
      </c>
      <c r="B296" s="142"/>
      <c r="C296" s="142"/>
      <c r="D296" s="142"/>
      <c r="E296" s="13">
        <f>SUM(E288:E295)</f>
        <v>277</v>
      </c>
      <c r="F296" s="13">
        <f t="shared" ref="F296:H296" si="40">SUM(F288:F295)</f>
        <v>471400</v>
      </c>
      <c r="G296" s="13">
        <f t="shared" si="40"/>
        <v>147500</v>
      </c>
      <c r="H296" s="13">
        <f t="shared" si="40"/>
        <v>323900</v>
      </c>
    </row>
    <row r="297" spans="1:8" x14ac:dyDescent="0.25">
      <c r="A297" t="s">
        <v>18</v>
      </c>
      <c r="B297" t="s">
        <v>671</v>
      </c>
      <c r="C297" t="s">
        <v>338</v>
      </c>
      <c r="D297" t="s">
        <v>11</v>
      </c>
      <c r="E297">
        <f>75-17</f>
        <v>58</v>
      </c>
      <c r="F297" s="4">
        <f>E297*1800</f>
        <v>104400</v>
      </c>
      <c r="G297" s="4">
        <f>E297*500</f>
        <v>29000</v>
      </c>
      <c r="H297" s="4">
        <f>E297*1300</f>
        <v>75400</v>
      </c>
    </row>
    <row r="298" spans="1:8" x14ac:dyDescent="0.25">
      <c r="C298" t="s">
        <v>306</v>
      </c>
      <c r="D298" t="s">
        <v>11</v>
      </c>
      <c r="E298">
        <v>29</v>
      </c>
      <c r="F298" s="4">
        <f>E298*1800</f>
        <v>52200</v>
      </c>
      <c r="G298" s="4">
        <f>E298*500</f>
        <v>14500</v>
      </c>
      <c r="H298" s="4">
        <f>E298*1300</f>
        <v>37700</v>
      </c>
    </row>
    <row r="299" spans="1:8" x14ac:dyDescent="0.25">
      <c r="C299" t="s">
        <v>16</v>
      </c>
      <c r="D299" t="s">
        <v>11</v>
      </c>
      <c r="E299">
        <v>45</v>
      </c>
      <c r="F299" s="4">
        <f>E299*1500</f>
        <v>67500</v>
      </c>
      <c r="G299" s="4">
        <f>E299*500</f>
        <v>22500</v>
      </c>
      <c r="H299" s="4">
        <v>45000</v>
      </c>
    </row>
    <row r="300" spans="1:8" x14ac:dyDescent="0.25">
      <c r="D300" t="s">
        <v>12</v>
      </c>
      <c r="E300">
        <v>6</v>
      </c>
      <c r="F300" s="4">
        <f>E300*3000</f>
        <v>18000</v>
      </c>
      <c r="G300" s="4">
        <v>12000</v>
      </c>
      <c r="H300" s="4">
        <v>6000</v>
      </c>
    </row>
    <row r="301" spans="1:8" x14ac:dyDescent="0.25">
      <c r="C301" t="s">
        <v>217</v>
      </c>
      <c r="D301" t="s">
        <v>11</v>
      </c>
      <c r="E301">
        <v>18</v>
      </c>
      <c r="F301" s="4">
        <f>E301*1500</f>
        <v>27000</v>
      </c>
      <c r="G301" s="4">
        <f>E301*500</f>
        <v>9000</v>
      </c>
      <c r="H301" s="4">
        <v>18000</v>
      </c>
    </row>
    <row r="302" spans="1:8" x14ac:dyDescent="0.25">
      <c r="D302" t="s">
        <v>13</v>
      </c>
      <c r="E302">
        <v>9</v>
      </c>
      <c r="F302" s="4">
        <f>E302*6500</f>
        <v>58500</v>
      </c>
      <c r="G302" s="4">
        <f>E302*4500</f>
        <v>40500</v>
      </c>
      <c r="H302" s="4">
        <f>E302*2000</f>
        <v>18000</v>
      </c>
    </row>
    <row r="303" spans="1:8" x14ac:dyDescent="0.25">
      <c r="D303" t="s">
        <v>14</v>
      </c>
      <c r="E303">
        <v>6</v>
      </c>
      <c r="F303" s="4">
        <f>E303*10000</f>
        <v>60000</v>
      </c>
      <c r="G303" s="4">
        <f>E303*5500</f>
        <v>33000</v>
      </c>
      <c r="H303" s="4">
        <f>E303*4500</f>
        <v>27000</v>
      </c>
    </row>
    <row r="304" spans="1:8" x14ac:dyDescent="0.25">
      <c r="D304" t="s">
        <v>404</v>
      </c>
      <c r="E304">
        <v>4</v>
      </c>
      <c r="F304" s="4">
        <f>E304*2000</f>
        <v>8000</v>
      </c>
      <c r="G304" s="4">
        <v>4000</v>
      </c>
      <c r="H304" s="4">
        <v>4000</v>
      </c>
    </row>
    <row r="305" spans="1:8" x14ac:dyDescent="0.25">
      <c r="C305" t="s">
        <v>127</v>
      </c>
      <c r="D305" t="s">
        <v>21</v>
      </c>
      <c r="E305">
        <v>5</v>
      </c>
      <c r="F305" s="4">
        <f>E305*15000</f>
        <v>75000</v>
      </c>
      <c r="G305" s="4">
        <v>50000</v>
      </c>
      <c r="H305" s="4">
        <v>25000</v>
      </c>
    </row>
    <row r="306" spans="1:8" x14ac:dyDescent="0.25">
      <c r="D306" t="s">
        <v>243</v>
      </c>
      <c r="E306">
        <v>1</v>
      </c>
      <c r="F306" s="4">
        <v>13000</v>
      </c>
      <c r="G306" s="4">
        <v>10000</v>
      </c>
      <c r="H306" s="4">
        <v>3000</v>
      </c>
    </row>
    <row r="307" spans="1:8" x14ac:dyDescent="0.25">
      <c r="C307" t="s">
        <v>24</v>
      </c>
      <c r="D307" t="s">
        <v>243</v>
      </c>
      <c r="E307">
        <v>4</v>
      </c>
      <c r="F307" s="4">
        <f>E307*13000</f>
        <v>52000</v>
      </c>
      <c r="G307" s="4">
        <f>E307*10000</f>
        <v>40000</v>
      </c>
      <c r="H307" s="4">
        <v>12000</v>
      </c>
    </row>
    <row r="308" spans="1:8" x14ac:dyDescent="0.25">
      <c r="C308" t="s">
        <v>24</v>
      </c>
      <c r="D308" t="s">
        <v>14</v>
      </c>
      <c r="E308">
        <v>3</v>
      </c>
      <c r="F308" s="4">
        <f>E308*10000</f>
        <v>30000</v>
      </c>
      <c r="G308" s="4">
        <f>E308*5500</f>
        <v>16500</v>
      </c>
      <c r="H308" s="4">
        <f>E308*4500</f>
        <v>13500</v>
      </c>
    </row>
    <row r="309" spans="1:8" x14ac:dyDescent="0.25">
      <c r="A309" s="142" t="s">
        <v>17</v>
      </c>
      <c r="B309" s="142"/>
      <c r="C309" s="142"/>
      <c r="D309" s="142"/>
      <c r="E309" s="13">
        <f>SUM(E297:E308)</f>
        <v>188</v>
      </c>
      <c r="F309" s="13">
        <f t="shared" ref="F309:H309" si="41">SUM(F297:F308)</f>
        <v>565600</v>
      </c>
      <c r="G309" s="13">
        <f t="shared" si="41"/>
        <v>281000</v>
      </c>
      <c r="H309" s="13">
        <f t="shared" si="41"/>
        <v>284600</v>
      </c>
    </row>
    <row r="310" spans="1:8" x14ac:dyDescent="0.25">
      <c r="A310" t="s">
        <v>22</v>
      </c>
      <c r="B310" t="s">
        <v>672</v>
      </c>
      <c r="C310" t="s">
        <v>338</v>
      </c>
      <c r="D310" t="s">
        <v>11</v>
      </c>
      <c r="E310">
        <v>75</v>
      </c>
      <c r="F310" s="4">
        <f>E310*1800</f>
        <v>135000</v>
      </c>
      <c r="G310" s="4">
        <f>E310*500</f>
        <v>37500</v>
      </c>
      <c r="H310" s="4">
        <f>E310*1300</f>
        <v>97500</v>
      </c>
    </row>
    <row r="311" spans="1:8" x14ac:dyDescent="0.25">
      <c r="C311" t="s">
        <v>306</v>
      </c>
      <c r="D311" t="s">
        <v>11</v>
      </c>
      <c r="E311">
        <f>45-18</f>
        <v>27</v>
      </c>
      <c r="F311" s="4">
        <f>E311*1800</f>
        <v>48600</v>
      </c>
      <c r="G311" s="4">
        <f>E311*500</f>
        <v>13500</v>
      </c>
      <c r="H311" s="4">
        <f>E311*1300</f>
        <v>35100</v>
      </c>
    </row>
    <row r="312" spans="1:8" x14ac:dyDescent="0.25">
      <c r="C312" t="s">
        <v>572</v>
      </c>
      <c r="D312" t="s">
        <v>11</v>
      </c>
      <c r="E312">
        <v>30</v>
      </c>
      <c r="F312" s="4">
        <f>E312*1700</f>
        <v>51000</v>
      </c>
      <c r="G312" s="4">
        <f>E312*500</f>
        <v>15000</v>
      </c>
      <c r="H312" s="4">
        <f>E312*1200</f>
        <v>36000</v>
      </c>
    </row>
    <row r="313" spans="1:8" x14ac:dyDescent="0.25">
      <c r="C313" t="s">
        <v>104</v>
      </c>
      <c r="D313" t="s">
        <v>11</v>
      </c>
      <c r="E313">
        <v>50</v>
      </c>
      <c r="F313" s="4">
        <f>E313*1700</f>
        <v>85000</v>
      </c>
      <c r="G313" s="4">
        <f>E313*500</f>
        <v>25000</v>
      </c>
      <c r="H313" s="4">
        <f>E313*1200</f>
        <v>60000</v>
      </c>
    </row>
    <row r="314" spans="1:8" x14ac:dyDescent="0.25">
      <c r="C314" t="s">
        <v>209</v>
      </c>
      <c r="D314" t="s">
        <v>11</v>
      </c>
      <c r="E314">
        <v>22</v>
      </c>
      <c r="F314" s="4">
        <f>E314*1500</f>
        <v>33000</v>
      </c>
      <c r="G314" s="4">
        <f>E314*500</f>
        <v>11000</v>
      </c>
      <c r="H314" s="4">
        <f>E314*1000</f>
        <v>22000</v>
      </c>
    </row>
    <row r="315" spans="1:8" x14ac:dyDescent="0.25">
      <c r="C315" t="s">
        <v>646</v>
      </c>
      <c r="D315" t="s">
        <v>11</v>
      </c>
      <c r="E315">
        <f>50+50+50+50+50+50+35+54</f>
        <v>389</v>
      </c>
      <c r="F315" s="4">
        <f t="shared" ref="F315:F316" si="42">E315*1500</f>
        <v>583500</v>
      </c>
      <c r="G315" s="4">
        <f t="shared" ref="G315:G316" si="43">E315*500</f>
        <v>194500</v>
      </c>
      <c r="H315" s="4">
        <f t="shared" ref="H315:H316" si="44">E315*1000</f>
        <v>389000</v>
      </c>
    </row>
    <row r="316" spans="1:8" x14ac:dyDescent="0.25">
      <c r="C316" t="s">
        <v>217</v>
      </c>
      <c r="D316" t="s">
        <v>11</v>
      </c>
      <c r="E316">
        <v>18</v>
      </c>
      <c r="F316" s="4">
        <f t="shared" si="42"/>
        <v>27000</v>
      </c>
      <c r="G316" s="4">
        <f t="shared" si="43"/>
        <v>9000</v>
      </c>
      <c r="H316" s="4">
        <f t="shared" si="44"/>
        <v>18000</v>
      </c>
    </row>
    <row r="317" spans="1:8" x14ac:dyDescent="0.25">
      <c r="D317" t="s">
        <v>13</v>
      </c>
      <c r="E317">
        <v>9</v>
      </c>
      <c r="F317" s="4">
        <f>E317*6500</f>
        <v>58500</v>
      </c>
      <c r="G317" s="4">
        <f>E317*4500</f>
        <v>40500</v>
      </c>
      <c r="H317" s="4">
        <f>E317*2000</f>
        <v>18000</v>
      </c>
    </row>
    <row r="318" spans="1:8" x14ac:dyDescent="0.25">
      <c r="D318" t="s">
        <v>14</v>
      </c>
      <c r="E318">
        <v>6</v>
      </c>
      <c r="F318" s="4">
        <f>E318*10000</f>
        <v>60000</v>
      </c>
      <c r="G318" s="4">
        <f>E318*5500</f>
        <v>33000</v>
      </c>
      <c r="H318" s="4">
        <f>E318*4500</f>
        <v>27000</v>
      </c>
    </row>
    <row r="319" spans="1:8" x14ac:dyDescent="0.25">
      <c r="D319" t="s">
        <v>404</v>
      </c>
      <c r="E319">
        <v>4</v>
      </c>
      <c r="F319" s="4">
        <f>E319*2000</f>
        <v>8000</v>
      </c>
      <c r="G319" s="4">
        <v>4000</v>
      </c>
      <c r="H319" s="4">
        <v>4000</v>
      </c>
    </row>
    <row r="320" spans="1:8" x14ac:dyDescent="0.25">
      <c r="C320" t="s">
        <v>16</v>
      </c>
      <c r="D320" t="s">
        <v>11</v>
      </c>
      <c r="E320">
        <v>45</v>
      </c>
      <c r="F320" s="4">
        <f>E320*1500</f>
        <v>67500</v>
      </c>
      <c r="G320" s="4">
        <f>E320*500</f>
        <v>22500</v>
      </c>
      <c r="H320" s="4">
        <v>45000</v>
      </c>
    </row>
    <row r="321" spans="1:8" x14ac:dyDescent="0.25">
      <c r="D321" t="s">
        <v>12</v>
      </c>
      <c r="E321">
        <v>6</v>
      </c>
      <c r="F321" s="4">
        <f>E321*3000</f>
        <v>18000</v>
      </c>
      <c r="G321" s="4">
        <v>12000</v>
      </c>
      <c r="H321" s="4">
        <v>6000</v>
      </c>
    </row>
    <row r="322" spans="1:8" x14ac:dyDescent="0.25">
      <c r="A322" s="142" t="s">
        <v>17</v>
      </c>
      <c r="B322" s="142"/>
      <c r="C322" s="142"/>
      <c r="D322" s="142"/>
      <c r="E322" s="13">
        <f>SUM(E310:E321)</f>
        <v>681</v>
      </c>
      <c r="F322" s="13">
        <f>SUM(F310:F321)</f>
        <v>1175100</v>
      </c>
      <c r="G322" s="13">
        <f>SUM(G310:G321)</f>
        <v>417500</v>
      </c>
      <c r="H322" s="13">
        <f>SUM(H310:H321)</f>
        <v>757600</v>
      </c>
    </row>
    <row r="323" spans="1:8" x14ac:dyDescent="0.25">
      <c r="A323" t="s">
        <v>22</v>
      </c>
      <c r="B323" t="s">
        <v>672</v>
      </c>
      <c r="C323" t="s">
        <v>16</v>
      </c>
      <c r="D323" t="s">
        <v>11</v>
      </c>
      <c r="E323">
        <v>79</v>
      </c>
      <c r="F323" s="4">
        <f>E323*1500</f>
        <v>118500</v>
      </c>
      <c r="G323" s="4">
        <f>E323*500</f>
        <v>39500</v>
      </c>
      <c r="H323" s="4">
        <v>79000</v>
      </c>
    </row>
    <row r="324" spans="1:8" x14ac:dyDescent="0.25">
      <c r="D324" t="s">
        <v>12</v>
      </c>
      <c r="E324">
        <v>4</v>
      </c>
      <c r="F324" s="4">
        <f>E324*3000</f>
        <v>12000</v>
      </c>
      <c r="G324" s="4">
        <v>8000</v>
      </c>
      <c r="H324" s="4">
        <v>4000</v>
      </c>
    </row>
    <row r="325" spans="1:8" x14ac:dyDescent="0.25">
      <c r="C325" t="s">
        <v>217</v>
      </c>
      <c r="D325" t="s">
        <v>11</v>
      </c>
      <c r="E325">
        <v>13</v>
      </c>
      <c r="F325" s="4">
        <f>E325*1500</f>
        <v>19500</v>
      </c>
      <c r="G325" s="4">
        <f>E325*500</f>
        <v>6500</v>
      </c>
      <c r="H325" s="4">
        <v>13000</v>
      </c>
    </row>
    <row r="326" spans="1:8" x14ac:dyDescent="0.25">
      <c r="D326" t="s">
        <v>14</v>
      </c>
      <c r="E326">
        <v>5</v>
      </c>
      <c r="F326" s="4">
        <f>E326*10000</f>
        <v>50000</v>
      </c>
      <c r="G326" s="4">
        <f>E326*5500</f>
        <v>27500</v>
      </c>
      <c r="H326" s="4">
        <f>E326*4500</f>
        <v>22500</v>
      </c>
    </row>
    <row r="327" spans="1:8" x14ac:dyDescent="0.25">
      <c r="A327" s="142" t="s">
        <v>17</v>
      </c>
      <c r="B327" s="142"/>
      <c r="C327" s="142"/>
      <c r="D327" s="142"/>
      <c r="E327" s="13">
        <f>SUM(E323:E326)</f>
        <v>101</v>
      </c>
      <c r="F327" s="13">
        <f t="shared" ref="F327:H327" si="45">SUM(F323:F326)</f>
        <v>200000</v>
      </c>
      <c r="G327" s="13">
        <f t="shared" si="45"/>
        <v>81500</v>
      </c>
      <c r="H327" s="13">
        <f t="shared" si="45"/>
        <v>118500</v>
      </c>
    </row>
    <row r="328" spans="1:8" x14ac:dyDescent="0.25">
      <c r="A328" t="s">
        <v>26</v>
      </c>
      <c r="B328" t="s">
        <v>673</v>
      </c>
      <c r="C328" t="s">
        <v>217</v>
      </c>
      <c r="D328" t="s">
        <v>11</v>
      </c>
      <c r="E328">
        <v>29</v>
      </c>
      <c r="F328" s="4">
        <f>E328*1500</f>
        <v>43500</v>
      </c>
      <c r="G328" s="4">
        <f>E328*500</f>
        <v>14500</v>
      </c>
      <c r="H328" s="4">
        <v>29000</v>
      </c>
    </row>
    <row r="329" spans="1:8" x14ac:dyDescent="0.25">
      <c r="D329" t="s">
        <v>13</v>
      </c>
      <c r="E329">
        <v>6</v>
      </c>
      <c r="F329" s="4">
        <f>E329*6500</f>
        <v>39000</v>
      </c>
      <c r="G329" s="4">
        <f>E329*4500</f>
        <v>27000</v>
      </c>
      <c r="H329" s="4">
        <f>E329*2000</f>
        <v>12000</v>
      </c>
    </row>
    <row r="330" spans="1:8" x14ac:dyDescent="0.25">
      <c r="D330" t="s">
        <v>14</v>
      </c>
      <c r="E330">
        <v>2</v>
      </c>
      <c r="F330" s="4">
        <f>E330*10000</f>
        <v>20000</v>
      </c>
      <c r="G330" s="4">
        <f>E330*5500</f>
        <v>11000</v>
      </c>
      <c r="H330" s="4">
        <f>E330*4500</f>
        <v>9000</v>
      </c>
    </row>
    <row r="331" spans="1:8" x14ac:dyDescent="0.25">
      <c r="D331" t="s">
        <v>404</v>
      </c>
      <c r="E331">
        <v>3</v>
      </c>
      <c r="F331" s="4">
        <f>E331*2000</f>
        <v>6000</v>
      </c>
      <c r="G331" s="4">
        <v>3000</v>
      </c>
      <c r="H331" s="4">
        <v>3000</v>
      </c>
    </row>
    <row r="332" spans="1:8" x14ac:dyDescent="0.25">
      <c r="C332" t="s">
        <v>16</v>
      </c>
      <c r="D332" t="s">
        <v>11</v>
      </c>
      <c r="E332">
        <v>100</v>
      </c>
      <c r="F332" s="4">
        <f>E332*1500</f>
        <v>150000</v>
      </c>
      <c r="G332" s="4">
        <f>E332*500</f>
        <v>50000</v>
      </c>
      <c r="H332" s="4">
        <v>100000</v>
      </c>
    </row>
    <row r="333" spans="1:8" x14ac:dyDescent="0.25">
      <c r="D333" t="s">
        <v>12</v>
      </c>
      <c r="E333">
        <v>13</v>
      </c>
      <c r="F333" s="4">
        <f>E333*3000</f>
        <v>39000</v>
      </c>
      <c r="G333" s="4">
        <f>E333*2000</f>
        <v>26000</v>
      </c>
      <c r="H333" s="4">
        <v>13000</v>
      </c>
    </row>
    <row r="334" spans="1:8" x14ac:dyDescent="0.25">
      <c r="D334" t="s">
        <v>13</v>
      </c>
      <c r="E334">
        <v>3</v>
      </c>
      <c r="F334" s="4">
        <f>E334*6500</f>
        <v>19500</v>
      </c>
      <c r="G334" s="4">
        <f>E334*4500</f>
        <v>13500</v>
      </c>
      <c r="H334" s="4">
        <f>E334*2000</f>
        <v>6000</v>
      </c>
    </row>
    <row r="335" spans="1:8" x14ac:dyDescent="0.25">
      <c r="D335" t="s">
        <v>14</v>
      </c>
      <c r="E335">
        <v>2</v>
      </c>
      <c r="F335" s="4">
        <f>E335*10000</f>
        <v>20000</v>
      </c>
      <c r="G335" s="4">
        <f>E335*5500</f>
        <v>11000</v>
      </c>
      <c r="H335" s="4">
        <f>E335*4500</f>
        <v>9000</v>
      </c>
    </row>
    <row r="336" spans="1:8" x14ac:dyDescent="0.25">
      <c r="A336" s="142" t="s">
        <v>17</v>
      </c>
      <c r="B336" s="142"/>
      <c r="C336" s="142"/>
      <c r="D336" s="142"/>
      <c r="E336" s="13">
        <f>SUM(E328:E335)</f>
        <v>158</v>
      </c>
      <c r="F336" s="13">
        <f t="shared" ref="F336:H336" si="46">SUM(F328:F335)</f>
        <v>337000</v>
      </c>
      <c r="G336" s="13">
        <f t="shared" si="46"/>
        <v>156000</v>
      </c>
      <c r="H336" s="13">
        <f t="shared" si="46"/>
        <v>181000</v>
      </c>
    </row>
    <row r="337" spans="1:8" x14ac:dyDescent="0.25">
      <c r="A337" t="s">
        <v>28</v>
      </c>
      <c r="B337" t="s">
        <v>674</v>
      </c>
      <c r="C337" t="s">
        <v>399</v>
      </c>
      <c r="D337" t="s">
        <v>11</v>
      </c>
      <c r="E337">
        <v>3</v>
      </c>
      <c r="F337" s="4">
        <f>E337*2000</f>
        <v>6000</v>
      </c>
      <c r="G337" s="4">
        <f>E337*500</f>
        <v>1500</v>
      </c>
      <c r="H337" s="4">
        <v>3000</v>
      </c>
    </row>
    <row r="338" spans="1:8" x14ac:dyDescent="0.25">
      <c r="D338" t="s">
        <v>13</v>
      </c>
      <c r="E338">
        <v>18</v>
      </c>
      <c r="F338" s="4">
        <f>E338*7000</f>
        <v>126000</v>
      </c>
      <c r="G338" s="4">
        <f>E338*4500</f>
        <v>81000</v>
      </c>
      <c r="H338" s="4">
        <f>E338*2500</f>
        <v>45000</v>
      </c>
    </row>
    <row r="339" spans="1:8" x14ac:dyDescent="0.25">
      <c r="D339" t="s">
        <v>14</v>
      </c>
      <c r="E339">
        <v>12</v>
      </c>
      <c r="F339" s="4">
        <f>E339*10000</f>
        <v>120000</v>
      </c>
      <c r="G339" s="4">
        <f>E339*5500</f>
        <v>66000</v>
      </c>
      <c r="H339" s="4">
        <f>E339*4500</f>
        <v>54000</v>
      </c>
    </row>
    <row r="340" spans="1:8" x14ac:dyDescent="0.25">
      <c r="C340" t="s">
        <v>16</v>
      </c>
      <c r="D340" t="s">
        <v>11</v>
      </c>
      <c r="E340">
        <v>67</v>
      </c>
      <c r="F340" s="4">
        <f>E340*1500</f>
        <v>100500</v>
      </c>
      <c r="G340" s="4">
        <f>E340*500</f>
        <v>33500</v>
      </c>
      <c r="H340" s="4">
        <v>67000</v>
      </c>
    </row>
    <row r="341" spans="1:8" x14ac:dyDescent="0.25">
      <c r="A341" s="142" t="s">
        <v>17</v>
      </c>
      <c r="B341" s="142"/>
      <c r="C341" s="142"/>
      <c r="D341" s="142"/>
      <c r="E341" s="13">
        <f>SUM(E337:E340)</f>
        <v>100</v>
      </c>
      <c r="F341" s="13">
        <f t="shared" ref="F341:H341" si="47">SUM(F337:F340)</f>
        <v>352500</v>
      </c>
      <c r="G341" s="13">
        <f t="shared" si="47"/>
        <v>182000</v>
      </c>
      <c r="H341" s="13">
        <f t="shared" si="47"/>
        <v>169000</v>
      </c>
    </row>
    <row r="342" spans="1:8" x14ac:dyDescent="0.25">
      <c r="A342" t="s">
        <v>30</v>
      </c>
      <c r="B342" t="s">
        <v>675</v>
      </c>
      <c r="C342" t="s">
        <v>338</v>
      </c>
      <c r="D342" t="s">
        <v>11</v>
      </c>
      <c r="E342">
        <v>75</v>
      </c>
      <c r="F342" s="4">
        <f>E342*1800</f>
        <v>135000</v>
      </c>
      <c r="G342" s="4">
        <f t="shared" ref="G342:G347" si="48">E342*500</f>
        <v>37500</v>
      </c>
      <c r="H342" s="4">
        <v>75000</v>
      </c>
    </row>
    <row r="343" spans="1:8" x14ac:dyDescent="0.25">
      <c r="C343" t="s">
        <v>306</v>
      </c>
      <c r="D343" t="s">
        <v>11</v>
      </c>
      <c r="E343">
        <f>45-27</f>
        <v>18</v>
      </c>
      <c r="F343" s="4">
        <f>E343*1800</f>
        <v>32400</v>
      </c>
      <c r="G343" s="4">
        <f t="shared" si="48"/>
        <v>9000</v>
      </c>
      <c r="H343" s="4">
        <f>E343*1300</f>
        <v>23400</v>
      </c>
    </row>
    <row r="344" spans="1:8" x14ac:dyDescent="0.25">
      <c r="C344" t="s">
        <v>104</v>
      </c>
      <c r="D344" t="s">
        <v>11</v>
      </c>
      <c r="E344">
        <v>56</v>
      </c>
      <c r="F344" s="4">
        <f>E344*1700</f>
        <v>95200</v>
      </c>
      <c r="G344" s="4">
        <f t="shared" si="48"/>
        <v>28000</v>
      </c>
      <c r="H344" s="4">
        <f>E344*1200</f>
        <v>67200</v>
      </c>
    </row>
    <row r="345" spans="1:8" x14ac:dyDescent="0.25">
      <c r="C345" t="s">
        <v>571</v>
      </c>
      <c r="D345" t="s">
        <v>11</v>
      </c>
      <c r="E345">
        <v>16</v>
      </c>
      <c r="F345" s="4">
        <f>E345*1700</f>
        <v>27200</v>
      </c>
      <c r="G345" s="4">
        <f t="shared" si="48"/>
        <v>8000</v>
      </c>
      <c r="H345" s="4">
        <f>E345*1200</f>
        <v>19200</v>
      </c>
    </row>
    <row r="346" spans="1:8" x14ac:dyDescent="0.25">
      <c r="C346" t="s">
        <v>676</v>
      </c>
      <c r="D346" t="s">
        <v>11</v>
      </c>
      <c r="E346">
        <f>52+44+40+54+55+51</f>
        <v>296</v>
      </c>
      <c r="F346" s="4">
        <f>E346*1500</f>
        <v>444000</v>
      </c>
      <c r="G346" s="4">
        <f t="shared" si="48"/>
        <v>148000</v>
      </c>
      <c r="H346" s="4">
        <f>E346*1000</f>
        <v>296000</v>
      </c>
    </row>
    <row r="347" spans="1:8" x14ac:dyDescent="0.25">
      <c r="C347" t="s">
        <v>217</v>
      </c>
      <c r="D347" t="s">
        <v>11</v>
      </c>
      <c r="E347">
        <f>6+8</f>
        <v>14</v>
      </c>
      <c r="F347" s="4">
        <f>E347*1500</f>
        <v>21000</v>
      </c>
      <c r="G347" s="4">
        <f t="shared" si="48"/>
        <v>7000</v>
      </c>
      <c r="H347" s="4">
        <v>14000</v>
      </c>
    </row>
    <row r="348" spans="1:8" x14ac:dyDescent="0.25">
      <c r="D348" t="s">
        <v>13</v>
      </c>
      <c r="E348">
        <v>26</v>
      </c>
      <c r="F348" s="4">
        <f>E348*6500</f>
        <v>169000</v>
      </c>
      <c r="G348" s="4">
        <f>E348*4500</f>
        <v>117000</v>
      </c>
      <c r="H348" s="4">
        <f>E348*2000</f>
        <v>52000</v>
      </c>
    </row>
    <row r="349" spans="1:8" x14ac:dyDescent="0.25">
      <c r="D349" t="s">
        <v>14</v>
      </c>
      <c r="E349">
        <v>27</v>
      </c>
      <c r="F349" s="4">
        <f>E349*10000</f>
        <v>270000</v>
      </c>
      <c r="G349" s="4">
        <f>E349*5500</f>
        <v>148500</v>
      </c>
      <c r="H349" s="4">
        <f>E349*4500</f>
        <v>121500</v>
      </c>
    </row>
    <row r="350" spans="1:8" x14ac:dyDescent="0.25">
      <c r="D350" t="s">
        <v>404</v>
      </c>
      <c r="E350">
        <v>5</v>
      </c>
      <c r="F350" s="4">
        <f>E350*2000</f>
        <v>10000</v>
      </c>
      <c r="G350" s="4">
        <v>5000</v>
      </c>
      <c r="H350" s="4">
        <v>5000</v>
      </c>
    </row>
    <row r="351" spans="1:8" x14ac:dyDescent="0.25">
      <c r="D351" t="s">
        <v>439</v>
      </c>
      <c r="E351">
        <v>4</v>
      </c>
      <c r="F351" s="4">
        <f>E351*3000</f>
        <v>12000</v>
      </c>
      <c r="G351" s="4">
        <v>6000</v>
      </c>
      <c r="H351" s="4">
        <v>6000</v>
      </c>
    </row>
    <row r="352" spans="1:8" x14ac:dyDescent="0.25">
      <c r="C352" t="s">
        <v>16</v>
      </c>
      <c r="D352" t="s">
        <v>11</v>
      </c>
      <c r="E352">
        <v>73</v>
      </c>
      <c r="F352" s="4">
        <f>E352*1500</f>
        <v>109500</v>
      </c>
      <c r="G352" s="4">
        <f>E352*500</f>
        <v>36500</v>
      </c>
      <c r="H352" s="4">
        <v>73000</v>
      </c>
    </row>
    <row r="353" spans="1:8" x14ac:dyDescent="0.25">
      <c r="D353" t="s">
        <v>12</v>
      </c>
      <c r="E353">
        <v>4</v>
      </c>
      <c r="F353" s="4">
        <f>E353*3000</f>
        <v>12000</v>
      </c>
      <c r="G353" s="4">
        <f>E353*2000</f>
        <v>8000</v>
      </c>
      <c r="H353" s="4">
        <v>4000</v>
      </c>
    </row>
    <row r="354" spans="1:8" x14ac:dyDescent="0.25">
      <c r="A354" s="142" t="s">
        <v>17</v>
      </c>
      <c r="B354" s="142"/>
      <c r="C354" s="142"/>
      <c r="D354" s="142"/>
      <c r="E354" s="13">
        <f>SUM(E342:E353)</f>
        <v>614</v>
      </c>
      <c r="F354" s="13">
        <f t="shared" ref="F354:H354" si="49">SUM(F342:F353)</f>
        <v>1337300</v>
      </c>
      <c r="G354" s="13">
        <f t="shared" si="49"/>
        <v>558500</v>
      </c>
      <c r="H354" s="13">
        <f t="shared" si="49"/>
        <v>756300</v>
      </c>
    </row>
    <row r="355" spans="1:8" x14ac:dyDescent="0.25">
      <c r="A355" t="s">
        <v>32</v>
      </c>
      <c r="B355" t="s">
        <v>677</v>
      </c>
      <c r="C355" t="s">
        <v>338</v>
      </c>
      <c r="D355" t="s">
        <v>11</v>
      </c>
      <c r="E355">
        <v>61</v>
      </c>
      <c r="F355" s="4">
        <f>E355*1800</f>
        <v>109800</v>
      </c>
      <c r="G355" s="4">
        <f>E355*500</f>
        <v>30500</v>
      </c>
      <c r="H355" s="4">
        <f>E355*1300</f>
        <v>79300</v>
      </c>
    </row>
    <row r="356" spans="1:8" x14ac:dyDescent="0.25">
      <c r="C356" t="s">
        <v>306</v>
      </c>
      <c r="D356" t="s">
        <v>11</v>
      </c>
      <c r="E356">
        <f>55-18</f>
        <v>37</v>
      </c>
      <c r="F356" s="4">
        <f>E356*1800</f>
        <v>66600</v>
      </c>
      <c r="G356" s="4">
        <f>E356*500</f>
        <v>18500</v>
      </c>
      <c r="H356" s="4">
        <f>E356*1300</f>
        <v>48100</v>
      </c>
    </row>
    <row r="357" spans="1:8" x14ac:dyDescent="0.25">
      <c r="C357" t="s">
        <v>104</v>
      </c>
      <c r="D357" t="s">
        <v>11</v>
      </c>
      <c r="E357">
        <f>51000/1700</f>
        <v>30</v>
      </c>
      <c r="F357" s="4">
        <f>E357*1700</f>
        <v>51000</v>
      </c>
      <c r="G357" s="4">
        <f>E357*500</f>
        <v>15000</v>
      </c>
      <c r="H357" s="4">
        <f>E357*1200</f>
        <v>36000</v>
      </c>
    </row>
    <row r="358" spans="1:8" x14ac:dyDescent="0.25">
      <c r="C358" t="s">
        <v>16</v>
      </c>
      <c r="D358" t="s">
        <v>11</v>
      </c>
      <c r="E358">
        <v>73</v>
      </c>
      <c r="F358" s="4">
        <f>E358*1500</f>
        <v>109500</v>
      </c>
      <c r="G358" s="4">
        <f>E358*500</f>
        <v>36500</v>
      </c>
      <c r="H358" s="4">
        <f>E358*1000</f>
        <v>73000</v>
      </c>
    </row>
    <row r="359" spans="1:8" x14ac:dyDescent="0.25">
      <c r="D359" t="s">
        <v>12</v>
      </c>
      <c r="E359">
        <v>4</v>
      </c>
      <c r="F359" s="4">
        <f>E359*3000</f>
        <v>12000</v>
      </c>
      <c r="G359" s="4">
        <f>E359*2000</f>
        <v>8000</v>
      </c>
      <c r="H359" s="4">
        <f>E359*1000</f>
        <v>4000</v>
      </c>
    </row>
    <row r="360" spans="1:8" x14ac:dyDescent="0.25">
      <c r="C360" t="s">
        <v>678</v>
      </c>
      <c r="D360" t="s">
        <v>12</v>
      </c>
      <c r="E360">
        <v>100</v>
      </c>
      <c r="F360" s="4">
        <f>E360*3000</f>
        <v>300000</v>
      </c>
      <c r="G360" s="4">
        <f>E360*2000</f>
        <v>200000</v>
      </c>
      <c r="H360" s="4">
        <f>E360*1000</f>
        <v>100000</v>
      </c>
    </row>
    <row r="361" spans="1:8" x14ac:dyDescent="0.25">
      <c r="A361" s="142" t="s">
        <v>17</v>
      </c>
      <c r="B361" s="142"/>
      <c r="C361" s="142"/>
      <c r="D361" s="142"/>
      <c r="E361" s="13">
        <f>SUM(E355:E360)</f>
        <v>305</v>
      </c>
      <c r="F361" s="13">
        <f t="shared" ref="F361:H361" si="50">SUM(F355:F360)</f>
        <v>648900</v>
      </c>
      <c r="G361" s="13">
        <f t="shared" si="50"/>
        <v>308500</v>
      </c>
      <c r="H361" s="13">
        <f t="shared" si="50"/>
        <v>340400</v>
      </c>
    </row>
    <row r="362" spans="1:8" x14ac:dyDescent="0.25">
      <c r="A362" t="s">
        <v>8</v>
      </c>
      <c r="B362" t="s">
        <v>679</v>
      </c>
      <c r="C362" t="s">
        <v>338</v>
      </c>
      <c r="D362" t="s">
        <v>11</v>
      </c>
      <c r="E362">
        <v>69</v>
      </c>
      <c r="F362" s="4">
        <f>E362*1800</f>
        <v>124200</v>
      </c>
      <c r="G362" s="4">
        <f>E362*500</f>
        <v>34500</v>
      </c>
      <c r="H362" s="4">
        <f>E362*1300</f>
        <v>89700</v>
      </c>
    </row>
    <row r="363" spans="1:8" x14ac:dyDescent="0.25">
      <c r="C363" t="s">
        <v>306</v>
      </c>
      <c r="D363" t="s">
        <v>11</v>
      </c>
      <c r="E363">
        <f>50-24</f>
        <v>26</v>
      </c>
      <c r="F363" s="4">
        <f>E363*1800</f>
        <v>46800</v>
      </c>
      <c r="G363" s="4">
        <f>E363*500</f>
        <v>13000</v>
      </c>
      <c r="H363" s="4">
        <f>E363*1300</f>
        <v>33800</v>
      </c>
    </row>
    <row r="364" spans="1:8" x14ac:dyDescent="0.25">
      <c r="C364" t="s">
        <v>571</v>
      </c>
      <c r="D364" t="s">
        <v>11</v>
      </c>
      <c r="E364">
        <f>5+6+8</f>
        <v>19</v>
      </c>
      <c r="F364" s="4">
        <f>E364*1700</f>
        <v>32300</v>
      </c>
      <c r="G364" s="4">
        <f>E364*500</f>
        <v>9500</v>
      </c>
      <c r="H364" s="4">
        <f>E364*1200</f>
        <v>22800</v>
      </c>
    </row>
    <row r="365" spans="1:8" x14ac:dyDescent="0.25">
      <c r="C365" t="s">
        <v>104</v>
      </c>
      <c r="D365" t="s">
        <v>11</v>
      </c>
      <c r="E365">
        <f>76500/1700</f>
        <v>45</v>
      </c>
      <c r="F365" s="4">
        <f>E365*1700</f>
        <v>76500</v>
      </c>
      <c r="G365" s="4">
        <f>E365*500</f>
        <v>22500</v>
      </c>
      <c r="H365" s="4">
        <f>E365*1200</f>
        <v>54000</v>
      </c>
    </row>
    <row r="366" spans="1:8" x14ac:dyDescent="0.25">
      <c r="C366" t="s">
        <v>16</v>
      </c>
      <c r="D366" t="s">
        <v>11</v>
      </c>
      <c r="E366">
        <v>95</v>
      </c>
      <c r="F366" s="4">
        <f>E366*1500</f>
        <v>142500</v>
      </c>
      <c r="G366" s="4">
        <f>E366*500</f>
        <v>47500</v>
      </c>
      <c r="H366" s="4">
        <v>95000</v>
      </c>
    </row>
    <row r="367" spans="1:8" x14ac:dyDescent="0.25">
      <c r="D367" t="s">
        <v>12</v>
      </c>
      <c r="E367">
        <v>4</v>
      </c>
      <c r="F367" s="4">
        <f>E367*3000</f>
        <v>12000</v>
      </c>
      <c r="G367" s="4">
        <v>8000</v>
      </c>
      <c r="H367" s="4">
        <v>4000</v>
      </c>
    </row>
    <row r="368" spans="1:8" x14ac:dyDescent="0.25">
      <c r="D368" t="s">
        <v>13</v>
      </c>
      <c r="E368">
        <v>2</v>
      </c>
      <c r="F368" s="4">
        <f>E368*6500</f>
        <v>13000</v>
      </c>
      <c r="G368" s="4">
        <f>E368*4500</f>
        <v>9000</v>
      </c>
      <c r="H368" s="4">
        <f>E368*2000</f>
        <v>4000</v>
      </c>
    </row>
    <row r="369" spans="1:8" x14ac:dyDescent="0.25">
      <c r="D369" t="s">
        <v>14</v>
      </c>
      <c r="E369">
        <v>1</v>
      </c>
      <c r="F369" s="4">
        <v>10000</v>
      </c>
      <c r="G369" s="4">
        <v>5500</v>
      </c>
      <c r="H369" s="4">
        <v>4500</v>
      </c>
    </row>
    <row r="370" spans="1:8" x14ac:dyDescent="0.25">
      <c r="D370" t="s">
        <v>243</v>
      </c>
      <c r="E370">
        <v>1</v>
      </c>
      <c r="F370" s="4">
        <v>13000</v>
      </c>
      <c r="G370" s="4">
        <v>10000</v>
      </c>
      <c r="H370" s="4">
        <v>3000</v>
      </c>
    </row>
    <row r="371" spans="1:8" x14ac:dyDescent="0.25">
      <c r="C371" t="s">
        <v>217</v>
      </c>
      <c r="D371" t="s">
        <v>11</v>
      </c>
      <c r="E371">
        <v>13</v>
      </c>
      <c r="F371" s="4">
        <f>E371*1500</f>
        <v>19500</v>
      </c>
      <c r="G371" s="4">
        <f>E371*500</f>
        <v>6500</v>
      </c>
      <c r="H371" s="4">
        <v>13000</v>
      </c>
    </row>
    <row r="372" spans="1:8" x14ac:dyDescent="0.25">
      <c r="D372" t="s">
        <v>13</v>
      </c>
      <c r="E372">
        <v>5</v>
      </c>
      <c r="F372" s="4">
        <f>E372*6500</f>
        <v>32500</v>
      </c>
      <c r="G372" s="4">
        <f>E372*4500</f>
        <v>22500</v>
      </c>
      <c r="H372" s="4">
        <f>E372*2000</f>
        <v>10000</v>
      </c>
    </row>
    <row r="373" spans="1:8" x14ac:dyDescent="0.25">
      <c r="D373" t="s">
        <v>13</v>
      </c>
      <c r="E373">
        <v>18</v>
      </c>
      <c r="F373" s="4">
        <f>E373*7500</f>
        <v>135000</v>
      </c>
      <c r="G373" s="4">
        <f>E373*4500</f>
        <v>81000</v>
      </c>
      <c r="H373" s="4">
        <f>E373*3000</f>
        <v>54000</v>
      </c>
    </row>
    <row r="374" spans="1:8" x14ac:dyDescent="0.25">
      <c r="D374" t="s">
        <v>14</v>
      </c>
      <c r="E374">
        <v>2</v>
      </c>
      <c r="F374" s="4">
        <f>E374*10000</f>
        <v>20000</v>
      </c>
      <c r="G374" s="4">
        <f>E374*5500</f>
        <v>11000</v>
      </c>
      <c r="H374" s="4">
        <f>E374*4500</f>
        <v>9000</v>
      </c>
    </row>
    <row r="375" spans="1:8" x14ac:dyDescent="0.25">
      <c r="E375">
        <v>33</v>
      </c>
      <c r="F375" s="4">
        <f>E375*12000</f>
        <v>396000</v>
      </c>
      <c r="G375" s="4">
        <f>E375*5500</f>
        <v>181500</v>
      </c>
      <c r="H375" s="4">
        <f>E375*6500</f>
        <v>214500</v>
      </c>
    </row>
    <row r="376" spans="1:8" x14ac:dyDescent="0.25">
      <c r="A376" s="142" t="s">
        <v>17</v>
      </c>
      <c r="B376" s="142"/>
      <c r="C376" s="142"/>
      <c r="D376" s="142"/>
      <c r="E376" s="13">
        <f>SUM(E362:E375)</f>
        <v>333</v>
      </c>
      <c r="F376" s="13">
        <f t="shared" ref="F376:H376" si="51">SUM(F362:F375)</f>
        <v>1073300</v>
      </c>
      <c r="G376" s="13">
        <f t="shared" si="51"/>
        <v>462000</v>
      </c>
      <c r="H376" s="13">
        <f t="shared" si="51"/>
        <v>611300</v>
      </c>
    </row>
    <row r="377" spans="1:8" x14ac:dyDescent="0.25">
      <c r="A377" t="s">
        <v>18</v>
      </c>
      <c r="B377" t="s">
        <v>680</v>
      </c>
      <c r="C377" t="s">
        <v>338</v>
      </c>
      <c r="D377" t="s">
        <v>11</v>
      </c>
      <c r="E377">
        <f>75-14</f>
        <v>61</v>
      </c>
      <c r="F377" s="4">
        <f>E377*1800</f>
        <v>109800</v>
      </c>
      <c r="G377" s="4">
        <f>E377*500</f>
        <v>30500</v>
      </c>
      <c r="H377" s="4">
        <f>E377*1300</f>
        <v>79300</v>
      </c>
    </row>
    <row r="378" spans="1:8" x14ac:dyDescent="0.25">
      <c r="C378" t="s">
        <v>306</v>
      </c>
      <c r="D378" t="s">
        <v>11</v>
      </c>
      <c r="E378">
        <v>34</v>
      </c>
      <c r="F378" s="4">
        <f>E378*1800</f>
        <v>61200</v>
      </c>
      <c r="G378" s="4">
        <f>E378*500</f>
        <v>17000</v>
      </c>
      <c r="H378" s="4">
        <f>E378*1300</f>
        <v>44200</v>
      </c>
    </row>
    <row r="379" spans="1:8" x14ac:dyDescent="0.25">
      <c r="C379" t="s">
        <v>104</v>
      </c>
      <c r="D379" t="s">
        <v>11</v>
      </c>
      <c r="E379">
        <v>30</v>
      </c>
      <c r="F379" s="4">
        <f>E379*1700</f>
        <v>51000</v>
      </c>
      <c r="G379" s="4">
        <f>E379*500</f>
        <v>15000</v>
      </c>
      <c r="H379" s="4">
        <f>E379*1200</f>
        <v>36000</v>
      </c>
    </row>
    <row r="380" spans="1:8" x14ac:dyDescent="0.25">
      <c r="C380" t="s">
        <v>16</v>
      </c>
      <c r="D380" t="s">
        <v>11</v>
      </c>
      <c r="E380">
        <v>52</v>
      </c>
      <c r="F380" s="4">
        <f>E380*1500</f>
        <v>78000</v>
      </c>
      <c r="G380" s="4">
        <f>E380*500</f>
        <v>26000</v>
      </c>
      <c r="H380" s="4">
        <v>52000</v>
      </c>
    </row>
    <row r="381" spans="1:8" x14ac:dyDescent="0.25">
      <c r="D381" t="s">
        <v>12</v>
      </c>
      <c r="E381">
        <v>3</v>
      </c>
      <c r="F381" s="4">
        <f>E381*3000</f>
        <v>9000</v>
      </c>
      <c r="G381" s="4">
        <f>E381*2000</f>
        <v>6000</v>
      </c>
      <c r="H381" s="4">
        <v>3000</v>
      </c>
    </row>
    <row r="382" spans="1:8" x14ac:dyDescent="0.25">
      <c r="D382" t="s">
        <v>13</v>
      </c>
      <c r="E382">
        <v>1</v>
      </c>
      <c r="F382" s="4">
        <v>6500</v>
      </c>
      <c r="G382" s="4">
        <v>4500</v>
      </c>
      <c r="H382" s="4">
        <v>2000</v>
      </c>
    </row>
    <row r="383" spans="1:8" x14ac:dyDescent="0.25">
      <c r="A383" s="144" t="s">
        <v>17</v>
      </c>
      <c r="B383" s="144"/>
      <c r="C383" s="144"/>
      <c r="D383" s="144"/>
      <c r="E383" s="13">
        <f>SUM(E377:E382)</f>
        <v>181</v>
      </c>
      <c r="F383" s="13">
        <f t="shared" ref="F383:H383" si="52">SUM(F377:F382)</f>
        <v>315500</v>
      </c>
      <c r="G383" s="13">
        <f t="shared" si="52"/>
        <v>99000</v>
      </c>
      <c r="H383" s="13">
        <f t="shared" si="52"/>
        <v>216500</v>
      </c>
    </row>
    <row r="384" spans="1:8" x14ac:dyDescent="0.25">
      <c r="F384" s="4"/>
      <c r="G384" s="4"/>
      <c r="H384" s="4"/>
    </row>
    <row r="385" spans="6:8" x14ac:dyDescent="0.25">
      <c r="F385" s="4"/>
      <c r="G385" s="4"/>
      <c r="H385" s="4"/>
    </row>
    <row r="386" spans="6:8" x14ac:dyDescent="0.25">
      <c r="F386" s="4"/>
      <c r="G386" s="4"/>
      <c r="H386" s="4"/>
    </row>
    <row r="387" spans="6:8" x14ac:dyDescent="0.25">
      <c r="F387" s="4"/>
      <c r="G387" s="4"/>
      <c r="H387" s="4"/>
    </row>
    <row r="388" spans="6:8" x14ac:dyDescent="0.25">
      <c r="F388" s="4"/>
      <c r="G388" s="4"/>
      <c r="H388" s="4"/>
    </row>
    <row r="389" spans="6:8" x14ac:dyDescent="0.25">
      <c r="F389" s="4"/>
      <c r="G389" s="4"/>
      <c r="H389" s="4"/>
    </row>
    <row r="390" spans="6:8" x14ac:dyDescent="0.25">
      <c r="F390" s="4"/>
      <c r="G390" s="4"/>
      <c r="H390" s="4"/>
    </row>
    <row r="391" spans="6:8" x14ac:dyDescent="0.25">
      <c r="F391" s="4"/>
      <c r="G391" s="4"/>
      <c r="H391" s="4"/>
    </row>
    <row r="392" spans="6:8" x14ac:dyDescent="0.25">
      <c r="F392" s="4"/>
      <c r="G392" s="4"/>
      <c r="H392" s="4"/>
    </row>
    <row r="393" spans="6:8" x14ac:dyDescent="0.25">
      <c r="F393" s="4"/>
      <c r="G393" s="4"/>
      <c r="H393" s="4"/>
    </row>
    <row r="394" spans="6:8" x14ac:dyDescent="0.25">
      <c r="F394" s="4"/>
      <c r="G394" s="4"/>
      <c r="H394" s="4"/>
    </row>
    <row r="395" spans="6:8" x14ac:dyDescent="0.25">
      <c r="F395" s="4"/>
      <c r="G395" s="4"/>
      <c r="H395" s="4"/>
    </row>
    <row r="396" spans="6:8" x14ac:dyDescent="0.25">
      <c r="F396" s="4"/>
      <c r="G396" s="4"/>
      <c r="H396" s="4"/>
    </row>
    <row r="397" spans="6:8" x14ac:dyDescent="0.25">
      <c r="F397" s="4"/>
      <c r="G397" s="4"/>
      <c r="H397" s="4"/>
    </row>
    <row r="398" spans="6:8" x14ac:dyDescent="0.25">
      <c r="F398" s="4"/>
      <c r="G398" s="4"/>
      <c r="H398" s="4"/>
    </row>
    <row r="399" spans="6:8" x14ac:dyDescent="0.25">
      <c r="F399" s="4"/>
      <c r="G399" s="4"/>
      <c r="H399" s="4"/>
    </row>
    <row r="400" spans="6:8" x14ac:dyDescent="0.25">
      <c r="F400" s="4"/>
      <c r="G400" s="4"/>
      <c r="H400" s="4"/>
    </row>
    <row r="401" spans="6:8" x14ac:dyDescent="0.25">
      <c r="F401" s="4"/>
      <c r="G401" s="4"/>
      <c r="H401" s="4"/>
    </row>
    <row r="402" spans="6:8" x14ac:dyDescent="0.25">
      <c r="F402" s="4"/>
      <c r="G402" s="4"/>
      <c r="H402" s="4"/>
    </row>
    <row r="403" spans="6:8" x14ac:dyDescent="0.25">
      <c r="F403" s="4"/>
      <c r="G403" s="4"/>
      <c r="H403" s="4"/>
    </row>
    <row r="404" spans="6:8" x14ac:dyDescent="0.25">
      <c r="F404" s="4"/>
      <c r="G404" s="4"/>
      <c r="H404" s="4"/>
    </row>
    <row r="405" spans="6:8" x14ac:dyDescent="0.25">
      <c r="F405" s="4"/>
      <c r="G405" s="4"/>
      <c r="H405" s="4"/>
    </row>
    <row r="406" spans="6:8" x14ac:dyDescent="0.25">
      <c r="F406" s="4"/>
      <c r="G406" s="4"/>
      <c r="H406" s="4"/>
    </row>
    <row r="407" spans="6:8" x14ac:dyDescent="0.25">
      <c r="F407" s="4"/>
      <c r="G407" s="4"/>
      <c r="H407" s="4"/>
    </row>
    <row r="408" spans="6:8" x14ac:dyDescent="0.25">
      <c r="F408" s="4"/>
      <c r="G408" s="4"/>
      <c r="H408" s="4"/>
    </row>
    <row r="409" spans="6:8" x14ac:dyDescent="0.25">
      <c r="F409" s="4"/>
      <c r="G409" s="4"/>
      <c r="H409" s="4"/>
    </row>
    <row r="410" spans="6:8" x14ac:dyDescent="0.25">
      <c r="F410" s="4"/>
      <c r="G410" s="4"/>
      <c r="H410" s="4"/>
    </row>
    <row r="411" spans="6:8" x14ac:dyDescent="0.25">
      <c r="F411" s="4"/>
      <c r="G411" s="4"/>
      <c r="H411" s="4"/>
    </row>
    <row r="412" spans="6:8" x14ac:dyDescent="0.25">
      <c r="F412" s="4"/>
      <c r="G412" s="4"/>
      <c r="H412" s="4"/>
    </row>
    <row r="413" spans="6:8" x14ac:dyDescent="0.25">
      <c r="F413" s="4"/>
      <c r="G413" s="4"/>
      <c r="H413" s="4"/>
    </row>
    <row r="414" spans="6:8" x14ac:dyDescent="0.25">
      <c r="F414" s="4"/>
      <c r="G414" s="4"/>
      <c r="H414" s="4"/>
    </row>
    <row r="415" spans="6:8" x14ac:dyDescent="0.25">
      <c r="F415" s="4"/>
      <c r="G415" s="4"/>
      <c r="H415" s="4"/>
    </row>
    <row r="416" spans="6:8" x14ac:dyDescent="0.25">
      <c r="F416" s="4"/>
      <c r="G416" s="4"/>
      <c r="H416" s="4"/>
    </row>
    <row r="417" spans="6:8" x14ac:dyDescent="0.25">
      <c r="F417" s="4"/>
      <c r="G417" s="4"/>
      <c r="H417" s="4"/>
    </row>
    <row r="418" spans="6:8" x14ac:dyDescent="0.25">
      <c r="F418" s="4"/>
      <c r="G418" s="4"/>
      <c r="H418" s="4"/>
    </row>
    <row r="419" spans="6:8" x14ac:dyDescent="0.25">
      <c r="F419" s="4"/>
      <c r="G419" s="4"/>
      <c r="H419" s="4"/>
    </row>
    <row r="420" spans="6:8" x14ac:dyDescent="0.25">
      <c r="F420" s="4"/>
      <c r="G420" s="4"/>
      <c r="H420" s="4"/>
    </row>
    <row r="421" spans="6:8" x14ac:dyDescent="0.25">
      <c r="F421" s="4"/>
      <c r="G421" s="4"/>
      <c r="H421" s="4"/>
    </row>
    <row r="422" spans="6:8" x14ac:dyDescent="0.25">
      <c r="F422" s="4"/>
      <c r="G422" s="4"/>
      <c r="H422" s="4"/>
    </row>
    <row r="423" spans="6:8" x14ac:dyDescent="0.25">
      <c r="F423" s="4"/>
      <c r="G423" s="4"/>
      <c r="H423" s="4"/>
    </row>
    <row r="424" spans="6:8" x14ac:dyDescent="0.25">
      <c r="F424" s="4"/>
      <c r="G424" s="4"/>
      <c r="H424" s="4"/>
    </row>
    <row r="425" spans="6:8" x14ac:dyDescent="0.25">
      <c r="F425" s="4"/>
      <c r="G425" s="4"/>
      <c r="H425" s="4"/>
    </row>
    <row r="426" spans="6:8" x14ac:dyDescent="0.25">
      <c r="F426" s="4"/>
      <c r="G426" s="4"/>
      <c r="H426" s="4"/>
    </row>
    <row r="427" spans="6:8" x14ac:dyDescent="0.25">
      <c r="F427" s="4"/>
      <c r="G427" s="4"/>
      <c r="H427" s="4"/>
    </row>
    <row r="428" spans="6:8" x14ac:dyDescent="0.25">
      <c r="F428" s="4"/>
      <c r="G428" s="4"/>
      <c r="H428" s="4"/>
    </row>
    <row r="429" spans="6:8" x14ac:dyDescent="0.25">
      <c r="F429" s="4"/>
      <c r="G429" s="4"/>
      <c r="H429" s="4"/>
    </row>
    <row r="430" spans="6:8" x14ac:dyDescent="0.25">
      <c r="F430" s="4"/>
      <c r="G430" s="4"/>
      <c r="H430" s="4"/>
    </row>
    <row r="431" spans="6:8" x14ac:dyDescent="0.25">
      <c r="F431" s="4"/>
      <c r="G431" s="4"/>
      <c r="H431" s="4"/>
    </row>
    <row r="432" spans="6:8" x14ac:dyDescent="0.25">
      <c r="F432" s="4"/>
      <c r="G432" s="4"/>
      <c r="H432" s="4"/>
    </row>
    <row r="433" spans="6:8" x14ac:dyDescent="0.25">
      <c r="F433" s="4"/>
      <c r="G433" s="4"/>
      <c r="H433" s="4"/>
    </row>
    <row r="434" spans="6:8" x14ac:dyDescent="0.25">
      <c r="F434" s="4"/>
      <c r="G434" s="4"/>
      <c r="H434" s="4"/>
    </row>
    <row r="435" spans="6:8" x14ac:dyDescent="0.25">
      <c r="F435" s="4"/>
      <c r="G435" s="4"/>
      <c r="H435" s="4"/>
    </row>
    <row r="436" spans="6:8" x14ac:dyDescent="0.25">
      <c r="F436" s="4"/>
      <c r="G436" s="4"/>
      <c r="H436" s="4"/>
    </row>
    <row r="437" spans="6:8" x14ac:dyDescent="0.25">
      <c r="F437" s="4"/>
      <c r="G437" s="4"/>
      <c r="H437" s="4"/>
    </row>
    <row r="438" spans="6:8" x14ac:dyDescent="0.25">
      <c r="F438" s="4"/>
      <c r="G438" s="4"/>
      <c r="H438" s="4"/>
    </row>
    <row r="439" spans="6:8" x14ac:dyDescent="0.25">
      <c r="F439" s="4"/>
      <c r="G439" s="4"/>
      <c r="H439" s="4"/>
    </row>
    <row r="440" spans="6:8" x14ac:dyDescent="0.25">
      <c r="F440" s="4"/>
      <c r="G440" s="4"/>
      <c r="H440" s="4"/>
    </row>
    <row r="441" spans="6:8" x14ac:dyDescent="0.25">
      <c r="F441" s="4"/>
      <c r="G441" s="4"/>
      <c r="H441" s="4"/>
    </row>
    <row r="442" spans="6:8" x14ac:dyDescent="0.25">
      <c r="F442" s="4"/>
      <c r="G442" s="4"/>
      <c r="H442" s="4"/>
    </row>
    <row r="443" spans="6:8" x14ac:dyDescent="0.25">
      <c r="F443" s="4"/>
      <c r="G443" s="4"/>
      <c r="H443" s="4"/>
    </row>
    <row r="444" spans="6:8" x14ac:dyDescent="0.25">
      <c r="F444" s="4"/>
      <c r="G444" s="4"/>
      <c r="H444" s="4"/>
    </row>
    <row r="445" spans="6:8" x14ac:dyDescent="0.25">
      <c r="F445" s="4"/>
      <c r="G445" s="4"/>
      <c r="H445" s="4"/>
    </row>
    <row r="446" spans="6:8" x14ac:dyDescent="0.25">
      <c r="F446" s="4"/>
      <c r="G446" s="4"/>
      <c r="H446" s="4"/>
    </row>
    <row r="447" spans="6:8" x14ac:dyDescent="0.25">
      <c r="F447" s="4"/>
      <c r="G447" s="4"/>
      <c r="H447" s="4"/>
    </row>
    <row r="448" spans="6:8" x14ac:dyDescent="0.25">
      <c r="F448" s="4"/>
      <c r="G448" s="4"/>
      <c r="H448" s="4"/>
    </row>
    <row r="449" spans="6:8" x14ac:dyDescent="0.25">
      <c r="F449" s="4"/>
      <c r="G449" s="4"/>
      <c r="H449" s="4"/>
    </row>
    <row r="450" spans="6:8" x14ac:dyDescent="0.25">
      <c r="F450" s="4"/>
      <c r="G450" s="4"/>
      <c r="H450" s="4"/>
    </row>
    <row r="451" spans="6:8" x14ac:dyDescent="0.25">
      <c r="F451" s="4"/>
      <c r="G451" s="4"/>
      <c r="H451" s="4"/>
    </row>
    <row r="452" spans="6:8" x14ac:dyDescent="0.25">
      <c r="F452" s="4"/>
      <c r="G452" s="4"/>
      <c r="H452" s="4"/>
    </row>
    <row r="453" spans="6:8" x14ac:dyDescent="0.25">
      <c r="F453" s="4"/>
      <c r="G453" s="4"/>
      <c r="H453" s="4"/>
    </row>
    <row r="454" spans="6:8" x14ac:dyDescent="0.25">
      <c r="F454" s="4"/>
      <c r="G454" s="4"/>
      <c r="H454" s="4"/>
    </row>
    <row r="455" spans="6:8" x14ac:dyDescent="0.25">
      <c r="F455" s="4"/>
      <c r="G455" s="4"/>
      <c r="H455" s="4"/>
    </row>
    <row r="456" spans="6:8" x14ac:dyDescent="0.25">
      <c r="F456" s="4"/>
      <c r="G456" s="4"/>
      <c r="H456" s="4"/>
    </row>
    <row r="457" spans="6:8" x14ac:dyDescent="0.25">
      <c r="F457" s="4"/>
      <c r="G457" s="4"/>
      <c r="H457" s="4"/>
    </row>
    <row r="458" spans="6:8" x14ac:dyDescent="0.25">
      <c r="F458" s="4"/>
      <c r="G458" s="4"/>
      <c r="H458" s="4"/>
    </row>
    <row r="459" spans="6:8" x14ac:dyDescent="0.25">
      <c r="F459" s="4"/>
      <c r="G459" s="4"/>
      <c r="H459" s="4"/>
    </row>
    <row r="460" spans="6:8" x14ac:dyDescent="0.25">
      <c r="F460" s="4"/>
      <c r="G460" s="4"/>
      <c r="H460" s="4"/>
    </row>
    <row r="461" spans="6:8" x14ac:dyDescent="0.25">
      <c r="F461" s="4"/>
      <c r="G461" s="4"/>
      <c r="H461" s="4"/>
    </row>
    <row r="462" spans="6:8" x14ac:dyDescent="0.25">
      <c r="F462" s="4"/>
      <c r="G462" s="4"/>
      <c r="H462" s="4"/>
    </row>
    <row r="463" spans="6:8" x14ac:dyDescent="0.25">
      <c r="F463" s="4"/>
      <c r="G463" s="4"/>
      <c r="H463" s="4"/>
    </row>
    <row r="464" spans="6:8" x14ac:dyDescent="0.25">
      <c r="F464" s="4"/>
      <c r="G464" s="4"/>
      <c r="H464" s="4"/>
    </row>
    <row r="465" spans="6:8" x14ac:dyDescent="0.25">
      <c r="F465" s="4"/>
      <c r="G465" s="4"/>
      <c r="H465" s="4"/>
    </row>
    <row r="466" spans="6:8" x14ac:dyDescent="0.25">
      <c r="F466" s="4"/>
      <c r="G466" s="4"/>
      <c r="H466" s="4"/>
    </row>
    <row r="467" spans="6:8" x14ac:dyDescent="0.25">
      <c r="F467" s="4"/>
      <c r="G467" s="4"/>
      <c r="H467" s="4"/>
    </row>
    <row r="468" spans="6:8" x14ac:dyDescent="0.25">
      <c r="F468" s="4"/>
      <c r="G468" s="4"/>
      <c r="H468" s="4"/>
    </row>
    <row r="469" spans="6:8" x14ac:dyDescent="0.25">
      <c r="F469" s="4"/>
      <c r="G469" s="4"/>
      <c r="H469" s="4"/>
    </row>
    <row r="470" spans="6:8" x14ac:dyDescent="0.25">
      <c r="F470" s="4"/>
      <c r="G470" s="4"/>
      <c r="H470" s="4"/>
    </row>
    <row r="471" spans="6:8" x14ac:dyDescent="0.25">
      <c r="F471" s="4"/>
      <c r="G471" s="4"/>
      <c r="H471" s="4"/>
    </row>
    <row r="472" spans="6:8" x14ac:dyDescent="0.25">
      <c r="F472" s="4"/>
      <c r="G472" s="4"/>
      <c r="H472" s="4"/>
    </row>
    <row r="473" spans="6:8" x14ac:dyDescent="0.25">
      <c r="F473" s="4"/>
      <c r="G473" s="4"/>
      <c r="H473" s="4"/>
    </row>
    <row r="474" spans="6:8" x14ac:dyDescent="0.25">
      <c r="F474" s="4"/>
      <c r="G474" s="4"/>
      <c r="H474" s="4"/>
    </row>
    <row r="475" spans="6:8" x14ac:dyDescent="0.25">
      <c r="F475" s="4"/>
      <c r="G475" s="4"/>
      <c r="H475" s="4"/>
    </row>
    <row r="476" spans="6:8" x14ac:dyDescent="0.25">
      <c r="F476" s="4"/>
      <c r="G476" s="4"/>
      <c r="H476" s="4"/>
    </row>
    <row r="477" spans="6:8" x14ac:dyDescent="0.25">
      <c r="F477" s="4"/>
      <c r="G477" s="4"/>
      <c r="H477" s="4"/>
    </row>
    <row r="478" spans="6:8" x14ac:dyDescent="0.25">
      <c r="F478" s="4"/>
      <c r="G478" s="4"/>
      <c r="H478" s="4"/>
    </row>
    <row r="479" spans="6:8" x14ac:dyDescent="0.25">
      <c r="F479" s="4"/>
      <c r="G479" s="4"/>
      <c r="H479" s="4"/>
    </row>
    <row r="480" spans="6:8" x14ac:dyDescent="0.25">
      <c r="F480" s="4"/>
      <c r="G480" s="4"/>
      <c r="H480" s="4"/>
    </row>
    <row r="481" spans="6:8" x14ac:dyDescent="0.25">
      <c r="F481" s="4"/>
      <c r="G481" s="4"/>
      <c r="H481" s="4"/>
    </row>
    <row r="482" spans="6:8" x14ac:dyDescent="0.25">
      <c r="F482" s="4"/>
      <c r="G482" s="4"/>
      <c r="H482" s="4"/>
    </row>
    <row r="483" spans="6:8" x14ac:dyDescent="0.25">
      <c r="F483" s="4"/>
      <c r="G483" s="4"/>
      <c r="H483" s="4"/>
    </row>
    <row r="484" spans="6:8" x14ac:dyDescent="0.25">
      <c r="F484" s="4"/>
      <c r="G484" s="4"/>
      <c r="H484" s="4"/>
    </row>
    <row r="485" spans="6:8" x14ac:dyDescent="0.25">
      <c r="F485" s="4"/>
      <c r="G485" s="4"/>
      <c r="H485" s="4"/>
    </row>
    <row r="486" spans="6:8" x14ac:dyDescent="0.25">
      <c r="F486" s="4"/>
      <c r="G486" s="4"/>
      <c r="H486" s="4"/>
    </row>
    <row r="487" spans="6:8" x14ac:dyDescent="0.25">
      <c r="F487" s="4"/>
      <c r="G487" s="4"/>
      <c r="H487" s="4"/>
    </row>
    <row r="488" spans="6:8" x14ac:dyDescent="0.25">
      <c r="F488" s="4"/>
      <c r="G488" s="4"/>
      <c r="H488" s="4"/>
    </row>
    <row r="489" spans="6:8" x14ac:dyDescent="0.25">
      <c r="F489" s="4"/>
      <c r="G489" s="4"/>
      <c r="H489" s="4"/>
    </row>
    <row r="490" spans="6:8" x14ac:dyDescent="0.25">
      <c r="F490" s="4"/>
      <c r="G490" s="4"/>
      <c r="H490" s="4"/>
    </row>
    <row r="491" spans="6:8" x14ac:dyDescent="0.25">
      <c r="F491" s="4"/>
      <c r="G491" s="4"/>
      <c r="H491" s="4"/>
    </row>
    <row r="492" spans="6:8" x14ac:dyDescent="0.25">
      <c r="F492" s="4"/>
      <c r="G492" s="4"/>
      <c r="H492" s="4"/>
    </row>
    <row r="493" spans="6:8" x14ac:dyDescent="0.25">
      <c r="F493" s="4"/>
      <c r="G493" s="4"/>
      <c r="H493" s="4"/>
    </row>
    <row r="494" spans="6:8" x14ac:dyDescent="0.25">
      <c r="F494" s="4"/>
      <c r="G494" s="4"/>
      <c r="H494" s="4"/>
    </row>
    <row r="495" spans="6:8" x14ac:dyDescent="0.25">
      <c r="F495" s="4"/>
      <c r="G495" s="4"/>
      <c r="H495" s="4"/>
    </row>
    <row r="496" spans="6:8" x14ac:dyDescent="0.25">
      <c r="F496" s="4"/>
      <c r="G496" s="4"/>
      <c r="H496" s="4"/>
    </row>
    <row r="497" spans="6:8" x14ac:dyDescent="0.25">
      <c r="F497" s="4"/>
      <c r="G497" s="4"/>
      <c r="H497" s="4"/>
    </row>
    <row r="498" spans="6:8" x14ac:dyDescent="0.25">
      <c r="F498" s="4"/>
      <c r="G498" s="4"/>
      <c r="H498" s="4"/>
    </row>
    <row r="499" spans="6:8" x14ac:dyDescent="0.25">
      <c r="F499" s="4"/>
      <c r="G499" s="4"/>
      <c r="H499" s="4"/>
    </row>
    <row r="500" spans="6:8" x14ac:dyDescent="0.25">
      <c r="F500" s="4"/>
      <c r="G500" s="4"/>
      <c r="H500" s="4"/>
    </row>
    <row r="501" spans="6:8" x14ac:dyDescent="0.25">
      <c r="F501" s="4"/>
      <c r="G501" s="4"/>
      <c r="H501" s="4"/>
    </row>
    <row r="502" spans="6:8" x14ac:dyDescent="0.25">
      <c r="F502" s="4"/>
      <c r="G502" s="4"/>
      <c r="H502" s="4"/>
    </row>
    <row r="503" spans="6:8" x14ac:dyDescent="0.25">
      <c r="F503" s="4"/>
      <c r="G503" s="4"/>
      <c r="H503" s="4"/>
    </row>
    <row r="504" spans="6:8" x14ac:dyDescent="0.25">
      <c r="F504" s="4"/>
      <c r="G504" s="4"/>
      <c r="H504" s="4"/>
    </row>
    <row r="505" spans="6:8" x14ac:dyDescent="0.25">
      <c r="F505" s="4"/>
      <c r="G505" s="4"/>
      <c r="H505" s="4"/>
    </row>
    <row r="506" spans="6:8" x14ac:dyDescent="0.25">
      <c r="F506" s="4"/>
      <c r="G506" s="4"/>
      <c r="H506" s="4"/>
    </row>
    <row r="507" spans="6:8" x14ac:dyDescent="0.25">
      <c r="F507" s="4"/>
      <c r="G507" s="4"/>
      <c r="H507" s="4"/>
    </row>
    <row r="508" spans="6:8" x14ac:dyDescent="0.25">
      <c r="F508" s="4"/>
      <c r="G508" s="4"/>
      <c r="H508" s="4"/>
    </row>
    <row r="509" spans="6:8" x14ac:dyDescent="0.25">
      <c r="F509" s="4"/>
      <c r="G509" s="4"/>
      <c r="H509" s="4"/>
    </row>
    <row r="510" spans="6:8" x14ac:dyDescent="0.25">
      <c r="F510" s="4"/>
      <c r="G510" s="4"/>
      <c r="H510" s="4"/>
    </row>
    <row r="511" spans="6:8" x14ac:dyDescent="0.25">
      <c r="F511" s="4"/>
      <c r="G511" s="4"/>
      <c r="H511" s="4"/>
    </row>
    <row r="512" spans="6:8" x14ac:dyDescent="0.25">
      <c r="F512" s="4"/>
      <c r="G512" s="4"/>
      <c r="H512" s="4"/>
    </row>
    <row r="513" spans="6:8" x14ac:dyDescent="0.25">
      <c r="F513" s="4"/>
      <c r="G513" s="4"/>
      <c r="H513" s="4"/>
    </row>
    <row r="514" spans="6:8" x14ac:dyDescent="0.25">
      <c r="F514" s="4"/>
      <c r="G514" s="4"/>
      <c r="H514" s="4"/>
    </row>
    <row r="515" spans="6:8" x14ac:dyDescent="0.25">
      <c r="F515" s="4"/>
      <c r="G515" s="4"/>
      <c r="H515" s="4"/>
    </row>
    <row r="516" spans="6:8" x14ac:dyDescent="0.25">
      <c r="F516" s="4"/>
      <c r="G516" s="4"/>
      <c r="H516" s="4"/>
    </row>
    <row r="517" spans="6:8" x14ac:dyDescent="0.25">
      <c r="F517" s="4"/>
      <c r="G517" s="4"/>
      <c r="H517" s="4"/>
    </row>
    <row r="518" spans="6:8" x14ac:dyDescent="0.25">
      <c r="F518" s="4"/>
      <c r="G518" s="4"/>
      <c r="H518" s="4"/>
    </row>
    <row r="519" spans="6:8" x14ac:dyDescent="0.25">
      <c r="F519" s="4"/>
      <c r="G519" s="4"/>
      <c r="H519" s="4"/>
    </row>
    <row r="520" spans="6:8" x14ac:dyDescent="0.25">
      <c r="F520" s="4"/>
      <c r="G520" s="4"/>
      <c r="H520" s="4"/>
    </row>
    <row r="521" spans="6:8" x14ac:dyDescent="0.25">
      <c r="F521" s="4"/>
      <c r="G521" s="4"/>
      <c r="H521" s="4"/>
    </row>
    <row r="522" spans="6:8" x14ac:dyDescent="0.25">
      <c r="F522" s="4"/>
      <c r="G522" s="4"/>
      <c r="H522" s="4"/>
    </row>
    <row r="523" spans="6:8" x14ac:dyDescent="0.25">
      <c r="F523" s="4"/>
      <c r="G523" s="4"/>
      <c r="H523" s="4"/>
    </row>
    <row r="524" spans="6:8" x14ac:dyDescent="0.25">
      <c r="F524" s="4"/>
      <c r="G524" s="4"/>
      <c r="H524" s="4"/>
    </row>
    <row r="525" spans="6:8" x14ac:dyDescent="0.25">
      <c r="F525" s="4"/>
      <c r="G525" s="4"/>
      <c r="H525" s="4"/>
    </row>
    <row r="526" spans="6:8" x14ac:dyDescent="0.25">
      <c r="F526" s="4"/>
      <c r="G526" s="4"/>
      <c r="H526" s="4"/>
    </row>
    <row r="527" spans="6:8" x14ac:dyDescent="0.25">
      <c r="F527" s="4"/>
      <c r="G527" s="4"/>
      <c r="H527" s="4"/>
    </row>
    <row r="528" spans="6:8" x14ac:dyDescent="0.25">
      <c r="F528" s="4"/>
      <c r="G528" s="4"/>
      <c r="H528" s="4"/>
    </row>
    <row r="529" spans="6:8" x14ac:dyDescent="0.25">
      <c r="F529" s="4"/>
      <c r="G529" s="4"/>
      <c r="H529" s="4"/>
    </row>
    <row r="530" spans="6:8" x14ac:dyDescent="0.25">
      <c r="F530" s="4"/>
      <c r="G530" s="4"/>
      <c r="H530" s="4"/>
    </row>
    <row r="531" spans="6:8" x14ac:dyDescent="0.25">
      <c r="F531" s="4"/>
      <c r="G531" s="4"/>
      <c r="H531" s="4"/>
    </row>
    <row r="532" spans="6:8" x14ac:dyDescent="0.25">
      <c r="F532" s="4"/>
      <c r="G532" s="4"/>
      <c r="H532" s="4"/>
    </row>
    <row r="533" spans="6:8" x14ac:dyDescent="0.25">
      <c r="F533" s="4"/>
      <c r="G533" s="4"/>
      <c r="H533" s="4"/>
    </row>
    <row r="534" spans="6:8" x14ac:dyDescent="0.25">
      <c r="F534" s="4"/>
      <c r="G534" s="4"/>
      <c r="H534" s="4"/>
    </row>
    <row r="535" spans="6:8" x14ac:dyDescent="0.25">
      <c r="F535" s="4"/>
      <c r="G535" s="4"/>
      <c r="H535" s="4"/>
    </row>
    <row r="536" spans="6:8" x14ac:dyDescent="0.25">
      <c r="F536" s="4"/>
      <c r="G536" s="4"/>
      <c r="H536" s="4"/>
    </row>
    <row r="537" spans="6:8" x14ac:dyDescent="0.25">
      <c r="F537" s="4"/>
      <c r="G537" s="4"/>
      <c r="H537" s="4"/>
    </row>
    <row r="538" spans="6:8" x14ac:dyDescent="0.25">
      <c r="F538" s="4"/>
      <c r="G538" s="4"/>
      <c r="H538" s="4"/>
    </row>
    <row r="539" spans="6:8" x14ac:dyDescent="0.25">
      <c r="F539" s="4"/>
      <c r="G539" s="4"/>
      <c r="H539" s="4"/>
    </row>
    <row r="540" spans="6:8" x14ac:dyDescent="0.25">
      <c r="F540" s="4"/>
      <c r="G540" s="4"/>
      <c r="H540" s="4"/>
    </row>
    <row r="541" spans="6:8" x14ac:dyDescent="0.25">
      <c r="F541" s="4"/>
      <c r="G541" s="4"/>
      <c r="H541" s="4"/>
    </row>
    <row r="542" spans="6:8" x14ac:dyDescent="0.25">
      <c r="F542" s="4"/>
      <c r="G542" s="4"/>
      <c r="H542" s="4"/>
    </row>
    <row r="543" spans="6:8" x14ac:dyDescent="0.25">
      <c r="F543" s="4"/>
      <c r="G543" s="4"/>
      <c r="H543" s="4"/>
    </row>
    <row r="544" spans="6:8" x14ac:dyDescent="0.25">
      <c r="F544" s="4"/>
      <c r="G544" s="4"/>
      <c r="H544" s="4"/>
    </row>
    <row r="545" spans="6:8" x14ac:dyDescent="0.25">
      <c r="F545" s="4"/>
      <c r="G545" s="4"/>
      <c r="H545" s="4"/>
    </row>
    <row r="546" spans="6:8" x14ac:dyDescent="0.25">
      <c r="F546" s="4"/>
      <c r="G546" s="4"/>
      <c r="H546" s="4"/>
    </row>
    <row r="547" spans="6:8" x14ac:dyDescent="0.25">
      <c r="F547" s="4"/>
      <c r="G547" s="4"/>
      <c r="H547" s="4"/>
    </row>
    <row r="548" spans="6:8" x14ac:dyDescent="0.25">
      <c r="F548" s="4"/>
      <c r="G548" s="4"/>
      <c r="H548" s="4"/>
    </row>
    <row r="549" spans="6:8" x14ac:dyDescent="0.25">
      <c r="F549" s="4"/>
      <c r="G549" s="4"/>
      <c r="H549" s="4"/>
    </row>
    <row r="550" spans="6:8" x14ac:dyDescent="0.25">
      <c r="F550" s="4"/>
      <c r="G550" s="4"/>
      <c r="H550" s="4"/>
    </row>
    <row r="551" spans="6:8" x14ac:dyDescent="0.25">
      <c r="F551" s="4"/>
      <c r="G551" s="4"/>
      <c r="H551" s="4"/>
    </row>
    <row r="552" spans="6:8" x14ac:dyDescent="0.25">
      <c r="F552" s="4"/>
      <c r="G552" s="4"/>
      <c r="H552" s="4"/>
    </row>
    <row r="553" spans="6:8" x14ac:dyDescent="0.25">
      <c r="F553" s="4"/>
      <c r="G553" s="4"/>
      <c r="H553" s="4"/>
    </row>
    <row r="554" spans="6:8" x14ac:dyDescent="0.25">
      <c r="F554" s="4"/>
      <c r="G554" s="4"/>
      <c r="H554" s="4"/>
    </row>
    <row r="555" spans="6:8" x14ac:dyDescent="0.25">
      <c r="F555" s="4"/>
      <c r="G555" s="4"/>
      <c r="H555" s="4"/>
    </row>
    <row r="556" spans="6:8" x14ac:dyDescent="0.25">
      <c r="F556" s="4"/>
      <c r="G556" s="4"/>
      <c r="H556" s="4"/>
    </row>
    <row r="557" spans="6:8" x14ac:dyDescent="0.25">
      <c r="F557" s="4"/>
      <c r="G557" s="4"/>
      <c r="H557" s="4"/>
    </row>
    <row r="558" spans="6:8" x14ac:dyDescent="0.25">
      <c r="F558" s="4"/>
      <c r="G558" s="4"/>
      <c r="H558" s="4"/>
    </row>
    <row r="559" spans="6:8" x14ac:dyDescent="0.25">
      <c r="F559" s="4"/>
      <c r="G559" s="4"/>
      <c r="H559" s="4"/>
    </row>
    <row r="560" spans="6:8" x14ac:dyDescent="0.25">
      <c r="F560" s="4"/>
      <c r="G560" s="4"/>
      <c r="H560" s="4"/>
    </row>
    <row r="561" spans="6:8" x14ac:dyDescent="0.25">
      <c r="F561" s="4"/>
      <c r="G561" s="4"/>
      <c r="H561" s="4"/>
    </row>
    <row r="562" spans="6:8" x14ac:dyDescent="0.25">
      <c r="F562" s="4"/>
      <c r="G562" s="4"/>
      <c r="H562" s="4"/>
    </row>
    <row r="563" spans="6:8" x14ac:dyDescent="0.25">
      <c r="F563" s="4"/>
      <c r="G563" s="4"/>
      <c r="H563" s="4"/>
    </row>
    <row r="564" spans="6:8" x14ac:dyDescent="0.25">
      <c r="F564" s="4"/>
      <c r="G564" s="4"/>
      <c r="H564" s="4"/>
    </row>
    <row r="565" spans="6:8" x14ac:dyDescent="0.25">
      <c r="F565" s="4"/>
      <c r="G565" s="4"/>
      <c r="H565" s="4"/>
    </row>
    <row r="566" spans="6:8" x14ac:dyDescent="0.25">
      <c r="F566" s="4"/>
      <c r="G566" s="4"/>
      <c r="H566" s="4"/>
    </row>
    <row r="567" spans="6:8" x14ac:dyDescent="0.25">
      <c r="F567" s="4"/>
      <c r="G567" s="4"/>
      <c r="H567" s="4"/>
    </row>
    <row r="568" spans="6:8" x14ac:dyDescent="0.25">
      <c r="F568" s="4"/>
      <c r="G568" s="4"/>
      <c r="H568" s="4"/>
    </row>
    <row r="569" spans="6:8" x14ac:dyDescent="0.25">
      <c r="F569" s="4"/>
      <c r="G569" s="4"/>
      <c r="H569" s="4"/>
    </row>
    <row r="570" spans="6:8" x14ac:dyDescent="0.25">
      <c r="F570" s="4"/>
      <c r="G570" s="4"/>
      <c r="H570" s="4"/>
    </row>
    <row r="571" spans="6:8" x14ac:dyDescent="0.25">
      <c r="F571" s="4"/>
      <c r="G571" s="4"/>
      <c r="H571" s="4"/>
    </row>
    <row r="572" spans="6:8" x14ac:dyDescent="0.25">
      <c r="F572" s="4"/>
      <c r="G572" s="4"/>
      <c r="H572" s="4"/>
    </row>
    <row r="573" spans="6:8" x14ac:dyDescent="0.25">
      <c r="F573" s="4"/>
      <c r="G573" s="4"/>
      <c r="H573" s="4"/>
    </row>
    <row r="574" spans="6:8" x14ac:dyDescent="0.25">
      <c r="F574" s="4"/>
      <c r="G574" s="4"/>
      <c r="H574" s="4"/>
    </row>
    <row r="575" spans="6:8" x14ac:dyDescent="0.25">
      <c r="F575" s="4"/>
      <c r="G575" s="4"/>
      <c r="H575" s="4"/>
    </row>
    <row r="576" spans="6:8" x14ac:dyDescent="0.25">
      <c r="F576" s="4"/>
      <c r="G576" s="4"/>
      <c r="H576" s="4"/>
    </row>
    <row r="577" spans="6:8" x14ac:dyDescent="0.25">
      <c r="F577" s="4"/>
      <c r="G577" s="4"/>
      <c r="H577" s="4"/>
    </row>
    <row r="578" spans="6:8" x14ac:dyDescent="0.25">
      <c r="F578" s="4"/>
      <c r="G578" s="4"/>
      <c r="H578" s="4"/>
    </row>
    <row r="579" spans="6:8" x14ac:dyDescent="0.25">
      <c r="F579" s="4"/>
      <c r="G579" s="4"/>
      <c r="H579" s="4"/>
    </row>
    <row r="580" spans="6:8" x14ac:dyDescent="0.25">
      <c r="F580" s="4"/>
      <c r="G580" s="4"/>
      <c r="H580" s="4"/>
    </row>
    <row r="581" spans="6:8" x14ac:dyDescent="0.25">
      <c r="F581" s="4"/>
      <c r="G581" s="4"/>
      <c r="H581" s="4"/>
    </row>
    <row r="582" spans="6:8" x14ac:dyDescent="0.25">
      <c r="F582" s="4"/>
      <c r="G582" s="4"/>
      <c r="H582" s="4"/>
    </row>
    <row r="583" spans="6:8" x14ac:dyDescent="0.25">
      <c r="F583" s="4"/>
      <c r="G583" s="4"/>
      <c r="H583" s="4"/>
    </row>
    <row r="584" spans="6:8" x14ac:dyDescent="0.25">
      <c r="F584" s="4"/>
      <c r="G584" s="4"/>
      <c r="H584" s="4"/>
    </row>
    <row r="585" spans="6:8" x14ac:dyDescent="0.25">
      <c r="F585" s="4"/>
      <c r="G585" s="4"/>
      <c r="H585" s="4"/>
    </row>
    <row r="586" spans="6:8" x14ac:dyDescent="0.25">
      <c r="F586" s="4"/>
      <c r="G586" s="4"/>
      <c r="H586" s="4"/>
    </row>
    <row r="587" spans="6:8" x14ac:dyDescent="0.25">
      <c r="F587" s="4"/>
      <c r="G587" s="4"/>
      <c r="H587" s="4"/>
    </row>
    <row r="588" spans="6:8" x14ac:dyDescent="0.25">
      <c r="F588" s="4"/>
      <c r="G588" s="4"/>
      <c r="H588" s="4"/>
    </row>
    <row r="589" spans="6:8" x14ac:dyDescent="0.25">
      <c r="F589" s="4"/>
      <c r="G589" s="4"/>
      <c r="H589" s="4"/>
    </row>
    <row r="590" spans="6:8" x14ac:dyDescent="0.25">
      <c r="F590" s="4"/>
      <c r="G590" s="4"/>
      <c r="H590" s="4"/>
    </row>
    <row r="591" spans="6:8" x14ac:dyDescent="0.25">
      <c r="F591" s="4"/>
      <c r="G591" s="4"/>
      <c r="H591" s="4"/>
    </row>
    <row r="592" spans="6:8" x14ac:dyDescent="0.25">
      <c r="F592" s="4"/>
      <c r="G592" s="4"/>
      <c r="H592" s="4"/>
    </row>
    <row r="593" spans="6:8" x14ac:dyDescent="0.25">
      <c r="F593" s="4"/>
      <c r="G593" s="4"/>
      <c r="H593" s="4"/>
    </row>
    <row r="594" spans="6:8" x14ac:dyDescent="0.25">
      <c r="F594" s="4"/>
      <c r="G594" s="4"/>
      <c r="H594" s="4"/>
    </row>
    <row r="595" spans="6:8" x14ac:dyDescent="0.25">
      <c r="F595" s="4"/>
      <c r="G595" s="4"/>
      <c r="H595" s="4"/>
    </row>
    <row r="596" spans="6:8" x14ac:dyDescent="0.25">
      <c r="F596" s="4"/>
      <c r="G596" s="4"/>
      <c r="H596" s="4"/>
    </row>
    <row r="597" spans="6:8" x14ac:dyDescent="0.25">
      <c r="F597" s="4"/>
      <c r="G597" s="4"/>
      <c r="H597" s="4"/>
    </row>
    <row r="598" spans="6:8" x14ac:dyDescent="0.25">
      <c r="F598" s="4"/>
      <c r="G598" s="4"/>
      <c r="H598" s="4"/>
    </row>
    <row r="599" spans="6:8" x14ac:dyDescent="0.25">
      <c r="F599" s="4"/>
      <c r="G599" s="4"/>
      <c r="H599" s="4"/>
    </row>
    <row r="600" spans="6:8" x14ac:dyDescent="0.25">
      <c r="F600" s="4"/>
      <c r="G600" s="4"/>
      <c r="H600" s="4"/>
    </row>
    <row r="601" spans="6:8" x14ac:dyDescent="0.25">
      <c r="F601" s="4"/>
      <c r="G601" s="4"/>
      <c r="H601" s="4"/>
    </row>
    <row r="602" spans="6:8" x14ac:dyDescent="0.25">
      <c r="F602" s="4"/>
      <c r="G602" s="4"/>
      <c r="H602" s="4"/>
    </row>
    <row r="603" spans="6:8" x14ac:dyDescent="0.25">
      <c r="F603" s="4"/>
      <c r="G603" s="4"/>
      <c r="H603" s="4"/>
    </row>
    <row r="604" spans="6:8" x14ac:dyDescent="0.25">
      <c r="F604" s="4"/>
      <c r="G604" s="4"/>
      <c r="H604" s="4"/>
    </row>
    <row r="605" spans="6:8" x14ac:dyDescent="0.25">
      <c r="F605" s="4"/>
      <c r="G605" s="4"/>
      <c r="H605" s="4"/>
    </row>
    <row r="606" spans="6:8" x14ac:dyDescent="0.25">
      <c r="F606" s="4"/>
      <c r="G606" s="4"/>
      <c r="H606" s="4"/>
    </row>
    <row r="607" spans="6:8" x14ac:dyDescent="0.25">
      <c r="F607" s="4"/>
      <c r="G607" s="4"/>
      <c r="H607" s="4"/>
    </row>
    <row r="608" spans="6:8" x14ac:dyDescent="0.25">
      <c r="F608" s="4"/>
      <c r="G608" s="4"/>
      <c r="H608" s="4"/>
    </row>
    <row r="609" spans="6:8" x14ac:dyDescent="0.25">
      <c r="F609" s="4"/>
      <c r="G609" s="4"/>
      <c r="H609" s="4"/>
    </row>
    <row r="610" spans="6:8" x14ac:dyDescent="0.25">
      <c r="F610" s="4"/>
      <c r="G610" s="4"/>
      <c r="H610" s="4"/>
    </row>
    <row r="611" spans="6:8" x14ac:dyDescent="0.25">
      <c r="F611" s="4"/>
      <c r="G611" s="4"/>
      <c r="H611" s="4"/>
    </row>
    <row r="612" spans="6:8" x14ac:dyDescent="0.25">
      <c r="F612" s="4"/>
      <c r="G612" s="4"/>
      <c r="H612" s="4"/>
    </row>
    <row r="613" spans="6:8" x14ac:dyDescent="0.25">
      <c r="F613" s="4"/>
      <c r="G613" s="4"/>
      <c r="H613" s="4"/>
    </row>
    <row r="614" spans="6:8" x14ac:dyDescent="0.25">
      <c r="F614" s="4"/>
      <c r="G614" s="4"/>
      <c r="H614" s="4"/>
    </row>
    <row r="615" spans="6:8" x14ac:dyDescent="0.25">
      <c r="F615" s="4"/>
      <c r="G615" s="4"/>
      <c r="H615" s="4"/>
    </row>
    <row r="616" spans="6:8" x14ac:dyDescent="0.25">
      <c r="F616" s="4"/>
      <c r="G616" s="4"/>
      <c r="H616" s="4"/>
    </row>
    <row r="617" spans="6:8" x14ac:dyDescent="0.25">
      <c r="F617" s="4"/>
      <c r="G617" s="4"/>
      <c r="H617" s="4"/>
    </row>
    <row r="618" spans="6:8" x14ac:dyDescent="0.25">
      <c r="F618" s="4"/>
      <c r="G618" s="4"/>
      <c r="H618" s="4"/>
    </row>
    <row r="619" spans="6:8" x14ac:dyDescent="0.25">
      <c r="F619" s="4"/>
      <c r="G619" s="4"/>
      <c r="H619" s="4"/>
    </row>
    <row r="620" spans="6:8" x14ac:dyDescent="0.25">
      <c r="F620" s="4"/>
      <c r="G620" s="4"/>
      <c r="H620" s="4"/>
    </row>
    <row r="621" spans="6:8" x14ac:dyDescent="0.25">
      <c r="F621" s="4"/>
      <c r="G621" s="4"/>
      <c r="H621" s="4"/>
    </row>
    <row r="622" spans="6:8" x14ac:dyDescent="0.25">
      <c r="F622" s="4"/>
      <c r="G622" s="4"/>
      <c r="H622" s="4"/>
    </row>
    <row r="623" spans="6:8" x14ac:dyDescent="0.25">
      <c r="F623" s="4"/>
      <c r="G623" s="4"/>
      <c r="H623" s="4"/>
    </row>
    <row r="624" spans="6:8" x14ac:dyDescent="0.25">
      <c r="F624" s="4"/>
      <c r="G624" s="4"/>
      <c r="H624" s="4"/>
    </row>
    <row r="625" spans="6:8" x14ac:dyDescent="0.25">
      <c r="F625" s="4"/>
      <c r="G625" s="4"/>
      <c r="H625" s="4"/>
    </row>
    <row r="626" spans="6:8" x14ac:dyDescent="0.25">
      <c r="F626" s="4"/>
      <c r="G626" s="4"/>
      <c r="H626" s="4"/>
    </row>
    <row r="627" spans="6:8" x14ac:dyDescent="0.25">
      <c r="F627" s="4"/>
      <c r="G627" s="4"/>
      <c r="H627" s="4"/>
    </row>
    <row r="628" spans="6:8" x14ac:dyDescent="0.25">
      <c r="F628" s="4"/>
      <c r="G628" s="4"/>
      <c r="H628" s="4"/>
    </row>
    <row r="629" spans="6:8" x14ac:dyDescent="0.25">
      <c r="F629" s="4"/>
      <c r="G629" s="4"/>
      <c r="H629" s="4"/>
    </row>
    <row r="630" spans="6:8" x14ac:dyDescent="0.25">
      <c r="F630" s="4"/>
      <c r="G630" s="4"/>
      <c r="H630" s="4"/>
    </row>
    <row r="631" spans="6:8" x14ac:dyDescent="0.25">
      <c r="F631" s="4"/>
      <c r="G631" s="4"/>
      <c r="H631" s="4"/>
    </row>
    <row r="632" spans="6:8" x14ac:dyDescent="0.25">
      <c r="F632" s="4"/>
      <c r="G632" s="4"/>
      <c r="H632" s="4"/>
    </row>
    <row r="633" spans="6:8" x14ac:dyDescent="0.25">
      <c r="F633" s="4"/>
      <c r="G633" s="4"/>
      <c r="H633" s="4"/>
    </row>
    <row r="634" spans="6:8" x14ac:dyDescent="0.25">
      <c r="F634" s="4"/>
      <c r="G634" s="4"/>
      <c r="H634" s="4"/>
    </row>
    <row r="635" spans="6:8" x14ac:dyDescent="0.25">
      <c r="F635" s="4"/>
      <c r="G635" s="4"/>
      <c r="H635" s="4"/>
    </row>
    <row r="636" spans="6:8" x14ac:dyDescent="0.25">
      <c r="F636" s="4"/>
      <c r="G636" s="4"/>
      <c r="H636" s="4"/>
    </row>
    <row r="637" spans="6:8" x14ac:dyDescent="0.25">
      <c r="F637" s="4"/>
      <c r="G637" s="4"/>
      <c r="H637" s="4"/>
    </row>
    <row r="638" spans="6:8" x14ac:dyDescent="0.25">
      <c r="F638" s="4"/>
      <c r="G638" s="4"/>
      <c r="H638" s="4"/>
    </row>
    <row r="639" spans="6:8" x14ac:dyDescent="0.25">
      <c r="F639" s="4"/>
      <c r="G639" s="4"/>
      <c r="H639" s="4"/>
    </row>
    <row r="640" spans="6:8" x14ac:dyDescent="0.25">
      <c r="F640" s="4"/>
      <c r="G640" s="4"/>
      <c r="H640" s="4"/>
    </row>
    <row r="641" spans="6:8" x14ac:dyDescent="0.25">
      <c r="F641" s="4"/>
      <c r="G641" s="4"/>
      <c r="H641" s="4"/>
    </row>
    <row r="642" spans="6:8" x14ac:dyDescent="0.25">
      <c r="F642" s="4"/>
      <c r="G642" s="4"/>
      <c r="H642" s="4"/>
    </row>
    <row r="643" spans="6:8" x14ac:dyDescent="0.25">
      <c r="F643" s="4"/>
      <c r="G643" s="4"/>
      <c r="H643" s="4"/>
    </row>
    <row r="644" spans="6:8" x14ac:dyDescent="0.25">
      <c r="F644" s="4"/>
      <c r="G644" s="4"/>
      <c r="H644" s="4"/>
    </row>
    <row r="645" spans="6:8" x14ac:dyDescent="0.25">
      <c r="F645" s="4"/>
      <c r="G645" s="4"/>
      <c r="H645" s="4"/>
    </row>
    <row r="646" spans="6:8" x14ac:dyDescent="0.25">
      <c r="F646" s="4"/>
      <c r="G646" s="4"/>
      <c r="H646" s="4"/>
    </row>
    <row r="647" spans="6:8" x14ac:dyDescent="0.25">
      <c r="F647" s="4"/>
      <c r="G647" s="4"/>
      <c r="H647" s="4"/>
    </row>
    <row r="648" spans="6:8" x14ac:dyDescent="0.25">
      <c r="F648" s="4"/>
      <c r="G648" s="4"/>
      <c r="H648" s="4"/>
    </row>
    <row r="649" spans="6:8" x14ac:dyDescent="0.25">
      <c r="F649" s="4"/>
      <c r="G649" s="4"/>
      <c r="H649" s="4"/>
    </row>
    <row r="650" spans="6:8" x14ac:dyDescent="0.25">
      <c r="F650" s="4"/>
      <c r="G650" s="4"/>
      <c r="H650" s="4"/>
    </row>
    <row r="651" spans="6:8" x14ac:dyDescent="0.25">
      <c r="F651" s="4"/>
      <c r="G651" s="4"/>
      <c r="H651" s="4"/>
    </row>
    <row r="652" spans="6:8" x14ac:dyDescent="0.25">
      <c r="F652" s="4"/>
      <c r="G652" s="4"/>
      <c r="H652" s="4"/>
    </row>
    <row r="653" spans="6:8" x14ac:dyDescent="0.25">
      <c r="F653" s="4"/>
      <c r="G653" s="4"/>
      <c r="H653" s="4"/>
    </row>
    <row r="654" spans="6:8" x14ac:dyDescent="0.25">
      <c r="F654" s="4"/>
      <c r="G654" s="4"/>
      <c r="H654" s="4"/>
    </row>
    <row r="655" spans="6:8" x14ac:dyDescent="0.25">
      <c r="F655" s="4"/>
      <c r="G655" s="4"/>
      <c r="H655" s="4"/>
    </row>
    <row r="656" spans="6:8" x14ac:dyDescent="0.25">
      <c r="F656" s="4"/>
      <c r="G656" s="4"/>
      <c r="H656" s="4"/>
    </row>
    <row r="657" spans="6:8" x14ac:dyDescent="0.25">
      <c r="F657" s="4"/>
      <c r="G657" s="4"/>
      <c r="H657" s="4"/>
    </row>
    <row r="658" spans="6:8" x14ac:dyDescent="0.25">
      <c r="F658" s="4"/>
      <c r="G658" s="4"/>
      <c r="H658" s="4"/>
    </row>
    <row r="659" spans="6:8" x14ac:dyDescent="0.25">
      <c r="F659" s="4"/>
      <c r="G659" s="4"/>
      <c r="H659" s="4"/>
    </row>
    <row r="660" spans="6:8" x14ac:dyDescent="0.25">
      <c r="F660" s="4"/>
      <c r="G660" s="4"/>
      <c r="H660" s="4"/>
    </row>
    <row r="661" spans="6:8" x14ac:dyDescent="0.25">
      <c r="F661" s="4"/>
      <c r="G661" s="4"/>
      <c r="H661" s="4"/>
    </row>
    <row r="662" spans="6:8" x14ac:dyDescent="0.25">
      <c r="F662" s="4"/>
      <c r="G662" s="4"/>
      <c r="H662" s="4"/>
    </row>
    <row r="663" spans="6:8" x14ac:dyDescent="0.25">
      <c r="F663" s="4"/>
      <c r="G663" s="4"/>
      <c r="H663" s="4"/>
    </row>
    <row r="664" spans="6:8" x14ac:dyDescent="0.25">
      <c r="F664" s="4"/>
      <c r="G664" s="4"/>
      <c r="H664" s="4"/>
    </row>
    <row r="665" spans="6:8" x14ac:dyDescent="0.25">
      <c r="F665" s="4"/>
      <c r="G665" s="4"/>
      <c r="H665" s="4"/>
    </row>
    <row r="666" spans="6:8" x14ac:dyDescent="0.25">
      <c r="F666" s="4"/>
      <c r="G666" s="4"/>
      <c r="H666" s="4"/>
    </row>
    <row r="667" spans="6:8" x14ac:dyDescent="0.25">
      <c r="F667" s="4"/>
      <c r="G667" s="4"/>
      <c r="H667" s="4"/>
    </row>
    <row r="668" spans="6:8" x14ac:dyDescent="0.25">
      <c r="F668" s="4"/>
      <c r="G668" s="4"/>
      <c r="H668" s="4"/>
    </row>
    <row r="669" spans="6:8" x14ac:dyDescent="0.25">
      <c r="F669" s="4"/>
      <c r="G669" s="4"/>
      <c r="H669" s="4"/>
    </row>
    <row r="670" spans="6:8" x14ac:dyDescent="0.25">
      <c r="F670" s="4"/>
      <c r="G670" s="4"/>
      <c r="H670" s="4"/>
    </row>
    <row r="671" spans="6:8" x14ac:dyDescent="0.25">
      <c r="F671" s="4"/>
      <c r="G671" s="4"/>
      <c r="H671" s="4"/>
    </row>
    <row r="672" spans="6:8" x14ac:dyDescent="0.25">
      <c r="F672" s="4"/>
      <c r="G672" s="4"/>
      <c r="H672" s="4"/>
    </row>
    <row r="673" spans="6:8" x14ac:dyDescent="0.25">
      <c r="F673" s="4"/>
      <c r="G673" s="4"/>
      <c r="H673" s="4"/>
    </row>
    <row r="674" spans="6:8" x14ac:dyDescent="0.25">
      <c r="F674" s="4"/>
      <c r="G674" s="4"/>
      <c r="H674" s="4"/>
    </row>
    <row r="675" spans="6:8" x14ac:dyDescent="0.25">
      <c r="F675" s="4"/>
      <c r="G675" s="4"/>
      <c r="H675" s="4"/>
    </row>
    <row r="676" spans="6:8" x14ac:dyDescent="0.25">
      <c r="F676" s="4"/>
      <c r="G676" s="4"/>
      <c r="H676" s="4"/>
    </row>
    <row r="677" spans="6:8" x14ac:dyDescent="0.25">
      <c r="F677" s="4"/>
      <c r="G677" s="4"/>
      <c r="H677" s="4"/>
    </row>
    <row r="678" spans="6:8" x14ac:dyDescent="0.25">
      <c r="F678" s="4"/>
      <c r="G678" s="4"/>
      <c r="H678" s="4"/>
    </row>
    <row r="679" spans="6:8" x14ac:dyDescent="0.25">
      <c r="F679" s="4"/>
      <c r="G679" s="4"/>
      <c r="H679" s="4"/>
    </row>
    <row r="680" spans="6:8" x14ac:dyDescent="0.25">
      <c r="F680" s="4"/>
      <c r="G680" s="4"/>
      <c r="H680" s="4"/>
    </row>
    <row r="681" spans="6:8" x14ac:dyDescent="0.25">
      <c r="F681" s="4"/>
      <c r="G681" s="4"/>
      <c r="H681" s="4"/>
    </row>
    <row r="682" spans="6:8" x14ac:dyDescent="0.25">
      <c r="F682" s="4"/>
      <c r="G682" s="4"/>
      <c r="H682" s="4"/>
    </row>
    <row r="683" spans="6:8" x14ac:dyDescent="0.25">
      <c r="F683" s="4"/>
      <c r="G683" s="4"/>
      <c r="H683" s="4"/>
    </row>
    <row r="684" spans="6:8" x14ac:dyDescent="0.25">
      <c r="F684" s="4"/>
      <c r="G684" s="4"/>
      <c r="H684" s="4"/>
    </row>
    <row r="685" spans="6:8" x14ac:dyDescent="0.25">
      <c r="F685" s="4"/>
      <c r="G685" s="4"/>
      <c r="H685" s="4"/>
    </row>
    <row r="686" spans="6:8" x14ac:dyDescent="0.25">
      <c r="F686" s="4"/>
      <c r="G686" s="4"/>
      <c r="H686" s="4"/>
    </row>
    <row r="687" spans="6:8" x14ac:dyDescent="0.25">
      <c r="F687" s="4"/>
      <c r="G687" s="4"/>
      <c r="H687" s="4"/>
    </row>
    <row r="688" spans="6:8" x14ac:dyDescent="0.25">
      <c r="F688" s="4"/>
      <c r="G688" s="4"/>
      <c r="H688" s="4"/>
    </row>
    <row r="689" spans="6:8" x14ac:dyDescent="0.25">
      <c r="F689" s="4"/>
      <c r="G689" s="4"/>
      <c r="H689" s="4"/>
    </row>
    <row r="690" spans="6:8" x14ac:dyDescent="0.25">
      <c r="F690" s="4"/>
      <c r="G690" s="4"/>
      <c r="H690" s="4"/>
    </row>
    <row r="691" spans="6:8" x14ac:dyDescent="0.25">
      <c r="F691" s="4"/>
      <c r="G691" s="4"/>
      <c r="H691" s="4"/>
    </row>
    <row r="692" spans="6:8" x14ac:dyDescent="0.25">
      <c r="F692" s="4"/>
      <c r="G692" s="4"/>
      <c r="H692" s="4"/>
    </row>
    <row r="693" spans="6:8" x14ac:dyDescent="0.25">
      <c r="F693" s="4"/>
      <c r="G693" s="4"/>
      <c r="H693" s="4"/>
    </row>
    <row r="694" spans="6:8" x14ac:dyDescent="0.25">
      <c r="F694" s="4"/>
      <c r="G694" s="4"/>
      <c r="H694" s="4"/>
    </row>
    <row r="695" spans="6:8" x14ac:dyDescent="0.25">
      <c r="F695" s="4"/>
      <c r="G695" s="4"/>
      <c r="H695" s="4"/>
    </row>
    <row r="696" spans="6:8" x14ac:dyDescent="0.25">
      <c r="F696" s="4"/>
      <c r="G696" s="4"/>
      <c r="H696" s="4"/>
    </row>
    <row r="697" spans="6:8" x14ac:dyDescent="0.25">
      <c r="F697" s="4"/>
      <c r="G697" s="4"/>
      <c r="H697" s="4"/>
    </row>
    <row r="698" spans="6:8" x14ac:dyDescent="0.25">
      <c r="F698" s="4"/>
      <c r="G698" s="4"/>
      <c r="H698" s="4"/>
    </row>
    <row r="699" spans="6:8" x14ac:dyDescent="0.25">
      <c r="F699" s="4"/>
      <c r="G699" s="4"/>
      <c r="H699" s="4"/>
    </row>
    <row r="700" spans="6:8" x14ac:dyDescent="0.25">
      <c r="F700" s="4"/>
      <c r="G700" s="4"/>
      <c r="H700" s="4"/>
    </row>
    <row r="701" spans="6:8" x14ac:dyDescent="0.25">
      <c r="F701" s="4"/>
      <c r="G701" s="4"/>
      <c r="H701" s="4"/>
    </row>
    <row r="702" spans="6:8" x14ac:dyDescent="0.25">
      <c r="F702" s="4"/>
      <c r="G702" s="4"/>
      <c r="H702" s="4"/>
    </row>
    <row r="703" spans="6:8" x14ac:dyDescent="0.25">
      <c r="F703" s="4"/>
      <c r="G703" s="4"/>
      <c r="H703" s="4"/>
    </row>
    <row r="704" spans="6:8" x14ac:dyDescent="0.25">
      <c r="F704" s="4"/>
      <c r="G704" s="4"/>
      <c r="H704" s="4"/>
    </row>
    <row r="705" spans="6:8" x14ac:dyDescent="0.25">
      <c r="F705" s="4"/>
      <c r="G705" s="4"/>
      <c r="H705" s="4"/>
    </row>
    <row r="706" spans="6:8" x14ac:dyDescent="0.25">
      <c r="F706" s="4"/>
      <c r="G706" s="4"/>
      <c r="H706" s="4"/>
    </row>
    <row r="707" spans="6:8" x14ac:dyDescent="0.25">
      <c r="F707" s="4"/>
      <c r="G707" s="4"/>
      <c r="H707" s="4"/>
    </row>
    <row r="708" spans="6:8" x14ac:dyDescent="0.25">
      <c r="F708" s="4"/>
      <c r="G708" s="4"/>
      <c r="H708" s="4"/>
    </row>
    <row r="709" spans="6:8" x14ac:dyDescent="0.25">
      <c r="F709" s="4"/>
      <c r="G709" s="4"/>
      <c r="H709" s="4"/>
    </row>
    <row r="710" spans="6:8" x14ac:dyDescent="0.25">
      <c r="F710" s="4"/>
      <c r="G710" s="4"/>
      <c r="H710" s="4"/>
    </row>
    <row r="711" spans="6:8" x14ac:dyDescent="0.25">
      <c r="F711" s="4"/>
      <c r="G711" s="4"/>
      <c r="H711" s="4"/>
    </row>
    <row r="712" spans="6:8" x14ac:dyDescent="0.25">
      <c r="F712" s="4"/>
      <c r="G712" s="4"/>
      <c r="H712" s="4"/>
    </row>
    <row r="713" spans="6:8" x14ac:dyDescent="0.25">
      <c r="F713" s="4"/>
      <c r="G713" s="4"/>
      <c r="H713" s="4"/>
    </row>
    <row r="714" spans="6:8" x14ac:dyDescent="0.25">
      <c r="F714" s="4"/>
      <c r="G714" s="4"/>
      <c r="H714" s="4"/>
    </row>
    <row r="715" spans="6:8" x14ac:dyDescent="0.25">
      <c r="F715" s="4"/>
      <c r="G715" s="4"/>
      <c r="H715" s="4"/>
    </row>
    <row r="716" spans="6:8" x14ac:dyDescent="0.25">
      <c r="F716" s="4"/>
      <c r="G716" s="4"/>
      <c r="H716" s="4"/>
    </row>
    <row r="717" spans="6:8" x14ac:dyDescent="0.25">
      <c r="F717" s="4"/>
      <c r="G717" s="4"/>
      <c r="H717" s="4"/>
    </row>
    <row r="718" spans="6:8" x14ac:dyDescent="0.25">
      <c r="F718" s="4"/>
      <c r="G718" s="4"/>
      <c r="H718" s="4"/>
    </row>
    <row r="719" spans="6:8" x14ac:dyDescent="0.25">
      <c r="F719" s="4"/>
      <c r="G719" s="4"/>
      <c r="H719" s="4"/>
    </row>
    <row r="720" spans="6:8" x14ac:dyDescent="0.25">
      <c r="F720" s="4"/>
      <c r="G720" s="4"/>
      <c r="H720" s="4"/>
    </row>
    <row r="721" spans="6:8" x14ac:dyDescent="0.25">
      <c r="F721" s="4"/>
      <c r="G721" s="4"/>
      <c r="H721" s="4"/>
    </row>
    <row r="722" spans="6:8" x14ac:dyDescent="0.25">
      <c r="F722" s="4"/>
      <c r="G722" s="4"/>
      <c r="H722" s="4"/>
    </row>
    <row r="723" spans="6:8" x14ac:dyDescent="0.25">
      <c r="F723" s="4"/>
      <c r="G723" s="4"/>
      <c r="H723" s="4"/>
    </row>
    <row r="724" spans="6:8" x14ac:dyDescent="0.25">
      <c r="F724" s="4"/>
      <c r="G724" s="4"/>
      <c r="H724" s="4"/>
    </row>
    <row r="725" spans="6:8" x14ac:dyDescent="0.25">
      <c r="F725" s="4"/>
      <c r="G725" s="4"/>
      <c r="H725" s="4"/>
    </row>
    <row r="726" spans="6:8" x14ac:dyDescent="0.25">
      <c r="F726" s="4"/>
      <c r="G726" s="4"/>
      <c r="H726" s="4"/>
    </row>
    <row r="727" spans="6:8" x14ac:dyDescent="0.25">
      <c r="F727" s="4"/>
      <c r="G727" s="4"/>
      <c r="H727" s="4"/>
    </row>
    <row r="728" spans="6:8" x14ac:dyDescent="0.25">
      <c r="F728" s="4"/>
      <c r="G728" s="4"/>
      <c r="H728" s="4"/>
    </row>
    <row r="729" spans="6:8" x14ac:dyDescent="0.25">
      <c r="F729" s="4"/>
      <c r="G729" s="4"/>
      <c r="H729" s="4"/>
    </row>
    <row r="730" spans="6:8" x14ac:dyDescent="0.25">
      <c r="F730" s="4"/>
      <c r="G730" s="4"/>
      <c r="H730" s="4"/>
    </row>
    <row r="731" spans="6:8" x14ac:dyDescent="0.25">
      <c r="F731" s="4"/>
      <c r="G731" s="4"/>
      <c r="H731" s="4"/>
    </row>
    <row r="732" spans="6:8" x14ac:dyDescent="0.25">
      <c r="F732" s="4"/>
      <c r="G732" s="4"/>
      <c r="H732" s="4"/>
    </row>
    <row r="733" spans="6:8" x14ac:dyDescent="0.25">
      <c r="F733" s="4"/>
      <c r="G733" s="4"/>
      <c r="H733" s="4"/>
    </row>
    <row r="734" spans="6:8" x14ac:dyDescent="0.25">
      <c r="F734" s="4"/>
      <c r="G734" s="4"/>
      <c r="H734" s="4"/>
    </row>
    <row r="735" spans="6:8" x14ac:dyDescent="0.25">
      <c r="F735" s="4"/>
      <c r="G735" s="4"/>
      <c r="H735" s="4"/>
    </row>
    <row r="736" spans="6:8" x14ac:dyDescent="0.25">
      <c r="F736" s="4"/>
      <c r="G736" s="4"/>
      <c r="H736" s="4"/>
    </row>
    <row r="737" spans="6:8" x14ac:dyDescent="0.25">
      <c r="F737" s="4"/>
      <c r="G737" s="4"/>
      <c r="H737" s="4"/>
    </row>
    <row r="738" spans="6:8" x14ac:dyDescent="0.25">
      <c r="F738" s="4"/>
      <c r="G738" s="4"/>
      <c r="H738" s="4"/>
    </row>
    <row r="739" spans="6:8" x14ac:dyDescent="0.25">
      <c r="F739" s="4"/>
      <c r="G739" s="4"/>
      <c r="H739" s="4"/>
    </row>
    <row r="740" spans="6:8" x14ac:dyDescent="0.25">
      <c r="F740" s="4"/>
      <c r="G740" s="4"/>
      <c r="H740" s="4"/>
    </row>
    <row r="741" spans="6:8" x14ac:dyDescent="0.25">
      <c r="F741" s="4"/>
      <c r="G741" s="4"/>
      <c r="H741" s="4"/>
    </row>
    <row r="742" spans="6:8" x14ac:dyDescent="0.25">
      <c r="F742" s="4"/>
      <c r="G742" s="4"/>
      <c r="H742" s="4"/>
    </row>
    <row r="743" spans="6:8" x14ac:dyDescent="0.25">
      <c r="F743" s="4"/>
      <c r="G743" s="4"/>
      <c r="H743" s="4"/>
    </row>
    <row r="744" spans="6:8" x14ac:dyDescent="0.25">
      <c r="F744" s="4"/>
      <c r="G744" s="4"/>
      <c r="H744" s="4"/>
    </row>
    <row r="745" spans="6:8" x14ac:dyDescent="0.25">
      <c r="F745" s="4"/>
      <c r="G745" s="4"/>
      <c r="H745" s="4"/>
    </row>
    <row r="746" spans="6:8" x14ac:dyDescent="0.25">
      <c r="F746" s="4"/>
      <c r="G746" s="4"/>
      <c r="H746" s="4"/>
    </row>
    <row r="747" spans="6:8" x14ac:dyDescent="0.25">
      <c r="F747" s="4"/>
      <c r="G747" s="4"/>
      <c r="H747" s="4"/>
    </row>
    <row r="748" spans="6:8" x14ac:dyDescent="0.25">
      <c r="F748" s="4"/>
      <c r="G748" s="4"/>
      <c r="H748" s="4"/>
    </row>
    <row r="749" spans="6:8" x14ac:dyDescent="0.25">
      <c r="F749" s="4"/>
      <c r="G749" s="4"/>
      <c r="H749" s="4"/>
    </row>
    <row r="750" spans="6:8" x14ac:dyDescent="0.25">
      <c r="F750" s="4"/>
      <c r="G750" s="4"/>
      <c r="H750" s="4"/>
    </row>
    <row r="751" spans="6:8" x14ac:dyDescent="0.25">
      <c r="F751" s="4"/>
      <c r="G751" s="4"/>
      <c r="H751" s="4"/>
    </row>
    <row r="752" spans="6:8" x14ac:dyDescent="0.25">
      <c r="F752" s="4"/>
      <c r="G752" s="4"/>
      <c r="H752" s="4"/>
    </row>
    <row r="753" spans="6:8" x14ac:dyDescent="0.25">
      <c r="F753" s="4"/>
      <c r="G753" s="4"/>
      <c r="H753" s="4"/>
    </row>
    <row r="754" spans="6:8" x14ac:dyDescent="0.25">
      <c r="F754" s="4"/>
      <c r="G754" s="4"/>
      <c r="H754" s="4"/>
    </row>
    <row r="755" spans="6:8" x14ac:dyDescent="0.25">
      <c r="F755" s="4"/>
      <c r="G755" s="4"/>
      <c r="H755" s="4"/>
    </row>
    <row r="756" spans="6:8" x14ac:dyDescent="0.25">
      <c r="F756" s="4"/>
      <c r="G756" s="4"/>
      <c r="H756" s="4"/>
    </row>
    <row r="757" spans="6:8" x14ac:dyDescent="0.25">
      <c r="F757" s="4"/>
      <c r="G757" s="4"/>
      <c r="H757" s="4"/>
    </row>
    <row r="758" spans="6:8" x14ac:dyDescent="0.25">
      <c r="F758" s="4"/>
      <c r="G758" s="4"/>
      <c r="H758" s="4"/>
    </row>
    <row r="759" spans="6:8" x14ac:dyDescent="0.25">
      <c r="F759" s="4"/>
      <c r="G759" s="4"/>
      <c r="H759" s="4"/>
    </row>
    <row r="760" spans="6:8" x14ac:dyDescent="0.25">
      <c r="F760" s="4"/>
      <c r="G760" s="4"/>
      <c r="H760" s="4"/>
    </row>
    <row r="761" spans="6:8" x14ac:dyDescent="0.25">
      <c r="F761" s="4"/>
      <c r="G761" s="4"/>
      <c r="H761" s="4"/>
    </row>
    <row r="762" spans="6:8" x14ac:dyDescent="0.25">
      <c r="F762" s="4"/>
      <c r="G762" s="4"/>
      <c r="H762" s="4"/>
    </row>
    <row r="763" spans="6:8" x14ac:dyDescent="0.25">
      <c r="F763" s="4"/>
      <c r="G763" s="4"/>
      <c r="H763" s="4"/>
    </row>
    <row r="764" spans="6:8" x14ac:dyDescent="0.25">
      <c r="F764" s="4"/>
      <c r="G764" s="4"/>
      <c r="H764" s="4"/>
    </row>
    <row r="765" spans="6:8" x14ac:dyDescent="0.25">
      <c r="F765" s="4"/>
      <c r="G765" s="4"/>
      <c r="H765" s="4"/>
    </row>
    <row r="766" spans="6:8" x14ac:dyDescent="0.25">
      <c r="F766" s="4"/>
      <c r="G766" s="4"/>
      <c r="H766" s="4"/>
    </row>
    <row r="767" spans="6:8" x14ac:dyDescent="0.25">
      <c r="F767" s="4"/>
      <c r="G767" s="4"/>
      <c r="H767" s="4"/>
    </row>
    <row r="768" spans="6:8" x14ac:dyDescent="0.25">
      <c r="F768" s="4"/>
      <c r="G768" s="4"/>
      <c r="H768" s="4"/>
    </row>
    <row r="769" spans="6:8" x14ac:dyDescent="0.25">
      <c r="F769" s="4"/>
      <c r="G769" s="4"/>
      <c r="H769" s="4"/>
    </row>
    <row r="770" spans="6:8" x14ac:dyDescent="0.25">
      <c r="F770" s="4"/>
      <c r="G770" s="4"/>
      <c r="H770" s="4"/>
    </row>
    <row r="771" spans="6:8" x14ac:dyDescent="0.25">
      <c r="F771" s="4"/>
      <c r="G771" s="4"/>
      <c r="H771" s="4"/>
    </row>
    <row r="772" spans="6:8" x14ac:dyDescent="0.25">
      <c r="F772" s="4"/>
      <c r="G772" s="4"/>
      <c r="H772" s="4"/>
    </row>
    <row r="773" spans="6:8" x14ac:dyDescent="0.25">
      <c r="F773" s="4"/>
      <c r="G773" s="4"/>
      <c r="H773" s="4"/>
    </row>
    <row r="774" spans="6:8" x14ac:dyDescent="0.25">
      <c r="F774" s="4"/>
      <c r="G774" s="4"/>
      <c r="H774" s="4"/>
    </row>
    <row r="775" spans="6:8" x14ac:dyDescent="0.25">
      <c r="F775" s="4"/>
      <c r="G775" s="4"/>
      <c r="H775" s="4"/>
    </row>
    <row r="776" spans="6:8" x14ac:dyDescent="0.25">
      <c r="F776" s="4"/>
      <c r="G776" s="4"/>
      <c r="H776" s="4"/>
    </row>
    <row r="777" spans="6:8" x14ac:dyDescent="0.25">
      <c r="F777" s="4"/>
      <c r="G777" s="4"/>
      <c r="H777" s="4"/>
    </row>
    <row r="778" spans="6:8" x14ac:dyDescent="0.25">
      <c r="F778" s="4"/>
      <c r="G778" s="4"/>
      <c r="H778" s="4"/>
    </row>
    <row r="779" spans="6:8" x14ac:dyDescent="0.25">
      <c r="F779" s="4"/>
      <c r="G779" s="4"/>
      <c r="H779" s="4"/>
    </row>
    <row r="780" spans="6:8" x14ac:dyDescent="0.25">
      <c r="F780" s="4"/>
      <c r="G780" s="4"/>
      <c r="H780" s="4"/>
    </row>
    <row r="781" spans="6:8" x14ac:dyDescent="0.25">
      <c r="F781" s="4"/>
      <c r="G781" s="4"/>
      <c r="H781" s="4"/>
    </row>
    <row r="782" spans="6:8" x14ac:dyDescent="0.25">
      <c r="F782" s="4"/>
      <c r="G782" s="4"/>
      <c r="H782" s="4"/>
    </row>
    <row r="783" spans="6:8" x14ac:dyDescent="0.25">
      <c r="F783" s="4"/>
      <c r="G783" s="4"/>
      <c r="H783" s="4"/>
    </row>
    <row r="784" spans="6:8" x14ac:dyDescent="0.25">
      <c r="F784" s="4"/>
      <c r="G784" s="4"/>
      <c r="H784" s="4"/>
    </row>
    <row r="785" spans="6:8" x14ac:dyDescent="0.25">
      <c r="F785" s="4"/>
      <c r="G785" s="4"/>
      <c r="H785" s="4"/>
    </row>
    <row r="786" spans="6:8" x14ac:dyDescent="0.25">
      <c r="F786" s="4"/>
      <c r="G786" s="4"/>
      <c r="H786" s="4"/>
    </row>
    <row r="787" spans="6:8" x14ac:dyDescent="0.25">
      <c r="F787" s="4"/>
      <c r="G787" s="4"/>
      <c r="H787" s="4"/>
    </row>
    <row r="788" spans="6:8" x14ac:dyDescent="0.25">
      <c r="F788" s="4"/>
      <c r="G788" s="4"/>
      <c r="H788" s="4"/>
    </row>
    <row r="789" spans="6:8" x14ac:dyDescent="0.25">
      <c r="F789" s="4"/>
      <c r="G789" s="4"/>
      <c r="H789" s="4"/>
    </row>
    <row r="790" spans="6:8" x14ac:dyDescent="0.25">
      <c r="F790" s="4"/>
      <c r="G790" s="4"/>
      <c r="H790" s="4"/>
    </row>
    <row r="791" spans="6:8" x14ac:dyDescent="0.25">
      <c r="F791" s="4"/>
      <c r="G791" s="4"/>
      <c r="H791" s="4"/>
    </row>
    <row r="792" spans="6:8" x14ac:dyDescent="0.25">
      <c r="F792" s="4"/>
      <c r="G792" s="4"/>
      <c r="H792" s="4"/>
    </row>
    <row r="793" spans="6:8" x14ac:dyDescent="0.25">
      <c r="F793" s="4"/>
      <c r="G793" s="4"/>
      <c r="H793" s="4"/>
    </row>
    <row r="794" spans="6:8" x14ac:dyDescent="0.25">
      <c r="F794" s="4"/>
      <c r="G794" s="4"/>
      <c r="H794" s="4"/>
    </row>
    <row r="795" spans="6:8" x14ac:dyDescent="0.25">
      <c r="F795" s="4"/>
      <c r="G795" s="4"/>
      <c r="H795" s="4"/>
    </row>
    <row r="796" spans="6:8" x14ac:dyDescent="0.25">
      <c r="F796" s="4"/>
      <c r="G796" s="4"/>
      <c r="H796" s="4"/>
    </row>
    <row r="797" spans="6:8" x14ac:dyDescent="0.25">
      <c r="F797" s="4"/>
      <c r="G797" s="4"/>
      <c r="H797" s="4"/>
    </row>
    <row r="798" spans="6:8" x14ac:dyDescent="0.25">
      <c r="F798" s="4"/>
      <c r="G798" s="4"/>
      <c r="H798" s="4"/>
    </row>
    <row r="799" spans="6:8" x14ac:dyDescent="0.25">
      <c r="F799" s="4"/>
      <c r="G799" s="4"/>
      <c r="H799" s="4"/>
    </row>
    <row r="800" spans="6:8" x14ac:dyDescent="0.25">
      <c r="F800" s="4"/>
      <c r="G800" s="4"/>
      <c r="H800" s="4"/>
    </row>
    <row r="801" spans="6:8" x14ac:dyDescent="0.25">
      <c r="F801" s="4"/>
      <c r="G801" s="4"/>
      <c r="H801" s="4"/>
    </row>
    <row r="802" spans="6:8" x14ac:dyDescent="0.25">
      <c r="F802" s="4"/>
      <c r="G802" s="4"/>
      <c r="H802" s="4"/>
    </row>
    <row r="803" spans="6:8" x14ac:dyDescent="0.25">
      <c r="F803" s="4"/>
      <c r="G803" s="4"/>
      <c r="H803" s="4"/>
    </row>
    <row r="804" spans="6:8" x14ac:dyDescent="0.25">
      <c r="F804" s="4"/>
      <c r="G804" s="4"/>
      <c r="H804" s="4"/>
    </row>
    <row r="805" spans="6:8" x14ac:dyDescent="0.25">
      <c r="F805" s="4"/>
      <c r="G805" s="4"/>
      <c r="H805" s="4"/>
    </row>
    <row r="806" spans="6:8" x14ac:dyDescent="0.25">
      <c r="F806" s="4"/>
      <c r="G806" s="4"/>
      <c r="H806" s="4"/>
    </row>
    <row r="807" spans="6:8" x14ac:dyDescent="0.25">
      <c r="F807" s="4"/>
      <c r="G807" s="4"/>
      <c r="H807" s="4"/>
    </row>
    <row r="808" spans="6:8" x14ac:dyDescent="0.25">
      <c r="F808" s="4"/>
      <c r="G808" s="4"/>
      <c r="H808" s="4"/>
    </row>
    <row r="809" spans="6:8" x14ac:dyDescent="0.25">
      <c r="F809" s="4"/>
      <c r="G809" s="4"/>
      <c r="H809" s="4"/>
    </row>
    <row r="810" spans="6:8" x14ac:dyDescent="0.25">
      <c r="F810" s="4"/>
      <c r="G810" s="4"/>
      <c r="H810" s="4"/>
    </row>
    <row r="811" spans="6:8" x14ac:dyDescent="0.25">
      <c r="F811" s="4"/>
      <c r="G811" s="4"/>
      <c r="H811" s="4"/>
    </row>
    <row r="812" spans="6:8" x14ac:dyDescent="0.25">
      <c r="F812" s="4"/>
      <c r="G812" s="4"/>
      <c r="H812" s="4"/>
    </row>
    <row r="813" spans="6:8" x14ac:dyDescent="0.25">
      <c r="F813" s="4"/>
      <c r="G813" s="4"/>
      <c r="H813" s="4"/>
    </row>
    <row r="814" spans="6:8" x14ac:dyDescent="0.25">
      <c r="F814" s="4"/>
      <c r="G814" s="4"/>
      <c r="H814" s="4"/>
    </row>
    <row r="815" spans="6:8" x14ac:dyDescent="0.25">
      <c r="F815" s="4"/>
      <c r="G815" s="4"/>
      <c r="H815" s="4"/>
    </row>
    <row r="816" spans="6:8" x14ac:dyDescent="0.25">
      <c r="F816" s="4"/>
      <c r="G816" s="4"/>
      <c r="H816" s="4"/>
    </row>
    <row r="817" spans="6:8" x14ac:dyDescent="0.25">
      <c r="F817" s="4"/>
      <c r="G817" s="4"/>
      <c r="H817" s="4"/>
    </row>
    <row r="818" spans="6:8" x14ac:dyDescent="0.25">
      <c r="F818" s="4"/>
      <c r="G818" s="4"/>
      <c r="H818" s="4"/>
    </row>
    <row r="819" spans="6:8" x14ac:dyDescent="0.25">
      <c r="F819" s="4"/>
      <c r="G819" s="4"/>
      <c r="H819" s="4"/>
    </row>
    <row r="820" spans="6:8" x14ac:dyDescent="0.25">
      <c r="F820" s="4"/>
      <c r="G820" s="4"/>
      <c r="H820" s="4"/>
    </row>
    <row r="821" spans="6:8" x14ac:dyDescent="0.25">
      <c r="F821" s="4"/>
      <c r="G821" s="4"/>
      <c r="H821" s="4"/>
    </row>
    <row r="822" spans="6:8" x14ac:dyDescent="0.25">
      <c r="F822" s="4"/>
      <c r="G822" s="4"/>
      <c r="H822" s="4"/>
    </row>
    <row r="823" spans="6:8" x14ac:dyDescent="0.25">
      <c r="F823" s="4"/>
      <c r="G823" s="4"/>
      <c r="H823" s="4"/>
    </row>
    <row r="824" spans="6:8" x14ac:dyDescent="0.25">
      <c r="F824" s="4"/>
      <c r="G824" s="4"/>
      <c r="H824" s="4"/>
    </row>
    <row r="825" spans="6:8" x14ac:dyDescent="0.25">
      <c r="F825" s="4"/>
      <c r="G825" s="4"/>
      <c r="H825" s="4"/>
    </row>
    <row r="826" spans="6:8" x14ac:dyDescent="0.25">
      <c r="F826" s="4"/>
      <c r="G826" s="4"/>
      <c r="H826" s="4"/>
    </row>
    <row r="827" spans="6:8" x14ac:dyDescent="0.25">
      <c r="F827" s="4"/>
      <c r="G827" s="4"/>
      <c r="H827" s="4"/>
    </row>
    <row r="828" spans="6:8" x14ac:dyDescent="0.25">
      <c r="F828" s="4"/>
      <c r="G828" s="4"/>
      <c r="H828" s="4"/>
    </row>
    <row r="829" spans="6:8" x14ac:dyDescent="0.25">
      <c r="F829" s="4"/>
      <c r="G829" s="4"/>
      <c r="H829" s="4"/>
    </row>
    <row r="830" spans="6:8" x14ac:dyDescent="0.25">
      <c r="F830" s="4"/>
      <c r="G830" s="4"/>
      <c r="H830" s="4"/>
    </row>
    <row r="831" spans="6:8" x14ac:dyDescent="0.25">
      <c r="F831" s="4"/>
      <c r="G831" s="4"/>
      <c r="H831" s="4"/>
    </row>
    <row r="832" spans="6:8" x14ac:dyDescent="0.25">
      <c r="F832" s="4"/>
      <c r="G832" s="4"/>
      <c r="H832" s="4"/>
    </row>
    <row r="833" spans="6:8" x14ac:dyDescent="0.25">
      <c r="F833" s="4"/>
      <c r="G833" s="4"/>
      <c r="H833" s="4"/>
    </row>
    <row r="834" spans="6:8" x14ac:dyDescent="0.25">
      <c r="F834" s="4"/>
      <c r="G834" s="4"/>
      <c r="H834" s="4"/>
    </row>
    <row r="835" spans="6:8" x14ac:dyDescent="0.25">
      <c r="F835" s="4"/>
      <c r="G835" s="4"/>
      <c r="H835" s="4"/>
    </row>
    <row r="836" spans="6:8" x14ac:dyDescent="0.25">
      <c r="F836" s="4"/>
      <c r="G836" s="4"/>
      <c r="H836" s="4"/>
    </row>
    <row r="837" spans="6:8" x14ac:dyDescent="0.25">
      <c r="F837" s="4"/>
      <c r="G837" s="4"/>
      <c r="H837" s="4"/>
    </row>
    <row r="838" spans="6:8" x14ac:dyDescent="0.25">
      <c r="F838" s="4"/>
      <c r="G838" s="4"/>
      <c r="H838" s="4"/>
    </row>
    <row r="839" spans="6:8" x14ac:dyDescent="0.25">
      <c r="F839" s="4"/>
      <c r="G839" s="4"/>
      <c r="H839" s="4"/>
    </row>
    <row r="840" spans="6:8" x14ac:dyDescent="0.25">
      <c r="F840" s="4"/>
      <c r="G840" s="4"/>
      <c r="H840" s="4"/>
    </row>
    <row r="841" spans="6:8" x14ac:dyDescent="0.25">
      <c r="F841" s="4"/>
      <c r="G841" s="4"/>
      <c r="H841" s="4"/>
    </row>
    <row r="842" spans="6:8" x14ac:dyDescent="0.25">
      <c r="F842" s="4"/>
      <c r="G842" s="4"/>
      <c r="H842" s="4"/>
    </row>
    <row r="843" spans="6:8" x14ac:dyDescent="0.25">
      <c r="F843" s="4"/>
      <c r="G843" s="4"/>
      <c r="H843" s="4"/>
    </row>
    <row r="844" spans="6:8" x14ac:dyDescent="0.25">
      <c r="F844" s="4"/>
      <c r="G844" s="4"/>
      <c r="H844" s="4"/>
    </row>
    <row r="845" spans="6:8" x14ac:dyDescent="0.25">
      <c r="F845" s="4"/>
      <c r="G845" s="4"/>
      <c r="H845" s="4"/>
    </row>
    <row r="846" spans="6:8" x14ac:dyDescent="0.25">
      <c r="F846" s="4"/>
      <c r="G846" s="4"/>
      <c r="H846" s="4"/>
    </row>
    <row r="847" spans="6:8" x14ac:dyDescent="0.25">
      <c r="F847" s="4"/>
      <c r="G847" s="4"/>
      <c r="H847" s="4"/>
    </row>
    <row r="848" spans="6:8" x14ac:dyDescent="0.25">
      <c r="F848" s="4"/>
      <c r="G848" s="4"/>
      <c r="H848" s="4"/>
    </row>
    <row r="849" spans="6:8" x14ac:dyDescent="0.25">
      <c r="F849" s="4"/>
      <c r="G849" s="4"/>
      <c r="H849" s="4"/>
    </row>
    <row r="850" spans="6:8" x14ac:dyDescent="0.25">
      <c r="F850" s="4"/>
      <c r="G850" s="4"/>
      <c r="H850" s="4"/>
    </row>
    <row r="851" spans="6:8" x14ac:dyDescent="0.25">
      <c r="F851" s="4"/>
      <c r="G851" s="4"/>
      <c r="H851" s="4"/>
    </row>
    <row r="852" spans="6:8" x14ac:dyDescent="0.25">
      <c r="F852" s="4"/>
      <c r="G852" s="4"/>
      <c r="H852" s="4"/>
    </row>
    <row r="853" spans="6:8" x14ac:dyDescent="0.25">
      <c r="F853" s="4"/>
      <c r="G853" s="4"/>
      <c r="H853" s="4"/>
    </row>
    <row r="854" spans="6:8" x14ac:dyDescent="0.25">
      <c r="F854" s="4"/>
      <c r="G854" s="4"/>
      <c r="H854" s="4"/>
    </row>
    <row r="855" spans="6:8" x14ac:dyDescent="0.25">
      <c r="F855" s="4"/>
      <c r="G855" s="4"/>
      <c r="H855" s="4"/>
    </row>
    <row r="856" spans="6:8" x14ac:dyDescent="0.25">
      <c r="F856" s="4"/>
      <c r="G856" s="4"/>
      <c r="H856" s="4"/>
    </row>
    <row r="857" spans="6:8" x14ac:dyDescent="0.25">
      <c r="F857" s="4"/>
      <c r="G857" s="4"/>
      <c r="H857" s="4"/>
    </row>
    <row r="858" spans="6:8" x14ac:dyDescent="0.25">
      <c r="F858" s="4"/>
      <c r="G858" s="4"/>
      <c r="H858" s="4"/>
    </row>
    <row r="859" spans="6:8" x14ac:dyDescent="0.25">
      <c r="F859" s="4"/>
      <c r="G859" s="4"/>
      <c r="H859" s="4"/>
    </row>
    <row r="860" spans="6:8" x14ac:dyDescent="0.25">
      <c r="F860" s="4"/>
      <c r="G860" s="4"/>
      <c r="H860" s="4"/>
    </row>
    <row r="861" spans="6:8" x14ac:dyDescent="0.25">
      <c r="F861" s="4"/>
      <c r="G861" s="4"/>
      <c r="H861" s="4"/>
    </row>
    <row r="862" spans="6:8" x14ac:dyDescent="0.25">
      <c r="F862" s="4"/>
      <c r="G862" s="4"/>
      <c r="H862" s="4"/>
    </row>
    <row r="863" spans="6:8" x14ac:dyDescent="0.25">
      <c r="F863" s="4"/>
      <c r="G863" s="4"/>
      <c r="H863" s="4"/>
    </row>
    <row r="864" spans="6:8" x14ac:dyDescent="0.25">
      <c r="F864" s="4"/>
      <c r="G864" s="4"/>
      <c r="H864" s="4"/>
    </row>
    <row r="865" spans="6:8" x14ac:dyDescent="0.25">
      <c r="F865" s="4"/>
      <c r="G865" s="4"/>
      <c r="H865" s="4"/>
    </row>
    <row r="866" spans="6:8" x14ac:dyDescent="0.25">
      <c r="F866" s="4"/>
      <c r="G866" s="4"/>
      <c r="H866" s="4"/>
    </row>
    <row r="867" spans="6:8" x14ac:dyDescent="0.25">
      <c r="F867" s="4"/>
      <c r="G867" s="4"/>
      <c r="H867" s="4"/>
    </row>
    <row r="868" spans="6:8" x14ac:dyDescent="0.25">
      <c r="F868" s="4"/>
      <c r="G868" s="4"/>
      <c r="H868" s="4"/>
    </row>
    <row r="869" spans="6:8" x14ac:dyDescent="0.25">
      <c r="F869" s="4"/>
      <c r="G869" s="4"/>
      <c r="H869" s="4"/>
    </row>
    <row r="870" spans="6:8" x14ac:dyDescent="0.25">
      <c r="F870" s="4"/>
      <c r="G870" s="4"/>
      <c r="H870" s="4"/>
    </row>
    <row r="871" spans="6:8" x14ac:dyDescent="0.25">
      <c r="F871" s="4"/>
      <c r="G871" s="4"/>
      <c r="H871" s="4"/>
    </row>
    <row r="872" spans="6:8" x14ac:dyDescent="0.25">
      <c r="F872" s="4"/>
      <c r="G872" s="4"/>
      <c r="H872" s="4"/>
    </row>
    <row r="873" spans="6:8" x14ac:dyDescent="0.25">
      <c r="F873" s="4"/>
      <c r="G873" s="4"/>
      <c r="H873" s="4"/>
    </row>
    <row r="874" spans="6:8" x14ac:dyDescent="0.25">
      <c r="F874" s="4"/>
      <c r="G874" s="4"/>
      <c r="H874" s="4"/>
    </row>
    <row r="875" spans="6:8" x14ac:dyDescent="0.25">
      <c r="F875" s="4"/>
      <c r="G875" s="4"/>
      <c r="H875" s="4"/>
    </row>
    <row r="876" spans="6:8" x14ac:dyDescent="0.25">
      <c r="F876" s="4"/>
      <c r="G876" s="4"/>
      <c r="H876" s="4"/>
    </row>
    <row r="877" spans="6:8" x14ac:dyDescent="0.25">
      <c r="F877" s="4"/>
      <c r="G877" s="4"/>
      <c r="H877" s="4"/>
    </row>
    <row r="878" spans="6:8" x14ac:dyDescent="0.25">
      <c r="F878" s="4"/>
      <c r="G878" s="4"/>
      <c r="H878" s="4"/>
    </row>
    <row r="879" spans="6:8" x14ac:dyDescent="0.25">
      <c r="F879" s="4"/>
      <c r="G879" s="4"/>
      <c r="H879" s="4"/>
    </row>
    <row r="880" spans="6:8" x14ac:dyDescent="0.25">
      <c r="F880" s="4"/>
      <c r="G880" s="4"/>
      <c r="H880" s="4"/>
    </row>
    <row r="881" spans="6:8" x14ac:dyDescent="0.25">
      <c r="F881" s="4"/>
      <c r="G881" s="4"/>
      <c r="H881" s="4"/>
    </row>
    <row r="882" spans="6:8" x14ac:dyDescent="0.25">
      <c r="F882" s="4"/>
      <c r="G882" s="4"/>
      <c r="H882" s="4"/>
    </row>
    <row r="883" spans="6:8" x14ac:dyDescent="0.25">
      <c r="F883" s="4"/>
      <c r="G883" s="4"/>
      <c r="H883" s="4"/>
    </row>
    <row r="884" spans="6:8" x14ac:dyDescent="0.25">
      <c r="F884" s="4"/>
      <c r="G884" s="4"/>
      <c r="H884" s="4"/>
    </row>
    <row r="885" spans="6:8" x14ac:dyDescent="0.25">
      <c r="F885" s="4"/>
      <c r="G885" s="4"/>
      <c r="H885" s="4"/>
    </row>
    <row r="886" spans="6:8" x14ac:dyDescent="0.25">
      <c r="F886" s="4"/>
      <c r="G886" s="4"/>
      <c r="H886" s="4"/>
    </row>
    <row r="887" spans="6:8" x14ac:dyDescent="0.25">
      <c r="F887" s="4"/>
      <c r="G887" s="4"/>
      <c r="H887" s="4"/>
    </row>
    <row r="888" spans="6:8" x14ac:dyDescent="0.25">
      <c r="F888" s="4"/>
      <c r="G888" s="4"/>
      <c r="H888" s="4"/>
    </row>
    <row r="889" spans="6:8" x14ac:dyDescent="0.25">
      <c r="F889" s="4"/>
      <c r="G889" s="4"/>
      <c r="H889" s="4"/>
    </row>
    <row r="890" spans="6:8" x14ac:dyDescent="0.25">
      <c r="F890" s="4"/>
      <c r="G890" s="4"/>
      <c r="H890" s="4"/>
    </row>
    <row r="891" spans="6:8" x14ac:dyDescent="0.25">
      <c r="F891" s="4"/>
      <c r="G891" s="4"/>
      <c r="H891" s="4"/>
    </row>
    <row r="892" spans="6:8" x14ac:dyDescent="0.25">
      <c r="F892" s="4"/>
      <c r="G892" s="4"/>
      <c r="H892" s="4"/>
    </row>
    <row r="893" spans="6:8" x14ac:dyDescent="0.25">
      <c r="F893" s="4"/>
      <c r="G893" s="4"/>
      <c r="H893" s="4"/>
    </row>
    <row r="894" spans="6:8" x14ac:dyDescent="0.25">
      <c r="F894" s="4"/>
      <c r="G894" s="4"/>
      <c r="H894" s="4"/>
    </row>
    <row r="895" spans="6:8" x14ac:dyDescent="0.25">
      <c r="F895" s="4"/>
      <c r="G895" s="4"/>
      <c r="H895" s="4"/>
    </row>
    <row r="896" spans="6:8" x14ac:dyDescent="0.25">
      <c r="F896" s="4"/>
      <c r="G896" s="4"/>
      <c r="H896" s="4"/>
    </row>
    <row r="897" spans="6:8" x14ac:dyDescent="0.25">
      <c r="F897" s="4"/>
      <c r="G897" s="4"/>
      <c r="H897" s="4"/>
    </row>
    <row r="898" spans="6:8" x14ac:dyDescent="0.25">
      <c r="F898" s="4"/>
      <c r="G898" s="4"/>
      <c r="H898" s="4"/>
    </row>
    <row r="899" spans="6:8" x14ac:dyDescent="0.25">
      <c r="F899" s="4"/>
      <c r="G899" s="4"/>
      <c r="H899" s="4"/>
    </row>
    <row r="900" spans="6:8" x14ac:dyDescent="0.25">
      <c r="F900" s="4"/>
      <c r="G900" s="4"/>
      <c r="H900" s="4"/>
    </row>
    <row r="901" spans="6:8" x14ac:dyDescent="0.25">
      <c r="F901" s="4"/>
      <c r="G901" s="4"/>
      <c r="H901" s="4"/>
    </row>
    <row r="902" spans="6:8" x14ac:dyDescent="0.25">
      <c r="F902" s="4"/>
      <c r="G902" s="4"/>
      <c r="H902" s="4"/>
    </row>
    <row r="903" spans="6:8" x14ac:dyDescent="0.25">
      <c r="F903" s="4"/>
      <c r="G903" s="4"/>
      <c r="H903" s="4"/>
    </row>
    <row r="904" spans="6:8" x14ac:dyDescent="0.25">
      <c r="F904" s="4"/>
      <c r="G904" s="4"/>
      <c r="H904" s="4"/>
    </row>
    <row r="905" spans="6:8" x14ac:dyDescent="0.25">
      <c r="F905" s="4"/>
      <c r="G905" s="4"/>
      <c r="H905" s="4"/>
    </row>
    <row r="906" spans="6:8" x14ac:dyDescent="0.25">
      <c r="F906" s="4"/>
      <c r="G906" s="4"/>
      <c r="H906" s="4"/>
    </row>
    <row r="907" spans="6:8" x14ac:dyDescent="0.25">
      <c r="F907" s="4"/>
      <c r="G907" s="4"/>
      <c r="H907" s="4"/>
    </row>
    <row r="908" spans="6:8" x14ac:dyDescent="0.25">
      <c r="F908" s="4"/>
      <c r="G908" s="4"/>
      <c r="H908" s="4"/>
    </row>
    <row r="909" spans="6:8" x14ac:dyDescent="0.25">
      <c r="F909" s="4"/>
      <c r="G909" s="4"/>
      <c r="H909" s="4"/>
    </row>
    <row r="910" spans="6:8" x14ac:dyDescent="0.25">
      <c r="F910" s="4"/>
      <c r="G910" s="4"/>
      <c r="H910" s="4"/>
    </row>
    <row r="911" spans="6:8" x14ac:dyDescent="0.25">
      <c r="F911" s="4"/>
      <c r="G911" s="4"/>
      <c r="H911" s="4"/>
    </row>
    <row r="912" spans="6:8" x14ac:dyDescent="0.25">
      <c r="F912" s="4"/>
      <c r="G912" s="4"/>
      <c r="H912" s="4"/>
    </row>
    <row r="913" spans="6:8" x14ac:dyDescent="0.25">
      <c r="F913" s="4"/>
      <c r="G913" s="4"/>
      <c r="H913" s="4"/>
    </row>
    <row r="914" spans="6:8" x14ac:dyDescent="0.25">
      <c r="F914" s="4"/>
      <c r="G914" s="4"/>
      <c r="H914" s="4"/>
    </row>
    <row r="915" spans="6:8" x14ac:dyDescent="0.25">
      <c r="F915" s="4"/>
      <c r="G915" s="4"/>
      <c r="H915" s="4"/>
    </row>
    <row r="916" spans="6:8" x14ac:dyDescent="0.25">
      <c r="F916" s="4"/>
      <c r="G916" s="4"/>
      <c r="H916" s="4"/>
    </row>
    <row r="917" spans="6:8" x14ac:dyDescent="0.25">
      <c r="F917" s="4"/>
      <c r="G917" s="4"/>
      <c r="H917" s="4"/>
    </row>
    <row r="918" spans="6:8" x14ac:dyDescent="0.25">
      <c r="F918" s="4"/>
      <c r="G918" s="4"/>
      <c r="H918" s="4"/>
    </row>
    <row r="919" spans="6:8" x14ac:dyDescent="0.25">
      <c r="F919" s="4"/>
      <c r="G919" s="4"/>
      <c r="H919" s="4"/>
    </row>
    <row r="920" spans="6:8" x14ac:dyDescent="0.25">
      <c r="F920" s="4"/>
      <c r="G920" s="4"/>
      <c r="H920" s="4"/>
    </row>
    <row r="921" spans="6:8" x14ac:dyDescent="0.25">
      <c r="F921" s="4"/>
      <c r="G921" s="4"/>
      <c r="H921" s="4"/>
    </row>
    <row r="922" spans="6:8" x14ac:dyDescent="0.25">
      <c r="F922" s="4"/>
      <c r="G922" s="4"/>
      <c r="H922" s="4"/>
    </row>
    <row r="923" spans="6:8" x14ac:dyDescent="0.25">
      <c r="F923" s="4"/>
      <c r="G923" s="4"/>
      <c r="H923" s="4"/>
    </row>
    <row r="924" spans="6:8" x14ac:dyDescent="0.25">
      <c r="F924" s="4"/>
      <c r="G924" s="4"/>
      <c r="H924" s="4"/>
    </row>
    <row r="925" spans="6:8" x14ac:dyDescent="0.25">
      <c r="F925" s="4"/>
      <c r="G925" s="4"/>
      <c r="H925" s="4"/>
    </row>
    <row r="926" spans="6:8" x14ac:dyDescent="0.25">
      <c r="F926" s="4"/>
      <c r="G926" s="4"/>
      <c r="H926" s="4"/>
    </row>
    <row r="927" spans="6:8" x14ac:dyDescent="0.25">
      <c r="F927" s="4"/>
      <c r="G927" s="4"/>
      <c r="H927" s="4"/>
    </row>
    <row r="928" spans="6:8" x14ac:dyDescent="0.25">
      <c r="F928" s="4"/>
      <c r="G928" s="4"/>
      <c r="H928" s="4"/>
    </row>
    <row r="929" spans="6:8" x14ac:dyDescent="0.25">
      <c r="F929" s="4"/>
      <c r="G929" s="4"/>
      <c r="H929" s="4"/>
    </row>
    <row r="930" spans="6:8" x14ac:dyDescent="0.25">
      <c r="F930" s="4"/>
      <c r="G930" s="4"/>
      <c r="H930" s="4"/>
    </row>
    <row r="931" spans="6:8" x14ac:dyDescent="0.25">
      <c r="F931" s="4"/>
      <c r="G931" s="4"/>
      <c r="H931" s="4"/>
    </row>
    <row r="932" spans="6:8" x14ac:dyDescent="0.25">
      <c r="F932" s="4"/>
      <c r="G932" s="4"/>
      <c r="H932" s="4"/>
    </row>
    <row r="933" spans="6:8" x14ac:dyDescent="0.25">
      <c r="F933" s="4"/>
      <c r="G933" s="4"/>
      <c r="H933" s="4"/>
    </row>
    <row r="934" spans="6:8" x14ac:dyDescent="0.25">
      <c r="F934" s="4"/>
      <c r="G934" s="4"/>
      <c r="H934" s="4"/>
    </row>
    <row r="935" spans="6:8" x14ac:dyDescent="0.25">
      <c r="F935" s="4"/>
      <c r="G935" s="4"/>
      <c r="H935" s="4"/>
    </row>
    <row r="936" spans="6:8" x14ac:dyDescent="0.25">
      <c r="F936" s="4"/>
      <c r="G936" s="4"/>
      <c r="H936" s="4"/>
    </row>
    <row r="937" spans="6:8" x14ac:dyDescent="0.25">
      <c r="F937" s="4"/>
      <c r="G937" s="4"/>
      <c r="H937" s="4"/>
    </row>
    <row r="938" spans="6:8" x14ac:dyDescent="0.25">
      <c r="F938" s="4"/>
      <c r="G938" s="4"/>
      <c r="H938" s="4"/>
    </row>
    <row r="939" spans="6:8" x14ac:dyDescent="0.25">
      <c r="F939" s="4"/>
      <c r="G939" s="4"/>
      <c r="H939" s="4"/>
    </row>
    <row r="940" spans="6:8" x14ac:dyDescent="0.25">
      <c r="F940" s="4"/>
      <c r="G940" s="4"/>
      <c r="H940" s="4"/>
    </row>
    <row r="941" spans="6:8" x14ac:dyDescent="0.25">
      <c r="F941" s="4"/>
      <c r="G941" s="4"/>
      <c r="H941" s="4"/>
    </row>
    <row r="942" spans="6:8" x14ac:dyDescent="0.25">
      <c r="F942" s="4"/>
      <c r="G942" s="4"/>
      <c r="H942" s="4"/>
    </row>
    <row r="943" spans="6:8" x14ac:dyDescent="0.25">
      <c r="F943" s="4"/>
      <c r="G943" s="4"/>
      <c r="H943" s="4"/>
    </row>
    <row r="944" spans="6:8" x14ac:dyDescent="0.25">
      <c r="F944" s="4"/>
      <c r="G944" s="4"/>
      <c r="H944" s="4"/>
    </row>
    <row r="945" spans="6:8" x14ac:dyDescent="0.25">
      <c r="F945" s="4"/>
      <c r="G945" s="4"/>
      <c r="H945" s="4"/>
    </row>
    <row r="946" spans="6:8" x14ac:dyDescent="0.25">
      <c r="F946" s="4"/>
      <c r="G946" s="4"/>
      <c r="H946" s="4"/>
    </row>
    <row r="947" spans="6:8" x14ac:dyDescent="0.25">
      <c r="F947" s="4"/>
      <c r="G947" s="4"/>
      <c r="H947" s="4"/>
    </row>
    <row r="948" spans="6:8" x14ac:dyDescent="0.25">
      <c r="F948" s="4"/>
      <c r="G948" s="4"/>
      <c r="H948" s="4"/>
    </row>
    <row r="949" spans="6:8" x14ac:dyDescent="0.25">
      <c r="F949" s="4"/>
      <c r="G949" s="4"/>
      <c r="H949" s="4"/>
    </row>
    <row r="950" spans="6:8" x14ac:dyDescent="0.25">
      <c r="F950" s="4"/>
      <c r="G950" s="4"/>
      <c r="H950" s="4"/>
    </row>
    <row r="951" spans="6:8" x14ac:dyDescent="0.25">
      <c r="F951" s="4"/>
      <c r="G951" s="4"/>
      <c r="H951" s="4"/>
    </row>
    <row r="952" spans="6:8" x14ac:dyDescent="0.25">
      <c r="F952" s="4"/>
      <c r="G952" s="4"/>
      <c r="H952" s="4"/>
    </row>
    <row r="953" spans="6:8" x14ac:dyDescent="0.25">
      <c r="F953" s="4"/>
      <c r="G953" s="4"/>
      <c r="H953" s="4"/>
    </row>
    <row r="954" spans="6:8" x14ac:dyDescent="0.25">
      <c r="F954" s="4"/>
      <c r="G954" s="4"/>
      <c r="H954" s="4"/>
    </row>
    <row r="955" spans="6:8" x14ac:dyDescent="0.25">
      <c r="F955" s="4"/>
      <c r="G955" s="4"/>
      <c r="H955" s="4"/>
    </row>
    <row r="956" spans="6:8" x14ac:dyDescent="0.25">
      <c r="F956" s="4"/>
      <c r="G956" s="4"/>
      <c r="H956" s="4"/>
    </row>
    <row r="957" spans="6:8" x14ac:dyDescent="0.25">
      <c r="F957" s="4"/>
      <c r="G957" s="4"/>
      <c r="H957" s="4"/>
    </row>
    <row r="958" spans="6:8" x14ac:dyDescent="0.25">
      <c r="F958" s="4"/>
      <c r="G958" s="4"/>
      <c r="H958" s="4"/>
    </row>
    <row r="959" spans="6:8" x14ac:dyDescent="0.25">
      <c r="F959" s="4"/>
      <c r="G959" s="4"/>
      <c r="H959" s="4"/>
    </row>
    <row r="960" spans="6:8" x14ac:dyDescent="0.25">
      <c r="F960" s="4"/>
      <c r="G960" s="4"/>
      <c r="H960" s="4"/>
    </row>
    <row r="961" spans="6:8" x14ac:dyDescent="0.25">
      <c r="F961" s="4"/>
      <c r="G961" s="4"/>
      <c r="H961" s="4"/>
    </row>
    <row r="962" spans="6:8" x14ac:dyDescent="0.25">
      <c r="F962" s="4"/>
      <c r="G962" s="4"/>
      <c r="H962" s="4"/>
    </row>
    <row r="963" spans="6:8" x14ac:dyDescent="0.25">
      <c r="F963" s="4"/>
      <c r="G963" s="4"/>
      <c r="H963" s="4"/>
    </row>
    <row r="964" spans="6:8" x14ac:dyDescent="0.25">
      <c r="F964" s="4"/>
      <c r="G964" s="4"/>
      <c r="H964" s="4"/>
    </row>
    <row r="965" spans="6:8" x14ac:dyDescent="0.25">
      <c r="F965" s="4"/>
      <c r="G965" s="4"/>
      <c r="H965" s="4"/>
    </row>
    <row r="966" spans="6:8" x14ac:dyDescent="0.25">
      <c r="F966" s="4"/>
      <c r="G966" s="4"/>
      <c r="H966" s="4"/>
    </row>
    <row r="967" spans="6:8" x14ac:dyDescent="0.25">
      <c r="F967" s="4"/>
      <c r="G967" s="4"/>
      <c r="H967" s="4"/>
    </row>
    <row r="968" spans="6:8" x14ac:dyDescent="0.25">
      <c r="F968" s="4"/>
      <c r="G968" s="4"/>
      <c r="H968" s="4"/>
    </row>
    <row r="969" spans="6:8" x14ac:dyDescent="0.25">
      <c r="F969" s="4"/>
      <c r="G969" s="4"/>
      <c r="H969" s="4"/>
    </row>
    <row r="970" spans="6:8" x14ac:dyDescent="0.25">
      <c r="F970" s="4"/>
      <c r="G970" s="4"/>
      <c r="H970" s="4"/>
    </row>
    <row r="971" spans="6:8" x14ac:dyDescent="0.25">
      <c r="F971" s="4"/>
      <c r="G971" s="4"/>
      <c r="H971" s="4"/>
    </row>
    <row r="972" spans="6:8" x14ac:dyDescent="0.25">
      <c r="F972" s="4"/>
      <c r="G972" s="4"/>
      <c r="H972" s="4"/>
    </row>
    <row r="973" spans="6:8" x14ac:dyDescent="0.25">
      <c r="F973" s="4"/>
      <c r="G973" s="4"/>
      <c r="H973" s="4"/>
    </row>
    <row r="974" spans="6:8" x14ac:dyDescent="0.25">
      <c r="F974" s="4"/>
      <c r="G974" s="4"/>
      <c r="H974" s="4"/>
    </row>
    <row r="975" spans="6:8" x14ac:dyDescent="0.25">
      <c r="F975" s="4"/>
      <c r="G975" s="4"/>
      <c r="H975" s="4"/>
    </row>
  </sheetData>
  <autoFilter ref="A1:H383" xr:uid="{00000000-0009-0000-0000-000015000000}"/>
  <mergeCells count="32">
    <mergeCell ref="A383:D383"/>
    <mergeCell ref="A151:D151"/>
    <mergeCell ref="A138:D138"/>
    <mergeCell ref="A122:D122"/>
    <mergeCell ref="A109:D109"/>
    <mergeCell ref="A217:D217"/>
    <mergeCell ref="A198:D198"/>
    <mergeCell ref="A182:D182"/>
    <mergeCell ref="A192:D192"/>
    <mergeCell ref="A258:D258"/>
    <mergeCell ref="A268:D268"/>
    <mergeCell ref="A163:D163"/>
    <mergeCell ref="A247:D247"/>
    <mergeCell ref="A234:D234"/>
    <mergeCell ref="A231:D231"/>
    <mergeCell ref="A376:D376"/>
    <mergeCell ref="A89:D89"/>
    <mergeCell ref="A14:D14"/>
    <mergeCell ref="A26:D26"/>
    <mergeCell ref="A43:D43"/>
    <mergeCell ref="A54:D54"/>
    <mergeCell ref="A62:D62"/>
    <mergeCell ref="A361:D361"/>
    <mergeCell ref="A354:D354"/>
    <mergeCell ref="A341:D341"/>
    <mergeCell ref="A287:D287"/>
    <mergeCell ref="A278:D278"/>
    <mergeCell ref="A322:D322"/>
    <mergeCell ref="A327:D327"/>
    <mergeCell ref="A336:D336"/>
    <mergeCell ref="A309:D309"/>
    <mergeCell ref="A296:D296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I378"/>
  <sheetViews>
    <sheetView workbookViewId="0">
      <selection activeCell="D1" sqref="D1"/>
    </sheetView>
  </sheetViews>
  <sheetFormatPr defaultRowHeight="15" x14ac:dyDescent="0.25"/>
  <cols>
    <col min="2" max="2" width="12" customWidth="1"/>
    <col min="5" max="5" width="9.42578125" bestFit="1" customWidth="1"/>
    <col min="6" max="6" width="13.42578125" bestFit="1" customWidth="1"/>
    <col min="7" max="7" width="11.7109375" bestFit="1" customWidth="1"/>
    <col min="8" max="8" width="13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22</v>
      </c>
      <c r="B2" s="3">
        <v>44935</v>
      </c>
      <c r="C2" t="s">
        <v>681</v>
      </c>
      <c r="D2" t="s">
        <v>11</v>
      </c>
      <c r="E2">
        <v>71</v>
      </c>
      <c r="F2" s="4">
        <f>E2*1800</f>
        <v>127800</v>
      </c>
      <c r="G2" s="4">
        <f>E2*500</f>
        <v>35500</v>
      </c>
      <c r="H2" s="4">
        <f>E2*1300</f>
        <v>92300</v>
      </c>
    </row>
    <row r="3" spans="1:8" hidden="1" x14ac:dyDescent="0.25">
      <c r="C3" t="s">
        <v>306</v>
      </c>
      <c r="D3" t="s">
        <v>11</v>
      </c>
      <c r="E3">
        <f>35-11</f>
        <v>24</v>
      </c>
      <c r="F3" s="4">
        <f>E3*1800</f>
        <v>43200</v>
      </c>
      <c r="G3" s="4">
        <f>E3*500</f>
        <v>12000</v>
      </c>
      <c r="H3" s="4">
        <f>E3*1300</f>
        <v>31200</v>
      </c>
    </row>
    <row r="4" spans="1:8" hidden="1" x14ac:dyDescent="0.25">
      <c r="C4" t="s">
        <v>572</v>
      </c>
      <c r="D4" t="s">
        <v>11</v>
      </c>
      <c r="E4">
        <v>118</v>
      </c>
      <c r="F4" s="4">
        <f>E4*1700</f>
        <v>200600</v>
      </c>
      <c r="G4" s="4">
        <f>E4*500</f>
        <v>59000</v>
      </c>
      <c r="H4" s="4">
        <f>E4*1200</f>
        <v>141600</v>
      </c>
    </row>
    <row r="5" spans="1:8" hidden="1" x14ac:dyDescent="0.25">
      <c r="C5" t="s">
        <v>104</v>
      </c>
      <c r="D5" t="s">
        <v>11</v>
      </c>
      <c r="E5">
        <f>50-7</f>
        <v>43</v>
      </c>
      <c r="F5" s="4">
        <f>E5*1700</f>
        <v>73100</v>
      </c>
      <c r="G5" s="4">
        <f>E5*500</f>
        <v>21500</v>
      </c>
      <c r="H5" s="4">
        <f>E5*1200</f>
        <v>51600</v>
      </c>
    </row>
    <row r="6" spans="1:8" hidden="1" x14ac:dyDescent="0.25">
      <c r="C6" t="s">
        <v>16</v>
      </c>
      <c r="D6" t="s">
        <v>11</v>
      </c>
      <c r="E6">
        <v>37</v>
      </c>
      <c r="F6" s="4">
        <f>E6*1500</f>
        <v>55500</v>
      </c>
      <c r="G6" s="4">
        <f>E6*500</f>
        <v>18500</v>
      </c>
      <c r="H6" s="4">
        <v>37000</v>
      </c>
    </row>
    <row r="7" spans="1:8" hidden="1" x14ac:dyDescent="0.25">
      <c r="D7" t="s">
        <v>12</v>
      </c>
      <c r="E7">
        <v>3</v>
      </c>
      <c r="F7" s="4">
        <f>E7*3000</f>
        <v>9000</v>
      </c>
      <c r="G7" s="4">
        <f>E7*2000</f>
        <v>6000</v>
      </c>
      <c r="H7" s="4">
        <v>3000</v>
      </c>
    </row>
    <row r="8" spans="1:8" x14ac:dyDescent="0.25">
      <c r="C8" t="s">
        <v>399</v>
      </c>
      <c r="D8" t="s">
        <v>13</v>
      </c>
      <c r="E8">
        <v>15</v>
      </c>
      <c r="F8" s="4">
        <f>E8*8000</f>
        <v>120000</v>
      </c>
      <c r="G8" s="4">
        <f>E8*4500</f>
        <v>67500</v>
      </c>
      <c r="H8" s="4">
        <f>E8*3500</f>
        <v>52500</v>
      </c>
    </row>
    <row r="9" spans="1:8" hidden="1" x14ac:dyDescent="0.25">
      <c r="D9" t="s">
        <v>14</v>
      </c>
      <c r="E9">
        <v>23</v>
      </c>
      <c r="F9" s="4">
        <f>E9*10000</f>
        <v>230000</v>
      </c>
      <c r="G9" s="4">
        <f>E9*5500</f>
        <v>126500</v>
      </c>
      <c r="H9" s="4">
        <f>E9*4500</f>
        <v>103500</v>
      </c>
    </row>
    <row r="10" spans="1:8" hidden="1" x14ac:dyDescent="0.25">
      <c r="C10" t="s">
        <v>217</v>
      </c>
      <c r="D10" t="s">
        <v>11</v>
      </c>
      <c r="E10">
        <v>12</v>
      </c>
      <c r="F10" s="4">
        <f>E10*1500</f>
        <v>18000</v>
      </c>
      <c r="G10" s="4">
        <f>E10*500</f>
        <v>6000</v>
      </c>
      <c r="H10" s="4">
        <v>12000</v>
      </c>
    </row>
    <row r="11" spans="1:8" x14ac:dyDescent="0.25">
      <c r="D11" t="s">
        <v>13</v>
      </c>
      <c r="E11">
        <v>1</v>
      </c>
      <c r="F11" s="4">
        <v>6500</v>
      </c>
      <c r="G11" s="4">
        <v>4500</v>
      </c>
      <c r="H11" s="4">
        <v>2000</v>
      </c>
    </row>
    <row r="12" spans="1:8" hidden="1" x14ac:dyDescent="0.25">
      <c r="D12" t="s">
        <v>14</v>
      </c>
      <c r="E12">
        <v>3</v>
      </c>
      <c r="F12" s="4">
        <f>E12*10000</f>
        <v>30000</v>
      </c>
      <c r="G12" s="4">
        <f>E12*5500</f>
        <v>16500</v>
      </c>
      <c r="H12" s="4">
        <f>E12*4500</f>
        <v>13500</v>
      </c>
    </row>
    <row r="13" spans="1:8" x14ac:dyDescent="0.25">
      <c r="D13" t="s">
        <v>13</v>
      </c>
      <c r="E13">
        <v>3</v>
      </c>
      <c r="F13" s="4">
        <f>E13*7500</f>
        <v>22500</v>
      </c>
      <c r="G13" s="4">
        <f>E13*4500</f>
        <v>13500</v>
      </c>
      <c r="H13" s="4">
        <f>E13*3000</f>
        <v>9000</v>
      </c>
    </row>
    <row r="14" spans="1:8" hidden="1" x14ac:dyDescent="0.25">
      <c r="D14" t="s">
        <v>14</v>
      </c>
      <c r="E14">
        <v>24</v>
      </c>
      <c r="F14" s="4">
        <f>E14*10000</f>
        <v>240000</v>
      </c>
      <c r="G14" s="4">
        <f>E14*5500</f>
        <v>132000</v>
      </c>
      <c r="H14" s="4">
        <f>E14*4500</f>
        <v>108000</v>
      </c>
    </row>
    <row r="15" spans="1:8" hidden="1" x14ac:dyDescent="0.25">
      <c r="C15" t="s">
        <v>24</v>
      </c>
      <c r="D15" t="s">
        <v>243</v>
      </c>
      <c r="E15">
        <v>40</v>
      </c>
      <c r="F15" s="4">
        <f>E15*12500</f>
        <v>500000</v>
      </c>
      <c r="G15" s="4">
        <f>E15*10000</f>
        <v>400000</v>
      </c>
      <c r="H15" s="4">
        <f>E15*2500</f>
        <v>100000</v>
      </c>
    </row>
    <row r="16" spans="1:8" x14ac:dyDescent="0.25">
      <c r="C16" t="s">
        <v>24</v>
      </c>
      <c r="D16" t="s">
        <v>13</v>
      </c>
      <c r="E16">
        <v>38</v>
      </c>
      <c r="F16" s="4">
        <f>E16*8000</f>
        <v>304000</v>
      </c>
      <c r="G16" s="4">
        <f>E16*4500</f>
        <v>171000</v>
      </c>
      <c r="H16" s="4">
        <f>E16*3500</f>
        <v>133000</v>
      </c>
    </row>
    <row r="17" spans="1:8" hidden="1" x14ac:dyDescent="0.25">
      <c r="A17" s="111" t="s">
        <v>17</v>
      </c>
      <c r="B17" s="111"/>
      <c r="C17" s="111"/>
      <c r="D17" s="111"/>
      <c r="E17" s="13">
        <f>SUM(E2:E16)</f>
        <v>455</v>
      </c>
      <c r="F17" s="13">
        <f t="shared" ref="F17:H17" si="0">SUM(F2:F16)</f>
        <v>1980200</v>
      </c>
      <c r="G17" s="13">
        <f t="shared" si="0"/>
        <v>1090000</v>
      </c>
      <c r="H17" s="13">
        <f t="shared" si="0"/>
        <v>890200</v>
      </c>
    </row>
    <row r="18" spans="1:8" hidden="1" x14ac:dyDescent="0.25">
      <c r="A18" t="s">
        <v>26</v>
      </c>
      <c r="B18" s="3">
        <v>44966</v>
      </c>
      <c r="C18" t="s">
        <v>681</v>
      </c>
      <c r="D18" t="s">
        <v>11</v>
      </c>
      <c r="E18">
        <v>65</v>
      </c>
      <c r="F18" s="4">
        <f>E18*1800</f>
        <v>117000</v>
      </c>
      <c r="G18" s="4">
        <f>E18*500</f>
        <v>32500</v>
      </c>
      <c r="H18" s="4">
        <f>E18*1300</f>
        <v>84500</v>
      </c>
    </row>
    <row r="19" spans="1:8" hidden="1" x14ac:dyDescent="0.25">
      <c r="C19" t="s">
        <v>646</v>
      </c>
      <c r="D19" t="s">
        <v>11</v>
      </c>
      <c r="E19">
        <f>50*7</f>
        <v>350</v>
      </c>
      <c r="F19" s="4">
        <f>E19*1500</f>
        <v>525000</v>
      </c>
      <c r="G19" s="4">
        <f>E19*500</f>
        <v>175000</v>
      </c>
      <c r="H19" s="4">
        <f>E19*1000</f>
        <v>350000</v>
      </c>
    </row>
    <row r="20" spans="1:8" hidden="1" x14ac:dyDescent="0.25">
      <c r="C20" t="s">
        <v>581</v>
      </c>
      <c r="D20" t="s">
        <v>11</v>
      </c>
      <c r="E20">
        <f>51+52+48+45+32+36</f>
        <v>264</v>
      </c>
      <c r="F20" s="4">
        <f>E20*1500</f>
        <v>396000</v>
      </c>
      <c r="G20" s="4">
        <f>E20*500</f>
        <v>132000</v>
      </c>
      <c r="H20" s="4">
        <f>E20*1000</f>
        <v>264000</v>
      </c>
    </row>
    <row r="21" spans="1:8" hidden="1" x14ac:dyDescent="0.25">
      <c r="C21" t="s">
        <v>104</v>
      </c>
      <c r="D21" t="s">
        <v>11</v>
      </c>
      <c r="E21">
        <f>50-7</f>
        <v>43</v>
      </c>
      <c r="F21" s="4">
        <f>E21*1700</f>
        <v>73100</v>
      </c>
      <c r="G21" s="4">
        <f>E21*500</f>
        <v>21500</v>
      </c>
      <c r="H21" s="4">
        <f>E21*1200</f>
        <v>51600</v>
      </c>
    </row>
    <row r="22" spans="1:8" hidden="1" x14ac:dyDescent="0.25">
      <c r="C22" t="s">
        <v>16</v>
      </c>
      <c r="D22" t="s">
        <v>11</v>
      </c>
      <c r="E22">
        <v>87</v>
      </c>
      <c r="F22" s="4">
        <f>E22*1500</f>
        <v>130500</v>
      </c>
      <c r="G22" s="4">
        <f>E22*500</f>
        <v>43500</v>
      </c>
      <c r="H22" s="4">
        <v>87000</v>
      </c>
    </row>
    <row r="23" spans="1:8" hidden="1" x14ac:dyDescent="0.25">
      <c r="D23" t="s">
        <v>12</v>
      </c>
      <c r="E23">
        <v>9</v>
      </c>
      <c r="F23" s="4">
        <f>E23*3000</f>
        <v>27000</v>
      </c>
      <c r="G23" s="4">
        <f>E23*2000</f>
        <v>18000</v>
      </c>
      <c r="H23" s="4">
        <v>9000</v>
      </c>
    </row>
    <row r="24" spans="1:8" x14ac:dyDescent="0.25">
      <c r="D24" t="s">
        <v>13</v>
      </c>
      <c r="E24">
        <v>2</v>
      </c>
      <c r="F24" s="4">
        <f>E24*6500</f>
        <v>13000</v>
      </c>
      <c r="G24" s="4">
        <f>E24*4500</f>
        <v>9000</v>
      </c>
      <c r="H24" s="4">
        <v>4000</v>
      </c>
    </row>
    <row r="25" spans="1:8" hidden="1" x14ac:dyDescent="0.25">
      <c r="D25" t="s">
        <v>14</v>
      </c>
      <c r="E25">
        <v>1</v>
      </c>
      <c r="F25" s="4">
        <v>10000</v>
      </c>
      <c r="G25" s="4">
        <v>5500</v>
      </c>
      <c r="H25" s="4">
        <v>4500</v>
      </c>
    </row>
    <row r="26" spans="1:8" hidden="1" x14ac:dyDescent="0.25">
      <c r="C26" t="s">
        <v>217</v>
      </c>
      <c r="D26" t="s">
        <v>11</v>
      </c>
      <c r="E26">
        <v>4</v>
      </c>
      <c r="F26" s="4">
        <f>E26*1500</f>
        <v>6000</v>
      </c>
      <c r="G26" s="4">
        <f>E26*500</f>
        <v>2000</v>
      </c>
      <c r="H26" s="4">
        <v>4000</v>
      </c>
    </row>
    <row r="27" spans="1:8" x14ac:dyDescent="0.25">
      <c r="D27" t="s">
        <v>13</v>
      </c>
      <c r="E27">
        <v>1</v>
      </c>
      <c r="F27" s="4">
        <v>6500</v>
      </c>
      <c r="G27" s="4">
        <v>4500</v>
      </c>
      <c r="H27" s="4">
        <v>2000</v>
      </c>
    </row>
    <row r="28" spans="1:8" hidden="1" x14ac:dyDescent="0.25">
      <c r="D28" t="s">
        <v>14</v>
      </c>
      <c r="E28">
        <v>5</v>
      </c>
      <c r="F28" s="4">
        <f>E28*10000</f>
        <v>50000</v>
      </c>
      <c r="G28" s="4">
        <f>E28*5500</f>
        <v>27500</v>
      </c>
      <c r="H28" s="4">
        <f>E28*4500</f>
        <v>22500</v>
      </c>
    </row>
    <row r="29" spans="1:8" hidden="1" x14ac:dyDescent="0.25">
      <c r="D29" t="s">
        <v>404</v>
      </c>
      <c r="E29">
        <v>9</v>
      </c>
      <c r="F29" s="4">
        <f>E29*2000</f>
        <v>18000</v>
      </c>
      <c r="G29" s="4">
        <v>9000</v>
      </c>
      <c r="H29" s="4">
        <v>9000</v>
      </c>
    </row>
    <row r="30" spans="1:8" hidden="1" x14ac:dyDescent="0.25">
      <c r="D30" t="s">
        <v>437</v>
      </c>
      <c r="E30">
        <v>3</v>
      </c>
      <c r="F30" s="4">
        <f>E30*5000</f>
        <v>15000</v>
      </c>
      <c r="G30" s="4">
        <v>7500</v>
      </c>
      <c r="H30" s="4">
        <v>7500</v>
      </c>
    </row>
    <row r="31" spans="1:8" hidden="1" x14ac:dyDescent="0.25">
      <c r="D31" t="s">
        <v>415</v>
      </c>
      <c r="E31">
        <v>1</v>
      </c>
      <c r="F31" s="4">
        <v>5000</v>
      </c>
      <c r="G31" s="4">
        <v>2500</v>
      </c>
      <c r="H31" s="4">
        <v>2500</v>
      </c>
    </row>
    <row r="32" spans="1:8" hidden="1" x14ac:dyDescent="0.25">
      <c r="C32" t="s">
        <v>399</v>
      </c>
      <c r="D32" t="s">
        <v>11</v>
      </c>
      <c r="E32">
        <v>14</v>
      </c>
      <c r="F32" s="4">
        <f>E32*2000</f>
        <v>28000</v>
      </c>
      <c r="G32" s="4">
        <f>E32*500</f>
        <v>7000</v>
      </c>
      <c r="H32" s="4">
        <f>E32*1500</f>
        <v>21000</v>
      </c>
    </row>
    <row r="33" spans="1:8" x14ac:dyDescent="0.25">
      <c r="D33" t="s">
        <v>13</v>
      </c>
      <c r="E33">
        <v>11</v>
      </c>
      <c r="F33" s="4">
        <f>E33*7000</f>
        <v>77000</v>
      </c>
      <c r="G33" s="4">
        <f>E33*4500</f>
        <v>49500</v>
      </c>
      <c r="H33" s="4">
        <f>E33*2500</f>
        <v>27500</v>
      </c>
    </row>
    <row r="34" spans="1:8" hidden="1" x14ac:dyDescent="0.25">
      <c r="D34" t="s">
        <v>14</v>
      </c>
      <c r="E34">
        <v>6</v>
      </c>
      <c r="F34" s="4">
        <f>E34*11000</f>
        <v>66000</v>
      </c>
      <c r="G34" s="4">
        <f>E34*5500</f>
        <v>33000</v>
      </c>
      <c r="H34" s="4">
        <f>E34*5500</f>
        <v>33000</v>
      </c>
    </row>
    <row r="35" spans="1:8" hidden="1" x14ac:dyDescent="0.25">
      <c r="C35" t="s">
        <v>682</v>
      </c>
      <c r="D35" t="s">
        <v>11</v>
      </c>
      <c r="E35">
        <v>8</v>
      </c>
      <c r="F35" s="4">
        <f>E35*1500</f>
        <v>12000</v>
      </c>
      <c r="G35" s="4">
        <f>E35*500</f>
        <v>4000</v>
      </c>
      <c r="H35" s="4">
        <v>8000</v>
      </c>
    </row>
    <row r="36" spans="1:8" x14ac:dyDescent="0.25">
      <c r="D36" t="s">
        <v>13</v>
      </c>
      <c r="E36">
        <v>13</v>
      </c>
      <c r="F36" s="4">
        <f>E36*7000</f>
        <v>91000</v>
      </c>
      <c r="G36" s="4">
        <f>E36*4500</f>
        <v>58500</v>
      </c>
      <c r="H36" s="4">
        <f>E36*2500</f>
        <v>32500</v>
      </c>
    </row>
    <row r="37" spans="1:8" hidden="1" x14ac:dyDescent="0.25">
      <c r="D37" t="s">
        <v>14</v>
      </c>
      <c r="E37">
        <v>12</v>
      </c>
      <c r="F37" s="4">
        <f>E37*10000</f>
        <v>120000</v>
      </c>
      <c r="G37" s="4">
        <f>E37*5500</f>
        <v>66000</v>
      </c>
      <c r="H37" s="4">
        <f>E37*4500</f>
        <v>54000</v>
      </c>
    </row>
    <row r="38" spans="1:8" hidden="1" x14ac:dyDescent="0.25">
      <c r="C38" t="s">
        <v>683</v>
      </c>
      <c r="D38" t="s">
        <v>11</v>
      </c>
      <c r="E38">
        <v>17</v>
      </c>
      <c r="F38" s="4">
        <f>E38*2000</f>
        <v>34000</v>
      </c>
      <c r="G38" s="4">
        <f>E38*500</f>
        <v>8500</v>
      </c>
      <c r="H38" s="4">
        <f>E38*1500</f>
        <v>25500</v>
      </c>
    </row>
    <row r="39" spans="1:8" x14ac:dyDescent="0.25">
      <c r="D39" t="s">
        <v>13</v>
      </c>
      <c r="E39">
        <v>27</v>
      </c>
      <c r="F39" s="4">
        <f>E39*7000</f>
        <v>189000</v>
      </c>
      <c r="G39" s="4">
        <f>E39*4500</f>
        <v>121500</v>
      </c>
      <c r="H39" s="4">
        <f>E39*3500</f>
        <v>94500</v>
      </c>
    </row>
    <row r="40" spans="1:8" hidden="1" x14ac:dyDescent="0.25">
      <c r="D40" t="s">
        <v>14</v>
      </c>
      <c r="E40">
        <v>28</v>
      </c>
      <c r="F40" s="4">
        <f>E40*10000</f>
        <v>280000</v>
      </c>
      <c r="G40" s="4">
        <f>E40*5500</f>
        <v>154000</v>
      </c>
      <c r="H40" s="4">
        <f>E40*4500</f>
        <v>126000</v>
      </c>
    </row>
    <row r="41" spans="1:8" hidden="1" x14ac:dyDescent="0.25">
      <c r="A41" s="142" t="s">
        <v>17</v>
      </c>
      <c r="B41" s="142"/>
      <c r="C41" s="142"/>
      <c r="D41" s="142"/>
      <c r="E41" s="13">
        <f>SUM(E18:E40)</f>
        <v>980</v>
      </c>
      <c r="F41" s="13">
        <f t="shared" ref="F41:H41" si="1">SUM(F18:F40)</f>
        <v>2289100</v>
      </c>
      <c r="G41" s="13">
        <f t="shared" si="1"/>
        <v>992000</v>
      </c>
      <c r="H41" s="13">
        <f t="shared" si="1"/>
        <v>1324100</v>
      </c>
    </row>
    <row r="42" spans="1:8" hidden="1" x14ac:dyDescent="0.25">
      <c r="A42" t="s">
        <v>28</v>
      </c>
      <c r="B42" s="3">
        <v>44994</v>
      </c>
      <c r="C42" t="s">
        <v>684</v>
      </c>
      <c r="D42" t="s">
        <v>11</v>
      </c>
      <c r="E42">
        <v>11</v>
      </c>
      <c r="F42" s="4">
        <f>E42*2000</f>
        <v>22000</v>
      </c>
      <c r="G42" s="4">
        <f>E42*500</f>
        <v>5500</v>
      </c>
      <c r="H42" s="4">
        <f>E42*1500</f>
        <v>16500</v>
      </c>
    </row>
    <row r="43" spans="1:8" x14ac:dyDescent="0.25">
      <c r="D43" t="s">
        <v>13</v>
      </c>
      <c r="E43">
        <v>20</v>
      </c>
      <c r="F43" s="4">
        <f>E43*7000</f>
        <v>140000</v>
      </c>
      <c r="G43" s="4">
        <f>E43*4500</f>
        <v>90000</v>
      </c>
      <c r="H43" s="4">
        <f>E43*2500</f>
        <v>50000</v>
      </c>
    </row>
    <row r="44" spans="1:8" hidden="1" x14ac:dyDescent="0.25">
      <c r="D44" t="s">
        <v>14</v>
      </c>
      <c r="E44">
        <v>17</v>
      </c>
      <c r="F44" s="4">
        <f>E44*11000</f>
        <v>187000</v>
      </c>
      <c r="G44" s="4">
        <f>E44*5500</f>
        <v>93500</v>
      </c>
      <c r="H44" s="4">
        <f>E44*5500</f>
        <v>93500</v>
      </c>
    </row>
    <row r="45" spans="1:8" hidden="1" x14ac:dyDescent="0.25">
      <c r="C45" t="s">
        <v>685</v>
      </c>
      <c r="D45" t="s">
        <v>11</v>
      </c>
      <c r="E45">
        <v>3</v>
      </c>
      <c r="F45" s="4">
        <f>E45*2000</f>
        <v>6000</v>
      </c>
      <c r="G45" s="4">
        <f>E45*500</f>
        <v>1500</v>
      </c>
      <c r="H45" s="4">
        <f>E45*1500</f>
        <v>4500</v>
      </c>
    </row>
    <row r="46" spans="1:8" x14ac:dyDescent="0.25">
      <c r="D46" t="s">
        <v>13</v>
      </c>
      <c r="E46">
        <v>12</v>
      </c>
      <c r="F46" s="4">
        <f>E46*7000</f>
        <v>84000</v>
      </c>
      <c r="G46" s="4">
        <f>E46*4500</f>
        <v>54000</v>
      </c>
      <c r="H46" s="4">
        <f>E46*2500</f>
        <v>30000</v>
      </c>
    </row>
    <row r="47" spans="1:8" hidden="1" x14ac:dyDescent="0.25">
      <c r="D47" t="s">
        <v>14</v>
      </c>
      <c r="E47">
        <v>20</v>
      </c>
      <c r="F47" s="4">
        <f>E47*10000</f>
        <v>200000</v>
      </c>
      <c r="G47" s="4">
        <f>E47*5500</f>
        <v>110000</v>
      </c>
      <c r="H47" s="4">
        <f>E47*4500</f>
        <v>90000</v>
      </c>
    </row>
    <row r="48" spans="1:8" hidden="1" x14ac:dyDescent="0.25">
      <c r="C48" t="s">
        <v>217</v>
      </c>
      <c r="D48" t="s">
        <v>11</v>
      </c>
      <c r="E48">
        <v>13</v>
      </c>
      <c r="F48" s="4">
        <f>E48*1500</f>
        <v>19500</v>
      </c>
      <c r="G48" s="4">
        <f>E48*500</f>
        <v>6500</v>
      </c>
      <c r="H48" s="4">
        <v>13000</v>
      </c>
    </row>
    <row r="49" spans="1:9" x14ac:dyDescent="0.25">
      <c r="D49" t="s">
        <v>13</v>
      </c>
      <c r="E49">
        <v>15</v>
      </c>
      <c r="F49" s="4">
        <f>E49*6500</f>
        <v>97500</v>
      </c>
      <c r="G49" s="4">
        <f>E49*4500</f>
        <v>67500</v>
      </c>
      <c r="H49" s="4">
        <f>E49*2000</f>
        <v>30000</v>
      </c>
    </row>
    <row r="50" spans="1:9" hidden="1" x14ac:dyDescent="0.25">
      <c r="D50" t="s">
        <v>14</v>
      </c>
      <c r="E50">
        <v>10</v>
      </c>
      <c r="F50" s="4">
        <f>E50*10000</f>
        <v>100000</v>
      </c>
      <c r="G50" s="4">
        <f>E50*5500</f>
        <v>55000</v>
      </c>
      <c r="H50" s="4">
        <f>E50*4500</f>
        <v>45000</v>
      </c>
    </row>
    <row r="51" spans="1:9" hidden="1" x14ac:dyDescent="0.25">
      <c r="C51" t="s">
        <v>16</v>
      </c>
      <c r="D51" t="s">
        <v>11</v>
      </c>
      <c r="E51">
        <v>90</v>
      </c>
      <c r="F51" s="4">
        <f>E51*1500</f>
        <v>135000</v>
      </c>
      <c r="G51" s="4">
        <f>E51*500</f>
        <v>45000</v>
      </c>
      <c r="H51" s="4">
        <v>90000</v>
      </c>
    </row>
    <row r="52" spans="1:9" hidden="1" x14ac:dyDescent="0.25">
      <c r="D52" t="s">
        <v>12</v>
      </c>
      <c r="E52">
        <v>7</v>
      </c>
      <c r="F52" s="4">
        <f>E52*3000</f>
        <v>21000</v>
      </c>
      <c r="G52" s="4">
        <v>14000</v>
      </c>
      <c r="H52" s="4">
        <v>7000</v>
      </c>
    </row>
    <row r="53" spans="1:9" x14ac:dyDescent="0.25">
      <c r="D53" t="s">
        <v>13</v>
      </c>
      <c r="E53">
        <v>1</v>
      </c>
      <c r="F53" s="4">
        <v>6500</v>
      </c>
      <c r="G53" s="4">
        <v>4500</v>
      </c>
      <c r="H53" s="4">
        <v>2000</v>
      </c>
    </row>
    <row r="54" spans="1:9" hidden="1" x14ac:dyDescent="0.25">
      <c r="D54" t="s">
        <v>14</v>
      </c>
      <c r="E54">
        <v>2</v>
      </c>
      <c r="F54" s="4">
        <f>E54*10000</f>
        <v>20000</v>
      </c>
      <c r="G54" s="4">
        <f>E54*5500</f>
        <v>11000</v>
      </c>
      <c r="H54" s="4">
        <f>E54*4500</f>
        <v>9000</v>
      </c>
    </row>
    <row r="55" spans="1:9" hidden="1" x14ac:dyDescent="0.25">
      <c r="A55" s="142" t="s">
        <v>17</v>
      </c>
      <c r="B55" s="142"/>
      <c r="C55" s="142"/>
      <c r="D55" s="142"/>
      <c r="E55" s="13">
        <f>SUM(E42:E54)</f>
        <v>221</v>
      </c>
      <c r="F55" s="13">
        <f t="shared" ref="F55:H55" si="2">SUM(F42:F54)</f>
        <v>1038500</v>
      </c>
      <c r="G55" s="13">
        <f t="shared" si="2"/>
        <v>558000</v>
      </c>
      <c r="H55" s="13">
        <f t="shared" si="2"/>
        <v>480500</v>
      </c>
      <c r="I55" s="13"/>
    </row>
    <row r="56" spans="1:9" hidden="1" x14ac:dyDescent="0.25">
      <c r="A56" t="s">
        <v>30</v>
      </c>
      <c r="B56" s="3">
        <v>45025</v>
      </c>
      <c r="C56" t="s">
        <v>681</v>
      </c>
      <c r="D56" t="s">
        <v>11</v>
      </c>
      <c r="E56">
        <f>62+71</f>
        <v>133</v>
      </c>
      <c r="F56" s="4">
        <f>E56*1800</f>
        <v>239400</v>
      </c>
      <c r="G56" s="4">
        <f t="shared" ref="G56:G61" si="3">E56*500</f>
        <v>66500</v>
      </c>
      <c r="H56" s="4">
        <f>E56*1300</f>
        <v>172900</v>
      </c>
    </row>
    <row r="57" spans="1:9" hidden="1" x14ac:dyDescent="0.25">
      <c r="C57" t="s">
        <v>306</v>
      </c>
      <c r="D57" t="s">
        <v>11</v>
      </c>
      <c r="E57">
        <f>46-9</f>
        <v>37</v>
      </c>
      <c r="F57" s="4">
        <f>E57*1800</f>
        <v>66600</v>
      </c>
      <c r="G57" s="4">
        <f t="shared" si="3"/>
        <v>18500</v>
      </c>
      <c r="H57" s="4">
        <f>E57*1300</f>
        <v>48100</v>
      </c>
    </row>
    <row r="58" spans="1:9" hidden="1" x14ac:dyDescent="0.25">
      <c r="C58" t="s">
        <v>572</v>
      </c>
      <c r="D58" t="s">
        <v>11</v>
      </c>
      <c r="E58">
        <f>40+42</f>
        <v>82</v>
      </c>
      <c r="F58" s="4">
        <f>E58*1700</f>
        <v>139400</v>
      </c>
      <c r="G58" s="4">
        <f t="shared" si="3"/>
        <v>41000</v>
      </c>
      <c r="H58" s="4">
        <f>E58*1200</f>
        <v>98400</v>
      </c>
    </row>
    <row r="59" spans="1:9" hidden="1" x14ac:dyDescent="0.25">
      <c r="C59" t="s">
        <v>571</v>
      </c>
      <c r="D59" t="s">
        <v>11</v>
      </c>
      <c r="E59">
        <v>15</v>
      </c>
      <c r="F59" s="4">
        <f>E59*1700</f>
        <v>25500</v>
      </c>
      <c r="G59" s="4">
        <f t="shared" si="3"/>
        <v>7500</v>
      </c>
      <c r="H59" s="4">
        <f>E59*1200</f>
        <v>18000</v>
      </c>
    </row>
    <row r="60" spans="1:9" hidden="1" x14ac:dyDescent="0.25">
      <c r="C60" t="s">
        <v>209</v>
      </c>
      <c r="D60" t="s">
        <v>11</v>
      </c>
      <c r="E60">
        <v>20</v>
      </c>
      <c r="F60" s="4">
        <f>E60*1500</f>
        <v>30000</v>
      </c>
      <c r="G60" s="4">
        <f t="shared" si="3"/>
        <v>10000</v>
      </c>
      <c r="H60" s="4">
        <f>E60*1000</f>
        <v>20000</v>
      </c>
    </row>
    <row r="61" spans="1:9" hidden="1" x14ac:dyDescent="0.25">
      <c r="C61" t="s">
        <v>16</v>
      </c>
      <c r="D61" t="s">
        <v>11</v>
      </c>
      <c r="E61">
        <v>23</v>
      </c>
      <c r="F61" s="4">
        <f>E61*1500</f>
        <v>34500</v>
      </c>
      <c r="G61" s="4">
        <f t="shared" si="3"/>
        <v>11500</v>
      </c>
      <c r="H61" s="4">
        <f>E61*1000</f>
        <v>23000</v>
      </c>
    </row>
    <row r="62" spans="1:9" hidden="1" x14ac:dyDescent="0.25">
      <c r="D62" t="s">
        <v>12</v>
      </c>
      <c r="E62">
        <v>2</v>
      </c>
      <c r="F62" s="4">
        <f>E62*3000</f>
        <v>6000</v>
      </c>
      <c r="G62" s="4">
        <f>E62*2000</f>
        <v>4000</v>
      </c>
      <c r="H62" s="4">
        <v>2000</v>
      </c>
    </row>
    <row r="63" spans="1:9" hidden="1" x14ac:dyDescent="0.25">
      <c r="C63" t="s">
        <v>217</v>
      </c>
      <c r="D63" t="s">
        <v>11</v>
      </c>
      <c r="E63">
        <v>19</v>
      </c>
      <c r="F63" s="4">
        <f>E63*1500</f>
        <v>28500</v>
      </c>
      <c r="G63" s="4">
        <f>E63*500</f>
        <v>9500</v>
      </c>
      <c r="H63" s="4">
        <v>19000</v>
      </c>
    </row>
    <row r="64" spans="1:9" x14ac:dyDescent="0.25">
      <c r="D64" t="s">
        <v>13</v>
      </c>
      <c r="E64">
        <v>2</v>
      </c>
      <c r="F64" s="4">
        <f>E64*6500</f>
        <v>13000</v>
      </c>
      <c r="G64" s="4">
        <f>E64*4500</f>
        <v>9000</v>
      </c>
      <c r="H64" s="4">
        <v>4000</v>
      </c>
    </row>
    <row r="65" spans="1:8" hidden="1" x14ac:dyDescent="0.25">
      <c r="D65" t="s">
        <v>14</v>
      </c>
      <c r="E65">
        <v>4</v>
      </c>
      <c r="F65" s="4">
        <f>E65*10000</f>
        <v>40000</v>
      </c>
      <c r="G65" s="4">
        <f>E65*5500</f>
        <v>22000</v>
      </c>
      <c r="H65" s="4">
        <f>E65*4500</f>
        <v>18000</v>
      </c>
    </row>
    <row r="66" spans="1:8" hidden="1" x14ac:dyDescent="0.25">
      <c r="D66" t="s">
        <v>404</v>
      </c>
      <c r="E66">
        <v>4</v>
      </c>
      <c r="F66" s="4">
        <f>E66*2000</f>
        <v>8000</v>
      </c>
      <c r="G66" s="4">
        <v>4000</v>
      </c>
      <c r="H66" s="4">
        <v>4000</v>
      </c>
    </row>
    <row r="67" spans="1:8" hidden="1" x14ac:dyDescent="0.25">
      <c r="C67" t="s">
        <v>24</v>
      </c>
      <c r="D67" t="s">
        <v>243</v>
      </c>
      <c r="E67">
        <v>3</v>
      </c>
      <c r="F67" s="4">
        <f>E67*15000</f>
        <v>45000</v>
      </c>
      <c r="G67" s="4">
        <f>E67*10000</f>
        <v>30000</v>
      </c>
      <c r="H67" s="4">
        <v>15000</v>
      </c>
    </row>
    <row r="68" spans="1:8" hidden="1" x14ac:dyDescent="0.25">
      <c r="A68" s="111" t="s">
        <v>17</v>
      </c>
      <c r="B68" s="111"/>
      <c r="C68" s="111"/>
      <c r="D68" s="111"/>
      <c r="E68" s="13">
        <f>SUM(E56:E67)</f>
        <v>344</v>
      </c>
      <c r="F68" s="13">
        <f t="shared" ref="F68:H68" si="4">SUM(F56:F67)</f>
        <v>675900</v>
      </c>
      <c r="G68" s="13">
        <f t="shared" si="4"/>
        <v>233500</v>
      </c>
      <c r="H68" s="13">
        <f t="shared" si="4"/>
        <v>442400</v>
      </c>
    </row>
    <row r="69" spans="1:8" hidden="1" x14ac:dyDescent="0.25">
      <c r="A69" t="s">
        <v>32</v>
      </c>
      <c r="B69" s="3">
        <v>45055</v>
      </c>
      <c r="C69" t="s">
        <v>681</v>
      </c>
      <c r="D69" t="s">
        <v>11</v>
      </c>
      <c r="E69">
        <f>75-25</f>
        <v>50</v>
      </c>
      <c r="F69" s="4">
        <f>E69*1800</f>
        <v>90000</v>
      </c>
      <c r="G69" s="4">
        <f>E69*500</f>
        <v>25000</v>
      </c>
      <c r="H69" s="4">
        <f>E69*1300</f>
        <v>65000</v>
      </c>
    </row>
    <row r="70" spans="1:8" hidden="1" x14ac:dyDescent="0.25">
      <c r="C70" t="s">
        <v>306</v>
      </c>
      <c r="D70" t="s">
        <v>11</v>
      </c>
      <c r="E70">
        <f>49-21</f>
        <v>28</v>
      </c>
      <c r="F70" s="4">
        <f>E70*1800</f>
        <v>50400</v>
      </c>
      <c r="G70" s="4">
        <f>E70*500</f>
        <v>14000</v>
      </c>
      <c r="H70" s="4">
        <f>E70*1300</f>
        <v>36400</v>
      </c>
    </row>
    <row r="71" spans="1:8" hidden="1" x14ac:dyDescent="0.25">
      <c r="C71" t="s">
        <v>572</v>
      </c>
      <c r="D71" t="s">
        <v>11</v>
      </c>
      <c r="E71">
        <f>47-9</f>
        <v>38</v>
      </c>
      <c r="F71" s="4">
        <f>E71*1700</f>
        <v>64600</v>
      </c>
      <c r="G71" s="4">
        <f>E71*500</f>
        <v>19000</v>
      </c>
      <c r="H71" s="4">
        <f>E71*1200</f>
        <v>45600</v>
      </c>
    </row>
    <row r="72" spans="1:8" hidden="1" x14ac:dyDescent="0.25">
      <c r="C72" t="s">
        <v>104</v>
      </c>
      <c r="D72" t="s">
        <v>11</v>
      </c>
      <c r="E72">
        <f>44200/1700</f>
        <v>26</v>
      </c>
      <c r="F72" s="4">
        <f>E72*1700</f>
        <v>44200</v>
      </c>
      <c r="G72" s="4">
        <f t="shared" ref="G72:G75" si="5">E72*500</f>
        <v>13000</v>
      </c>
      <c r="H72" s="4">
        <f>E72*1200</f>
        <v>31200</v>
      </c>
    </row>
    <row r="73" spans="1:8" hidden="1" x14ac:dyDescent="0.25">
      <c r="C73" t="s">
        <v>646</v>
      </c>
      <c r="D73" t="s">
        <v>11</v>
      </c>
      <c r="E73">
        <f>50-24</f>
        <v>26</v>
      </c>
      <c r="F73" s="4">
        <f>E73*1500</f>
        <v>39000</v>
      </c>
      <c r="G73" s="4">
        <f t="shared" si="5"/>
        <v>13000</v>
      </c>
      <c r="H73" s="4">
        <v>26000</v>
      </c>
    </row>
    <row r="74" spans="1:8" hidden="1" x14ac:dyDescent="0.25">
      <c r="C74" t="s">
        <v>308</v>
      </c>
      <c r="D74" t="s">
        <v>11</v>
      </c>
      <c r="E74">
        <v>17</v>
      </c>
      <c r="F74" s="4">
        <f t="shared" ref="F74:F75" si="6">E74*1500</f>
        <v>25500</v>
      </c>
      <c r="G74" s="4">
        <f t="shared" si="5"/>
        <v>8500</v>
      </c>
      <c r="H74" s="4">
        <v>17000</v>
      </c>
    </row>
    <row r="75" spans="1:8" hidden="1" x14ac:dyDescent="0.25">
      <c r="C75" t="s">
        <v>16</v>
      </c>
      <c r="D75" t="s">
        <v>11</v>
      </c>
      <c r="E75">
        <v>61</v>
      </c>
      <c r="F75" s="4">
        <f t="shared" si="6"/>
        <v>91500</v>
      </c>
      <c r="G75" s="4">
        <f t="shared" si="5"/>
        <v>30500</v>
      </c>
      <c r="H75" s="4">
        <v>61000</v>
      </c>
    </row>
    <row r="76" spans="1:8" hidden="1" x14ac:dyDescent="0.25">
      <c r="D76" t="s">
        <v>12</v>
      </c>
      <c r="E76">
        <v>2</v>
      </c>
      <c r="F76" s="4">
        <f>E76*3000</f>
        <v>6000</v>
      </c>
      <c r="G76" s="4">
        <v>4000</v>
      </c>
      <c r="H76" s="4">
        <v>2000</v>
      </c>
    </row>
    <row r="77" spans="1:8" hidden="1" x14ac:dyDescent="0.25">
      <c r="D77" t="s">
        <v>243</v>
      </c>
      <c r="E77">
        <v>1</v>
      </c>
      <c r="F77" s="4">
        <v>13000</v>
      </c>
      <c r="G77" s="4">
        <v>10000</v>
      </c>
      <c r="H77" s="4">
        <v>3000</v>
      </c>
    </row>
    <row r="78" spans="1:8" hidden="1" x14ac:dyDescent="0.25">
      <c r="C78" t="s">
        <v>217</v>
      </c>
      <c r="D78" t="s">
        <v>11</v>
      </c>
      <c r="E78">
        <v>20</v>
      </c>
      <c r="F78" s="4">
        <f>E78*1500</f>
        <v>30000</v>
      </c>
      <c r="G78" s="4">
        <f>E78*500</f>
        <v>10000</v>
      </c>
      <c r="H78" s="4">
        <v>20000</v>
      </c>
    </row>
    <row r="79" spans="1:8" x14ac:dyDescent="0.25">
      <c r="D79" t="s">
        <v>13</v>
      </c>
      <c r="E79">
        <v>5</v>
      </c>
      <c r="F79" s="4">
        <f>E79*6500</f>
        <v>32500</v>
      </c>
      <c r="G79" s="4">
        <f>E79*4500</f>
        <v>22500</v>
      </c>
      <c r="H79" s="4">
        <f>E79*2000</f>
        <v>10000</v>
      </c>
    </row>
    <row r="80" spans="1:8" hidden="1" x14ac:dyDescent="0.25">
      <c r="D80" t="s">
        <v>14</v>
      </c>
      <c r="E80">
        <v>7</v>
      </c>
      <c r="F80" s="4">
        <f>E80*10000</f>
        <v>70000</v>
      </c>
      <c r="G80" s="4">
        <f>E80*5500</f>
        <v>38500</v>
      </c>
      <c r="H80" s="4">
        <f>E80*4500</f>
        <v>31500</v>
      </c>
    </row>
    <row r="81" spans="1:8" hidden="1" x14ac:dyDescent="0.25">
      <c r="D81" t="s">
        <v>404</v>
      </c>
      <c r="E81">
        <v>1</v>
      </c>
      <c r="F81" s="4">
        <v>2000</v>
      </c>
      <c r="G81" s="4">
        <v>1000</v>
      </c>
      <c r="H81" s="4">
        <v>1000</v>
      </c>
    </row>
    <row r="82" spans="1:8" hidden="1" x14ac:dyDescent="0.25">
      <c r="D82" t="s">
        <v>441</v>
      </c>
      <c r="E82">
        <v>2</v>
      </c>
      <c r="F82" s="4">
        <f>E82*3000</f>
        <v>6000</v>
      </c>
      <c r="G82" s="4">
        <v>4000</v>
      </c>
      <c r="H82" s="4">
        <v>2000</v>
      </c>
    </row>
    <row r="83" spans="1:8" hidden="1" x14ac:dyDescent="0.25">
      <c r="D83" t="s">
        <v>686</v>
      </c>
      <c r="E83">
        <v>1</v>
      </c>
      <c r="F83" s="4">
        <v>5000</v>
      </c>
      <c r="G83" s="4">
        <v>2500</v>
      </c>
      <c r="H83" s="4">
        <v>2500</v>
      </c>
    </row>
    <row r="84" spans="1:8" hidden="1" x14ac:dyDescent="0.25">
      <c r="A84" s="142" t="s">
        <v>17</v>
      </c>
      <c r="B84" s="142"/>
      <c r="C84" s="142"/>
      <c r="D84" s="142"/>
      <c r="E84" s="13">
        <f>SUM(E69:E83)</f>
        <v>285</v>
      </c>
      <c r="F84" s="13">
        <f t="shared" ref="F84:H84" si="7">SUM(F69:F83)</f>
        <v>569700</v>
      </c>
      <c r="G84" s="13">
        <f t="shared" si="7"/>
        <v>215500</v>
      </c>
      <c r="H84" s="13">
        <f t="shared" si="7"/>
        <v>354200</v>
      </c>
    </row>
    <row r="85" spans="1:8" hidden="1" x14ac:dyDescent="0.25">
      <c r="A85" t="s">
        <v>8</v>
      </c>
      <c r="B85" s="3">
        <v>45086</v>
      </c>
      <c r="C85" t="s">
        <v>681</v>
      </c>
      <c r="D85" t="s">
        <v>11</v>
      </c>
      <c r="E85">
        <v>70</v>
      </c>
      <c r="F85" s="4">
        <f>E85*1800</f>
        <v>126000</v>
      </c>
      <c r="G85" s="4">
        <f>E85*500</f>
        <v>35000</v>
      </c>
      <c r="H85" s="4">
        <f>E85*1300</f>
        <v>91000</v>
      </c>
    </row>
    <row r="86" spans="1:8" hidden="1" x14ac:dyDescent="0.25">
      <c r="C86" t="s">
        <v>306</v>
      </c>
      <c r="D86" t="s">
        <v>11</v>
      </c>
      <c r="E86">
        <v>20</v>
      </c>
      <c r="F86" s="4">
        <f>E86*1800</f>
        <v>36000</v>
      </c>
      <c r="G86" s="4">
        <f>E86*500</f>
        <v>10000</v>
      </c>
      <c r="H86" s="4">
        <f>E86*1300</f>
        <v>26000</v>
      </c>
    </row>
    <row r="87" spans="1:8" hidden="1" x14ac:dyDescent="0.25">
      <c r="C87" t="s">
        <v>571</v>
      </c>
      <c r="D87" t="s">
        <v>11</v>
      </c>
      <c r="E87">
        <v>15</v>
      </c>
      <c r="F87" s="4">
        <f>E87*1700</f>
        <v>25500</v>
      </c>
      <c r="G87" s="4">
        <f>E87*500</f>
        <v>7500</v>
      </c>
      <c r="H87" s="4">
        <f>E87*1200</f>
        <v>18000</v>
      </c>
    </row>
    <row r="88" spans="1:8" hidden="1" x14ac:dyDescent="0.25">
      <c r="C88" t="s">
        <v>16</v>
      </c>
      <c r="D88" t="s">
        <v>11</v>
      </c>
      <c r="E88">
        <v>60</v>
      </c>
      <c r="F88" s="4">
        <f>E88*1500</f>
        <v>90000</v>
      </c>
      <c r="G88" s="4">
        <f>E88*500</f>
        <v>30000</v>
      </c>
      <c r="H88" s="4">
        <v>60000</v>
      </c>
    </row>
    <row r="89" spans="1:8" hidden="1" x14ac:dyDescent="0.25">
      <c r="D89" t="s">
        <v>12</v>
      </c>
      <c r="E89">
        <v>6</v>
      </c>
      <c r="F89" s="4">
        <f>E89*3000</f>
        <v>18000</v>
      </c>
      <c r="G89" s="4">
        <v>12000</v>
      </c>
      <c r="H89" s="4">
        <v>6000</v>
      </c>
    </row>
    <row r="90" spans="1:8" x14ac:dyDescent="0.25">
      <c r="D90" t="s">
        <v>13</v>
      </c>
      <c r="E90">
        <v>1</v>
      </c>
      <c r="F90" s="4">
        <v>6500</v>
      </c>
      <c r="G90" s="4">
        <v>4500</v>
      </c>
      <c r="H90" s="4">
        <v>2000</v>
      </c>
    </row>
    <row r="91" spans="1:8" hidden="1" x14ac:dyDescent="0.25">
      <c r="D91" t="s">
        <v>14</v>
      </c>
      <c r="E91">
        <v>1</v>
      </c>
      <c r="F91" s="4">
        <v>10000</v>
      </c>
      <c r="G91" s="4">
        <v>5500</v>
      </c>
      <c r="H91" s="4">
        <v>4500</v>
      </c>
    </row>
    <row r="92" spans="1:8" hidden="1" x14ac:dyDescent="0.25">
      <c r="D92" t="s">
        <v>243</v>
      </c>
      <c r="E92">
        <v>1</v>
      </c>
      <c r="F92" s="4">
        <v>13000</v>
      </c>
      <c r="G92" s="4">
        <v>10000</v>
      </c>
      <c r="H92" s="4">
        <v>3000</v>
      </c>
    </row>
    <row r="93" spans="1:8" hidden="1" x14ac:dyDescent="0.25">
      <c r="C93" t="s">
        <v>217</v>
      </c>
      <c r="D93" t="s">
        <v>11</v>
      </c>
      <c r="E93">
        <v>30</v>
      </c>
      <c r="F93" s="4">
        <f>E93*1500</f>
        <v>45000</v>
      </c>
      <c r="G93" s="4">
        <f>E93*500</f>
        <v>15000</v>
      </c>
      <c r="H93" s="4">
        <v>30000</v>
      </c>
    </row>
    <row r="94" spans="1:8" x14ac:dyDescent="0.25">
      <c r="D94" t="s">
        <v>13</v>
      </c>
      <c r="E94">
        <v>3</v>
      </c>
      <c r="F94" s="4">
        <f>E94*6500</f>
        <v>19500</v>
      </c>
      <c r="G94" s="4">
        <f>E94*4500</f>
        <v>13500</v>
      </c>
      <c r="H94" s="4">
        <f>E94*2000</f>
        <v>6000</v>
      </c>
    </row>
    <row r="95" spans="1:8" hidden="1" x14ac:dyDescent="0.25">
      <c r="D95" t="s">
        <v>14</v>
      </c>
      <c r="E95">
        <v>4</v>
      </c>
      <c r="F95" s="4">
        <f>E95*10000</f>
        <v>40000</v>
      </c>
      <c r="G95" s="4">
        <f>E95*5500</f>
        <v>22000</v>
      </c>
      <c r="H95" s="4">
        <f>E95*4500</f>
        <v>18000</v>
      </c>
    </row>
    <row r="96" spans="1:8" hidden="1" x14ac:dyDescent="0.25">
      <c r="C96" t="s">
        <v>24</v>
      </c>
      <c r="D96" t="s">
        <v>14</v>
      </c>
      <c r="E96">
        <v>2</v>
      </c>
      <c r="F96" s="4">
        <f>E96*10000</f>
        <v>20000</v>
      </c>
      <c r="G96" s="4">
        <f>E96*5500</f>
        <v>11000</v>
      </c>
      <c r="H96" s="4">
        <f>E96*4500</f>
        <v>9000</v>
      </c>
    </row>
    <row r="97" spans="1:8" hidden="1" x14ac:dyDescent="0.25">
      <c r="A97" s="142" t="s">
        <v>17</v>
      </c>
      <c r="B97" s="142"/>
      <c r="C97" s="142"/>
      <c r="D97" s="142"/>
      <c r="E97" s="13">
        <f>SUM(E85:E96)</f>
        <v>213</v>
      </c>
      <c r="F97" s="13">
        <f t="shared" ref="F97:H97" si="8">SUM(F85:F96)</f>
        <v>449500</v>
      </c>
      <c r="G97" s="13">
        <f t="shared" si="8"/>
        <v>176000</v>
      </c>
      <c r="H97" s="13">
        <f t="shared" si="8"/>
        <v>273500</v>
      </c>
    </row>
    <row r="98" spans="1:8" hidden="1" x14ac:dyDescent="0.25">
      <c r="A98" t="s">
        <v>18</v>
      </c>
      <c r="B98" s="3">
        <v>45116</v>
      </c>
      <c r="C98" t="s">
        <v>338</v>
      </c>
      <c r="D98" t="s">
        <v>11</v>
      </c>
      <c r="E98">
        <v>55</v>
      </c>
      <c r="F98" s="4">
        <f>E98*1800</f>
        <v>99000</v>
      </c>
      <c r="G98" s="4">
        <f>E98*500</f>
        <v>27500</v>
      </c>
      <c r="H98" s="4">
        <f>E98*1300</f>
        <v>71500</v>
      </c>
    </row>
    <row r="99" spans="1:8" hidden="1" x14ac:dyDescent="0.25">
      <c r="C99" t="s">
        <v>306</v>
      </c>
      <c r="D99" t="s">
        <v>11</v>
      </c>
      <c r="E99">
        <f>60-19</f>
        <v>41</v>
      </c>
      <c r="F99" s="4">
        <f>E99*1800</f>
        <v>73800</v>
      </c>
      <c r="G99" s="4">
        <f>E99*500</f>
        <v>20500</v>
      </c>
      <c r="H99" s="4">
        <f>E99*1300</f>
        <v>53300</v>
      </c>
    </row>
    <row r="100" spans="1:8" hidden="1" x14ac:dyDescent="0.25">
      <c r="C100" t="s">
        <v>572</v>
      </c>
      <c r="D100" t="s">
        <v>11</v>
      </c>
      <c r="E100">
        <f>40-23</f>
        <v>17</v>
      </c>
      <c r="F100" s="4">
        <f>E100*1700</f>
        <v>28900</v>
      </c>
      <c r="G100" s="4">
        <f>E100*500</f>
        <v>8500</v>
      </c>
      <c r="H100" s="4">
        <f>E100*1200</f>
        <v>20400</v>
      </c>
    </row>
    <row r="101" spans="1:8" hidden="1" x14ac:dyDescent="0.25">
      <c r="C101" t="s">
        <v>104</v>
      </c>
      <c r="D101" t="s">
        <v>11</v>
      </c>
      <c r="E101">
        <f>34000/1700</f>
        <v>20</v>
      </c>
      <c r="F101" s="4">
        <f>E101*1700</f>
        <v>34000</v>
      </c>
      <c r="G101" s="4">
        <f>E101*500</f>
        <v>10000</v>
      </c>
      <c r="H101" s="4">
        <f>E101*1200</f>
        <v>24000</v>
      </c>
    </row>
    <row r="102" spans="1:8" hidden="1" x14ac:dyDescent="0.25">
      <c r="C102" t="s">
        <v>16</v>
      </c>
      <c r="D102" t="s">
        <v>11</v>
      </c>
      <c r="E102">
        <v>62</v>
      </c>
      <c r="F102" s="4">
        <f>E102*1500</f>
        <v>93000</v>
      </c>
      <c r="G102" s="4">
        <f>E102*500</f>
        <v>31000</v>
      </c>
      <c r="H102" s="4">
        <v>62000</v>
      </c>
    </row>
    <row r="103" spans="1:8" hidden="1" x14ac:dyDescent="0.25">
      <c r="D103" t="s">
        <v>12</v>
      </c>
      <c r="E103">
        <v>1</v>
      </c>
      <c r="F103" s="4">
        <v>3000</v>
      </c>
      <c r="G103" s="4">
        <v>2000</v>
      </c>
      <c r="H103" s="4">
        <v>1000</v>
      </c>
    </row>
    <row r="104" spans="1:8" x14ac:dyDescent="0.25">
      <c r="D104" t="s">
        <v>13</v>
      </c>
      <c r="E104">
        <v>0</v>
      </c>
      <c r="F104" s="4">
        <v>0</v>
      </c>
      <c r="G104" s="4">
        <v>0</v>
      </c>
      <c r="H104" s="4">
        <v>0</v>
      </c>
    </row>
    <row r="105" spans="1:8" hidden="1" x14ac:dyDescent="0.25">
      <c r="D105" t="s">
        <v>14</v>
      </c>
      <c r="E105">
        <v>0</v>
      </c>
      <c r="F105" s="4">
        <v>0</v>
      </c>
      <c r="G105" s="4">
        <v>0</v>
      </c>
      <c r="H105" s="4">
        <v>0</v>
      </c>
    </row>
    <row r="106" spans="1:8" hidden="1" x14ac:dyDescent="0.25">
      <c r="D106" t="s">
        <v>243</v>
      </c>
      <c r="E106">
        <v>1</v>
      </c>
      <c r="F106" s="4">
        <v>13000</v>
      </c>
      <c r="G106" s="4">
        <v>10000</v>
      </c>
      <c r="H106" s="4">
        <v>3000</v>
      </c>
    </row>
    <row r="107" spans="1:8" hidden="1" x14ac:dyDescent="0.25">
      <c r="C107" t="s">
        <v>217</v>
      </c>
      <c r="D107" t="s">
        <v>11</v>
      </c>
      <c r="E107">
        <v>23</v>
      </c>
      <c r="F107" s="4">
        <f>E107*1500</f>
        <v>34500</v>
      </c>
      <c r="G107" s="4">
        <f>E107*500</f>
        <v>11500</v>
      </c>
      <c r="H107" s="4">
        <v>23000</v>
      </c>
    </row>
    <row r="108" spans="1:8" x14ac:dyDescent="0.25">
      <c r="D108" t="s">
        <v>13</v>
      </c>
      <c r="E108">
        <v>12</v>
      </c>
      <c r="F108" s="4">
        <f>E108*6500</f>
        <v>78000</v>
      </c>
      <c r="G108" s="4">
        <f>E108*4500</f>
        <v>54000</v>
      </c>
      <c r="H108" s="4">
        <f>E108*2000</f>
        <v>24000</v>
      </c>
    </row>
    <row r="109" spans="1:8" hidden="1" x14ac:dyDescent="0.25">
      <c r="D109" t="s">
        <v>14</v>
      </c>
      <c r="E109">
        <v>8</v>
      </c>
      <c r="F109" s="4">
        <f>E109*10000</f>
        <v>80000</v>
      </c>
      <c r="G109" s="4">
        <f>E109*5500</f>
        <v>44000</v>
      </c>
      <c r="H109" s="4">
        <f>E109*4500</f>
        <v>36000</v>
      </c>
    </row>
    <row r="110" spans="1:8" hidden="1" x14ac:dyDescent="0.25">
      <c r="D110" t="s">
        <v>404</v>
      </c>
      <c r="E110">
        <v>7</v>
      </c>
      <c r="F110" s="4">
        <f>E110*2000</f>
        <v>14000</v>
      </c>
      <c r="G110" s="4">
        <v>7000</v>
      </c>
      <c r="H110" s="4">
        <v>7000</v>
      </c>
    </row>
    <row r="111" spans="1:8" hidden="1" x14ac:dyDescent="0.25">
      <c r="D111" t="s">
        <v>441</v>
      </c>
      <c r="E111">
        <v>2</v>
      </c>
      <c r="F111" s="4">
        <f>E111*3000</f>
        <v>6000</v>
      </c>
      <c r="G111" s="4">
        <v>4000</v>
      </c>
      <c r="H111" s="4">
        <v>2000</v>
      </c>
    </row>
    <row r="112" spans="1:8" hidden="1" x14ac:dyDescent="0.25">
      <c r="A112" s="142" t="s">
        <v>17</v>
      </c>
      <c r="B112" s="142"/>
      <c r="C112" s="142"/>
      <c r="D112" s="142"/>
      <c r="E112" s="13">
        <f>SUM(E98:E111)</f>
        <v>249</v>
      </c>
      <c r="F112" s="13">
        <f t="shared" ref="F112:H112" si="9">SUM(F98:F111)</f>
        <v>557200</v>
      </c>
      <c r="G112" s="13">
        <f t="shared" si="9"/>
        <v>230000</v>
      </c>
      <c r="H112" s="13">
        <f t="shared" si="9"/>
        <v>327200</v>
      </c>
    </row>
    <row r="113" spans="1:8" hidden="1" x14ac:dyDescent="0.25">
      <c r="A113" t="s">
        <v>22</v>
      </c>
      <c r="B113" s="3">
        <v>45147</v>
      </c>
      <c r="C113" t="s">
        <v>681</v>
      </c>
      <c r="D113" t="s">
        <v>11</v>
      </c>
      <c r="E113">
        <v>55</v>
      </c>
      <c r="F113" s="4">
        <f>E113*1800</f>
        <v>99000</v>
      </c>
      <c r="G113" s="4">
        <f>E113*500</f>
        <v>27500</v>
      </c>
      <c r="H113" s="4">
        <f>E113*1300</f>
        <v>71500</v>
      </c>
    </row>
    <row r="114" spans="1:8" hidden="1" x14ac:dyDescent="0.25">
      <c r="C114" t="s">
        <v>306</v>
      </c>
      <c r="D114" t="s">
        <v>11</v>
      </c>
      <c r="E114">
        <f>54-27</f>
        <v>27</v>
      </c>
      <c r="F114" s="4">
        <f>E114*1800</f>
        <v>48600</v>
      </c>
      <c r="G114" s="4">
        <f>E114*500</f>
        <v>13500</v>
      </c>
      <c r="H114" s="4">
        <f>E114*1300</f>
        <v>35100</v>
      </c>
    </row>
    <row r="115" spans="1:8" hidden="1" x14ac:dyDescent="0.25">
      <c r="C115" t="s">
        <v>572</v>
      </c>
      <c r="D115" t="s">
        <v>11</v>
      </c>
      <c r="E115">
        <v>15</v>
      </c>
      <c r="F115" s="4">
        <f>E115*1700</f>
        <v>25500</v>
      </c>
      <c r="G115" s="4">
        <f>E115*500</f>
        <v>7500</v>
      </c>
      <c r="H115" s="4">
        <f>E115*1200</f>
        <v>18000</v>
      </c>
    </row>
    <row r="116" spans="1:8" hidden="1" x14ac:dyDescent="0.25">
      <c r="C116" t="s">
        <v>571</v>
      </c>
      <c r="D116" t="s">
        <v>11</v>
      </c>
      <c r="E116">
        <v>17</v>
      </c>
      <c r="F116" s="4">
        <f>E116*1700</f>
        <v>28900</v>
      </c>
      <c r="G116" s="4">
        <f>E116*500</f>
        <v>8500</v>
      </c>
      <c r="H116" s="4">
        <f>E116*1200</f>
        <v>20400</v>
      </c>
    </row>
    <row r="117" spans="1:8" hidden="1" x14ac:dyDescent="0.25">
      <c r="C117" t="s">
        <v>16</v>
      </c>
      <c r="D117" t="s">
        <v>11</v>
      </c>
      <c r="E117">
        <v>44</v>
      </c>
      <c r="F117" s="4">
        <f>E117*1500</f>
        <v>66000</v>
      </c>
      <c r="G117" s="4">
        <f>E117*500</f>
        <v>22000</v>
      </c>
      <c r="H117" s="4">
        <v>44000</v>
      </c>
    </row>
    <row r="118" spans="1:8" hidden="1" x14ac:dyDescent="0.25">
      <c r="D118" t="s">
        <v>12</v>
      </c>
      <c r="E118">
        <v>4</v>
      </c>
      <c r="F118" s="4">
        <f>E118*3000</f>
        <v>12000</v>
      </c>
      <c r="G118" s="4">
        <v>8000</v>
      </c>
      <c r="H118" s="4">
        <v>4000</v>
      </c>
    </row>
    <row r="119" spans="1:8" hidden="1" x14ac:dyDescent="0.25">
      <c r="D119" t="s">
        <v>243</v>
      </c>
      <c r="E119">
        <v>1</v>
      </c>
      <c r="F119" s="4">
        <v>13000</v>
      </c>
      <c r="G119" s="4">
        <v>10000</v>
      </c>
      <c r="H119" s="4">
        <v>3000</v>
      </c>
    </row>
    <row r="120" spans="1:8" hidden="1" x14ac:dyDescent="0.25">
      <c r="C120" t="s">
        <v>217</v>
      </c>
      <c r="D120" t="s">
        <v>11</v>
      </c>
      <c r="E120">
        <v>23</v>
      </c>
      <c r="F120" s="4">
        <f>E120*1500</f>
        <v>34500</v>
      </c>
      <c r="G120" s="4">
        <f>E120*500</f>
        <v>11500</v>
      </c>
      <c r="H120" s="4">
        <v>23000</v>
      </c>
    </row>
    <row r="121" spans="1:8" x14ac:dyDescent="0.25">
      <c r="D121" t="s">
        <v>13</v>
      </c>
      <c r="E121">
        <v>9</v>
      </c>
      <c r="F121" s="4">
        <f>E121*6500</f>
        <v>58500</v>
      </c>
      <c r="G121" s="4">
        <f>E121*4500</f>
        <v>40500</v>
      </c>
      <c r="H121" s="4">
        <f>E121*2000</f>
        <v>18000</v>
      </c>
    </row>
    <row r="122" spans="1:8" hidden="1" x14ac:dyDescent="0.25">
      <c r="D122" t="s">
        <v>14</v>
      </c>
      <c r="E122">
        <v>2</v>
      </c>
      <c r="F122" s="4">
        <f>E122*10000</f>
        <v>20000</v>
      </c>
      <c r="G122" s="4">
        <f>E122*5500</f>
        <v>11000</v>
      </c>
      <c r="H122" s="4">
        <f>E122*4500</f>
        <v>9000</v>
      </c>
    </row>
    <row r="123" spans="1:8" hidden="1" x14ac:dyDescent="0.25">
      <c r="D123" t="s">
        <v>404</v>
      </c>
      <c r="E123">
        <v>1</v>
      </c>
      <c r="F123" s="4">
        <v>2000</v>
      </c>
      <c r="G123" s="4">
        <v>1000</v>
      </c>
      <c r="H123" s="4">
        <v>1000</v>
      </c>
    </row>
    <row r="124" spans="1:8" hidden="1" x14ac:dyDescent="0.25">
      <c r="D124" t="s">
        <v>441</v>
      </c>
      <c r="E124">
        <v>2</v>
      </c>
      <c r="F124" s="4">
        <f>E124*3000</f>
        <v>6000</v>
      </c>
      <c r="G124" s="4">
        <v>3000</v>
      </c>
      <c r="H124" s="4">
        <v>3000</v>
      </c>
    </row>
    <row r="125" spans="1:8" hidden="1" x14ac:dyDescent="0.25">
      <c r="D125" t="s">
        <v>437</v>
      </c>
      <c r="E125">
        <v>1</v>
      </c>
      <c r="F125" s="4">
        <v>5000</v>
      </c>
      <c r="G125" s="4">
        <v>2500</v>
      </c>
      <c r="H125" s="4">
        <v>2500</v>
      </c>
    </row>
    <row r="126" spans="1:8" hidden="1" x14ac:dyDescent="0.25">
      <c r="D126" t="s">
        <v>434</v>
      </c>
      <c r="E126">
        <v>1</v>
      </c>
      <c r="F126" s="4">
        <v>13000</v>
      </c>
      <c r="G126" s="4">
        <v>10000</v>
      </c>
      <c r="H126" s="4">
        <v>3000</v>
      </c>
    </row>
    <row r="127" spans="1:8" hidden="1" x14ac:dyDescent="0.25">
      <c r="A127" s="142" t="s">
        <v>17</v>
      </c>
      <c r="B127" s="142"/>
      <c r="C127" s="142"/>
      <c r="D127" s="142"/>
      <c r="E127" s="13">
        <f>SUM(E113:E126)</f>
        <v>202</v>
      </c>
      <c r="F127" s="13">
        <f t="shared" ref="F127:H127" si="10">SUM(F113:F126)</f>
        <v>432000</v>
      </c>
      <c r="G127" s="13">
        <f t="shared" si="10"/>
        <v>176500</v>
      </c>
      <c r="H127" s="13">
        <f t="shared" si="10"/>
        <v>255500</v>
      </c>
    </row>
    <row r="128" spans="1:8" hidden="1" x14ac:dyDescent="0.25">
      <c r="A128" t="s">
        <v>26</v>
      </c>
      <c r="B128" s="3">
        <v>45178</v>
      </c>
      <c r="C128" t="s">
        <v>687</v>
      </c>
      <c r="D128" t="s">
        <v>11</v>
      </c>
      <c r="E128">
        <v>60</v>
      </c>
      <c r="F128" s="4">
        <f>E128*1800</f>
        <v>108000</v>
      </c>
      <c r="G128" s="4">
        <f>E128*500</f>
        <v>30000</v>
      </c>
      <c r="H128" s="4">
        <f>E128*1300</f>
        <v>78000</v>
      </c>
    </row>
    <row r="129" spans="1:8" hidden="1" x14ac:dyDescent="0.25">
      <c r="C129" t="s">
        <v>209</v>
      </c>
      <c r="D129" t="s">
        <v>11</v>
      </c>
      <c r="E129">
        <v>35</v>
      </c>
      <c r="F129" s="4">
        <f>E129*1500</f>
        <v>52500</v>
      </c>
      <c r="G129" s="4">
        <f>E129*500</f>
        <v>17500</v>
      </c>
      <c r="H129" s="4">
        <v>35000</v>
      </c>
    </row>
    <row r="130" spans="1:8" hidden="1" x14ac:dyDescent="0.25">
      <c r="C130" t="s">
        <v>16</v>
      </c>
      <c r="D130" t="s">
        <v>11</v>
      </c>
      <c r="E130">
        <v>35</v>
      </c>
      <c r="F130" s="4">
        <v>52500</v>
      </c>
      <c r="G130" s="4">
        <v>17500</v>
      </c>
      <c r="H130" s="4">
        <v>35000</v>
      </c>
    </row>
    <row r="131" spans="1:8" x14ac:dyDescent="0.25">
      <c r="D131" t="s">
        <v>13</v>
      </c>
      <c r="E131">
        <v>1</v>
      </c>
      <c r="F131" s="4">
        <v>6500</v>
      </c>
      <c r="G131" s="4">
        <v>4500</v>
      </c>
      <c r="H131" s="4">
        <v>2000</v>
      </c>
    </row>
    <row r="132" spans="1:8" hidden="1" x14ac:dyDescent="0.25">
      <c r="C132" t="s">
        <v>217</v>
      </c>
      <c r="D132" t="s">
        <v>11</v>
      </c>
      <c r="E132">
        <v>25</v>
      </c>
      <c r="F132" s="4">
        <f>E132*1500</f>
        <v>37500</v>
      </c>
      <c r="G132" s="4">
        <f>E132*500</f>
        <v>12500</v>
      </c>
      <c r="H132" s="4">
        <f>E132*1000</f>
        <v>25000</v>
      </c>
    </row>
    <row r="133" spans="1:8" x14ac:dyDescent="0.25">
      <c r="D133" t="s">
        <v>13</v>
      </c>
      <c r="E133">
        <v>6</v>
      </c>
      <c r="F133" s="4">
        <f>E133*6500</f>
        <v>39000</v>
      </c>
      <c r="G133" s="4">
        <f>E133*4500</f>
        <v>27000</v>
      </c>
      <c r="H133" s="4">
        <f>E133*2000</f>
        <v>12000</v>
      </c>
    </row>
    <row r="134" spans="1:8" hidden="1" x14ac:dyDescent="0.25">
      <c r="D134" t="s">
        <v>14</v>
      </c>
      <c r="E134">
        <v>5</v>
      </c>
      <c r="F134" s="4">
        <f>E134*10000</f>
        <v>50000</v>
      </c>
      <c r="G134" s="4">
        <f>E134*5500</f>
        <v>27500</v>
      </c>
      <c r="H134" s="4">
        <f>E134*4500</f>
        <v>22500</v>
      </c>
    </row>
    <row r="135" spans="1:8" hidden="1" x14ac:dyDescent="0.25">
      <c r="D135" t="s">
        <v>404</v>
      </c>
      <c r="E135">
        <v>12</v>
      </c>
      <c r="F135" s="4">
        <f>E135*2000</f>
        <v>24000</v>
      </c>
      <c r="G135" s="4">
        <v>12000</v>
      </c>
      <c r="H135" s="4">
        <v>12000</v>
      </c>
    </row>
    <row r="136" spans="1:8" hidden="1" x14ac:dyDescent="0.25">
      <c r="D136" t="s">
        <v>415</v>
      </c>
      <c r="E136">
        <v>1</v>
      </c>
      <c r="F136" s="4">
        <v>5000</v>
      </c>
      <c r="G136" s="4">
        <v>2500</v>
      </c>
      <c r="H136" s="4">
        <v>2500</v>
      </c>
    </row>
    <row r="137" spans="1:8" hidden="1" x14ac:dyDescent="0.25">
      <c r="D137" t="s">
        <v>436</v>
      </c>
      <c r="E137">
        <v>2</v>
      </c>
      <c r="F137" s="4">
        <f>E137*3000</f>
        <v>6000</v>
      </c>
      <c r="G137" s="4">
        <v>3000</v>
      </c>
      <c r="H137" s="4">
        <v>3000</v>
      </c>
    </row>
    <row r="138" spans="1:8" hidden="1" x14ac:dyDescent="0.25">
      <c r="B138" t="s">
        <v>612</v>
      </c>
      <c r="D138" t="s">
        <v>688</v>
      </c>
      <c r="E138">
        <v>4</v>
      </c>
      <c r="F138" s="4">
        <f>E138*5000</f>
        <v>20000</v>
      </c>
      <c r="G138" s="4">
        <v>10000</v>
      </c>
      <c r="H138" s="4">
        <v>10000</v>
      </c>
    </row>
    <row r="139" spans="1:8" hidden="1" x14ac:dyDescent="0.25">
      <c r="A139" s="142" t="s">
        <v>17</v>
      </c>
      <c r="B139" s="142"/>
      <c r="C139" s="142"/>
      <c r="D139" s="142"/>
      <c r="E139" s="13">
        <f>SUM(E128:E138)</f>
        <v>186</v>
      </c>
      <c r="F139" s="13">
        <f t="shared" ref="F139:H139" si="11">SUM(F128:F138)</f>
        <v>401000</v>
      </c>
      <c r="G139" s="13">
        <f t="shared" si="11"/>
        <v>164000</v>
      </c>
      <c r="H139" s="13">
        <f t="shared" si="11"/>
        <v>237000</v>
      </c>
    </row>
    <row r="140" spans="1:8" hidden="1" x14ac:dyDescent="0.25">
      <c r="A140" t="s">
        <v>28</v>
      </c>
      <c r="B140" s="3">
        <v>45209</v>
      </c>
      <c r="C140" t="s">
        <v>399</v>
      </c>
      <c r="D140" t="s">
        <v>11</v>
      </c>
      <c r="E140">
        <v>10</v>
      </c>
      <c r="F140" s="4">
        <f>E140*2000</f>
        <v>20000</v>
      </c>
      <c r="G140" s="4">
        <f>E140*500</f>
        <v>5000</v>
      </c>
      <c r="H140" s="4">
        <f>E140*1500</f>
        <v>15000</v>
      </c>
    </row>
    <row r="141" spans="1:8" x14ac:dyDescent="0.25">
      <c r="D141" t="s">
        <v>13</v>
      </c>
      <c r="E141">
        <v>22</v>
      </c>
      <c r="F141" s="4">
        <f>E141*6500</f>
        <v>143000</v>
      </c>
      <c r="G141" s="4">
        <f>E141*4500</f>
        <v>99000</v>
      </c>
      <c r="H141" s="4">
        <f>E141*2000</f>
        <v>44000</v>
      </c>
    </row>
    <row r="142" spans="1:8" hidden="1" x14ac:dyDescent="0.25">
      <c r="D142" t="s">
        <v>14</v>
      </c>
      <c r="E142">
        <v>30</v>
      </c>
      <c r="F142" s="4">
        <f>E142*10000</f>
        <v>300000</v>
      </c>
      <c r="G142" s="4">
        <f>E142*5500</f>
        <v>165000</v>
      </c>
      <c r="H142" s="4">
        <f>E142*4500</f>
        <v>135000</v>
      </c>
    </row>
    <row r="143" spans="1:8" hidden="1" x14ac:dyDescent="0.25">
      <c r="D143" t="s">
        <v>626</v>
      </c>
      <c r="E143">
        <v>1</v>
      </c>
      <c r="F143" s="4">
        <v>5000</v>
      </c>
      <c r="G143" s="4">
        <v>2500</v>
      </c>
      <c r="H143" s="4">
        <v>2500</v>
      </c>
    </row>
    <row r="144" spans="1:8" hidden="1" x14ac:dyDescent="0.25">
      <c r="D144" t="s">
        <v>243</v>
      </c>
      <c r="E144">
        <v>2</v>
      </c>
      <c r="F144" s="4">
        <f>E144*13000</f>
        <v>26000</v>
      </c>
      <c r="G144" s="4">
        <v>20000</v>
      </c>
      <c r="H144" s="4">
        <v>6000</v>
      </c>
    </row>
    <row r="145" spans="1:8" hidden="1" x14ac:dyDescent="0.25">
      <c r="C145" t="s">
        <v>217</v>
      </c>
      <c r="D145" t="s">
        <v>11</v>
      </c>
      <c r="E145">
        <v>7</v>
      </c>
      <c r="F145" s="4">
        <f>E145*1500</f>
        <v>10500</v>
      </c>
      <c r="G145" s="4">
        <f>E145*500</f>
        <v>3500</v>
      </c>
      <c r="H145" s="4">
        <f>E145*1000</f>
        <v>7000</v>
      </c>
    </row>
    <row r="146" spans="1:8" x14ac:dyDescent="0.25">
      <c r="D146" t="s">
        <v>13</v>
      </c>
      <c r="E146">
        <v>5</v>
      </c>
      <c r="F146" s="4">
        <f>E146*6500</f>
        <v>32500</v>
      </c>
      <c r="G146" s="4">
        <f>E146*4500</f>
        <v>22500</v>
      </c>
      <c r="H146" s="4">
        <f>E146*2000</f>
        <v>10000</v>
      </c>
    </row>
    <row r="147" spans="1:8" hidden="1" x14ac:dyDescent="0.25">
      <c r="D147" t="s">
        <v>14</v>
      </c>
      <c r="E147">
        <v>6</v>
      </c>
      <c r="F147" s="4">
        <f>E147*10000</f>
        <v>60000</v>
      </c>
      <c r="G147" s="4">
        <f>E147*5500</f>
        <v>33000</v>
      </c>
      <c r="H147" s="4">
        <f>E147*4500</f>
        <v>27000</v>
      </c>
    </row>
    <row r="148" spans="1:8" hidden="1" x14ac:dyDescent="0.25">
      <c r="D148" t="s">
        <v>404</v>
      </c>
      <c r="E148">
        <v>4</v>
      </c>
      <c r="F148" s="4">
        <f>E148*2000</f>
        <v>8000</v>
      </c>
      <c r="G148" s="4">
        <v>4000</v>
      </c>
      <c r="H148" s="4">
        <v>4000</v>
      </c>
    </row>
    <row r="149" spans="1:8" hidden="1" x14ac:dyDescent="0.25">
      <c r="D149" t="s">
        <v>689</v>
      </c>
      <c r="E149">
        <v>1</v>
      </c>
      <c r="F149" s="4">
        <v>5000</v>
      </c>
      <c r="G149" s="4">
        <v>2500</v>
      </c>
      <c r="H149" s="4">
        <v>2500</v>
      </c>
    </row>
    <row r="150" spans="1:8" hidden="1" x14ac:dyDescent="0.25">
      <c r="C150" t="s">
        <v>16</v>
      </c>
      <c r="D150" t="s">
        <v>11</v>
      </c>
      <c r="E150">
        <v>88</v>
      </c>
      <c r="F150" s="4">
        <f>E150*1500</f>
        <v>132000</v>
      </c>
      <c r="G150" s="4">
        <f>E150*500</f>
        <v>44000</v>
      </c>
      <c r="H150" s="4">
        <v>88000</v>
      </c>
    </row>
    <row r="151" spans="1:8" hidden="1" x14ac:dyDescent="0.25">
      <c r="D151" t="s">
        <v>12</v>
      </c>
      <c r="E151">
        <v>8</v>
      </c>
      <c r="F151" s="4">
        <f>E151*3000</f>
        <v>24000</v>
      </c>
      <c r="G151" s="4">
        <f>E151*2000</f>
        <v>16000</v>
      </c>
      <c r="H151" s="4">
        <v>8000</v>
      </c>
    </row>
    <row r="152" spans="1:8" x14ac:dyDescent="0.25">
      <c r="D152" t="s">
        <v>13</v>
      </c>
      <c r="E152">
        <v>2</v>
      </c>
      <c r="F152" s="4">
        <f>E152*6500</f>
        <v>13000</v>
      </c>
      <c r="G152" s="4">
        <f>E152*4500</f>
        <v>9000</v>
      </c>
      <c r="H152" s="4">
        <f>E152*2000</f>
        <v>4000</v>
      </c>
    </row>
    <row r="153" spans="1:8" hidden="1" x14ac:dyDescent="0.25">
      <c r="D153" t="s">
        <v>14</v>
      </c>
      <c r="E153">
        <v>2</v>
      </c>
      <c r="F153" s="4">
        <f>E153*10000</f>
        <v>20000</v>
      </c>
      <c r="G153" s="4">
        <f>E153*5500</f>
        <v>11000</v>
      </c>
      <c r="H153" s="4">
        <f>E153*4500</f>
        <v>9000</v>
      </c>
    </row>
    <row r="154" spans="1:8" hidden="1" x14ac:dyDescent="0.25">
      <c r="A154" s="142" t="s">
        <v>17</v>
      </c>
      <c r="B154" s="142"/>
      <c r="C154" s="142"/>
      <c r="D154" s="142"/>
      <c r="E154" s="13">
        <f>SUM(E140:E153)</f>
        <v>188</v>
      </c>
      <c r="F154" s="13">
        <f t="shared" ref="F154:H154" si="12">SUM(F140:F153)</f>
        <v>799000</v>
      </c>
      <c r="G154" s="13">
        <f t="shared" si="12"/>
        <v>437000</v>
      </c>
      <c r="H154" s="13">
        <f t="shared" si="12"/>
        <v>362000</v>
      </c>
    </row>
    <row r="155" spans="1:8" hidden="1" x14ac:dyDescent="0.25">
      <c r="A155" t="s">
        <v>30</v>
      </c>
      <c r="B155" s="3">
        <v>45180</v>
      </c>
      <c r="C155" t="s">
        <v>681</v>
      </c>
      <c r="D155" t="s">
        <v>11</v>
      </c>
      <c r="E155">
        <v>70</v>
      </c>
      <c r="F155" s="4">
        <f>E155*1800</f>
        <v>126000</v>
      </c>
      <c r="G155" s="4">
        <f t="shared" ref="G155:G160" si="13">E155*500</f>
        <v>35000</v>
      </c>
      <c r="H155" s="4">
        <f>E155*1300</f>
        <v>91000</v>
      </c>
    </row>
    <row r="156" spans="1:8" hidden="1" x14ac:dyDescent="0.25">
      <c r="C156" t="s">
        <v>104</v>
      </c>
      <c r="D156" t="s">
        <v>11</v>
      </c>
      <c r="E156">
        <v>27</v>
      </c>
      <c r="F156" s="4">
        <f>E156*1700</f>
        <v>45900</v>
      </c>
      <c r="G156" s="4">
        <f t="shared" si="13"/>
        <v>13500</v>
      </c>
      <c r="H156" s="4">
        <f>E156*1200</f>
        <v>32400</v>
      </c>
    </row>
    <row r="157" spans="1:8" hidden="1" x14ac:dyDescent="0.25">
      <c r="C157" t="s">
        <v>306</v>
      </c>
      <c r="D157" t="s">
        <v>11</v>
      </c>
      <c r="E157">
        <v>31</v>
      </c>
      <c r="F157" s="4">
        <f>E157*1800</f>
        <v>55800</v>
      </c>
      <c r="G157" s="4">
        <f t="shared" si="13"/>
        <v>15500</v>
      </c>
      <c r="H157" s="4">
        <f>E157*1300</f>
        <v>40300</v>
      </c>
    </row>
    <row r="158" spans="1:8" hidden="1" x14ac:dyDescent="0.25">
      <c r="C158" t="s">
        <v>572</v>
      </c>
      <c r="D158" t="s">
        <v>11</v>
      </c>
      <c r="E158">
        <v>24</v>
      </c>
      <c r="F158" s="4">
        <f>E158*1700</f>
        <v>40800</v>
      </c>
      <c r="G158" s="4">
        <f t="shared" si="13"/>
        <v>12000</v>
      </c>
      <c r="H158" s="4">
        <f>E158*1200</f>
        <v>28800</v>
      </c>
    </row>
    <row r="159" spans="1:8" hidden="1" x14ac:dyDescent="0.25">
      <c r="C159" t="s">
        <v>209</v>
      </c>
      <c r="D159" t="s">
        <v>11</v>
      </c>
      <c r="E159">
        <v>30</v>
      </c>
      <c r="F159" s="4">
        <f>E159*1500</f>
        <v>45000</v>
      </c>
      <c r="G159" s="4">
        <f t="shared" si="13"/>
        <v>15000</v>
      </c>
      <c r="H159" s="4">
        <f>E159*1000</f>
        <v>30000</v>
      </c>
    </row>
    <row r="160" spans="1:8" hidden="1" x14ac:dyDescent="0.25">
      <c r="C160" t="s">
        <v>16</v>
      </c>
      <c r="D160" t="s">
        <v>11</v>
      </c>
      <c r="E160">
        <v>60</v>
      </c>
      <c r="F160" s="4">
        <f>E160*1500</f>
        <v>90000</v>
      </c>
      <c r="G160" s="4">
        <f t="shared" si="13"/>
        <v>30000</v>
      </c>
      <c r="H160" s="4">
        <f>E160*1000</f>
        <v>60000</v>
      </c>
    </row>
    <row r="161" spans="1:8" hidden="1" x14ac:dyDescent="0.25">
      <c r="D161" t="s">
        <v>12</v>
      </c>
      <c r="E161">
        <v>5</v>
      </c>
      <c r="F161" s="4">
        <f>E161*3000</f>
        <v>15000</v>
      </c>
      <c r="G161" s="4">
        <v>10000</v>
      </c>
      <c r="H161" s="4">
        <v>5000</v>
      </c>
    </row>
    <row r="162" spans="1:8" hidden="1" x14ac:dyDescent="0.25">
      <c r="C162" t="s">
        <v>217</v>
      </c>
      <c r="D162" t="s">
        <v>11</v>
      </c>
      <c r="E162">
        <v>20</v>
      </c>
      <c r="F162" s="4">
        <f>E162*3000</f>
        <v>60000</v>
      </c>
      <c r="G162" s="4">
        <f>E162*500</f>
        <v>10000</v>
      </c>
      <c r="H162" s="4">
        <v>20000</v>
      </c>
    </row>
    <row r="163" spans="1:8" x14ac:dyDescent="0.25">
      <c r="D163" t="s">
        <v>13</v>
      </c>
      <c r="E163">
        <v>5</v>
      </c>
      <c r="F163" s="4">
        <f>E163*6500</f>
        <v>32500</v>
      </c>
      <c r="G163" s="4">
        <f>E163*4500</f>
        <v>22500</v>
      </c>
      <c r="H163" s="4">
        <f>E163*2000</f>
        <v>10000</v>
      </c>
    </row>
    <row r="164" spans="1:8" hidden="1" x14ac:dyDescent="0.25">
      <c r="D164" t="s">
        <v>14</v>
      </c>
      <c r="E164">
        <v>3</v>
      </c>
      <c r="F164" s="4">
        <f>E164*10000</f>
        <v>30000</v>
      </c>
      <c r="G164" s="4">
        <f>E164*5500</f>
        <v>16500</v>
      </c>
      <c r="H164" s="4">
        <f>E164*4500</f>
        <v>13500</v>
      </c>
    </row>
    <row r="165" spans="1:8" hidden="1" x14ac:dyDescent="0.25">
      <c r="D165" t="s">
        <v>404</v>
      </c>
      <c r="E165">
        <v>2</v>
      </c>
      <c r="F165" s="4">
        <f>E165*2000</f>
        <v>4000</v>
      </c>
      <c r="G165" s="4">
        <v>2000</v>
      </c>
      <c r="H165" s="4">
        <v>2000</v>
      </c>
    </row>
    <row r="166" spans="1:8" hidden="1" x14ac:dyDescent="0.25">
      <c r="D166" t="s">
        <v>415</v>
      </c>
      <c r="E166">
        <v>1</v>
      </c>
      <c r="F166" s="4">
        <v>5000</v>
      </c>
      <c r="G166" s="4">
        <v>2500</v>
      </c>
      <c r="H166" s="4">
        <v>2500</v>
      </c>
    </row>
    <row r="167" spans="1:8" hidden="1" x14ac:dyDescent="0.25">
      <c r="D167" t="s">
        <v>437</v>
      </c>
      <c r="E167">
        <v>1</v>
      </c>
      <c r="F167" s="4">
        <v>5000</v>
      </c>
      <c r="G167" s="4">
        <v>2500</v>
      </c>
      <c r="H167" s="4">
        <v>2500</v>
      </c>
    </row>
    <row r="168" spans="1:8" hidden="1" x14ac:dyDescent="0.25">
      <c r="C168" t="s">
        <v>24</v>
      </c>
      <c r="D168" t="s">
        <v>243</v>
      </c>
      <c r="E168">
        <v>2</v>
      </c>
      <c r="F168" s="4">
        <f>E168*15000</f>
        <v>30000</v>
      </c>
      <c r="G168" s="4">
        <v>20000</v>
      </c>
      <c r="H168" s="4">
        <v>10000</v>
      </c>
    </row>
    <row r="169" spans="1:8" hidden="1" x14ac:dyDescent="0.25">
      <c r="A169" s="112" t="s">
        <v>17</v>
      </c>
      <c r="B169" s="112"/>
      <c r="C169" s="112"/>
      <c r="D169" s="112"/>
      <c r="E169" s="78">
        <f>SUM(E155:E168)</f>
        <v>281</v>
      </c>
      <c r="F169" s="78">
        <f t="shared" ref="F169:H169" si="14">SUM(F155:F168)</f>
        <v>585000</v>
      </c>
      <c r="G169" s="78">
        <f t="shared" si="14"/>
        <v>207000</v>
      </c>
      <c r="H169" s="78">
        <f t="shared" si="14"/>
        <v>348000</v>
      </c>
    </row>
    <row r="170" spans="1:8" hidden="1" x14ac:dyDescent="0.25">
      <c r="A170" t="s">
        <v>32</v>
      </c>
      <c r="B170" s="3">
        <v>45181</v>
      </c>
      <c r="C170" t="s">
        <v>681</v>
      </c>
      <c r="D170" t="s">
        <v>11</v>
      </c>
      <c r="E170">
        <v>70</v>
      </c>
      <c r="F170" s="4">
        <f>E170*1800</f>
        <v>126000</v>
      </c>
      <c r="G170" s="4">
        <f>E170*500</f>
        <v>35000</v>
      </c>
      <c r="H170" s="4">
        <f>E170*1300</f>
        <v>91000</v>
      </c>
    </row>
    <row r="171" spans="1:8" hidden="1" x14ac:dyDescent="0.25">
      <c r="B171" t="s">
        <v>612</v>
      </c>
      <c r="C171" t="s">
        <v>306</v>
      </c>
      <c r="D171" t="s">
        <v>11</v>
      </c>
      <c r="E171">
        <v>26</v>
      </c>
      <c r="F171" s="4">
        <f>E171*1700</f>
        <v>44200</v>
      </c>
      <c r="G171" s="4">
        <f>E171*500</f>
        <v>13000</v>
      </c>
      <c r="H171" s="4">
        <f>E171*1200</f>
        <v>31200</v>
      </c>
    </row>
    <row r="172" spans="1:8" hidden="1" x14ac:dyDescent="0.25">
      <c r="C172" t="s">
        <v>209</v>
      </c>
      <c r="D172" t="s">
        <v>11</v>
      </c>
      <c r="E172">
        <v>30</v>
      </c>
      <c r="F172" s="4">
        <f>E172*1500</f>
        <v>45000</v>
      </c>
      <c r="G172" s="4">
        <f>E172*500</f>
        <v>15000</v>
      </c>
      <c r="H172" s="4">
        <f>E172*1000</f>
        <v>30000</v>
      </c>
    </row>
    <row r="173" spans="1:8" hidden="1" x14ac:dyDescent="0.25">
      <c r="C173" t="s">
        <v>104</v>
      </c>
      <c r="D173" t="s">
        <v>11</v>
      </c>
      <c r="E173">
        <f>42500/1700</f>
        <v>25</v>
      </c>
      <c r="F173" s="4">
        <f>E173*1700</f>
        <v>42500</v>
      </c>
      <c r="G173" s="4">
        <f>E173*500</f>
        <v>12500</v>
      </c>
      <c r="H173" s="4">
        <f>E173*1200</f>
        <v>30000</v>
      </c>
    </row>
    <row r="174" spans="1:8" hidden="1" x14ac:dyDescent="0.25">
      <c r="A174" s="112" t="s">
        <v>17</v>
      </c>
      <c r="B174" s="112"/>
      <c r="C174" s="112"/>
      <c r="D174" s="112"/>
      <c r="E174" s="78">
        <f>SUM(E170:E173)</f>
        <v>151</v>
      </c>
      <c r="F174" s="78">
        <f t="shared" ref="F174:H174" si="15">SUM(F170:F173)</f>
        <v>257700</v>
      </c>
      <c r="G174" s="78">
        <f t="shared" si="15"/>
        <v>75500</v>
      </c>
      <c r="H174" s="78">
        <f t="shared" si="15"/>
        <v>182200</v>
      </c>
    </row>
    <row r="175" spans="1:8" hidden="1" x14ac:dyDescent="0.25">
      <c r="A175" t="s">
        <v>8</v>
      </c>
      <c r="B175" s="3">
        <v>45182</v>
      </c>
      <c r="C175" t="s">
        <v>681</v>
      </c>
      <c r="D175" t="s">
        <v>11</v>
      </c>
      <c r="E175">
        <v>67</v>
      </c>
      <c r="F175" s="4">
        <f>E175*1800</f>
        <v>120600</v>
      </c>
      <c r="G175" s="4">
        <f t="shared" ref="G175:G181" si="16">E175*500</f>
        <v>33500</v>
      </c>
      <c r="H175" s="4">
        <f>E175*1300</f>
        <v>87100</v>
      </c>
    </row>
    <row r="176" spans="1:8" hidden="1" x14ac:dyDescent="0.25">
      <c r="C176" t="s">
        <v>646</v>
      </c>
      <c r="D176" t="s">
        <v>11</v>
      </c>
      <c r="E176">
        <v>279</v>
      </c>
      <c r="F176" s="4">
        <f>E176*1500</f>
        <v>418500</v>
      </c>
      <c r="G176" s="4">
        <f t="shared" si="16"/>
        <v>139500</v>
      </c>
      <c r="H176" s="4">
        <f>E176*1000</f>
        <v>279000</v>
      </c>
    </row>
    <row r="177" spans="1:8" hidden="1" x14ac:dyDescent="0.25">
      <c r="C177" t="s">
        <v>306</v>
      </c>
      <c r="D177" t="s">
        <v>11</v>
      </c>
      <c r="E177">
        <v>24</v>
      </c>
      <c r="F177" s="4">
        <f>E177*1800</f>
        <v>43200</v>
      </c>
      <c r="G177" s="4">
        <f t="shared" si="16"/>
        <v>12000</v>
      </c>
      <c r="H177" s="4">
        <f>E177*1300</f>
        <v>31200</v>
      </c>
    </row>
    <row r="178" spans="1:8" hidden="1" x14ac:dyDescent="0.25">
      <c r="C178" t="s">
        <v>572</v>
      </c>
      <c r="D178" t="s">
        <v>11</v>
      </c>
      <c r="E178">
        <v>40</v>
      </c>
      <c r="F178" s="4">
        <f>E178*1700</f>
        <v>68000</v>
      </c>
      <c r="G178" s="4">
        <f t="shared" si="16"/>
        <v>20000</v>
      </c>
      <c r="H178" s="4">
        <f>E178*1200</f>
        <v>48000</v>
      </c>
    </row>
    <row r="179" spans="1:8" hidden="1" x14ac:dyDescent="0.25">
      <c r="C179" t="s">
        <v>104</v>
      </c>
      <c r="D179" t="s">
        <v>11</v>
      </c>
      <c r="E179">
        <f>45900/1700</f>
        <v>27</v>
      </c>
      <c r="F179" s="4">
        <f>E179*1700</f>
        <v>45900</v>
      </c>
      <c r="G179" s="4">
        <f t="shared" si="16"/>
        <v>13500</v>
      </c>
      <c r="H179" s="4">
        <f>E179*1200</f>
        <v>32400</v>
      </c>
    </row>
    <row r="180" spans="1:8" hidden="1" x14ac:dyDescent="0.25">
      <c r="C180" t="s">
        <v>571</v>
      </c>
      <c r="D180" t="s">
        <v>11</v>
      </c>
      <c r="E180">
        <v>11</v>
      </c>
      <c r="F180" s="4">
        <f>E180*1700</f>
        <v>18700</v>
      </c>
      <c r="G180" s="4">
        <f t="shared" si="16"/>
        <v>5500</v>
      </c>
      <c r="H180" s="4">
        <f t="shared" ref="H180" si="17">E180*1200</f>
        <v>13200</v>
      </c>
    </row>
    <row r="181" spans="1:8" hidden="1" x14ac:dyDescent="0.25">
      <c r="C181" t="s">
        <v>16</v>
      </c>
      <c r="D181" t="s">
        <v>11</v>
      </c>
      <c r="E181">
        <f>44+63</f>
        <v>107</v>
      </c>
      <c r="F181" s="4">
        <f>E181*1500</f>
        <v>160500</v>
      </c>
      <c r="G181" s="4">
        <f t="shared" si="16"/>
        <v>53500</v>
      </c>
      <c r="H181" s="4">
        <v>107000</v>
      </c>
    </row>
    <row r="182" spans="1:8" hidden="1" x14ac:dyDescent="0.25">
      <c r="D182" t="s">
        <v>12</v>
      </c>
      <c r="E182">
        <v>2</v>
      </c>
      <c r="F182" s="4">
        <f>E182*3000</f>
        <v>6000</v>
      </c>
      <c r="G182" s="4">
        <v>4000</v>
      </c>
      <c r="H182" s="4">
        <v>2000</v>
      </c>
    </row>
    <row r="183" spans="1:8" hidden="1" x14ac:dyDescent="0.25">
      <c r="D183" t="s">
        <v>243</v>
      </c>
      <c r="E183">
        <v>1</v>
      </c>
      <c r="F183" s="4">
        <v>13000</v>
      </c>
      <c r="G183" s="4">
        <v>10000</v>
      </c>
      <c r="H183" s="4">
        <v>3000</v>
      </c>
    </row>
    <row r="184" spans="1:8" x14ac:dyDescent="0.25">
      <c r="C184" t="s">
        <v>399</v>
      </c>
      <c r="D184" t="s">
        <v>13</v>
      </c>
      <c r="E184">
        <v>12</v>
      </c>
      <c r="F184" s="4">
        <f>E184*8000</f>
        <v>96000</v>
      </c>
      <c r="G184" s="4">
        <f>E184*4500</f>
        <v>54000</v>
      </c>
      <c r="H184" s="4">
        <f>E184*3500</f>
        <v>42000</v>
      </c>
    </row>
    <row r="185" spans="1:8" hidden="1" x14ac:dyDescent="0.25">
      <c r="D185" t="s">
        <v>14</v>
      </c>
      <c r="E185">
        <v>12</v>
      </c>
      <c r="F185" s="4">
        <f>E185*13000</f>
        <v>156000</v>
      </c>
      <c r="G185" s="4">
        <f>E185*5500</f>
        <v>66000</v>
      </c>
      <c r="H185" s="4">
        <f>E185*7500</f>
        <v>90000</v>
      </c>
    </row>
    <row r="186" spans="1:8" hidden="1" x14ac:dyDescent="0.25">
      <c r="C186" t="s">
        <v>217</v>
      </c>
      <c r="D186" t="s">
        <v>11</v>
      </c>
      <c r="E186">
        <f>14+12</f>
        <v>26</v>
      </c>
      <c r="F186" s="4">
        <f>E186*1500</f>
        <v>39000</v>
      </c>
      <c r="G186" s="4">
        <f>E186*500</f>
        <v>13000</v>
      </c>
      <c r="H186" s="4">
        <v>26000</v>
      </c>
    </row>
    <row r="187" spans="1:8" x14ac:dyDescent="0.25">
      <c r="D187" t="s">
        <v>13</v>
      </c>
      <c r="E187">
        <v>3</v>
      </c>
      <c r="F187" s="4">
        <f>E187*6500</f>
        <v>19500</v>
      </c>
      <c r="G187" s="4">
        <f>E187*4500</f>
        <v>13500</v>
      </c>
      <c r="H187" s="4">
        <f>E187*2000</f>
        <v>6000</v>
      </c>
    </row>
    <row r="188" spans="1:8" hidden="1" x14ac:dyDescent="0.25">
      <c r="D188" t="s">
        <v>14</v>
      </c>
      <c r="E188">
        <v>6</v>
      </c>
      <c r="F188" s="4">
        <f>E188*10000</f>
        <v>60000</v>
      </c>
      <c r="G188" s="4">
        <f>E188*5500</f>
        <v>33000</v>
      </c>
      <c r="H188" s="4">
        <f>E188*4500</f>
        <v>27000</v>
      </c>
    </row>
    <row r="189" spans="1:8" hidden="1" x14ac:dyDescent="0.25">
      <c r="D189" t="s">
        <v>404</v>
      </c>
      <c r="E189">
        <v>2</v>
      </c>
      <c r="F189" s="4">
        <f>E189*2000</f>
        <v>4000</v>
      </c>
      <c r="G189" s="4">
        <v>2000</v>
      </c>
      <c r="H189" s="4">
        <v>2000</v>
      </c>
    </row>
    <row r="190" spans="1:8" hidden="1" x14ac:dyDescent="0.25">
      <c r="D190" t="s">
        <v>441</v>
      </c>
      <c r="E190">
        <v>1</v>
      </c>
      <c r="F190" s="4">
        <v>3000</v>
      </c>
      <c r="G190" s="4">
        <v>1500</v>
      </c>
      <c r="H190" s="4">
        <v>1500</v>
      </c>
    </row>
    <row r="191" spans="1:8" hidden="1" x14ac:dyDescent="0.25">
      <c r="A191" s="112" t="s">
        <v>17</v>
      </c>
      <c r="B191" s="112"/>
      <c r="C191" s="112"/>
      <c r="D191" s="112"/>
      <c r="E191" s="78">
        <f>SUM(E175:E190)</f>
        <v>620</v>
      </c>
      <c r="F191" s="78">
        <f t="shared" ref="F191:H191" si="18">SUM(F175:F190)</f>
        <v>1271900</v>
      </c>
      <c r="G191" s="78">
        <f>SUM(G175:G190)</f>
        <v>474500</v>
      </c>
      <c r="H191" s="78">
        <f t="shared" si="18"/>
        <v>797400</v>
      </c>
    </row>
    <row r="192" spans="1:8" hidden="1" x14ac:dyDescent="0.25">
      <c r="A192" t="s">
        <v>18</v>
      </c>
      <c r="B192" s="3">
        <v>45183</v>
      </c>
      <c r="C192" t="s">
        <v>338</v>
      </c>
      <c r="D192" t="s">
        <v>11</v>
      </c>
      <c r="E192">
        <v>67</v>
      </c>
      <c r="F192" s="4">
        <f>E192*1800</f>
        <v>120600</v>
      </c>
      <c r="G192" s="4">
        <f>E192*500</f>
        <v>33500</v>
      </c>
      <c r="H192" s="4">
        <f>E192*1300</f>
        <v>87100</v>
      </c>
    </row>
    <row r="193" spans="1:8" hidden="1" x14ac:dyDescent="0.25">
      <c r="C193" t="s">
        <v>306</v>
      </c>
      <c r="D193" t="s">
        <v>11</v>
      </c>
      <c r="E193">
        <v>32</v>
      </c>
      <c r="F193" s="4">
        <f>E193*1800</f>
        <v>57600</v>
      </c>
      <c r="G193" s="4">
        <f>E193*500</f>
        <v>16000</v>
      </c>
      <c r="H193" s="4">
        <f>E193*1300</f>
        <v>41600</v>
      </c>
    </row>
    <row r="194" spans="1:8" hidden="1" x14ac:dyDescent="0.25">
      <c r="C194" t="s">
        <v>572</v>
      </c>
      <c r="D194" t="s">
        <v>11</v>
      </c>
      <c r="E194">
        <v>26</v>
      </c>
      <c r="F194" s="4">
        <f>E194*1700</f>
        <v>44200</v>
      </c>
      <c r="G194" s="4">
        <f>E194*500</f>
        <v>13000</v>
      </c>
      <c r="H194" s="4">
        <f>E194*1200</f>
        <v>31200</v>
      </c>
    </row>
    <row r="195" spans="1:8" hidden="1" x14ac:dyDescent="0.25">
      <c r="C195" t="s">
        <v>571</v>
      </c>
      <c r="D195" t="s">
        <v>11</v>
      </c>
      <c r="E195">
        <v>25</v>
      </c>
      <c r="F195" s="4">
        <f>E195*1700</f>
        <v>42500</v>
      </c>
      <c r="G195" s="4">
        <f t="shared" ref="G195:G197" si="19">E195*500</f>
        <v>12500</v>
      </c>
      <c r="H195" s="4">
        <f>E195*1200</f>
        <v>30000</v>
      </c>
    </row>
    <row r="196" spans="1:8" hidden="1" x14ac:dyDescent="0.25">
      <c r="C196" t="s">
        <v>209</v>
      </c>
      <c r="D196" t="s">
        <v>11</v>
      </c>
      <c r="E196">
        <v>57</v>
      </c>
      <c r="F196" s="4">
        <f>E196*1500</f>
        <v>85500</v>
      </c>
      <c r="G196" s="4">
        <f t="shared" si="19"/>
        <v>28500</v>
      </c>
      <c r="H196" s="4">
        <v>57000</v>
      </c>
    </row>
    <row r="197" spans="1:8" hidden="1" x14ac:dyDescent="0.25">
      <c r="C197" t="s">
        <v>16</v>
      </c>
      <c r="D197" t="s">
        <v>11</v>
      </c>
      <c r="E197">
        <v>58</v>
      </c>
      <c r="F197" s="4">
        <f>E197*1500</f>
        <v>87000</v>
      </c>
      <c r="G197" s="4">
        <f t="shared" si="19"/>
        <v>29000</v>
      </c>
      <c r="H197" s="4">
        <v>58000</v>
      </c>
    </row>
    <row r="198" spans="1:8" hidden="1" x14ac:dyDescent="0.25">
      <c r="D198" t="s">
        <v>12</v>
      </c>
      <c r="E198">
        <v>8</v>
      </c>
      <c r="F198" s="4">
        <f>E198*3000</f>
        <v>24000</v>
      </c>
      <c r="G198" s="4">
        <v>16000</v>
      </c>
      <c r="H198" s="4">
        <v>8000</v>
      </c>
    </row>
    <row r="199" spans="1:8" x14ac:dyDescent="0.25">
      <c r="D199" t="s">
        <v>13</v>
      </c>
      <c r="E199">
        <v>2</v>
      </c>
      <c r="F199" s="4">
        <f>E199*6500</f>
        <v>13000</v>
      </c>
      <c r="G199" s="4">
        <f>E199*4500</f>
        <v>9000</v>
      </c>
      <c r="H199" s="4">
        <v>4000</v>
      </c>
    </row>
    <row r="200" spans="1:8" hidden="1" x14ac:dyDescent="0.25">
      <c r="D200" t="s">
        <v>14</v>
      </c>
      <c r="E200">
        <v>2</v>
      </c>
      <c r="F200" s="4">
        <f>E200*10000</f>
        <v>20000</v>
      </c>
      <c r="G200" s="4">
        <f>E200*5500</f>
        <v>11000</v>
      </c>
      <c r="H200" s="4">
        <f>E200*4500</f>
        <v>9000</v>
      </c>
    </row>
    <row r="201" spans="1:8" hidden="1" x14ac:dyDescent="0.25">
      <c r="D201" t="s">
        <v>243</v>
      </c>
      <c r="E201">
        <v>1</v>
      </c>
      <c r="F201" s="4">
        <v>13000</v>
      </c>
      <c r="G201" s="4">
        <v>10000</v>
      </c>
      <c r="H201" s="4">
        <v>3000</v>
      </c>
    </row>
    <row r="202" spans="1:8" x14ac:dyDescent="0.25">
      <c r="C202" t="s">
        <v>217</v>
      </c>
      <c r="D202" t="s">
        <v>13</v>
      </c>
      <c r="E202">
        <v>2</v>
      </c>
      <c r="F202" s="4">
        <v>13000</v>
      </c>
      <c r="G202" s="4">
        <v>9000</v>
      </c>
      <c r="H202" s="4">
        <v>4000</v>
      </c>
    </row>
    <row r="203" spans="1:8" hidden="1" x14ac:dyDescent="0.25">
      <c r="D203" t="s">
        <v>14</v>
      </c>
      <c r="E203">
        <v>2</v>
      </c>
      <c r="F203" s="4">
        <v>20000</v>
      </c>
      <c r="G203" s="4">
        <v>11000</v>
      </c>
      <c r="H203" s="4">
        <v>9000</v>
      </c>
    </row>
    <row r="204" spans="1:8" hidden="1" x14ac:dyDescent="0.25">
      <c r="C204" t="s">
        <v>24</v>
      </c>
      <c r="D204" t="s">
        <v>243</v>
      </c>
      <c r="E204">
        <v>3</v>
      </c>
      <c r="F204" s="4">
        <f>E204*15000</f>
        <v>45000</v>
      </c>
      <c r="G204" s="4">
        <v>30000</v>
      </c>
      <c r="H204" s="4">
        <v>15000</v>
      </c>
    </row>
    <row r="205" spans="1:8" hidden="1" x14ac:dyDescent="0.25">
      <c r="A205" s="112" t="s">
        <v>17</v>
      </c>
      <c r="B205" s="112"/>
      <c r="C205" s="112"/>
      <c r="D205" s="112"/>
      <c r="E205" s="78">
        <f>SUM(E192:E204)</f>
        <v>285</v>
      </c>
      <c r="F205" s="78">
        <f t="shared" ref="F205:H205" si="20">SUM(F192:F204)</f>
        <v>585400</v>
      </c>
      <c r="G205" s="78">
        <f t="shared" si="20"/>
        <v>228500</v>
      </c>
      <c r="H205" s="78">
        <f t="shared" si="20"/>
        <v>356900</v>
      </c>
    </row>
    <row r="206" spans="1:8" hidden="1" x14ac:dyDescent="0.25">
      <c r="A206" t="s">
        <v>22</v>
      </c>
      <c r="B206" s="3">
        <v>45184</v>
      </c>
      <c r="C206" t="s">
        <v>681</v>
      </c>
      <c r="D206" t="s">
        <v>11</v>
      </c>
      <c r="E206">
        <v>50</v>
      </c>
      <c r="F206" s="4">
        <f>E206*1800</f>
        <v>90000</v>
      </c>
      <c r="G206" s="4">
        <f>E206*500</f>
        <v>25000</v>
      </c>
      <c r="H206" s="4">
        <f>E206*1300</f>
        <v>65000</v>
      </c>
    </row>
    <row r="207" spans="1:8" hidden="1" x14ac:dyDescent="0.25">
      <c r="C207" t="s">
        <v>306</v>
      </c>
      <c r="D207" t="s">
        <v>11</v>
      </c>
      <c r="E207">
        <f>35-13</f>
        <v>22</v>
      </c>
      <c r="F207" s="4">
        <f>E207*1800</f>
        <v>39600</v>
      </c>
      <c r="G207" s="4">
        <f>E207*500</f>
        <v>11000</v>
      </c>
      <c r="H207" s="4">
        <f>E207*1300</f>
        <v>28600</v>
      </c>
    </row>
    <row r="208" spans="1:8" hidden="1" x14ac:dyDescent="0.25">
      <c r="C208" t="s">
        <v>571</v>
      </c>
      <c r="D208" t="s">
        <v>11</v>
      </c>
      <c r="E208">
        <v>25</v>
      </c>
      <c r="F208" s="4">
        <f>E208*1700</f>
        <v>42500</v>
      </c>
      <c r="G208" s="4">
        <f>E208*500</f>
        <v>12500</v>
      </c>
      <c r="H208" s="4">
        <f>E208*1200</f>
        <v>30000</v>
      </c>
    </row>
    <row r="209" spans="1:8" hidden="1" x14ac:dyDescent="0.25">
      <c r="C209" t="s">
        <v>104</v>
      </c>
      <c r="D209" t="s">
        <v>11</v>
      </c>
      <c r="E209">
        <v>25</v>
      </c>
      <c r="F209" s="4">
        <f>E209*1700</f>
        <v>42500</v>
      </c>
      <c r="G209" s="4">
        <f>E209*500</f>
        <v>12500</v>
      </c>
      <c r="H209" s="4">
        <f>E209*1200</f>
        <v>30000</v>
      </c>
    </row>
    <row r="210" spans="1:8" hidden="1" x14ac:dyDescent="0.25">
      <c r="C210" t="s">
        <v>16</v>
      </c>
      <c r="D210" t="s">
        <v>11</v>
      </c>
      <c r="E210">
        <v>46</v>
      </c>
      <c r="F210" s="4">
        <f>E210*1500</f>
        <v>69000</v>
      </c>
      <c r="G210" s="4">
        <f>E210*500</f>
        <v>23000</v>
      </c>
      <c r="H210" s="4">
        <v>46000</v>
      </c>
    </row>
    <row r="211" spans="1:8" hidden="1" x14ac:dyDescent="0.25">
      <c r="D211" t="s">
        <v>12</v>
      </c>
      <c r="E211">
        <v>2</v>
      </c>
      <c r="F211" s="4">
        <f>E211*3000</f>
        <v>6000</v>
      </c>
      <c r="G211" s="4">
        <v>4000</v>
      </c>
      <c r="H211" s="4">
        <v>2000</v>
      </c>
    </row>
    <row r="212" spans="1:8" hidden="1" x14ac:dyDescent="0.25">
      <c r="A212" s="112" t="s">
        <v>17</v>
      </c>
      <c r="B212" s="112"/>
      <c r="C212" s="112"/>
      <c r="D212" s="112"/>
      <c r="E212" s="78">
        <f>SUM(E206:E211)</f>
        <v>170</v>
      </c>
      <c r="F212" s="78">
        <f t="shared" ref="F212:H212" si="21">SUM(F206:F211)</f>
        <v>289600</v>
      </c>
      <c r="G212" s="78">
        <f t="shared" si="21"/>
        <v>88000</v>
      </c>
      <c r="H212" s="78">
        <f t="shared" si="21"/>
        <v>201600</v>
      </c>
    </row>
    <row r="213" spans="1:8" hidden="1" x14ac:dyDescent="0.25">
      <c r="A213" t="s">
        <v>26</v>
      </c>
      <c r="B213" s="3">
        <v>45185</v>
      </c>
      <c r="C213" t="s">
        <v>399</v>
      </c>
      <c r="D213" t="s">
        <v>11</v>
      </c>
      <c r="E213">
        <v>7</v>
      </c>
      <c r="F213" s="79">
        <f>E213*1500</f>
        <v>10500</v>
      </c>
      <c r="G213" s="79">
        <f>E213*500</f>
        <v>3500</v>
      </c>
      <c r="H213" s="79">
        <v>7000</v>
      </c>
    </row>
    <row r="214" spans="1:8" x14ac:dyDescent="0.25">
      <c r="D214" t="s">
        <v>13</v>
      </c>
      <c r="E214">
        <v>85</v>
      </c>
      <c r="F214" s="79">
        <f>E214*8000</f>
        <v>680000</v>
      </c>
      <c r="G214" s="79">
        <f>E214*4500</f>
        <v>382500</v>
      </c>
      <c r="H214" s="79">
        <f>E214*3500</f>
        <v>297500</v>
      </c>
    </row>
    <row r="215" spans="1:8" hidden="1" x14ac:dyDescent="0.25">
      <c r="D215" t="s">
        <v>14</v>
      </c>
      <c r="E215">
        <v>35</v>
      </c>
      <c r="F215" s="79">
        <f>E215*12000</f>
        <v>420000</v>
      </c>
      <c r="G215" s="79">
        <f>E215*5500</f>
        <v>192500</v>
      </c>
      <c r="H215" s="79">
        <f>E215*6500</f>
        <v>227500</v>
      </c>
    </row>
    <row r="216" spans="1:8" hidden="1" x14ac:dyDescent="0.25">
      <c r="C216" t="s">
        <v>16</v>
      </c>
      <c r="D216" t="s">
        <v>11</v>
      </c>
      <c r="E216">
        <v>54</v>
      </c>
      <c r="F216" s="79">
        <f>E216*1500</f>
        <v>81000</v>
      </c>
      <c r="G216" s="79">
        <f>E216*500</f>
        <v>27000</v>
      </c>
      <c r="H216" s="79">
        <v>54000</v>
      </c>
    </row>
    <row r="217" spans="1:8" hidden="1" x14ac:dyDescent="0.25">
      <c r="D217" t="s">
        <v>12</v>
      </c>
      <c r="E217">
        <v>1</v>
      </c>
      <c r="F217" s="79">
        <v>3000</v>
      </c>
      <c r="G217" s="79">
        <v>2000</v>
      </c>
      <c r="H217" s="79">
        <v>1000</v>
      </c>
    </row>
    <row r="218" spans="1:8" x14ac:dyDescent="0.25">
      <c r="D218" t="s">
        <v>13</v>
      </c>
      <c r="E218">
        <v>1</v>
      </c>
      <c r="F218" s="79">
        <v>6500</v>
      </c>
      <c r="G218" s="79">
        <v>4500</v>
      </c>
      <c r="H218" s="79">
        <v>2000</v>
      </c>
    </row>
    <row r="219" spans="1:8" hidden="1" x14ac:dyDescent="0.25">
      <c r="D219" t="s">
        <v>14</v>
      </c>
      <c r="E219">
        <v>1</v>
      </c>
      <c r="F219" s="79">
        <v>10000</v>
      </c>
      <c r="G219" s="79">
        <v>5500</v>
      </c>
      <c r="H219" s="79">
        <v>4500</v>
      </c>
    </row>
    <row r="220" spans="1:8" hidden="1" x14ac:dyDescent="0.25">
      <c r="A220" s="112" t="s">
        <v>17</v>
      </c>
      <c r="B220" s="112"/>
      <c r="C220" s="112"/>
      <c r="D220" s="112"/>
      <c r="E220" s="78">
        <f>SUM(E213:E219)</f>
        <v>184</v>
      </c>
      <c r="F220" s="78">
        <f t="shared" ref="F220:H220" si="22">SUM(F213:F219)</f>
        <v>1211000</v>
      </c>
      <c r="G220" s="78">
        <f t="shared" si="22"/>
        <v>617500</v>
      </c>
      <c r="H220" s="78">
        <f t="shared" si="22"/>
        <v>593500</v>
      </c>
    </row>
    <row r="221" spans="1:8" hidden="1" x14ac:dyDescent="0.25">
      <c r="A221" t="s">
        <v>28</v>
      </c>
      <c r="B221" s="3">
        <v>45186</v>
      </c>
      <c r="C221" t="s">
        <v>399</v>
      </c>
      <c r="D221" t="s">
        <v>11</v>
      </c>
      <c r="E221">
        <v>14</v>
      </c>
      <c r="F221" s="79">
        <f>E221*2000</f>
        <v>28000</v>
      </c>
      <c r="G221" s="79">
        <f>E221*500</f>
        <v>7000</v>
      </c>
      <c r="H221" s="79">
        <f>E221*1500</f>
        <v>21000</v>
      </c>
    </row>
    <row r="222" spans="1:8" x14ac:dyDescent="0.25">
      <c r="D222" t="s">
        <v>13</v>
      </c>
      <c r="E222">
        <v>18</v>
      </c>
      <c r="F222" s="79">
        <f>E222*7000</f>
        <v>126000</v>
      </c>
      <c r="G222" s="79">
        <f>E222*4500</f>
        <v>81000</v>
      </c>
      <c r="H222" s="79">
        <f>E222*2500</f>
        <v>45000</v>
      </c>
    </row>
    <row r="223" spans="1:8" hidden="1" x14ac:dyDescent="0.25">
      <c r="D223" t="s">
        <v>14</v>
      </c>
      <c r="E223">
        <v>20</v>
      </c>
      <c r="F223" s="79">
        <f>E223*10000</f>
        <v>200000</v>
      </c>
      <c r="G223" s="79">
        <f>E223*5500</f>
        <v>110000</v>
      </c>
      <c r="H223" s="79">
        <f>E223*4500</f>
        <v>90000</v>
      </c>
    </row>
    <row r="224" spans="1:8" hidden="1" x14ac:dyDescent="0.25">
      <c r="D224" t="s">
        <v>404</v>
      </c>
      <c r="E224">
        <v>2</v>
      </c>
      <c r="F224" s="79">
        <v>4000</v>
      </c>
      <c r="G224" s="79">
        <v>2000</v>
      </c>
      <c r="H224" s="79">
        <v>2000</v>
      </c>
    </row>
    <row r="225" spans="1:8" hidden="1" x14ac:dyDescent="0.25">
      <c r="C225" t="s">
        <v>217</v>
      </c>
      <c r="D225" t="s">
        <v>11</v>
      </c>
      <c r="E225">
        <v>8</v>
      </c>
      <c r="F225" s="79">
        <f>E225*1500</f>
        <v>12000</v>
      </c>
      <c r="G225" s="79">
        <f>E225*500</f>
        <v>4000</v>
      </c>
      <c r="H225" s="79">
        <v>8000</v>
      </c>
    </row>
    <row r="226" spans="1:8" x14ac:dyDescent="0.25">
      <c r="D226" t="s">
        <v>13</v>
      </c>
      <c r="E226">
        <v>10</v>
      </c>
      <c r="F226" s="79">
        <f>E226*6500</f>
        <v>65000</v>
      </c>
      <c r="G226" s="79">
        <f>E226*4500</f>
        <v>45000</v>
      </c>
      <c r="H226" s="79">
        <f>E226*2000</f>
        <v>20000</v>
      </c>
    </row>
    <row r="227" spans="1:8" hidden="1" x14ac:dyDescent="0.25">
      <c r="D227" t="s">
        <v>14</v>
      </c>
      <c r="E227">
        <v>5</v>
      </c>
      <c r="F227" s="79">
        <f>E227*10000</f>
        <v>50000</v>
      </c>
      <c r="G227" s="79">
        <f>E227*5500</f>
        <v>27500</v>
      </c>
      <c r="H227" s="79">
        <f>E227*4500</f>
        <v>22500</v>
      </c>
    </row>
    <row r="228" spans="1:8" hidden="1" x14ac:dyDescent="0.25">
      <c r="D228" t="s">
        <v>404</v>
      </c>
      <c r="E228">
        <v>5</v>
      </c>
      <c r="F228" s="79">
        <f>E228*2000</f>
        <v>10000</v>
      </c>
      <c r="G228" s="79">
        <v>5000</v>
      </c>
      <c r="H228" s="79">
        <v>5000</v>
      </c>
    </row>
    <row r="229" spans="1:8" hidden="1" x14ac:dyDescent="0.25">
      <c r="C229" t="s">
        <v>16</v>
      </c>
      <c r="D229" t="s">
        <v>11</v>
      </c>
      <c r="E229">
        <v>74</v>
      </c>
      <c r="F229" s="79">
        <f>E229*1500</f>
        <v>111000</v>
      </c>
      <c r="G229" s="79">
        <f>E229*500</f>
        <v>37000</v>
      </c>
      <c r="H229" s="79">
        <v>74000</v>
      </c>
    </row>
    <row r="230" spans="1:8" hidden="1" x14ac:dyDescent="0.25">
      <c r="D230" t="s">
        <v>12</v>
      </c>
      <c r="E230">
        <v>5</v>
      </c>
      <c r="F230" s="79">
        <f>E230*3000</f>
        <v>15000</v>
      </c>
      <c r="G230" s="79">
        <v>10000</v>
      </c>
      <c r="H230" s="79">
        <v>5000</v>
      </c>
    </row>
    <row r="231" spans="1:8" hidden="1" x14ac:dyDescent="0.25">
      <c r="D231" t="s">
        <v>14</v>
      </c>
      <c r="E231">
        <v>1</v>
      </c>
      <c r="F231" s="79">
        <v>10000</v>
      </c>
      <c r="G231" s="79">
        <v>5500</v>
      </c>
      <c r="H231" s="79">
        <v>4500</v>
      </c>
    </row>
    <row r="232" spans="1:8" hidden="1" x14ac:dyDescent="0.25">
      <c r="A232" s="112" t="s">
        <v>17</v>
      </c>
      <c r="B232" s="112"/>
      <c r="C232" s="112"/>
      <c r="D232" s="112"/>
      <c r="E232" s="78">
        <f>SUM(E221:E231)</f>
        <v>162</v>
      </c>
      <c r="F232" s="78">
        <f t="shared" ref="F232:H232" si="23">SUM(F221:F231)</f>
        <v>631000</v>
      </c>
      <c r="G232" s="78">
        <f t="shared" si="23"/>
        <v>334000</v>
      </c>
      <c r="H232" s="78">
        <f t="shared" si="23"/>
        <v>297000</v>
      </c>
    </row>
    <row r="233" spans="1:8" hidden="1" x14ac:dyDescent="0.25">
      <c r="A233" s="80"/>
      <c r="B233" s="80"/>
      <c r="C233" s="80" t="s">
        <v>399</v>
      </c>
      <c r="D233" s="80" t="s">
        <v>243</v>
      </c>
      <c r="E233" s="78">
        <v>20</v>
      </c>
      <c r="F233" s="78">
        <f>E233*13000</f>
        <v>260000</v>
      </c>
      <c r="G233" s="78">
        <f>E233*10000</f>
        <v>200000</v>
      </c>
      <c r="H233" s="78">
        <f>E233*3000</f>
        <v>60000</v>
      </c>
    </row>
    <row r="234" spans="1:8" hidden="1" x14ac:dyDescent="0.25">
      <c r="A234" t="s">
        <v>30</v>
      </c>
      <c r="B234" s="3">
        <v>45187</v>
      </c>
      <c r="C234" t="s">
        <v>681</v>
      </c>
      <c r="D234" t="s">
        <v>11</v>
      </c>
      <c r="E234">
        <v>63</v>
      </c>
      <c r="F234" s="79">
        <f>E234*1800</f>
        <v>113400</v>
      </c>
      <c r="G234" s="79">
        <f t="shared" ref="G234:G239" si="24">E234*500</f>
        <v>31500</v>
      </c>
      <c r="H234" s="79">
        <f>E234*1300</f>
        <v>81900</v>
      </c>
    </row>
    <row r="235" spans="1:8" hidden="1" x14ac:dyDescent="0.25">
      <c r="C235" t="s">
        <v>306</v>
      </c>
      <c r="D235" t="s">
        <v>11</v>
      </c>
      <c r="E235">
        <v>23</v>
      </c>
      <c r="F235" s="79">
        <f>E235*1800</f>
        <v>41400</v>
      </c>
      <c r="G235" s="79">
        <f t="shared" si="24"/>
        <v>11500</v>
      </c>
      <c r="H235" s="79">
        <f>E235*1300</f>
        <v>29900</v>
      </c>
    </row>
    <row r="236" spans="1:8" hidden="1" x14ac:dyDescent="0.25">
      <c r="C236" t="s">
        <v>571</v>
      </c>
      <c r="D236" t="s">
        <v>11</v>
      </c>
      <c r="E236">
        <v>25</v>
      </c>
      <c r="F236" s="79">
        <f>E236*1700</f>
        <v>42500</v>
      </c>
      <c r="G236" s="79">
        <f t="shared" si="24"/>
        <v>12500</v>
      </c>
      <c r="H236" s="79">
        <f>E236*1200</f>
        <v>30000</v>
      </c>
    </row>
    <row r="237" spans="1:8" hidden="1" x14ac:dyDescent="0.25">
      <c r="C237" t="s">
        <v>104</v>
      </c>
      <c r="D237" t="s">
        <v>11</v>
      </c>
      <c r="E237">
        <v>30</v>
      </c>
      <c r="F237" s="79">
        <f>E237*1700</f>
        <v>51000</v>
      </c>
      <c r="G237" s="79">
        <f t="shared" si="24"/>
        <v>15000</v>
      </c>
      <c r="H237" s="79">
        <f>E237*1200</f>
        <v>36000</v>
      </c>
    </row>
    <row r="238" spans="1:8" hidden="1" x14ac:dyDescent="0.25">
      <c r="C238" t="s">
        <v>209</v>
      </c>
      <c r="D238" t="s">
        <v>11</v>
      </c>
      <c r="E238">
        <v>25</v>
      </c>
      <c r="F238" s="79">
        <f>E238*1500</f>
        <v>37500</v>
      </c>
      <c r="G238" s="79">
        <f t="shared" si="24"/>
        <v>12500</v>
      </c>
      <c r="H238" s="79">
        <f>E238*1000</f>
        <v>25000</v>
      </c>
    </row>
    <row r="239" spans="1:8" hidden="1" x14ac:dyDescent="0.25">
      <c r="C239" t="s">
        <v>581</v>
      </c>
      <c r="D239" t="s">
        <v>11</v>
      </c>
      <c r="E239">
        <f>48+47+38+48+25+28+46+55+48+45+35+33</f>
        <v>496</v>
      </c>
      <c r="F239" s="79">
        <f>E239*1500</f>
        <v>744000</v>
      </c>
      <c r="G239" s="79">
        <f t="shared" si="24"/>
        <v>248000</v>
      </c>
      <c r="H239" s="79">
        <f>E239*1000</f>
        <v>496000</v>
      </c>
    </row>
    <row r="240" spans="1:8" hidden="1" x14ac:dyDescent="0.25">
      <c r="C240" t="s">
        <v>16</v>
      </c>
      <c r="D240" t="s">
        <v>11</v>
      </c>
      <c r="E240">
        <v>32</v>
      </c>
      <c r="F240" s="79">
        <f>E240*1500</f>
        <v>48000</v>
      </c>
      <c r="G240" s="79">
        <f t="shared" ref="G240:G241" si="25">E240*500</f>
        <v>16000</v>
      </c>
      <c r="H240" s="79">
        <f t="shared" ref="H240:H241" si="26">E240*1000</f>
        <v>32000</v>
      </c>
    </row>
    <row r="241" spans="1:8" hidden="1" x14ac:dyDescent="0.25">
      <c r="C241" t="s">
        <v>217</v>
      </c>
      <c r="D241" t="s">
        <v>11</v>
      </c>
      <c r="E241">
        <v>8</v>
      </c>
      <c r="F241" s="79">
        <f>E241*1500</f>
        <v>12000</v>
      </c>
      <c r="G241" s="79">
        <f t="shared" si="25"/>
        <v>4000</v>
      </c>
      <c r="H241" s="79">
        <f t="shared" si="26"/>
        <v>8000</v>
      </c>
    </row>
    <row r="242" spans="1:8" x14ac:dyDescent="0.25">
      <c r="D242" t="s">
        <v>13</v>
      </c>
      <c r="E242">
        <v>5</v>
      </c>
      <c r="F242" s="79">
        <f>E242*6500</f>
        <v>32500</v>
      </c>
      <c r="G242" s="79">
        <f>E242*4500</f>
        <v>22500</v>
      </c>
      <c r="H242" s="79">
        <f>E242*2000</f>
        <v>10000</v>
      </c>
    </row>
    <row r="243" spans="1:8" hidden="1" x14ac:dyDescent="0.25">
      <c r="D243" t="s">
        <v>14</v>
      </c>
      <c r="E243">
        <v>1</v>
      </c>
      <c r="F243" s="79">
        <v>10000</v>
      </c>
      <c r="G243" s="79">
        <v>5500</v>
      </c>
      <c r="H243" s="79">
        <v>4500</v>
      </c>
    </row>
    <row r="244" spans="1:8" hidden="1" x14ac:dyDescent="0.25">
      <c r="D244" t="s">
        <v>404</v>
      </c>
      <c r="E244">
        <v>4</v>
      </c>
      <c r="F244" s="79">
        <f>E244*2000</f>
        <v>8000</v>
      </c>
      <c r="G244" s="79">
        <v>4000</v>
      </c>
      <c r="H244" s="79">
        <v>4000</v>
      </c>
    </row>
    <row r="245" spans="1:8" hidden="1" x14ac:dyDescent="0.25">
      <c r="D245" t="s">
        <v>415</v>
      </c>
      <c r="E245">
        <v>1</v>
      </c>
      <c r="F245" s="79">
        <v>5000</v>
      </c>
      <c r="G245" s="79">
        <v>2500</v>
      </c>
      <c r="H245" s="79">
        <v>2500</v>
      </c>
    </row>
    <row r="246" spans="1:8" hidden="1" x14ac:dyDescent="0.25">
      <c r="A246" s="112" t="s">
        <v>17</v>
      </c>
      <c r="B246" s="112"/>
      <c r="C246" s="112"/>
      <c r="D246" s="112"/>
      <c r="E246" s="78">
        <f>SUM(E234:E245)</f>
        <v>713</v>
      </c>
      <c r="F246" s="78">
        <f>SUM(F234:F245)</f>
        <v>1145300</v>
      </c>
      <c r="G246" s="78">
        <f t="shared" ref="G246:H246" si="27">SUM(G234:G245)</f>
        <v>385500</v>
      </c>
      <c r="H246" s="78">
        <f t="shared" si="27"/>
        <v>759800</v>
      </c>
    </row>
    <row r="247" spans="1:8" hidden="1" x14ac:dyDescent="0.25">
      <c r="A247" t="s">
        <v>32</v>
      </c>
      <c r="B247" s="3">
        <v>45188</v>
      </c>
      <c r="C247" t="s">
        <v>681</v>
      </c>
      <c r="D247" t="s">
        <v>11</v>
      </c>
      <c r="E247">
        <v>70</v>
      </c>
      <c r="F247" s="79">
        <f>E247*1800</f>
        <v>126000</v>
      </c>
      <c r="G247" s="79">
        <f t="shared" ref="G247:G252" si="28">E247*500</f>
        <v>35000</v>
      </c>
      <c r="H247" s="79">
        <f>E247*1300</f>
        <v>91000</v>
      </c>
    </row>
    <row r="248" spans="1:8" hidden="1" x14ac:dyDescent="0.25">
      <c r="C248" t="s">
        <v>306</v>
      </c>
      <c r="D248" t="s">
        <v>11</v>
      </c>
      <c r="E248">
        <f>47-30</f>
        <v>17</v>
      </c>
      <c r="F248" s="79">
        <f>E248*1800</f>
        <v>30600</v>
      </c>
      <c r="G248" s="79">
        <f t="shared" si="28"/>
        <v>8500</v>
      </c>
      <c r="H248" s="79">
        <f>E248*1300</f>
        <v>22100</v>
      </c>
    </row>
    <row r="249" spans="1:8" hidden="1" x14ac:dyDescent="0.25">
      <c r="C249" t="s">
        <v>572</v>
      </c>
      <c r="D249" t="s">
        <v>11</v>
      </c>
      <c r="E249">
        <v>45</v>
      </c>
      <c r="F249" s="79">
        <f>E249*1700</f>
        <v>76500</v>
      </c>
      <c r="G249" s="79">
        <f t="shared" si="28"/>
        <v>22500</v>
      </c>
      <c r="H249" s="79">
        <f>E249*1200</f>
        <v>54000</v>
      </c>
    </row>
    <row r="250" spans="1:8" hidden="1" x14ac:dyDescent="0.25">
      <c r="C250" t="s">
        <v>571</v>
      </c>
      <c r="D250" t="s">
        <v>11</v>
      </c>
      <c r="E250">
        <v>31</v>
      </c>
      <c r="F250" s="79">
        <f>E250*1700</f>
        <v>52700</v>
      </c>
      <c r="G250" s="79">
        <f t="shared" si="28"/>
        <v>15500</v>
      </c>
      <c r="H250" s="79">
        <f>E250*1200</f>
        <v>37200</v>
      </c>
    </row>
    <row r="251" spans="1:8" hidden="1" x14ac:dyDescent="0.25">
      <c r="C251" t="s">
        <v>690</v>
      </c>
      <c r="D251" t="s">
        <v>11</v>
      </c>
      <c r="E251">
        <f>40-28</f>
        <v>12</v>
      </c>
      <c r="F251" s="79">
        <f>E251*1700</f>
        <v>20400</v>
      </c>
      <c r="G251" s="79">
        <f t="shared" si="28"/>
        <v>6000</v>
      </c>
      <c r="H251" s="79">
        <f>E251*1200</f>
        <v>14400</v>
      </c>
    </row>
    <row r="252" spans="1:8" hidden="1" x14ac:dyDescent="0.25">
      <c r="C252" t="s">
        <v>646</v>
      </c>
      <c r="D252" t="s">
        <v>11</v>
      </c>
      <c r="E252">
        <v>50</v>
      </c>
      <c r="F252" s="79">
        <f>E252*1500</f>
        <v>75000</v>
      </c>
      <c r="G252" s="79">
        <f t="shared" si="28"/>
        <v>25000</v>
      </c>
      <c r="H252" s="79">
        <f>E252*1000</f>
        <v>50000</v>
      </c>
    </row>
    <row r="253" spans="1:8" hidden="1" x14ac:dyDescent="0.25">
      <c r="C253" t="s">
        <v>209</v>
      </c>
      <c r="D253" t="s">
        <v>11</v>
      </c>
      <c r="E253">
        <v>15</v>
      </c>
      <c r="F253" s="79">
        <f>E253*1500</f>
        <v>22500</v>
      </c>
      <c r="G253" s="79">
        <f t="shared" ref="G253:G254" si="29">E253*500</f>
        <v>7500</v>
      </c>
      <c r="H253" s="79">
        <f t="shared" ref="H253:H254" si="30">E253*1000</f>
        <v>15000</v>
      </c>
    </row>
    <row r="254" spans="1:8" hidden="1" x14ac:dyDescent="0.25">
      <c r="C254" t="s">
        <v>16</v>
      </c>
      <c r="D254" t="s">
        <v>11</v>
      </c>
      <c r="E254">
        <v>37</v>
      </c>
      <c r="F254" s="79">
        <f>E254*1500</f>
        <v>55500</v>
      </c>
      <c r="G254" s="79">
        <f t="shared" si="29"/>
        <v>18500</v>
      </c>
      <c r="H254" s="79">
        <f t="shared" si="30"/>
        <v>37000</v>
      </c>
    </row>
    <row r="255" spans="1:8" hidden="1" x14ac:dyDescent="0.25">
      <c r="D255" t="s">
        <v>12</v>
      </c>
      <c r="E255">
        <v>4</v>
      </c>
      <c r="F255" s="79">
        <f>E255*3000</f>
        <v>12000</v>
      </c>
      <c r="G255" s="79">
        <v>8000</v>
      </c>
      <c r="H255" s="79">
        <v>4000</v>
      </c>
    </row>
    <row r="256" spans="1:8" hidden="1" x14ac:dyDescent="0.25">
      <c r="A256" s="112" t="s">
        <v>17</v>
      </c>
      <c r="B256" s="112"/>
      <c r="C256" s="112"/>
      <c r="D256" s="112"/>
      <c r="E256" s="78">
        <f>SUM(E247:E255)</f>
        <v>281</v>
      </c>
      <c r="F256" s="78">
        <f t="shared" ref="F256:H256" si="31">SUM(F247:F255)</f>
        <v>471200</v>
      </c>
      <c r="G256" s="78">
        <f t="shared" si="31"/>
        <v>146500</v>
      </c>
      <c r="H256" s="78">
        <f t="shared" si="31"/>
        <v>324700</v>
      </c>
    </row>
    <row r="257" spans="1:8" hidden="1" x14ac:dyDescent="0.25">
      <c r="A257" t="s">
        <v>8</v>
      </c>
      <c r="B257" s="3">
        <v>45189</v>
      </c>
      <c r="C257" t="s">
        <v>681</v>
      </c>
      <c r="D257" t="s">
        <v>11</v>
      </c>
      <c r="E257">
        <v>75</v>
      </c>
      <c r="F257" s="79">
        <f>E257*1800</f>
        <v>135000</v>
      </c>
      <c r="G257" s="79">
        <f>E257*500</f>
        <v>37500</v>
      </c>
      <c r="H257" s="79">
        <f>E257*1300</f>
        <v>97500</v>
      </c>
    </row>
    <row r="258" spans="1:8" hidden="1" x14ac:dyDescent="0.25">
      <c r="C258" t="s">
        <v>306</v>
      </c>
      <c r="D258" t="s">
        <v>11</v>
      </c>
      <c r="E258">
        <v>23</v>
      </c>
      <c r="F258" s="79">
        <f>E258*1800</f>
        <v>41400</v>
      </c>
      <c r="G258" s="79">
        <f>E258*500</f>
        <v>11500</v>
      </c>
      <c r="H258" s="79">
        <f>E258*1300</f>
        <v>29900</v>
      </c>
    </row>
    <row r="259" spans="1:8" hidden="1" x14ac:dyDescent="0.25">
      <c r="C259" t="s">
        <v>571</v>
      </c>
      <c r="D259" t="s">
        <v>11</v>
      </c>
      <c r="E259">
        <v>44</v>
      </c>
      <c r="F259" s="79">
        <f>E259*1700</f>
        <v>74800</v>
      </c>
      <c r="G259" s="79">
        <f>E259*500</f>
        <v>22000</v>
      </c>
      <c r="H259" s="79">
        <f>E259*1200</f>
        <v>52800</v>
      </c>
    </row>
    <row r="260" spans="1:8" hidden="1" x14ac:dyDescent="0.25">
      <c r="C260" t="s">
        <v>104</v>
      </c>
      <c r="D260" t="s">
        <v>11</v>
      </c>
      <c r="E260">
        <v>14</v>
      </c>
      <c r="F260" s="79">
        <f>E260*1700</f>
        <v>23800</v>
      </c>
      <c r="G260" s="79">
        <f>E260*500</f>
        <v>7000</v>
      </c>
      <c r="H260" s="79">
        <f>E260*1200</f>
        <v>16800</v>
      </c>
    </row>
    <row r="261" spans="1:8" hidden="1" x14ac:dyDescent="0.25">
      <c r="C261" t="s">
        <v>209</v>
      </c>
      <c r="D261" t="s">
        <v>11</v>
      </c>
      <c r="E261">
        <v>63</v>
      </c>
      <c r="F261" s="79">
        <f>E261*1500</f>
        <v>94500</v>
      </c>
      <c r="G261" s="79">
        <f>E261*500</f>
        <v>31500</v>
      </c>
      <c r="H261" s="79">
        <f>E261*1000</f>
        <v>63000</v>
      </c>
    </row>
    <row r="262" spans="1:8" hidden="1" x14ac:dyDescent="0.25">
      <c r="C262" t="s">
        <v>646</v>
      </c>
      <c r="D262" t="s">
        <v>11</v>
      </c>
      <c r="E262">
        <v>271</v>
      </c>
      <c r="F262" s="79">
        <f t="shared" ref="F262:F263" si="32">E262*1500</f>
        <v>406500</v>
      </c>
      <c r="G262" s="79">
        <f t="shared" ref="G262:G263" si="33">E262*500</f>
        <v>135500</v>
      </c>
      <c r="H262" s="79">
        <f t="shared" ref="H262:H263" si="34">E262*1000</f>
        <v>271000</v>
      </c>
    </row>
    <row r="263" spans="1:8" hidden="1" x14ac:dyDescent="0.25">
      <c r="C263" t="s">
        <v>16</v>
      </c>
      <c r="D263" t="s">
        <v>11</v>
      </c>
      <c r="E263">
        <v>61</v>
      </c>
      <c r="F263" s="79">
        <f t="shared" si="32"/>
        <v>91500</v>
      </c>
      <c r="G263" s="79">
        <f t="shared" si="33"/>
        <v>30500</v>
      </c>
      <c r="H263" s="79">
        <f t="shared" si="34"/>
        <v>61000</v>
      </c>
    </row>
    <row r="264" spans="1:8" hidden="1" x14ac:dyDescent="0.25">
      <c r="D264" t="s">
        <v>12</v>
      </c>
      <c r="E264">
        <v>4</v>
      </c>
      <c r="F264" s="79">
        <f>E264*3000</f>
        <v>12000</v>
      </c>
      <c r="G264" s="79">
        <f>E264*2000</f>
        <v>8000</v>
      </c>
      <c r="H264" s="79">
        <v>4000</v>
      </c>
    </row>
    <row r="265" spans="1:8" hidden="1" x14ac:dyDescent="0.25">
      <c r="C265" t="s">
        <v>217</v>
      </c>
      <c r="D265" t="s">
        <v>11</v>
      </c>
      <c r="E265">
        <v>52</v>
      </c>
      <c r="F265" s="79">
        <f>E265*1500</f>
        <v>78000</v>
      </c>
      <c r="G265" s="79">
        <f>E265*500</f>
        <v>26000</v>
      </c>
      <c r="H265" s="79">
        <f>E265*1000</f>
        <v>52000</v>
      </c>
    </row>
    <row r="266" spans="1:8" x14ac:dyDescent="0.25">
      <c r="D266" t="s">
        <v>13</v>
      </c>
      <c r="E266">
        <v>5</v>
      </c>
      <c r="F266" s="79">
        <f>E266*6500</f>
        <v>32500</v>
      </c>
      <c r="G266" s="79">
        <f>E266*4500</f>
        <v>22500</v>
      </c>
      <c r="H266" s="79">
        <f>E266*2000</f>
        <v>10000</v>
      </c>
    </row>
    <row r="267" spans="1:8" hidden="1" x14ac:dyDescent="0.25">
      <c r="D267" t="s">
        <v>14</v>
      </c>
      <c r="E267">
        <v>3</v>
      </c>
      <c r="F267" s="79">
        <f>E267*10000</f>
        <v>30000</v>
      </c>
      <c r="G267" s="79">
        <f>E267*5500</f>
        <v>16500</v>
      </c>
      <c r="H267" s="79">
        <f>E267*4500</f>
        <v>13500</v>
      </c>
    </row>
    <row r="268" spans="1:8" hidden="1" x14ac:dyDescent="0.25">
      <c r="D268" t="s">
        <v>404</v>
      </c>
      <c r="E268">
        <v>10</v>
      </c>
      <c r="F268" s="79">
        <f>E268*2000</f>
        <v>20000</v>
      </c>
      <c r="G268" s="79">
        <v>10000</v>
      </c>
      <c r="H268" s="79">
        <v>10000</v>
      </c>
    </row>
    <row r="269" spans="1:8" hidden="1" x14ac:dyDescent="0.25">
      <c r="D269" t="s">
        <v>415</v>
      </c>
      <c r="E269">
        <v>1</v>
      </c>
      <c r="F269" s="79">
        <v>5000</v>
      </c>
      <c r="G269" s="79">
        <v>2500</v>
      </c>
      <c r="H269" s="79">
        <v>2500</v>
      </c>
    </row>
    <row r="270" spans="1:8" hidden="1" x14ac:dyDescent="0.25">
      <c r="D270" t="s">
        <v>691</v>
      </c>
      <c r="E270">
        <v>1</v>
      </c>
      <c r="F270" s="79">
        <v>3000</v>
      </c>
      <c r="G270" s="79">
        <v>1500</v>
      </c>
      <c r="H270" s="79">
        <v>1500</v>
      </c>
    </row>
    <row r="271" spans="1:8" hidden="1" x14ac:dyDescent="0.25">
      <c r="D271" t="s">
        <v>437</v>
      </c>
      <c r="E271">
        <v>4</v>
      </c>
      <c r="F271" s="79">
        <f>E271*5000</f>
        <v>20000</v>
      </c>
      <c r="G271" s="79">
        <v>10000</v>
      </c>
      <c r="H271" s="79">
        <v>10000</v>
      </c>
    </row>
    <row r="272" spans="1:8" hidden="1" x14ac:dyDescent="0.25">
      <c r="C272" t="s">
        <v>24</v>
      </c>
      <c r="D272" t="s">
        <v>11</v>
      </c>
      <c r="E272">
        <v>10</v>
      </c>
      <c r="F272" s="79">
        <f>E272*1500</f>
        <v>15000</v>
      </c>
      <c r="G272" s="79">
        <f>E272*500</f>
        <v>5000</v>
      </c>
      <c r="H272" s="79">
        <v>10000</v>
      </c>
    </row>
    <row r="273" spans="1:8" hidden="1" x14ac:dyDescent="0.25">
      <c r="D273" t="s">
        <v>243</v>
      </c>
      <c r="E273">
        <v>1</v>
      </c>
      <c r="F273" s="79">
        <v>13000</v>
      </c>
      <c r="G273" s="79">
        <v>10000</v>
      </c>
      <c r="H273" s="79">
        <v>3000</v>
      </c>
    </row>
    <row r="274" spans="1:8" hidden="1" x14ac:dyDescent="0.25">
      <c r="A274" s="112" t="s">
        <v>17</v>
      </c>
      <c r="B274" s="112"/>
      <c r="C274" s="112"/>
      <c r="D274" s="112"/>
      <c r="E274" s="78">
        <f>SUM(E257:E273)</f>
        <v>642</v>
      </c>
      <c r="F274" s="78">
        <f t="shared" ref="F274:H274" si="35">SUM(F257:F273)</f>
        <v>1096000</v>
      </c>
      <c r="G274" s="78">
        <f t="shared" si="35"/>
        <v>387500</v>
      </c>
      <c r="H274" s="78">
        <f t="shared" si="35"/>
        <v>708500</v>
      </c>
    </row>
    <row r="275" spans="1:8" hidden="1" x14ac:dyDescent="0.25">
      <c r="A275" t="s">
        <v>18</v>
      </c>
      <c r="B275" s="3">
        <v>45190</v>
      </c>
      <c r="C275" t="s">
        <v>681</v>
      </c>
      <c r="D275" t="s">
        <v>11</v>
      </c>
      <c r="E275">
        <v>74</v>
      </c>
      <c r="F275" s="79">
        <f>E275*1800</f>
        <v>133200</v>
      </c>
      <c r="G275" s="79">
        <f>E275*500</f>
        <v>37000</v>
      </c>
      <c r="H275" s="79">
        <f>E275*1300</f>
        <v>96200</v>
      </c>
    </row>
    <row r="276" spans="1:8" hidden="1" x14ac:dyDescent="0.25">
      <c r="C276" t="s">
        <v>306</v>
      </c>
      <c r="D276" t="s">
        <v>11</v>
      </c>
      <c r="E276">
        <v>18</v>
      </c>
      <c r="F276" s="79">
        <f>E276*1800</f>
        <v>32400</v>
      </c>
      <c r="G276" s="79">
        <f>E276*500</f>
        <v>9000</v>
      </c>
      <c r="H276" s="79">
        <f>E276*1300</f>
        <v>23400</v>
      </c>
    </row>
    <row r="277" spans="1:8" hidden="1" x14ac:dyDescent="0.25">
      <c r="C277" t="s">
        <v>571</v>
      </c>
      <c r="D277" t="s">
        <v>11</v>
      </c>
      <c r="E277">
        <v>38</v>
      </c>
      <c r="F277" s="79">
        <f>E277*1700</f>
        <v>64600</v>
      </c>
      <c r="G277" s="79">
        <f>E277*500</f>
        <v>19000</v>
      </c>
      <c r="H277" s="79">
        <f>E277*1200</f>
        <v>45600</v>
      </c>
    </row>
    <row r="278" spans="1:8" hidden="1" x14ac:dyDescent="0.25">
      <c r="C278" t="s">
        <v>209</v>
      </c>
      <c r="D278" t="s">
        <v>11</v>
      </c>
      <c r="E278">
        <v>38</v>
      </c>
      <c r="F278" s="79">
        <f>E278*1500</f>
        <v>57000</v>
      </c>
      <c r="G278" s="79">
        <f>E278*500</f>
        <v>19000</v>
      </c>
      <c r="H278" s="79">
        <f>E278*1000</f>
        <v>38000</v>
      </c>
    </row>
    <row r="279" spans="1:8" hidden="1" x14ac:dyDescent="0.25">
      <c r="C279" t="s">
        <v>16</v>
      </c>
      <c r="D279" t="s">
        <v>11</v>
      </c>
      <c r="E279">
        <v>19</v>
      </c>
      <c r="F279" s="79">
        <f>E279*1500</f>
        <v>28500</v>
      </c>
      <c r="G279" s="79">
        <f>E279*500</f>
        <v>9500</v>
      </c>
      <c r="H279" s="79">
        <f>E279*1000</f>
        <v>19000</v>
      </c>
    </row>
    <row r="280" spans="1:8" hidden="1" x14ac:dyDescent="0.25">
      <c r="D280" t="s">
        <v>12</v>
      </c>
      <c r="E280">
        <v>5</v>
      </c>
      <c r="F280" s="79">
        <f>E280*3000</f>
        <v>15000</v>
      </c>
      <c r="G280" s="79">
        <f>E280*2000</f>
        <v>10000</v>
      </c>
      <c r="H280" s="79">
        <v>5000</v>
      </c>
    </row>
    <row r="281" spans="1:8" x14ac:dyDescent="0.25">
      <c r="D281" t="s">
        <v>13</v>
      </c>
      <c r="E281">
        <v>1</v>
      </c>
      <c r="F281" s="79">
        <v>6500</v>
      </c>
      <c r="G281" s="79">
        <v>4500</v>
      </c>
      <c r="H281" s="79">
        <v>2000</v>
      </c>
    </row>
    <row r="282" spans="1:8" hidden="1" x14ac:dyDescent="0.25">
      <c r="D282" t="s">
        <v>14</v>
      </c>
      <c r="E282">
        <v>1</v>
      </c>
      <c r="F282" s="79">
        <v>10000</v>
      </c>
      <c r="G282" s="79">
        <v>5500</v>
      </c>
      <c r="H282" s="79">
        <v>4500</v>
      </c>
    </row>
    <row r="283" spans="1:8" hidden="1" x14ac:dyDescent="0.25">
      <c r="D283" t="s">
        <v>243</v>
      </c>
      <c r="E283">
        <v>1</v>
      </c>
      <c r="F283" s="79">
        <v>13000</v>
      </c>
      <c r="G283" s="79">
        <v>10000</v>
      </c>
      <c r="H283" s="79">
        <v>3000</v>
      </c>
    </row>
    <row r="284" spans="1:8" hidden="1" x14ac:dyDescent="0.25">
      <c r="C284" t="s">
        <v>217</v>
      </c>
      <c r="D284" t="s">
        <v>11</v>
      </c>
      <c r="E284">
        <v>26</v>
      </c>
      <c r="F284" s="79">
        <f>E284*1500</f>
        <v>39000</v>
      </c>
      <c r="G284" s="79">
        <f>E284*500</f>
        <v>13000</v>
      </c>
      <c r="H284" s="79">
        <v>26000</v>
      </c>
    </row>
    <row r="285" spans="1:8" x14ac:dyDescent="0.25">
      <c r="D285" t="s">
        <v>13</v>
      </c>
      <c r="E285">
        <v>1</v>
      </c>
      <c r="F285" s="79">
        <v>6500</v>
      </c>
      <c r="G285" s="79">
        <v>4500</v>
      </c>
      <c r="H285" s="79">
        <v>2000</v>
      </c>
    </row>
    <row r="286" spans="1:8" hidden="1" x14ac:dyDescent="0.25">
      <c r="D286" t="s">
        <v>14</v>
      </c>
      <c r="E286">
        <v>2</v>
      </c>
      <c r="F286" s="79">
        <f>E286*10000</f>
        <v>20000</v>
      </c>
      <c r="G286" s="79">
        <f>E286*5500</f>
        <v>11000</v>
      </c>
      <c r="H286" s="79">
        <f>E286*4500</f>
        <v>9000</v>
      </c>
    </row>
    <row r="287" spans="1:8" hidden="1" x14ac:dyDescent="0.25">
      <c r="D287" t="s">
        <v>404</v>
      </c>
      <c r="E287">
        <v>2</v>
      </c>
      <c r="F287" s="79">
        <f>E287*2000</f>
        <v>4000</v>
      </c>
      <c r="G287" s="79">
        <v>2000</v>
      </c>
      <c r="H287" s="79">
        <v>2000</v>
      </c>
    </row>
    <row r="288" spans="1:8" hidden="1" x14ac:dyDescent="0.25">
      <c r="A288" s="112" t="s">
        <v>17</v>
      </c>
      <c r="B288" s="112"/>
      <c r="C288" s="112"/>
      <c r="D288" s="112"/>
      <c r="E288" s="78">
        <f>SUM(E275:E287)</f>
        <v>226</v>
      </c>
      <c r="F288" s="78">
        <f t="shared" ref="F288:H288" si="36">SUM(F275:F287)</f>
        <v>429700</v>
      </c>
      <c r="G288" s="78">
        <f t="shared" si="36"/>
        <v>154000</v>
      </c>
      <c r="H288" s="78">
        <f t="shared" si="36"/>
        <v>275700</v>
      </c>
    </row>
    <row r="289" spans="1:8" hidden="1" x14ac:dyDescent="0.25">
      <c r="A289" t="s">
        <v>22</v>
      </c>
      <c r="B289" s="3">
        <v>45191</v>
      </c>
      <c r="C289" t="s">
        <v>338</v>
      </c>
      <c r="D289" t="s">
        <v>11</v>
      </c>
      <c r="E289">
        <v>69</v>
      </c>
      <c r="F289" s="79">
        <f>E289*1800</f>
        <v>124200</v>
      </c>
      <c r="G289" s="79">
        <f t="shared" ref="G289:G294" si="37">E289*500</f>
        <v>34500</v>
      </c>
      <c r="H289" s="79">
        <f>E289*1300</f>
        <v>89700</v>
      </c>
    </row>
    <row r="290" spans="1:8" hidden="1" x14ac:dyDescent="0.25">
      <c r="C290" t="s">
        <v>306</v>
      </c>
      <c r="D290" t="s">
        <v>11</v>
      </c>
      <c r="E290">
        <f>45-32</f>
        <v>13</v>
      </c>
      <c r="F290" s="79">
        <f>E290*1800</f>
        <v>23400</v>
      </c>
      <c r="G290" s="79">
        <f t="shared" si="37"/>
        <v>6500</v>
      </c>
      <c r="H290" s="79">
        <f>E290*1300</f>
        <v>16900</v>
      </c>
    </row>
    <row r="291" spans="1:8" hidden="1" x14ac:dyDescent="0.25">
      <c r="C291" t="s">
        <v>104</v>
      </c>
      <c r="D291" t="s">
        <v>11</v>
      </c>
      <c r="E291">
        <v>26</v>
      </c>
      <c r="F291" s="79">
        <f>E291*1700</f>
        <v>44200</v>
      </c>
      <c r="G291" s="79">
        <f t="shared" si="37"/>
        <v>13000</v>
      </c>
      <c r="H291" s="79">
        <f>E291*1200</f>
        <v>31200</v>
      </c>
    </row>
    <row r="292" spans="1:8" hidden="1" x14ac:dyDescent="0.25">
      <c r="C292" t="s">
        <v>571</v>
      </c>
      <c r="D292" t="s">
        <v>11</v>
      </c>
      <c r="E292">
        <v>44</v>
      </c>
      <c r="F292" s="79">
        <f>E292*1700</f>
        <v>74800</v>
      </c>
      <c r="G292" s="79">
        <f t="shared" si="37"/>
        <v>22000</v>
      </c>
      <c r="H292" s="79">
        <f>E292*1200</f>
        <v>52800</v>
      </c>
    </row>
    <row r="293" spans="1:8" hidden="1" x14ac:dyDescent="0.25">
      <c r="C293" t="s">
        <v>209</v>
      </c>
      <c r="D293" t="s">
        <v>11</v>
      </c>
      <c r="E293">
        <v>35</v>
      </c>
      <c r="F293" s="79">
        <f>E293*1500</f>
        <v>52500</v>
      </c>
      <c r="G293" s="79">
        <f t="shared" si="37"/>
        <v>17500</v>
      </c>
      <c r="H293" s="79">
        <f>E293*1000</f>
        <v>35000</v>
      </c>
    </row>
    <row r="294" spans="1:8" hidden="1" x14ac:dyDescent="0.25">
      <c r="C294" t="s">
        <v>16</v>
      </c>
      <c r="D294" t="s">
        <v>11</v>
      </c>
      <c r="E294">
        <v>6</v>
      </c>
      <c r="F294" s="79">
        <f>E294*1500</f>
        <v>9000</v>
      </c>
      <c r="G294" s="79">
        <f t="shared" si="37"/>
        <v>3000</v>
      </c>
      <c r="H294" s="79">
        <f>E294*1000</f>
        <v>6000</v>
      </c>
    </row>
    <row r="295" spans="1:8" hidden="1" x14ac:dyDescent="0.25">
      <c r="D295" t="s">
        <v>12</v>
      </c>
      <c r="E295">
        <v>7</v>
      </c>
      <c r="F295" s="79">
        <f>E295*3000</f>
        <v>21000</v>
      </c>
      <c r="G295" s="79">
        <f>E295*2000</f>
        <v>14000</v>
      </c>
      <c r="H295" s="79">
        <v>7000</v>
      </c>
    </row>
    <row r="296" spans="1:8" x14ac:dyDescent="0.25">
      <c r="D296" t="s">
        <v>13</v>
      </c>
      <c r="E296">
        <v>1</v>
      </c>
      <c r="F296" s="79">
        <v>6500</v>
      </c>
      <c r="G296" s="79">
        <v>4500</v>
      </c>
      <c r="H296" s="79">
        <v>2000</v>
      </c>
    </row>
    <row r="297" spans="1:8" hidden="1" x14ac:dyDescent="0.25">
      <c r="A297" s="112" t="s">
        <v>17</v>
      </c>
      <c r="B297" s="112"/>
      <c r="C297" s="112"/>
      <c r="D297" s="112"/>
      <c r="E297" s="78">
        <f>SUM(E289:E296)</f>
        <v>201</v>
      </c>
      <c r="F297" s="78">
        <f t="shared" ref="F297:H297" si="38">SUM(F289:F296)</f>
        <v>355600</v>
      </c>
      <c r="G297" s="78">
        <f t="shared" si="38"/>
        <v>115000</v>
      </c>
      <c r="H297" s="78">
        <f t="shared" si="38"/>
        <v>240600</v>
      </c>
    </row>
    <row r="298" spans="1:8" hidden="1" x14ac:dyDescent="0.25">
      <c r="A298" t="s">
        <v>26</v>
      </c>
      <c r="B298" s="3">
        <v>45192</v>
      </c>
      <c r="C298" t="s">
        <v>217</v>
      </c>
      <c r="D298" t="s">
        <v>11</v>
      </c>
      <c r="E298">
        <v>69</v>
      </c>
      <c r="F298" s="79">
        <f>E298*1500</f>
        <v>103500</v>
      </c>
      <c r="G298" s="79">
        <f>E298*500</f>
        <v>34500</v>
      </c>
      <c r="H298" s="79">
        <f>E298*1000</f>
        <v>69000</v>
      </c>
    </row>
    <row r="299" spans="1:8" x14ac:dyDescent="0.25">
      <c r="D299" t="s">
        <v>13</v>
      </c>
      <c r="E299">
        <v>21</v>
      </c>
      <c r="F299" s="79">
        <f>E299*7500</f>
        <v>157500</v>
      </c>
      <c r="G299" s="79">
        <f>E299*4500</f>
        <v>94500</v>
      </c>
      <c r="H299" s="79">
        <f>E299*3000</f>
        <v>63000</v>
      </c>
    </row>
    <row r="300" spans="1:8" hidden="1" x14ac:dyDescent="0.25">
      <c r="D300" t="s">
        <v>14</v>
      </c>
      <c r="E300">
        <v>9</v>
      </c>
      <c r="F300" s="79">
        <f>E300*12000</f>
        <v>108000</v>
      </c>
      <c r="G300" s="79">
        <f>E300*5500</f>
        <v>49500</v>
      </c>
      <c r="H300" s="79">
        <f>E300*6500</f>
        <v>58500</v>
      </c>
    </row>
    <row r="301" spans="1:8" hidden="1" x14ac:dyDescent="0.25">
      <c r="D301" t="s">
        <v>415</v>
      </c>
      <c r="E301">
        <v>2</v>
      </c>
      <c r="F301" s="79">
        <f>E301*5000</f>
        <v>10000</v>
      </c>
      <c r="G301" s="79">
        <v>5000</v>
      </c>
      <c r="H301" s="79">
        <v>5000</v>
      </c>
    </row>
    <row r="302" spans="1:8" hidden="1" x14ac:dyDescent="0.25">
      <c r="D302" t="s">
        <v>437</v>
      </c>
      <c r="E302">
        <v>12</v>
      </c>
      <c r="F302" s="79">
        <f>E302*5000</f>
        <v>60000</v>
      </c>
      <c r="G302" s="79">
        <v>30000</v>
      </c>
      <c r="H302" s="79">
        <v>30000</v>
      </c>
    </row>
    <row r="303" spans="1:8" hidden="1" x14ac:dyDescent="0.25">
      <c r="D303" t="s">
        <v>404</v>
      </c>
      <c r="E303">
        <v>7</v>
      </c>
      <c r="F303" s="79">
        <f>E303*2000</f>
        <v>14000</v>
      </c>
      <c r="G303" s="79">
        <v>7000</v>
      </c>
      <c r="H303" s="79">
        <v>7000</v>
      </c>
    </row>
    <row r="304" spans="1:8" hidden="1" x14ac:dyDescent="0.25">
      <c r="C304" t="s">
        <v>16</v>
      </c>
      <c r="D304" t="s">
        <v>11</v>
      </c>
      <c r="E304">
        <v>42</v>
      </c>
      <c r="F304" s="79">
        <f>E304*1500</f>
        <v>63000</v>
      </c>
      <c r="G304" s="79">
        <f>E304*500</f>
        <v>21000</v>
      </c>
      <c r="H304" s="79">
        <v>42000</v>
      </c>
    </row>
    <row r="305" spans="1:8" hidden="1" x14ac:dyDescent="0.25">
      <c r="D305" t="s">
        <v>12</v>
      </c>
      <c r="E305">
        <v>5</v>
      </c>
      <c r="F305" s="79">
        <f>E305*3000</f>
        <v>15000</v>
      </c>
      <c r="G305" s="79">
        <v>10000</v>
      </c>
      <c r="H305" s="79">
        <v>5000</v>
      </c>
    </row>
    <row r="306" spans="1:8" hidden="1" x14ac:dyDescent="0.25">
      <c r="D306" t="s">
        <v>14</v>
      </c>
      <c r="E306">
        <v>1</v>
      </c>
      <c r="F306" s="79">
        <v>10000</v>
      </c>
      <c r="G306" s="79">
        <v>5500</v>
      </c>
      <c r="H306" s="79">
        <v>4500</v>
      </c>
    </row>
    <row r="307" spans="1:8" x14ac:dyDescent="0.25">
      <c r="C307" t="s">
        <v>399</v>
      </c>
      <c r="D307" t="s">
        <v>13</v>
      </c>
      <c r="E307">
        <v>8</v>
      </c>
      <c r="F307" s="79">
        <f>E307*8000</f>
        <v>64000</v>
      </c>
      <c r="G307" s="79">
        <f>E307*4500</f>
        <v>36000</v>
      </c>
      <c r="H307" s="79">
        <f>E307*3500</f>
        <v>28000</v>
      </c>
    </row>
    <row r="308" spans="1:8" hidden="1" x14ac:dyDescent="0.25">
      <c r="D308" t="s">
        <v>14</v>
      </c>
      <c r="E308">
        <v>2</v>
      </c>
      <c r="F308" s="79">
        <f>E308*12000</f>
        <v>24000</v>
      </c>
      <c r="G308" s="79">
        <f>E308*5500</f>
        <v>11000</v>
      </c>
      <c r="H308" s="79">
        <f>E308*6500</f>
        <v>13000</v>
      </c>
    </row>
    <row r="309" spans="1:8" hidden="1" x14ac:dyDescent="0.25">
      <c r="D309" t="s">
        <v>404</v>
      </c>
      <c r="E309">
        <v>30</v>
      </c>
      <c r="F309" s="79">
        <f>E309*2000</f>
        <v>60000</v>
      </c>
      <c r="G309" s="79">
        <v>30000</v>
      </c>
      <c r="H309" s="79">
        <v>30000</v>
      </c>
    </row>
    <row r="310" spans="1:8" hidden="1" x14ac:dyDescent="0.25">
      <c r="D310" t="s">
        <v>437</v>
      </c>
      <c r="E310">
        <v>9</v>
      </c>
      <c r="F310" s="79">
        <f>E310*5000</f>
        <v>45000</v>
      </c>
      <c r="G310" s="79">
        <v>22500</v>
      </c>
      <c r="H310" s="79">
        <v>22500</v>
      </c>
    </row>
    <row r="311" spans="1:8" hidden="1" x14ac:dyDescent="0.25">
      <c r="A311" s="143" t="s">
        <v>17</v>
      </c>
      <c r="B311" s="143"/>
      <c r="C311" s="143"/>
      <c r="D311" s="143"/>
      <c r="E311" s="78">
        <f>SUM(E298:E310)</f>
        <v>217</v>
      </c>
      <c r="F311" s="78">
        <f t="shared" ref="F311:H311" si="39">SUM(F298:F310)</f>
        <v>734000</v>
      </c>
      <c r="G311" s="78">
        <f t="shared" si="39"/>
        <v>356500</v>
      </c>
      <c r="H311" s="78">
        <f t="shared" si="39"/>
        <v>377500</v>
      </c>
    </row>
    <row r="312" spans="1:8" hidden="1" x14ac:dyDescent="0.25">
      <c r="A312" t="s">
        <v>28</v>
      </c>
      <c r="B312" s="3">
        <v>45193</v>
      </c>
      <c r="C312" t="s">
        <v>399</v>
      </c>
      <c r="D312" t="s">
        <v>11</v>
      </c>
      <c r="E312">
        <v>5</v>
      </c>
      <c r="F312" s="79">
        <f>E312*2000</f>
        <v>10000</v>
      </c>
      <c r="G312" s="79">
        <f>E312*500</f>
        <v>2500</v>
      </c>
      <c r="H312" s="79">
        <f>E312*1500</f>
        <v>7500</v>
      </c>
    </row>
    <row r="313" spans="1:8" x14ac:dyDescent="0.25">
      <c r="D313" t="s">
        <v>13</v>
      </c>
      <c r="E313">
        <v>19</v>
      </c>
      <c r="F313" s="79">
        <f>E313*7000</f>
        <v>133000</v>
      </c>
      <c r="G313" s="79">
        <f>E313*4500</f>
        <v>85500</v>
      </c>
      <c r="H313" s="79">
        <f>E313*3000</f>
        <v>57000</v>
      </c>
    </row>
    <row r="314" spans="1:8" hidden="1" x14ac:dyDescent="0.25">
      <c r="D314" t="s">
        <v>14</v>
      </c>
      <c r="E314">
        <v>26</v>
      </c>
      <c r="F314" s="79">
        <f>E314*10000</f>
        <v>260000</v>
      </c>
      <c r="G314" s="79">
        <f>E314*5500</f>
        <v>143000</v>
      </c>
      <c r="H314" s="79">
        <f>E314*4500</f>
        <v>117000</v>
      </c>
    </row>
    <row r="315" spans="1:8" hidden="1" x14ac:dyDescent="0.25">
      <c r="C315" t="s">
        <v>217</v>
      </c>
      <c r="D315" t="s">
        <v>11</v>
      </c>
      <c r="E315">
        <v>17</v>
      </c>
      <c r="F315" s="79">
        <f>E315*1500</f>
        <v>25500</v>
      </c>
      <c r="G315" s="79">
        <f>E315*500</f>
        <v>8500</v>
      </c>
      <c r="H315" s="79">
        <v>17000</v>
      </c>
    </row>
    <row r="316" spans="1:8" x14ac:dyDescent="0.25">
      <c r="D316" t="s">
        <v>13</v>
      </c>
      <c r="E316">
        <v>10</v>
      </c>
      <c r="F316" s="79">
        <f>E316*6500</f>
        <v>65000</v>
      </c>
      <c r="G316" s="79">
        <f>E316*4500</f>
        <v>45000</v>
      </c>
      <c r="H316" s="79">
        <f>E316*2000</f>
        <v>20000</v>
      </c>
    </row>
    <row r="317" spans="1:8" hidden="1" x14ac:dyDescent="0.25">
      <c r="D317" t="s">
        <v>14</v>
      </c>
      <c r="E317">
        <v>7</v>
      </c>
      <c r="F317" s="79">
        <f>E317*10000</f>
        <v>70000</v>
      </c>
      <c r="G317" s="79">
        <f>E317*5500</f>
        <v>38500</v>
      </c>
      <c r="H317" s="79">
        <f>E317*4500</f>
        <v>31500</v>
      </c>
    </row>
    <row r="318" spans="1:8" hidden="1" x14ac:dyDescent="0.25">
      <c r="D318" t="s">
        <v>404</v>
      </c>
      <c r="E318">
        <v>2</v>
      </c>
      <c r="F318" s="79">
        <f>E318*2000</f>
        <v>4000</v>
      </c>
      <c r="G318" s="79">
        <v>2000</v>
      </c>
      <c r="H318" s="79">
        <v>2000</v>
      </c>
    </row>
    <row r="319" spans="1:8" hidden="1" x14ac:dyDescent="0.25">
      <c r="D319" t="s">
        <v>437</v>
      </c>
      <c r="E319">
        <v>1</v>
      </c>
      <c r="F319" s="79">
        <v>5000</v>
      </c>
      <c r="G319" s="79">
        <v>2500</v>
      </c>
      <c r="H319" s="79">
        <v>2500</v>
      </c>
    </row>
    <row r="320" spans="1:8" hidden="1" x14ac:dyDescent="0.25">
      <c r="C320" t="s">
        <v>16</v>
      </c>
      <c r="D320" t="s">
        <v>11</v>
      </c>
      <c r="E320">
        <v>73</v>
      </c>
      <c r="F320" s="79">
        <f>E320*1500</f>
        <v>109500</v>
      </c>
      <c r="G320" s="79">
        <f>E320*500</f>
        <v>36500</v>
      </c>
      <c r="H320" s="79">
        <f>E320*1000</f>
        <v>73000</v>
      </c>
    </row>
    <row r="321" spans="1:8" hidden="1" x14ac:dyDescent="0.25">
      <c r="D321" t="s">
        <v>12</v>
      </c>
      <c r="E321">
        <v>5</v>
      </c>
      <c r="F321" s="79">
        <f>E321*3000</f>
        <v>15000</v>
      </c>
      <c r="G321" s="79">
        <v>10000</v>
      </c>
      <c r="H321" s="79">
        <v>5000</v>
      </c>
    </row>
    <row r="322" spans="1:8" x14ac:dyDescent="0.25">
      <c r="D322" t="s">
        <v>13</v>
      </c>
      <c r="E322">
        <v>1</v>
      </c>
      <c r="F322" s="79">
        <v>6500</v>
      </c>
      <c r="G322" s="79">
        <v>4500</v>
      </c>
      <c r="H322" s="79">
        <v>2000</v>
      </c>
    </row>
    <row r="323" spans="1:8" hidden="1" x14ac:dyDescent="0.25">
      <c r="A323" s="112" t="s">
        <v>17</v>
      </c>
      <c r="B323" s="112"/>
      <c r="C323" s="112"/>
      <c r="D323" s="112"/>
      <c r="E323" s="78">
        <f>SUM(E312:E322)</f>
        <v>166</v>
      </c>
      <c r="F323" s="78">
        <f t="shared" ref="F323:H323" si="40">SUM(F312:F322)</f>
        <v>703500</v>
      </c>
      <c r="G323" s="78">
        <f t="shared" si="40"/>
        <v>378500</v>
      </c>
      <c r="H323" s="78">
        <f t="shared" si="40"/>
        <v>334500</v>
      </c>
    </row>
    <row r="324" spans="1:8" hidden="1" x14ac:dyDescent="0.25">
      <c r="A324" t="s">
        <v>30</v>
      </c>
      <c r="B324" s="3">
        <v>45194</v>
      </c>
      <c r="C324" t="s">
        <v>217</v>
      </c>
      <c r="D324" t="s">
        <v>11</v>
      </c>
      <c r="E324">
        <v>18</v>
      </c>
      <c r="F324" s="79">
        <f>E324*1500</f>
        <v>27000</v>
      </c>
      <c r="G324" s="79">
        <f>E324*500</f>
        <v>9000</v>
      </c>
      <c r="H324" s="79">
        <v>18000</v>
      </c>
    </row>
    <row r="325" spans="1:8" x14ac:dyDescent="0.25">
      <c r="D325" t="s">
        <v>13</v>
      </c>
      <c r="E325">
        <v>4</v>
      </c>
      <c r="F325" s="79">
        <f>E325*6500</f>
        <v>26000</v>
      </c>
      <c r="G325" s="79">
        <f>E325*4500</f>
        <v>18000</v>
      </c>
      <c r="H325" s="79">
        <f>E325*2000</f>
        <v>8000</v>
      </c>
    </row>
    <row r="326" spans="1:8" hidden="1" x14ac:dyDescent="0.25">
      <c r="D326" t="s">
        <v>14</v>
      </c>
      <c r="E326">
        <v>4</v>
      </c>
      <c r="F326" s="79">
        <f>E326*10000</f>
        <v>40000</v>
      </c>
      <c r="G326" s="79">
        <f>E326*5500</f>
        <v>22000</v>
      </c>
      <c r="H326" s="79">
        <f>E326*4500</f>
        <v>18000</v>
      </c>
    </row>
    <row r="327" spans="1:8" hidden="1" x14ac:dyDescent="0.25">
      <c r="D327" t="s">
        <v>404</v>
      </c>
      <c r="E327">
        <v>5</v>
      </c>
      <c r="F327" s="79">
        <f>E327*2000</f>
        <v>10000</v>
      </c>
      <c r="G327" s="79">
        <v>5000</v>
      </c>
      <c r="H327" s="79">
        <v>5000</v>
      </c>
    </row>
    <row r="328" spans="1:8" hidden="1" x14ac:dyDescent="0.25">
      <c r="C328" t="s">
        <v>16</v>
      </c>
      <c r="D328" t="s">
        <v>11</v>
      </c>
      <c r="E328">
        <v>44</v>
      </c>
      <c r="F328" s="79">
        <f>E328*1500</f>
        <v>66000</v>
      </c>
      <c r="G328" s="79">
        <f>E328*500</f>
        <v>22000</v>
      </c>
      <c r="H328" s="79">
        <v>44000</v>
      </c>
    </row>
    <row r="329" spans="1:8" hidden="1" x14ac:dyDescent="0.25">
      <c r="D329" t="s">
        <v>12</v>
      </c>
      <c r="E329">
        <v>1</v>
      </c>
      <c r="F329" s="79">
        <v>3000</v>
      </c>
      <c r="G329" s="79">
        <v>2000</v>
      </c>
      <c r="H329" s="79">
        <v>1000</v>
      </c>
    </row>
    <row r="330" spans="1:8" hidden="1" x14ac:dyDescent="0.25">
      <c r="A330" s="112" t="s">
        <v>17</v>
      </c>
      <c r="B330" s="112"/>
      <c r="C330" s="112"/>
      <c r="D330" s="112"/>
      <c r="E330" s="78">
        <f>SUM(E324:E329)</f>
        <v>76</v>
      </c>
      <c r="F330" s="78">
        <f t="shared" ref="F330:H330" si="41">SUM(F324:F329)</f>
        <v>172000</v>
      </c>
      <c r="G330" s="78">
        <f t="shared" si="41"/>
        <v>78000</v>
      </c>
      <c r="H330" s="78">
        <f t="shared" si="41"/>
        <v>94000</v>
      </c>
    </row>
    <row r="331" spans="1:8" hidden="1" x14ac:dyDescent="0.25">
      <c r="A331" t="s">
        <v>32</v>
      </c>
      <c r="B331" s="3">
        <v>45195</v>
      </c>
      <c r="C331" t="s">
        <v>681</v>
      </c>
      <c r="D331" t="s">
        <v>11</v>
      </c>
      <c r="E331">
        <f>68+70</f>
        <v>138</v>
      </c>
      <c r="F331" s="79">
        <f>E331*1800</f>
        <v>248400</v>
      </c>
      <c r="G331" s="79">
        <f>E331*500</f>
        <v>69000</v>
      </c>
      <c r="H331" s="79">
        <f>E331*1300</f>
        <v>179400</v>
      </c>
    </row>
    <row r="332" spans="1:8" hidden="1" x14ac:dyDescent="0.25">
      <c r="C332" t="s">
        <v>306</v>
      </c>
      <c r="D332" t="s">
        <v>11</v>
      </c>
      <c r="E332">
        <f>22-4</f>
        <v>18</v>
      </c>
      <c r="F332" s="79">
        <f>E332*1800</f>
        <v>32400</v>
      </c>
      <c r="G332" s="79">
        <f>E332*500</f>
        <v>9000</v>
      </c>
      <c r="H332" s="79">
        <f>E332*1300</f>
        <v>23400</v>
      </c>
    </row>
    <row r="333" spans="1:8" hidden="1" x14ac:dyDescent="0.25">
      <c r="C333" t="s">
        <v>571</v>
      </c>
      <c r="D333" t="s">
        <v>11</v>
      </c>
      <c r="E333">
        <v>39</v>
      </c>
      <c r="F333" s="79">
        <f>E333*1700</f>
        <v>66300</v>
      </c>
      <c r="G333" s="79">
        <f>E333*500</f>
        <v>19500</v>
      </c>
      <c r="H333" s="79">
        <f>E333*1200</f>
        <v>46800</v>
      </c>
    </row>
    <row r="334" spans="1:8" hidden="1" x14ac:dyDescent="0.25">
      <c r="C334" t="s">
        <v>104</v>
      </c>
      <c r="D334" t="s">
        <v>11</v>
      </c>
      <c r="E334">
        <f>10+17+21</f>
        <v>48</v>
      </c>
      <c r="F334" s="79">
        <f t="shared" ref="F334" si="42">E334*1700</f>
        <v>81600</v>
      </c>
      <c r="G334" s="79">
        <f t="shared" ref="G334:G336" si="43">E334*500</f>
        <v>24000</v>
      </c>
      <c r="H334" s="79">
        <f t="shared" ref="H334" si="44">E334*1200</f>
        <v>57600</v>
      </c>
    </row>
    <row r="335" spans="1:8" hidden="1" x14ac:dyDescent="0.25">
      <c r="C335" t="s">
        <v>209</v>
      </c>
      <c r="D335" t="s">
        <v>11</v>
      </c>
      <c r="E335">
        <v>35</v>
      </c>
      <c r="F335" s="79">
        <f>E335*1500</f>
        <v>52500</v>
      </c>
      <c r="G335" s="79">
        <f t="shared" si="43"/>
        <v>17500</v>
      </c>
      <c r="H335" s="79">
        <f>E335*1000</f>
        <v>35000</v>
      </c>
    </row>
    <row r="336" spans="1:8" hidden="1" x14ac:dyDescent="0.25">
      <c r="C336" t="s">
        <v>16</v>
      </c>
      <c r="D336" t="s">
        <v>11</v>
      </c>
      <c r="E336">
        <v>56</v>
      </c>
      <c r="F336" s="79">
        <f>E336*1500</f>
        <v>84000</v>
      </c>
      <c r="G336" s="79">
        <f t="shared" si="43"/>
        <v>28000</v>
      </c>
      <c r="H336" s="79">
        <f>E336*1000</f>
        <v>56000</v>
      </c>
    </row>
    <row r="337" spans="1:8" hidden="1" x14ac:dyDescent="0.25">
      <c r="D337" t="s">
        <v>12</v>
      </c>
      <c r="E337">
        <v>1</v>
      </c>
      <c r="F337" s="79">
        <v>3000</v>
      </c>
      <c r="G337" s="79">
        <v>2000</v>
      </c>
      <c r="H337" s="79">
        <v>1000</v>
      </c>
    </row>
    <row r="338" spans="1:8" x14ac:dyDescent="0.25">
      <c r="D338" t="s">
        <v>13</v>
      </c>
      <c r="E338">
        <v>1</v>
      </c>
      <c r="F338" s="79">
        <v>6500</v>
      </c>
      <c r="G338" s="79">
        <v>4500</v>
      </c>
      <c r="H338" s="79">
        <v>2000</v>
      </c>
    </row>
    <row r="339" spans="1:8" hidden="1" x14ac:dyDescent="0.25">
      <c r="D339" t="s">
        <v>14</v>
      </c>
      <c r="E339">
        <v>1</v>
      </c>
      <c r="F339" s="79">
        <v>10000</v>
      </c>
      <c r="G339" s="79">
        <v>5500</v>
      </c>
      <c r="H339" s="79">
        <v>4500</v>
      </c>
    </row>
    <row r="340" spans="1:8" hidden="1" x14ac:dyDescent="0.25">
      <c r="D340" t="s">
        <v>243</v>
      </c>
      <c r="E340">
        <v>1</v>
      </c>
      <c r="F340" s="79">
        <v>13000</v>
      </c>
      <c r="G340" s="79">
        <v>10000</v>
      </c>
      <c r="H340" s="79">
        <v>3000</v>
      </c>
    </row>
    <row r="341" spans="1:8" hidden="1" x14ac:dyDescent="0.25">
      <c r="C341" t="s">
        <v>217</v>
      </c>
      <c r="D341" t="s">
        <v>11</v>
      </c>
      <c r="E341">
        <v>20</v>
      </c>
      <c r="F341" s="79">
        <f>E341*1500</f>
        <v>30000</v>
      </c>
      <c r="G341" s="79">
        <f>E341*500</f>
        <v>10000</v>
      </c>
      <c r="H341" s="79">
        <f>E341*1000</f>
        <v>20000</v>
      </c>
    </row>
    <row r="342" spans="1:8" x14ac:dyDescent="0.25">
      <c r="D342" t="s">
        <v>13</v>
      </c>
      <c r="E342">
        <v>3</v>
      </c>
      <c r="F342" s="79">
        <f>E342*6500</f>
        <v>19500</v>
      </c>
      <c r="G342" s="79">
        <f>E342*4500</f>
        <v>13500</v>
      </c>
      <c r="H342" s="79">
        <f>E342*2000</f>
        <v>6000</v>
      </c>
    </row>
    <row r="343" spans="1:8" hidden="1" x14ac:dyDescent="0.25">
      <c r="D343" t="s">
        <v>14</v>
      </c>
      <c r="E343">
        <v>4</v>
      </c>
      <c r="F343" s="79">
        <f>E343*10000</f>
        <v>40000</v>
      </c>
      <c r="G343" s="79">
        <f>E343*5500</f>
        <v>22000</v>
      </c>
      <c r="H343" s="79">
        <f>E343*4500</f>
        <v>18000</v>
      </c>
    </row>
    <row r="344" spans="1:8" hidden="1" x14ac:dyDescent="0.25">
      <c r="A344" s="112" t="s">
        <v>17</v>
      </c>
      <c r="B344" s="112"/>
      <c r="C344" s="112"/>
      <c r="D344" s="112"/>
      <c r="E344" s="78">
        <f>SUM(E331:E343)</f>
        <v>365</v>
      </c>
      <c r="F344" s="78">
        <f t="shared" ref="F344:H344" si="45">SUM(F331:F343)</f>
        <v>687200</v>
      </c>
      <c r="G344" s="78">
        <f t="shared" si="45"/>
        <v>234500</v>
      </c>
      <c r="H344" s="78">
        <f t="shared" si="45"/>
        <v>452700</v>
      </c>
    </row>
    <row r="345" spans="1:8" hidden="1" x14ac:dyDescent="0.25">
      <c r="A345" t="s">
        <v>8</v>
      </c>
      <c r="B345" s="3">
        <v>45196</v>
      </c>
      <c r="C345" t="s">
        <v>681</v>
      </c>
      <c r="D345" t="s">
        <v>11</v>
      </c>
      <c r="E345">
        <v>74</v>
      </c>
      <c r="F345" s="79">
        <f>E345*1800</f>
        <v>133200</v>
      </c>
      <c r="G345" s="79">
        <f t="shared" ref="G345:G350" si="46">E345*500</f>
        <v>37000</v>
      </c>
      <c r="H345" s="79">
        <f>E345*1300</f>
        <v>96200</v>
      </c>
    </row>
    <row r="346" spans="1:8" hidden="1" x14ac:dyDescent="0.25">
      <c r="C346" t="s">
        <v>306</v>
      </c>
      <c r="D346" t="s">
        <v>11</v>
      </c>
      <c r="E346">
        <f>37-24</f>
        <v>13</v>
      </c>
      <c r="F346" s="79">
        <f>E346*1800</f>
        <v>23400</v>
      </c>
      <c r="G346" s="79">
        <f t="shared" si="46"/>
        <v>6500</v>
      </c>
      <c r="H346" s="79">
        <f>E346*1300</f>
        <v>16900</v>
      </c>
    </row>
    <row r="347" spans="1:8" hidden="1" x14ac:dyDescent="0.25">
      <c r="C347" t="s">
        <v>571</v>
      </c>
      <c r="D347" t="s">
        <v>11</v>
      </c>
      <c r="E347">
        <v>48</v>
      </c>
      <c r="F347" s="79">
        <f>E347*1700</f>
        <v>81600</v>
      </c>
      <c r="G347" s="79">
        <f t="shared" si="46"/>
        <v>24000</v>
      </c>
      <c r="H347" s="79">
        <f>E347*1200</f>
        <v>57600</v>
      </c>
    </row>
    <row r="348" spans="1:8" hidden="1" x14ac:dyDescent="0.25">
      <c r="C348" t="s">
        <v>572</v>
      </c>
      <c r="D348" t="s">
        <v>11</v>
      </c>
      <c r="E348">
        <f>18+16+30+16</f>
        <v>80</v>
      </c>
      <c r="F348" s="79">
        <f>E348*1700</f>
        <v>136000</v>
      </c>
      <c r="G348" s="79">
        <f t="shared" si="46"/>
        <v>40000</v>
      </c>
      <c r="H348" s="79">
        <f>E348*1200</f>
        <v>96000</v>
      </c>
    </row>
    <row r="349" spans="1:8" hidden="1" x14ac:dyDescent="0.25">
      <c r="C349" t="s">
        <v>104</v>
      </c>
      <c r="D349" t="s">
        <v>11</v>
      </c>
      <c r="E349">
        <f>30600/1700</f>
        <v>18</v>
      </c>
      <c r="F349" s="79">
        <f>E349*1700</f>
        <v>30600</v>
      </c>
      <c r="G349" s="79">
        <f t="shared" si="46"/>
        <v>9000</v>
      </c>
      <c r="H349" s="79">
        <f>E349*1200</f>
        <v>21600</v>
      </c>
    </row>
    <row r="350" spans="1:8" hidden="1" x14ac:dyDescent="0.25">
      <c r="C350" t="s">
        <v>16</v>
      </c>
      <c r="D350" t="s">
        <v>11</v>
      </c>
      <c r="E350">
        <v>39</v>
      </c>
      <c r="F350" s="79">
        <f>E350*1500</f>
        <v>58500</v>
      </c>
      <c r="G350" s="79">
        <f t="shared" si="46"/>
        <v>19500</v>
      </c>
      <c r="H350" s="79">
        <f>E350*1000</f>
        <v>39000</v>
      </c>
    </row>
    <row r="351" spans="1:8" hidden="1" x14ac:dyDescent="0.25">
      <c r="D351" t="s">
        <v>12</v>
      </c>
      <c r="E351">
        <v>3</v>
      </c>
      <c r="F351" s="79">
        <f>E351*3000</f>
        <v>9000</v>
      </c>
      <c r="G351" s="79">
        <f>E351*2000</f>
        <v>6000</v>
      </c>
      <c r="H351" s="79">
        <v>3000</v>
      </c>
    </row>
    <row r="352" spans="1:8" hidden="1" x14ac:dyDescent="0.25">
      <c r="C352" t="s">
        <v>217</v>
      </c>
      <c r="D352" t="s">
        <v>11</v>
      </c>
      <c r="E352">
        <v>20</v>
      </c>
      <c r="F352" s="79">
        <f>E352*1500</f>
        <v>30000</v>
      </c>
      <c r="G352" s="79">
        <f>E352*500</f>
        <v>10000</v>
      </c>
      <c r="H352" s="79">
        <f>E352*1000</f>
        <v>20000</v>
      </c>
    </row>
    <row r="353" spans="1:8" x14ac:dyDescent="0.25">
      <c r="D353" t="s">
        <v>13</v>
      </c>
      <c r="E353">
        <v>3</v>
      </c>
      <c r="F353" s="79">
        <f>E353*6500</f>
        <v>19500</v>
      </c>
      <c r="G353" s="79">
        <f>E353*4500</f>
        <v>13500</v>
      </c>
      <c r="H353" s="79">
        <f>E353*2000</f>
        <v>6000</v>
      </c>
    </row>
    <row r="354" spans="1:8" hidden="1" x14ac:dyDescent="0.25">
      <c r="D354" t="s">
        <v>14</v>
      </c>
      <c r="E354">
        <v>1</v>
      </c>
      <c r="F354" s="79">
        <v>10000</v>
      </c>
      <c r="G354" s="79">
        <v>5500</v>
      </c>
      <c r="H354" s="79">
        <v>4500</v>
      </c>
    </row>
    <row r="355" spans="1:8" hidden="1" x14ac:dyDescent="0.25">
      <c r="D355" t="s">
        <v>404</v>
      </c>
      <c r="E355">
        <v>4</v>
      </c>
      <c r="F355" s="79">
        <f>E355*2000</f>
        <v>8000</v>
      </c>
      <c r="G355" s="79">
        <v>4000</v>
      </c>
      <c r="H355" s="79">
        <v>4000</v>
      </c>
    </row>
    <row r="356" spans="1:8" hidden="1" x14ac:dyDescent="0.25">
      <c r="A356" s="112" t="s">
        <v>17</v>
      </c>
      <c r="B356" s="112"/>
      <c r="C356" s="112"/>
      <c r="D356" s="112"/>
      <c r="E356" s="78">
        <f>SUM(E345:E355)</f>
        <v>303</v>
      </c>
      <c r="F356" s="78">
        <f t="shared" ref="F356:H356" si="47">SUM(F345:F355)</f>
        <v>539800</v>
      </c>
      <c r="G356" s="78">
        <f t="shared" si="47"/>
        <v>175000</v>
      </c>
      <c r="H356" s="78">
        <f t="shared" si="47"/>
        <v>364800</v>
      </c>
    </row>
    <row r="357" spans="1:8" hidden="1" x14ac:dyDescent="0.25">
      <c r="A357" t="s">
        <v>18</v>
      </c>
      <c r="B357" s="3">
        <v>45197</v>
      </c>
      <c r="C357" t="s">
        <v>16</v>
      </c>
      <c r="D357" t="s">
        <v>11</v>
      </c>
      <c r="E357">
        <v>98</v>
      </c>
      <c r="F357" s="79">
        <f>E357*1500</f>
        <v>147000</v>
      </c>
      <c r="G357" s="79">
        <f>E357*500</f>
        <v>49000</v>
      </c>
      <c r="H357" s="79">
        <v>98000</v>
      </c>
    </row>
    <row r="358" spans="1:8" hidden="1" x14ac:dyDescent="0.25">
      <c r="D358" t="s">
        <v>12</v>
      </c>
      <c r="E358">
        <v>5</v>
      </c>
      <c r="F358" s="79">
        <f>E358*3000</f>
        <v>15000</v>
      </c>
      <c r="G358" s="79">
        <v>10000</v>
      </c>
      <c r="H358" s="79">
        <v>5000</v>
      </c>
    </row>
    <row r="359" spans="1:8" x14ac:dyDescent="0.25">
      <c r="D359" t="s">
        <v>13</v>
      </c>
      <c r="E359">
        <v>3</v>
      </c>
      <c r="F359" s="79">
        <f>E359*6500</f>
        <v>19500</v>
      </c>
      <c r="G359" s="79">
        <f>E359*4500</f>
        <v>13500</v>
      </c>
      <c r="H359" s="79">
        <f>E359*2000</f>
        <v>6000</v>
      </c>
    </row>
    <row r="360" spans="1:8" hidden="1" x14ac:dyDescent="0.25">
      <c r="D360" t="s">
        <v>14</v>
      </c>
      <c r="E360">
        <v>1</v>
      </c>
      <c r="F360" s="79">
        <v>10000</v>
      </c>
      <c r="G360" s="79">
        <v>5500</v>
      </c>
      <c r="H360" s="79">
        <v>4500</v>
      </c>
    </row>
    <row r="361" spans="1:8" hidden="1" x14ac:dyDescent="0.25">
      <c r="C361" t="s">
        <v>24</v>
      </c>
      <c r="D361" t="s">
        <v>243</v>
      </c>
      <c r="E361">
        <v>3</v>
      </c>
      <c r="F361" s="79">
        <f>E361*15000</f>
        <v>45000</v>
      </c>
      <c r="G361" s="79">
        <f>E361*10000</f>
        <v>30000</v>
      </c>
      <c r="H361" s="79">
        <v>15000</v>
      </c>
    </row>
    <row r="362" spans="1:8" hidden="1" x14ac:dyDescent="0.25">
      <c r="A362" s="112" t="s">
        <v>17</v>
      </c>
      <c r="B362" s="112"/>
      <c r="C362" s="112"/>
      <c r="D362" s="112"/>
      <c r="E362" s="78">
        <f>SUM(E357:E361)</f>
        <v>110</v>
      </c>
      <c r="F362" s="78">
        <f t="shared" ref="F362:H362" si="48">SUM(F357:F361)</f>
        <v>236500</v>
      </c>
      <c r="G362" s="78">
        <f t="shared" si="48"/>
        <v>108000</v>
      </c>
      <c r="H362" s="78">
        <f t="shared" si="48"/>
        <v>128500</v>
      </c>
    </row>
    <row r="363" spans="1:8" hidden="1" x14ac:dyDescent="0.25">
      <c r="A363" t="s">
        <v>22</v>
      </c>
      <c r="B363" s="3">
        <v>45198</v>
      </c>
      <c r="C363" t="s">
        <v>681</v>
      </c>
      <c r="D363" t="s">
        <v>11</v>
      </c>
      <c r="E363">
        <v>72</v>
      </c>
      <c r="F363" s="79">
        <f>E363*1800</f>
        <v>129600</v>
      </c>
      <c r="G363" s="79">
        <f>E363*500</f>
        <v>36000</v>
      </c>
      <c r="H363" s="79">
        <f>E363*1300</f>
        <v>93600</v>
      </c>
    </row>
    <row r="364" spans="1:8" hidden="1" x14ac:dyDescent="0.25">
      <c r="C364" t="s">
        <v>571</v>
      </c>
      <c r="D364" t="s">
        <v>11</v>
      </c>
      <c r="E364">
        <v>29</v>
      </c>
      <c r="F364" s="79">
        <f>E364*1700</f>
        <v>49300</v>
      </c>
      <c r="G364" s="79">
        <f>E364*500</f>
        <v>14500</v>
      </c>
      <c r="H364" s="79">
        <f>E364*1200</f>
        <v>34800</v>
      </c>
    </row>
    <row r="365" spans="1:8" hidden="1" x14ac:dyDescent="0.25">
      <c r="C365" t="s">
        <v>209</v>
      </c>
      <c r="D365" t="s">
        <v>11</v>
      </c>
      <c r="E365">
        <v>36</v>
      </c>
      <c r="F365" s="79">
        <f>E365*1500</f>
        <v>54000</v>
      </c>
      <c r="G365" s="79">
        <f>E365*500</f>
        <v>18000</v>
      </c>
      <c r="H365" s="79">
        <f>E365*1000</f>
        <v>36000</v>
      </c>
    </row>
    <row r="366" spans="1:8" hidden="1" x14ac:dyDescent="0.25">
      <c r="C366" t="s">
        <v>16</v>
      </c>
      <c r="D366" t="s">
        <v>11</v>
      </c>
      <c r="E366">
        <v>35</v>
      </c>
      <c r="F366" s="79">
        <f>E366*1500</f>
        <v>52500</v>
      </c>
      <c r="G366" s="79">
        <f>E366*500</f>
        <v>17500</v>
      </c>
      <c r="H366" s="79">
        <f>E366*1000</f>
        <v>35000</v>
      </c>
    </row>
    <row r="367" spans="1:8" hidden="1" x14ac:dyDescent="0.25">
      <c r="D367" t="s">
        <v>12</v>
      </c>
      <c r="E367">
        <v>3</v>
      </c>
      <c r="F367" s="79">
        <f>E367*3000</f>
        <v>9000</v>
      </c>
      <c r="G367" s="79">
        <v>6000</v>
      </c>
      <c r="H367" s="79">
        <v>3000</v>
      </c>
    </row>
    <row r="368" spans="1:8" hidden="1" x14ac:dyDescent="0.25">
      <c r="A368" s="112" t="s">
        <v>17</v>
      </c>
      <c r="B368" s="112"/>
      <c r="C368" s="112"/>
      <c r="D368" s="112"/>
      <c r="E368" s="78">
        <f>SUM(E363:E367)</f>
        <v>175</v>
      </c>
      <c r="F368" s="78">
        <f t="shared" ref="F368:H368" si="49">SUM(F363:F367)</f>
        <v>294400</v>
      </c>
      <c r="G368" s="78">
        <f t="shared" si="49"/>
        <v>92000</v>
      </c>
      <c r="H368" s="78">
        <f t="shared" si="49"/>
        <v>202400</v>
      </c>
    </row>
    <row r="369" spans="1:8" hidden="1" x14ac:dyDescent="0.25">
      <c r="A369" t="s">
        <v>26</v>
      </c>
      <c r="B369" s="3">
        <v>45199</v>
      </c>
      <c r="C369" t="s">
        <v>681</v>
      </c>
      <c r="D369" t="s">
        <v>11</v>
      </c>
      <c r="E369">
        <v>69</v>
      </c>
      <c r="F369" s="79">
        <f>E369*1800</f>
        <v>124200</v>
      </c>
      <c r="G369" s="79">
        <f>E369*500</f>
        <v>34500</v>
      </c>
      <c r="H369" s="79">
        <f>E369*1300</f>
        <v>89700</v>
      </c>
    </row>
    <row r="370" spans="1:8" hidden="1" x14ac:dyDescent="0.25">
      <c r="C370" t="s">
        <v>209</v>
      </c>
      <c r="D370" t="s">
        <v>11</v>
      </c>
      <c r="E370">
        <v>31</v>
      </c>
      <c r="F370" s="79">
        <f>E370*1500</f>
        <v>46500</v>
      </c>
      <c r="G370" s="79">
        <f>E370*500</f>
        <v>15500</v>
      </c>
      <c r="H370" s="79">
        <f>E370*1000</f>
        <v>31000</v>
      </c>
    </row>
    <row r="371" spans="1:8" hidden="1" x14ac:dyDescent="0.25">
      <c r="C371" t="s">
        <v>646</v>
      </c>
      <c r="D371" t="s">
        <v>11</v>
      </c>
      <c r="E371">
        <f>24+37+39+50+53+35+35</f>
        <v>273</v>
      </c>
      <c r="F371" s="79">
        <f t="shared" ref="F371:F372" si="50">E371*1500</f>
        <v>409500</v>
      </c>
      <c r="G371" s="79">
        <f>E371*500</f>
        <v>136500</v>
      </c>
      <c r="H371" s="79">
        <f t="shared" ref="H371:H372" si="51">E371*1000</f>
        <v>273000</v>
      </c>
    </row>
    <row r="372" spans="1:8" hidden="1" x14ac:dyDescent="0.25">
      <c r="C372" t="s">
        <v>16</v>
      </c>
      <c r="D372" t="s">
        <v>11</v>
      </c>
      <c r="E372">
        <v>26</v>
      </c>
      <c r="F372" s="79">
        <f t="shared" si="50"/>
        <v>39000</v>
      </c>
      <c r="G372" s="79">
        <f>E372*500</f>
        <v>13000</v>
      </c>
      <c r="H372" s="79">
        <f t="shared" si="51"/>
        <v>26000</v>
      </c>
    </row>
    <row r="373" spans="1:8" hidden="1" x14ac:dyDescent="0.25">
      <c r="D373" t="s">
        <v>12</v>
      </c>
      <c r="E373">
        <v>3</v>
      </c>
      <c r="F373" s="79">
        <f>E373*3000</f>
        <v>9000</v>
      </c>
      <c r="G373" s="79">
        <f>E373*2000</f>
        <v>6000</v>
      </c>
      <c r="H373" s="79">
        <v>3000</v>
      </c>
    </row>
    <row r="374" spans="1:8" hidden="1" x14ac:dyDescent="0.25">
      <c r="D374" t="s">
        <v>14</v>
      </c>
      <c r="E374">
        <v>1</v>
      </c>
      <c r="F374" s="79">
        <v>10000</v>
      </c>
      <c r="G374" s="79">
        <v>5500</v>
      </c>
      <c r="H374" s="79">
        <v>4500</v>
      </c>
    </row>
    <row r="375" spans="1:8" hidden="1" x14ac:dyDescent="0.25">
      <c r="C375" t="s">
        <v>217</v>
      </c>
      <c r="D375" t="s">
        <v>11</v>
      </c>
      <c r="E375">
        <v>10</v>
      </c>
      <c r="F375" s="79">
        <f>E375*1500</f>
        <v>15000</v>
      </c>
      <c r="G375" s="79">
        <f>E375*500</f>
        <v>5000</v>
      </c>
      <c r="H375" s="79">
        <f>E375*1000</f>
        <v>10000</v>
      </c>
    </row>
    <row r="376" spans="1:8" x14ac:dyDescent="0.25">
      <c r="D376" t="s">
        <v>13</v>
      </c>
      <c r="E376">
        <v>3</v>
      </c>
      <c r="F376" s="79">
        <f>E376*6500</f>
        <v>19500</v>
      </c>
      <c r="G376" s="79">
        <f>E376*500</f>
        <v>1500</v>
      </c>
      <c r="H376" s="79">
        <f>E376*2000</f>
        <v>6000</v>
      </c>
    </row>
    <row r="377" spans="1:8" hidden="1" x14ac:dyDescent="0.25">
      <c r="D377" t="s">
        <v>404</v>
      </c>
      <c r="E377">
        <v>2</v>
      </c>
      <c r="F377" s="79">
        <v>4000</v>
      </c>
      <c r="G377" s="79">
        <v>2000</v>
      </c>
      <c r="H377" s="79">
        <v>2000</v>
      </c>
    </row>
    <row r="378" spans="1:8" hidden="1" x14ac:dyDescent="0.25">
      <c r="A378" s="112" t="s">
        <v>17</v>
      </c>
      <c r="B378" s="112"/>
      <c r="C378" s="112"/>
      <c r="D378" s="112"/>
      <c r="E378" s="78">
        <f>SUM(E369:E377)</f>
        <v>418</v>
      </c>
      <c r="F378" s="78">
        <f t="shared" ref="F378:H378" si="52">SUM(F369:F377)</f>
        <v>676700</v>
      </c>
      <c r="G378" s="78">
        <f t="shared" si="52"/>
        <v>219500</v>
      </c>
      <c r="H378" s="78">
        <f t="shared" si="52"/>
        <v>445200</v>
      </c>
    </row>
  </sheetData>
  <autoFilter ref="A1:H378" xr:uid="{00000000-0009-0000-0000-000016000000}">
    <filterColumn colId="3">
      <filters>
        <filter val="BK"/>
      </filters>
    </filterColumn>
  </autoFilter>
  <mergeCells count="30">
    <mergeCell ref="A378:D378"/>
    <mergeCell ref="A127:D127"/>
    <mergeCell ref="A112:D112"/>
    <mergeCell ref="A212:D212"/>
    <mergeCell ref="A205:D205"/>
    <mergeCell ref="A191:D191"/>
    <mergeCell ref="A174:D174"/>
    <mergeCell ref="A169:D169"/>
    <mergeCell ref="A139:D139"/>
    <mergeCell ref="A154:D154"/>
    <mergeCell ref="A368:D368"/>
    <mergeCell ref="A220:D220"/>
    <mergeCell ref="A288:D288"/>
    <mergeCell ref="A274:D274"/>
    <mergeCell ref="A344:D344"/>
    <mergeCell ref="A311:D311"/>
    <mergeCell ref="A97:D97"/>
    <mergeCell ref="A17:D17"/>
    <mergeCell ref="A41:D41"/>
    <mergeCell ref="A55:D55"/>
    <mergeCell ref="A68:D68"/>
    <mergeCell ref="A84:D84"/>
    <mergeCell ref="A256:D256"/>
    <mergeCell ref="A246:D246"/>
    <mergeCell ref="A232:D232"/>
    <mergeCell ref="A323:D323"/>
    <mergeCell ref="A362:D362"/>
    <mergeCell ref="A356:D356"/>
    <mergeCell ref="A330:D330"/>
    <mergeCell ref="A297:D297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K384"/>
  <sheetViews>
    <sheetView workbookViewId="0">
      <selection activeCell="D1" sqref="D1"/>
    </sheetView>
  </sheetViews>
  <sheetFormatPr defaultRowHeight="15" x14ac:dyDescent="0.25"/>
  <cols>
    <col min="2" max="2" width="10.7109375" bestFit="1" customWidth="1"/>
    <col min="5" max="5" width="12.85546875" customWidth="1"/>
    <col min="6" max="6" width="10.5703125" bestFit="1" customWidth="1"/>
    <col min="7" max="7" width="10" bestFit="1" customWidth="1"/>
    <col min="8" max="8" width="9.28515625" bestFit="1" customWidth="1"/>
  </cols>
  <sheetData>
    <row r="1" spans="1:9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9" hidden="1" x14ac:dyDescent="0.25">
      <c r="A2" t="s">
        <v>28</v>
      </c>
      <c r="B2" s="3">
        <v>45200</v>
      </c>
      <c r="C2" t="s">
        <v>399</v>
      </c>
      <c r="D2" t="s">
        <v>11</v>
      </c>
      <c r="E2">
        <v>4</v>
      </c>
      <c r="F2" s="79">
        <f>E2*2000</f>
        <v>8000</v>
      </c>
      <c r="G2" s="79">
        <f>E2*500</f>
        <v>2000</v>
      </c>
      <c r="H2" s="79">
        <f>E2*1500</f>
        <v>6000</v>
      </c>
    </row>
    <row r="3" spans="1:9" hidden="1" x14ac:dyDescent="0.25">
      <c r="D3" t="s">
        <v>13</v>
      </c>
      <c r="E3">
        <v>19</v>
      </c>
      <c r="F3" s="79">
        <f>E3*7000</f>
        <v>133000</v>
      </c>
      <c r="G3" s="79">
        <f>E3*500</f>
        <v>9500</v>
      </c>
      <c r="H3" s="79">
        <f>E3*2500</f>
        <v>47500</v>
      </c>
    </row>
    <row r="4" spans="1:9" hidden="1" x14ac:dyDescent="0.25">
      <c r="D4" t="s">
        <v>14</v>
      </c>
      <c r="E4">
        <v>18</v>
      </c>
      <c r="F4" s="79">
        <f>E4*10000</f>
        <v>180000</v>
      </c>
      <c r="G4" s="79">
        <f>E4*5500</f>
        <v>99000</v>
      </c>
      <c r="H4" s="79">
        <f>E4*4500</f>
        <v>81000</v>
      </c>
    </row>
    <row r="5" spans="1:9" hidden="1" x14ac:dyDescent="0.25">
      <c r="D5" t="s">
        <v>404</v>
      </c>
      <c r="E5">
        <v>3</v>
      </c>
      <c r="F5" s="79">
        <f>E5*2000</f>
        <v>6000</v>
      </c>
      <c r="G5" s="79">
        <v>3000</v>
      </c>
      <c r="H5" s="79">
        <v>3000</v>
      </c>
    </row>
    <row r="6" spans="1:9" hidden="1" x14ac:dyDescent="0.25">
      <c r="C6" t="s">
        <v>692</v>
      </c>
      <c r="D6" t="s">
        <v>11</v>
      </c>
      <c r="E6">
        <v>9</v>
      </c>
      <c r="F6" s="79">
        <f>E6*2000</f>
        <v>18000</v>
      </c>
      <c r="G6" s="79">
        <f>E6*500</f>
        <v>4500</v>
      </c>
      <c r="H6" s="79">
        <f>E6*1500</f>
        <v>13500</v>
      </c>
    </row>
    <row r="7" spans="1:9" hidden="1" x14ac:dyDescent="0.25">
      <c r="D7" t="s">
        <v>13</v>
      </c>
      <c r="E7">
        <v>11</v>
      </c>
      <c r="F7" s="79">
        <f>E7*7000</f>
        <v>77000</v>
      </c>
      <c r="G7" s="79">
        <f>E7*4500</f>
        <v>49500</v>
      </c>
      <c r="H7" s="79">
        <f>E7*2500</f>
        <v>27500</v>
      </c>
    </row>
    <row r="8" spans="1:9" hidden="1" x14ac:dyDescent="0.25">
      <c r="D8" t="s">
        <v>14</v>
      </c>
      <c r="E8">
        <v>5</v>
      </c>
      <c r="F8" s="79">
        <f>E8*10000</f>
        <v>50000</v>
      </c>
      <c r="G8" s="79">
        <f>E8*5500</f>
        <v>27500</v>
      </c>
      <c r="H8" s="79">
        <f>E8*4500</f>
        <v>22500</v>
      </c>
    </row>
    <row r="9" spans="1:9" hidden="1" x14ac:dyDescent="0.25">
      <c r="C9" t="s">
        <v>16</v>
      </c>
      <c r="D9" t="s">
        <v>11</v>
      </c>
      <c r="E9">
        <v>49</v>
      </c>
      <c r="F9" s="79">
        <f>E9*1500</f>
        <v>73500</v>
      </c>
      <c r="G9" s="79">
        <f>E9*500</f>
        <v>24500</v>
      </c>
      <c r="H9" s="79">
        <v>49000</v>
      </c>
    </row>
    <row r="10" spans="1:9" hidden="1" x14ac:dyDescent="0.25">
      <c r="D10" t="s">
        <v>12</v>
      </c>
      <c r="E10">
        <v>3</v>
      </c>
      <c r="F10" s="79">
        <f>E10*3000</f>
        <v>9000</v>
      </c>
      <c r="G10" s="79">
        <v>6000</v>
      </c>
      <c r="H10" s="79">
        <v>3000</v>
      </c>
    </row>
    <row r="11" spans="1:9" hidden="1" x14ac:dyDescent="0.25">
      <c r="D11" t="s">
        <v>13</v>
      </c>
      <c r="E11">
        <v>1</v>
      </c>
      <c r="F11" s="79">
        <v>6500</v>
      </c>
      <c r="G11" s="79">
        <v>4500</v>
      </c>
      <c r="H11" s="79">
        <v>2000</v>
      </c>
    </row>
    <row r="12" spans="1:9" hidden="1" x14ac:dyDescent="0.25">
      <c r="D12" t="s">
        <v>14</v>
      </c>
      <c r="E12">
        <v>1</v>
      </c>
      <c r="F12" s="79">
        <v>10000</v>
      </c>
      <c r="G12" s="79">
        <v>5500</v>
      </c>
      <c r="H12" s="79">
        <v>4500</v>
      </c>
    </row>
    <row r="13" spans="1:9" hidden="1" x14ac:dyDescent="0.25">
      <c r="A13" s="111" t="s">
        <v>17</v>
      </c>
      <c r="B13" s="111"/>
      <c r="C13" s="111"/>
      <c r="D13" s="111"/>
      <c r="E13" s="1">
        <f>SUM(E2:E12)</f>
        <v>123</v>
      </c>
      <c r="F13" s="78">
        <f>SUM(F2:F12)</f>
        <v>571000</v>
      </c>
      <c r="G13" s="78">
        <f>SUM(G2:G12)</f>
        <v>235500</v>
      </c>
      <c r="H13" s="78">
        <f t="shared" ref="H13" si="0">SUM(H2:H12)</f>
        <v>259500</v>
      </c>
      <c r="I13" s="79"/>
    </row>
    <row r="14" spans="1:9" hidden="1" x14ac:dyDescent="0.25">
      <c r="A14" t="s">
        <v>30</v>
      </c>
      <c r="B14" s="3">
        <v>45201</v>
      </c>
      <c r="C14" t="s">
        <v>338</v>
      </c>
      <c r="D14" t="s">
        <v>11</v>
      </c>
      <c r="E14">
        <v>70</v>
      </c>
      <c r="F14" s="79">
        <f>E14*1800</f>
        <v>126000</v>
      </c>
      <c r="G14" s="79">
        <f>E14*500</f>
        <v>35000</v>
      </c>
      <c r="H14" s="79">
        <f>E14*1300</f>
        <v>91000</v>
      </c>
    </row>
    <row r="15" spans="1:9" hidden="1" x14ac:dyDescent="0.25">
      <c r="C15" t="s">
        <v>571</v>
      </c>
      <c r="D15" t="s">
        <v>11</v>
      </c>
      <c r="E15">
        <v>38</v>
      </c>
      <c r="F15" s="79">
        <f>E15*1700</f>
        <v>64600</v>
      </c>
      <c r="G15" s="79">
        <f>E15*500</f>
        <v>19000</v>
      </c>
      <c r="H15" s="79">
        <f>E15*1200</f>
        <v>45600</v>
      </c>
    </row>
    <row r="16" spans="1:9" hidden="1" x14ac:dyDescent="0.25">
      <c r="C16" t="s">
        <v>16</v>
      </c>
      <c r="D16" t="s">
        <v>11</v>
      </c>
      <c r="E16">
        <v>19</v>
      </c>
      <c r="F16" s="79">
        <f>E16*1500</f>
        <v>28500</v>
      </c>
      <c r="G16" s="79">
        <f>E16*500</f>
        <v>9500</v>
      </c>
      <c r="H16" s="79">
        <f>E16*1000</f>
        <v>19000</v>
      </c>
    </row>
    <row r="17" spans="1:8" hidden="1" x14ac:dyDescent="0.25">
      <c r="D17" t="s">
        <v>12</v>
      </c>
      <c r="E17">
        <v>4</v>
      </c>
      <c r="F17" s="79">
        <f>E17*3000</f>
        <v>12000</v>
      </c>
      <c r="G17" s="79">
        <v>8000</v>
      </c>
      <c r="H17" s="79">
        <v>4000</v>
      </c>
    </row>
    <row r="18" spans="1:8" hidden="1" x14ac:dyDescent="0.25">
      <c r="D18" t="s">
        <v>13</v>
      </c>
      <c r="E18">
        <v>1</v>
      </c>
      <c r="F18" s="79">
        <v>6500</v>
      </c>
      <c r="G18" s="79">
        <v>4500</v>
      </c>
      <c r="H18" s="79">
        <v>2000</v>
      </c>
    </row>
    <row r="19" spans="1:8" hidden="1" x14ac:dyDescent="0.25">
      <c r="D19" t="s">
        <v>243</v>
      </c>
      <c r="E19">
        <v>1</v>
      </c>
      <c r="F19" s="79">
        <v>13000</v>
      </c>
      <c r="G19" s="79">
        <v>10000</v>
      </c>
      <c r="H19" s="79">
        <v>3000</v>
      </c>
    </row>
    <row r="20" spans="1:8" hidden="1" x14ac:dyDescent="0.25">
      <c r="A20" s="112" t="s">
        <v>17</v>
      </c>
      <c r="B20" s="112"/>
      <c r="C20" s="112"/>
      <c r="D20" s="112"/>
      <c r="E20" s="78">
        <f>SUM(E14:E19)</f>
        <v>133</v>
      </c>
      <c r="F20" s="78">
        <f t="shared" ref="F20:H20" si="1">SUM(F14:F19)</f>
        <v>250600</v>
      </c>
      <c r="G20" s="78">
        <f t="shared" si="1"/>
        <v>86000</v>
      </c>
      <c r="H20" s="78">
        <f t="shared" si="1"/>
        <v>164600</v>
      </c>
    </row>
    <row r="21" spans="1:8" hidden="1" x14ac:dyDescent="0.25">
      <c r="A21" t="s">
        <v>32</v>
      </c>
      <c r="B21" s="3">
        <v>45202</v>
      </c>
      <c r="C21" t="s">
        <v>338</v>
      </c>
      <c r="D21" t="s">
        <v>11</v>
      </c>
      <c r="E21">
        <v>70</v>
      </c>
      <c r="F21" s="79">
        <f>E21*1800</f>
        <v>126000</v>
      </c>
      <c r="G21" s="79">
        <f t="shared" ref="G21:G26" si="2">E21*500</f>
        <v>35000</v>
      </c>
      <c r="H21" s="79">
        <f>E21*1300</f>
        <v>91000</v>
      </c>
    </row>
    <row r="22" spans="1:8" hidden="1" x14ac:dyDescent="0.25">
      <c r="C22" t="s">
        <v>306</v>
      </c>
      <c r="D22" t="s">
        <v>11</v>
      </c>
      <c r="E22">
        <f>12+15</f>
        <v>27</v>
      </c>
      <c r="F22" s="79">
        <f>E22*1800</f>
        <v>48600</v>
      </c>
      <c r="G22" s="79">
        <f t="shared" si="2"/>
        <v>13500</v>
      </c>
      <c r="H22" s="79">
        <f>E22*1300</f>
        <v>35100</v>
      </c>
    </row>
    <row r="23" spans="1:8" hidden="1" x14ac:dyDescent="0.25">
      <c r="C23" t="s">
        <v>571</v>
      </c>
      <c r="D23" t="s">
        <v>11</v>
      </c>
      <c r="E23">
        <v>37</v>
      </c>
      <c r="F23" s="79">
        <f>E23*1700</f>
        <v>62900</v>
      </c>
      <c r="G23" s="79">
        <f t="shared" si="2"/>
        <v>18500</v>
      </c>
      <c r="H23" s="79">
        <f>E23*1200</f>
        <v>44400</v>
      </c>
    </row>
    <row r="24" spans="1:8" hidden="1" x14ac:dyDescent="0.25">
      <c r="C24" t="s">
        <v>572</v>
      </c>
      <c r="D24" t="s">
        <v>11</v>
      </c>
      <c r="E24">
        <f>24+16+21</f>
        <v>61</v>
      </c>
      <c r="F24" s="79">
        <f>E24*1700</f>
        <v>103700</v>
      </c>
      <c r="G24" s="79">
        <f t="shared" si="2"/>
        <v>30500</v>
      </c>
      <c r="H24" s="79">
        <f>E24*1200</f>
        <v>73200</v>
      </c>
    </row>
    <row r="25" spans="1:8" hidden="1" x14ac:dyDescent="0.25">
      <c r="C25" t="s">
        <v>646</v>
      </c>
      <c r="D25" t="s">
        <v>11</v>
      </c>
      <c r="E25">
        <v>50</v>
      </c>
      <c r="F25" s="79">
        <f>E25*1500</f>
        <v>75000</v>
      </c>
      <c r="G25" s="79">
        <f t="shared" si="2"/>
        <v>25000</v>
      </c>
      <c r="H25" s="79">
        <f>E25*1000</f>
        <v>50000</v>
      </c>
    </row>
    <row r="26" spans="1:8" hidden="1" x14ac:dyDescent="0.25">
      <c r="C26" t="s">
        <v>217</v>
      </c>
      <c r="D26" t="s">
        <v>11</v>
      </c>
      <c r="E26">
        <f>19+15+12</f>
        <v>46</v>
      </c>
      <c r="F26" s="79">
        <f>E26*1500</f>
        <v>69000</v>
      </c>
      <c r="G26" s="79">
        <f t="shared" si="2"/>
        <v>23000</v>
      </c>
      <c r="H26" s="79">
        <f>E26*1000</f>
        <v>46000</v>
      </c>
    </row>
    <row r="27" spans="1:8" hidden="1" x14ac:dyDescent="0.25">
      <c r="D27" t="s">
        <v>13</v>
      </c>
      <c r="E27">
        <v>8</v>
      </c>
      <c r="F27" s="79">
        <f>E27*6500</f>
        <v>52000</v>
      </c>
      <c r="G27" s="79">
        <f>E27*4500</f>
        <v>36000</v>
      </c>
      <c r="H27" s="79">
        <f>E27*2000</f>
        <v>16000</v>
      </c>
    </row>
    <row r="28" spans="1:8" hidden="1" x14ac:dyDescent="0.25">
      <c r="D28" t="s">
        <v>14</v>
      </c>
      <c r="E28">
        <v>11</v>
      </c>
      <c r="F28" s="79">
        <f>E28*10000</f>
        <v>110000</v>
      </c>
      <c r="G28" s="79">
        <f>E28*5500</f>
        <v>60500</v>
      </c>
      <c r="H28" s="79">
        <f>E28*4500</f>
        <v>49500</v>
      </c>
    </row>
    <row r="29" spans="1:8" hidden="1" x14ac:dyDescent="0.25">
      <c r="D29" t="s">
        <v>404</v>
      </c>
      <c r="E29">
        <v>8</v>
      </c>
      <c r="F29" s="79">
        <f>E29*2000</f>
        <v>16000</v>
      </c>
      <c r="G29" s="79">
        <v>8000</v>
      </c>
      <c r="H29" s="79">
        <v>8000</v>
      </c>
    </row>
    <row r="30" spans="1:8" hidden="1" x14ac:dyDescent="0.25">
      <c r="D30" t="s">
        <v>415</v>
      </c>
      <c r="E30">
        <v>2</v>
      </c>
      <c r="F30" s="79">
        <f>E30*5000</f>
        <v>10000</v>
      </c>
      <c r="G30" s="79">
        <v>5000</v>
      </c>
      <c r="H30" s="79">
        <v>5000</v>
      </c>
    </row>
    <row r="31" spans="1:8" x14ac:dyDescent="0.25">
      <c r="D31" t="s">
        <v>437</v>
      </c>
      <c r="E31">
        <v>1</v>
      </c>
      <c r="F31" s="79">
        <v>5000</v>
      </c>
      <c r="G31" s="79">
        <v>2500</v>
      </c>
      <c r="H31" s="79">
        <v>2500</v>
      </c>
    </row>
    <row r="32" spans="1:8" hidden="1" x14ac:dyDescent="0.25">
      <c r="C32" t="s">
        <v>16</v>
      </c>
      <c r="D32" t="s">
        <v>11</v>
      </c>
      <c r="E32">
        <v>38</v>
      </c>
      <c r="F32" s="79">
        <f>E32*1500</f>
        <v>57000</v>
      </c>
      <c r="G32" s="79">
        <f>E32*500</f>
        <v>19000</v>
      </c>
      <c r="H32" s="79">
        <v>38000</v>
      </c>
    </row>
    <row r="33" spans="1:8" hidden="1" x14ac:dyDescent="0.25">
      <c r="D33" t="s">
        <v>12</v>
      </c>
      <c r="E33">
        <v>3</v>
      </c>
      <c r="F33" s="79">
        <f>E33*3000</f>
        <v>9000</v>
      </c>
      <c r="G33" s="79">
        <v>6000</v>
      </c>
      <c r="H33" s="79">
        <v>3000</v>
      </c>
    </row>
    <row r="34" spans="1:8" hidden="1" x14ac:dyDescent="0.25">
      <c r="D34" t="s">
        <v>13</v>
      </c>
      <c r="E34">
        <v>1</v>
      </c>
      <c r="F34" s="79">
        <v>6500</v>
      </c>
      <c r="G34" s="79">
        <v>4500</v>
      </c>
      <c r="H34" s="79">
        <v>2000</v>
      </c>
    </row>
    <row r="35" spans="1:8" hidden="1" x14ac:dyDescent="0.25">
      <c r="D35" t="s">
        <v>243</v>
      </c>
      <c r="E35">
        <v>1</v>
      </c>
      <c r="F35" s="79">
        <v>13000</v>
      </c>
      <c r="G35" s="79">
        <v>10000</v>
      </c>
      <c r="H35" s="79">
        <v>3000</v>
      </c>
    </row>
    <row r="36" spans="1:8" hidden="1" x14ac:dyDescent="0.25">
      <c r="A36" s="112" t="s">
        <v>17</v>
      </c>
      <c r="B36" s="112"/>
      <c r="C36" s="112"/>
      <c r="D36" s="112"/>
      <c r="E36" s="78">
        <f>SUM(E21:E35)</f>
        <v>364</v>
      </c>
      <c r="F36" s="78">
        <f t="shared" ref="F36:H36" si="3">SUM(F21:F35)</f>
        <v>763700</v>
      </c>
      <c r="G36" s="78">
        <f t="shared" si="3"/>
        <v>297000</v>
      </c>
      <c r="H36" s="78">
        <f t="shared" si="3"/>
        <v>466700</v>
      </c>
    </row>
    <row r="37" spans="1:8" hidden="1" x14ac:dyDescent="0.25">
      <c r="A37" t="s">
        <v>8</v>
      </c>
      <c r="B37" s="3">
        <v>45203</v>
      </c>
      <c r="C37" t="s">
        <v>338</v>
      </c>
      <c r="D37" t="s">
        <v>11</v>
      </c>
      <c r="E37">
        <v>67</v>
      </c>
      <c r="F37" s="79">
        <f>E37*1800</f>
        <v>120600</v>
      </c>
      <c r="G37" s="79">
        <f>E37*500</f>
        <v>33500</v>
      </c>
      <c r="H37" s="79">
        <f>E37*1300</f>
        <v>87100</v>
      </c>
    </row>
    <row r="38" spans="1:8" hidden="1" x14ac:dyDescent="0.25">
      <c r="C38" t="s">
        <v>306</v>
      </c>
      <c r="D38" t="s">
        <v>11</v>
      </c>
      <c r="E38">
        <v>12</v>
      </c>
      <c r="F38" s="79">
        <f>E38*1800</f>
        <v>21600</v>
      </c>
      <c r="G38" s="79">
        <f>E38*500</f>
        <v>6000</v>
      </c>
      <c r="H38" s="79">
        <f>E38*1300</f>
        <v>15600</v>
      </c>
    </row>
    <row r="39" spans="1:8" hidden="1" x14ac:dyDescent="0.25">
      <c r="C39" t="s">
        <v>571</v>
      </c>
      <c r="D39" t="s">
        <v>11</v>
      </c>
      <c r="E39">
        <v>45</v>
      </c>
      <c r="F39" s="79">
        <f>E39*1700</f>
        <v>76500</v>
      </c>
      <c r="G39" s="79">
        <f>E39*500</f>
        <v>22500</v>
      </c>
      <c r="H39" s="79">
        <f>E39*1200</f>
        <v>54000</v>
      </c>
    </row>
    <row r="40" spans="1:8" hidden="1" x14ac:dyDescent="0.25">
      <c r="C40" t="s">
        <v>104</v>
      </c>
      <c r="D40" t="s">
        <v>11</v>
      </c>
      <c r="E40">
        <v>10</v>
      </c>
      <c r="F40" s="79">
        <f>E40*1700</f>
        <v>17000</v>
      </c>
      <c r="G40" s="79">
        <f>E40*500</f>
        <v>5000</v>
      </c>
      <c r="H40" s="79">
        <f>E40*1200</f>
        <v>12000</v>
      </c>
    </row>
    <row r="41" spans="1:8" hidden="1" x14ac:dyDescent="0.25">
      <c r="C41" t="s">
        <v>209</v>
      </c>
      <c r="D41" t="s">
        <v>11</v>
      </c>
      <c r="E41">
        <v>38</v>
      </c>
      <c r="F41" s="79">
        <f>E41*1500</f>
        <v>57000</v>
      </c>
      <c r="G41" s="79">
        <f>E41*500</f>
        <v>19000</v>
      </c>
      <c r="H41" s="79">
        <f>E41*1000</f>
        <v>38000</v>
      </c>
    </row>
    <row r="42" spans="1:8" hidden="1" x14ac:dyDescent="0.25">
      <c r="C42" t="s">
        <v>646</v>
      </c>
      <c r="D42" t="s">
        <v>11</v>
      </c>
      <c r="E42">
        <v>39</v>
      </c>
      <c r="F42" s="79">
        <f t="shared" ref="F42:F43" si="4">E42*1500</f>
        <v>58500</v>
      </c>
      <c r="G42" s="79">
        <f t="shared" ref="G42:G43" si="5">E42*500</f>
        <v>19500</v>
      </c>
      <c r="H42" s="79">
        <f t="shared" ref="H42:H43" si="6">E42*1000</f>
        <v>39000</v>
      </c>
    </row>
    <row r="43" spans="1:8" hidden="1" x14ac:dyDescent="0.25">
      <c r="C43" t="s">
        <v>16</v>
      </c>
      <c r="D43" t="s">
        <v>11</v>
      </c>
      <c r="E43">
        <v>47</v>
      </c>
      <c r="F43" s="79">
        <f t="shared" si="4"/>
        <v>70500</v>
      </c>
      <c r="G43" s="79">
        <f t="shared" si="5"/>
        <v>23500</v>
      </c>
      <c r="H43" s="79">
        <f t="shared" si="6"/>
        <v>47000</v>
      </c>
    </row>
    <row r="44" spans="1:8" hidden="1" x14ac:dyDescent="0.25">
      <c r="D44" t="s">
        <v>12</v>
      </c>
      <c r="E44">
        <v>4</v>
      </c>
      <c r="F44" s="79">
        <f>E44*3000</f>
        <v>12000</v>
      </c>
      <c r="G44" s="79">
        <v>8000</v>
      </c>
      <c r="H44" s="79">
        <v>4000</v>
      </c>
    </row>
    <row r="45" spans="1:8" hidden="1" x14ac:dyDescent="0.25">
      <c r="D45" t="s">
        <v>13</v>
      </c>
      <c r="E45">
        <v>1</v>
      </c>
      <c r="F45" s="79">
        <v>6500</v>
      </c>
      <c r="G45" s="79">
        <v>4500</v>
      </c>
      <c r="H45" s="79">
        <v>2000</v>
      </c>
    </row>
    <row r="46" spans="1:8" hidden="1" x14ac:dyDescent="0.25">
      <c r="C46" t="s">
        <v>217</v>
      </c>
      <c r="D46" t="s">
        <v>11</v>
      </c>
      <c r="E46">
        <v>14</v>
      </c>
      <c r="F46" s="79">
        <f>E46*1500</f>
        <v>21000</v>
      </c>
      <c r="G46" s="79">
        <f>E46*500</f>
        <v>7000</v>
      </c>
      <c r="H46" s="79">
        <f>E46*1000</f>
        <v>14000</v>
      </c>
    </row>
    <row r="47" spans="1:8" hidden="1" x14ac:dyDescent="0.25">
      <c r="D47" t="s">
        <v>13</v>
      </c>
      <c r="E47">
        <v>3</v>
      </c>
      <c r="F47" s="79">
        <f>E47*6500</f>
        <v>19500</v>
      </c>
      <c r="G47" s="79">
        <f>E47*4500</f>
        <v>13500</v>
      </c>
      <c r="H47" s="79">
        <f>E47*2000</f>
        <v>6000</v>
      </c>
    </row>
    <row r="48" spans="1:8" hidden="1" x14ac:dyDescent="0.25">
      <c r="D48" t="s">
        <v>14</v>
      </c>
      <c r="E48">
        <v>2</v>
      </c>
      <c r="F48" s="79">
        <f>E48*10000</f>
        <v>20000</v>
      </c>
      <c r="G48" s="79">
        <f>E48*5500</f>
        <v>11000</v>
      </c>
      <c r="H48" s="79">
        <f>E48*4500</f>
        <v>9000</v>
      </c>
    </row>
    <row r="49" spans="1:8" hidden="1" x14ac:dyDescent="0.25">
      <c r="D49" t="s">
        <v>404</v>
      </c>
      <c r="E49">
        <v>1</v>
      </c>
      <c r="F49" s="79">
        <v>2000</v>
      </c>
      <c r="G49" s="79">
        <v>1000</v>
      </c>
      <c r="H49" s="79">
        <v>1000</v>
      </c>
    </row>
    <row r="50" spans="1:8" x14ac:dyDescent="0.25">
      <c r="D50" t="s">
        <v>441</v>
      </c>
      <c r="E50">
        <v>4</v>
      </c>
      <c r="F50" s="79">
        <f>E50*3000</f>
        <v>12000</v>
      </c>
      <c r="G50" s="79">
        <v>6000</v>
      </c>
      <c r="H50" s="79">
        <v>6000</v>
      </c>
    </row>
    <row r="51" spans="1:8" hidden="1" x14ac:dyDescent="0.25">
      <c r="D51" t="s">
        <v>415</v>
      </c>
      <c r="E51">
        <v>1</v>
      </c>
      <c r="F51" s="79">
        <v>5000</v>
      </c>
      <c r="G51" s="79">
        <v>2500</v>
      </c>
      <c r="H51" s="79">
        <v>2500</v>
      </c>
    </row>
    <row r="52" spans="1:8" x14ac:dyDescent="0.25">
      <c r="D52" t="s">
        <v>437</v>
      </c>
      <c r="E52">
        <v>2</v>
      </c>
      <c r="F52" s="79">
        <f>E52*5000</f>
        <v>10000</v>
      </c>
      <c r="G52" s="79">
        <v>5000</v>
      </c>
      <c r="H52" s="79">
        <v>5000</v>
      </c>
    </row>
    <row r="53" spans="1:8" hidden="1" x14ac:dyDescent="0.25">
      <c r="C53" t="s">
        <v>127</v>
      </c>
      <c r="D53" t="s">
        <v>243</v>
      </c>
      <c r="E53">
        <v>1</v>
      </c>
      <c r="F53" s="79">
        <v>13000</v>
      </c>
      <c r="G53" s="79">
        <v>10000</v>
      </c>
      <c r="H53" s="79">
        <v>3000</v>
      </c>
    </row>
    <row r="54" spans="1:8" hidden="1" x14ac:dyDescent="0.25">
      <c r="D54" t="s">
        <v>21</v>
      </c>
      <c r="E54">
        <v>5</v>
      </c>
      <c r="F54" s="79">
        <f>E54*15000</f>
        <v>75000</v>
      </c>
      <c r="G54" s="79">
        <v>50000</v>
      </c>
      <c r="H54" s="79">
        <v>25000</v>
      </c>
    </row>
    <row r="55" spans="1:8" hidden="1" x14ac:dyDescent="0.25">
      <c r="A55" s="112" t="s">
        <v>17</v>
      </c>
      <c r="B55" s="112"/>
      <c r="C55" s="112"/>
      <c r="D55" s="112"/>
      <c r="E55" s="78">
        <f>SUM(E37:E54)</f>
        <v>296</v>
      </c>
      <c r="F55" s="78">
        <f t="shared" ref="F55:H55" si="7">SUM(F37:F54)</f>
        <v>617700</v>
      </c>
      <c r="G55" s="78">
        <f t="shared" si="7"/>
        <v>247500</v>
      </c>
      <c r="H55" s="78">
        <f t="shared" si="7"/>
        <v>370200</v>
      </c>
    </row>
    <row r="56" spans="1:8" hidden="1" x14ac:dyDescent="0.25">
      <c r="A56" t="s">
        <v>18</v>
      </c>
      <c r="B56" s="3">
        <v>45204</v>
      </c>
      <c r="C56" t="s">
        <v>306</v>
      </c>
      <c r="D56" t="s">
        <v>11</v>
      </c>
      <c r="E56">
        <f>25-16</f>
        <v>9</v>
      </c>
      <c r="F56" s="79">
        <f>E56*1800</f>
        <v>16200</v>
      </c>
      <c r="G56" s="79">
        <f>E56*500</f>
        <v>4500</v>
      </c>
      <c r="H56" s="79">
        <f>E56*1300</f>
        <v>11700</v>
      </c>
    </row>
    <row r="57" spans="1:8" hidden="1" x14ac:dyDescent="0.25">
      <c r="C57" t="s">
        <v>571</v>
      </c>
      <c r="D57" t="s">
        <v>11</v>
      </c>
      <c r="E57">
        <v>52</v>
      </c>
      <c r="F57" s="79">
        <f>E57*1700</f>
        <v>88400</v>
      </c>
      <c r="G57" s="79">
        <f>E57*500</f>
        <v>26000</v>
      </c>
      <c r="H57" s="79">
        <f>E57*1200</f>
        <v>62400</v>
      </c>
    </row>
    <row r="58" spans="1:8" hidden="1" x14ac:dyDescent="0.25">
      <c r="C58" t="s">
        <v>209</v>
      </c>
      <c r="D58" t="s">
        <v>11</v>
      </c>
      <c r="E58">
        <v>35</v>
      </c>
      <c r="F58" s="79">
        <f>E58*1500</f>
        <v>52500</v>
      </c>
      <c r="G58" s="79">
        <f>E58*500</f>
        <v>17500</v>
      </c>
      <c r="H58" s="79">
        <f>E58*1000</f>
        <v>35000</v>
      </c>
    </row>
    <row r="59" spans="1:8" hidden="1" x14ac:dyDescent="0.25">
      <c r="C59" t="s">
        <v>16</v>
      </c>
      <c r="D59" t="s">
        <v>11</v>
      </c>
      <c r="E59">
        <v>51</v>
      </c>
      <c r="F59" s="79">
        <f>E59*1500</f>
        <v>76500</v>
      </c>
      <c r="G59" s="79">
        <f>E59*500</f>
        <v>25500</v>
      </c>
      <c r="H59" s="79">
        <f>E59*1000</f>
        <v>51000</v>
      </c>
    </row>
    <row r="60" spans="1:8" hidden="1" x14ac:dyDescent="0.25">
      <c r="D60" t="s">
        <v>12</v>
      </c>
      <c r="E60">
        <v>6</v>
      </c>
      <c r="F60" s="79">
        <f>E60*3000</f>
        <v>18000</v>
      </c>
      <c r="G60" s="79">
        <v>12000</v>
      </c>
      <c r="H60" s="79">
        <v>6000</v>
      </c>
    </row>
    <row r="61" spans="1:8" hidden="1" x14ac:dyDescent="0.25">
      <c r="C61" t="s">
        <v>217</v>
      </c>
      <c r="D61" t="s">
        <v>11</v>
      </c>
      <c r="E61">
        <v>20</v>
      </c>
      <c r="F61" s="79">
        <f>E61*1500</f>
        <v>30000</v>
      </c>
      <c r="G61" s="79">
        <f>E61*500</f>
        <v>10000</v>
      </c>
      <c r="H61" s="79">
        <v>20000</v>
      </c>
    </row>
    <row r="62" spans="1:8" hidden="1" x14ac:dyDescent="0.25">
      <c r="D62" t="s">
        <v>13</v>
      </c>
      <c r="E62">
        <v>1</v>
      </c>
      <c r="F62" s="79">
        <v>6500</v>
      </c>
      <c r="G62" s="79">
        <v>4500</v>
      </c>
      <c r="H62" s="79">
        <v>2000</v>
      </c>
    </row>
    <row r="63" spans="1:8" hidden="1" x14ac:dyDescent="0.25">
      <c r="D63" t="s">
        <v>14</v>
      </c>
      <c r="E63">
        <v>3</v>
      </c>
      <c r="F63" s="79">
        <f>E63*8000</f>
        <v>24000</v>
      </c>
      <c r="G63" s="79">
        <f>E63*5500</f>
        <v>16500</v>
      </c>
      <c r="H63" s="79">
        <f>E63*2500</f>
        <v>7500</v>
      </c>
    </row>
    <row r="64" spans="1:8" hidden="1" x14ac:dyDescent="0.25">
      <c r="D64" t="s">
        <v>404</v>
      </c>
      <c r="E64">
        <v>3</v>
      </c>
      <c r="F64" s="79">
        <f>E64*2000</f>
        <v>6000</v>
      </c>
      <c r="G64" s="79">
        <v>3000</v>
      </c>
      <c r="H64" s="79">
        <v>3000</v>
      </c>
    </row>
    <row r="65" spans="1:8" hidden="1" x14ac:dyDescent="0.25">
      <c r="A65" s="112" t="s">
        <v>17</v>
      </c>
      <c r="B65" s="112"/>
      <c r="C65" s="112"/>
      <c r="D65" s="112"/>
      <c r="E65" s="78">
        <f>SUM(E56:E64)</f>
        <v>180</v>
      </c>
      <c r="F65" s="78">
        <f t="shared" ref="F65:H65" si="8">SUM(F56:F64)</f>
        <v>318100</v>
      </c>
      <c r="G65" s="78">
        <f t="shared" si="8"/>
        <v>119500</v>
      </c>
      <c r="H65" s="78">
        <f t="shared" si="8"/>
        <v>198600</v>
      </c>
    </row>
    <row r="66" spans="1:8" hidden="1" x14ac:dyDescent="0.25">
      <c r="A66" t="s">
        <v>22</v>
      </c>
      <c r="B66" s="3">
        <v>45205</v>
      </c>
      <c r="C66" t="s">
        <v>571</v>
      </c>
      <c r="D66" t="s">
        <v>11</v>
      </c>
      <c r="E66">
        <v>38</v>
      </c>
      <c r="F66">
        <f>E66*1700</f>
        <v>64600</v>
      </c>
      <c r="G66">
        <f>E66*500</f>
        <v>19000</v>
      </c>
      <c r="H66">
        <f>E66*1200</f>
        <v>45600</v>
      </c>
    </row>
    <row r="67" spans="1:8" hidden="1" x14ac:dyDescent="0.25">
      <c r="C67" t="s">
        <v>572</v>
      </c>
      <c r="D67" t="s">
        <v>11</v>
      </c>
      <c r="E67">
        <f>14+30+23</f>
        <v>67</v>
      </c>
      <c r="F67">
        <f>E67*1700</f>
        <v>113900</v>
      </c>
      <c r="G67">
        <f>E67*500</f>
        <v>33500</v>
      </c>
      <c r="H67">
        <f>E67*1200</f>
        <v>80400</v>
      </c>
    </row>
    <row r="68" spans="1:8" hidden="1" x14ac:dyDescent="0.25">
      <c r="C68" t="s">
        <v>581</v>
      </c>
      <c r="D68" t="s">
        <v>11</v>
      </c>
      <c r="E68">
        <f>53+39+50+49+46+19+53+35+51+55+46+44+55+55+54</f>
        <v>704</v>
      </c>
      <c r="F68">
        <f>E68*1500</f>
        <v>1056000</v>
      </c>
      <c r="G68">
        <f>E68*500</f>
        <v>352000</v>
      </c>
      <c r="H68">
        <f>E68*1000</f>
        <v>704000</v>
      </c>
    </row>
    <row r="69" spans="1:8" hidden="1" x14ac:dyDescent="0.25">
      <c r="C69" t="s">
        <v>16</v>
      </c>
      <c r="D69" t="s">
        <v>11</v>
      </c>
      <c r="E69">
        <v>93</v>
      </c>
      <c r="F69">
        <f>E69*1500</f>
        <v>139500</v>
      </c>
      <c r="G69">
        <f>E69*500</f>
        <v>46500</v>
      </c>
      <c r="H69">
        <f>E69*1000</f>
        <v>93000</v>
      </c>
    </row>
    <row r="70" spans="1:8" hidden="1" x14ac:dyDescent="0.25">
      <c r="D70" t="s">
        <v>12</v>
      </c>
      <c r="E70">
        <v>1</v>
      </c>
      <c r="F70">
        <v>3000</v>
      </c>
      <c r="G70">
        <v>2000</v>
      </c>
      <c r="H70">
        <v>1000</v>
      </c>
    </row>
    <row r="71" spans="1:8" hidden="1" x14ac:dyDescent="0.25">
      <c r="D71" t="s">
        <v>13</v>
      </c>
      <c r="E71">
        <v>1</v>
      </c>
      <c r="F71">
        <v>6500</v>
      </c>
      <c r="G71">
        <v>4500</v>
      </c>
      <c r="H71">
        <v>2000</v>
      </c>
    </row>
    <row r="72" spans="1:8" hidden="1" x14ac:dyDescent="0.25">
      <c r="A72" s="112" t="s">
        <v>17</v>
      </c>
      <c r="B72" s="112"/>
      <c r="C72" s="112"/>
      <c r="D72" s="112"/>
      <c r="E72" s="78">
        <f>SUM(E66:E71)</f>
        <v>904</v>
      </c>
      <c r="F72" s="78">
        <f t="shared" ref="F72:H72" si="9">SUM(F66:F71)</f>
        <v>1383500</v>
      </c>
      <c r="G72" s="78">
        <f t="shared" si="9"/>
        <v>457500</v>
      </c>
      <c r="H72" s="78">
        <f t="shared" si="9"/>
        <v>926000</v>
      </c>
    </row>
    <row r="73" spans="1:8" hidden="1" x14ac:dyDescent="0.25">
      <c r="A73" t="s">
        <v>26</v>
      </c>
      <c r="B73" s="3">
        <v>45206</v>
      </c>
      <c r="C73" t="s">
        <v>338</v>
      </c>
      <c r="D73" t="s">
        <v>11</v>
      </c>
      <c r="E73">
        <f>67+70</f>
        <v>137</v>
      </c>
      <c r="F73">
        <f>E73*1800</f>
        <v>246600</v>
      </c>
      <c r="G73">
        <f>E73*500</f>
        <v>68500</v>
      </c>
      <c r="H73">
        <f>E73*1300</f>
        <v>178100</v>
      </c>
    </row>
    <row r="74" spans="1:8" hidden="1" x14ac:dyDescent="0.25">
      <c r="C74" t="s">
        <v>646</v>
      </c>
      <c r="D74" t="s">
        <v>11</v>
      </c>
      <c r="E74">
        <f>47+14+35</f>
        <v>96</v>
      </c>
      <c r="F74">
        <f>E74*1500</f>
        <v>144000</v>
      </c>
      <c r="G74">
        <f>E74*500</f>
        <v>48000</v>
      </c>
      <c r="H74">
        <v>96000</v>
      </c>
    </row>
    <row r="75" spans="1:8" hidden="1" x14ac:dyDescent="0.25">
      <c r="C75" t="s">
        <v>16</v>
      </c>
      <c r="D75" t="s">
        <v>11</v>
      </c>
      <c r="E75">
        <v>27</v>
      </c>
      <c r="F75">
        <f>E75*1500</f>
        <v>40500</v>
      </c>
      <c r="G75">
        <f>E75*500</f>
        <v>13500</v>
      </c>
      <c r="H75">
        <v>27000</v>
      </c>
    </row>
    <row r="76" spans="1:8" hidden="1" x14ac:dyDescent="0.25">
      <c r="D76" t="s">
        <v>12</v>
      </c>
      <c r="E76">
        <v>2</v>
      </c>
      <c r="F76">
        <f>E76*3000</f>
        <v>6000</v>
      </c>
      <c r="G76">
        <v>4000</v>
      </c>
      <c r="H76">
        <v>2000</v>
      </c>
    </row>
    <row r="77" spans="1:8" hidden="1" x14ac:dyDescent="0.25">
      <c r="D77" t="s">
        <v>13</v>
      </c>
      <c r="E77">
        <v>1</v>
      </c>
      <c r="F77">
        <v>6500</v>
      </c>
      <c r="G77">
        <v>4500</v>
      </c>
      <c r="H77">
        <v>2000</v>
      </c>
    </row>
    <row r="78" spans="1:8" hidden="1" x14ac:dyDescent="0.25">
      <c r="C78" t="s">
        <v>217</v>
      </c>
      <c r="D78" t="s">
        <v>11</v>
      </c>
      <c r="E78">
        <v>23</v>
      </c>
      <c r="F78">
        <f>E78*1500</f>
        <v>34500</v>
      </c>
      <c r="G78">
        <f>E78*500</f>
        <v>11500</v>
      </c>
      <c r="H78">
        <v>23000</v>
      </c>
    </row>
    <row r="79" spans="1:8" hidden="1" x14ac:dyDescent="0.25">
      <c r="D79" t="s">
        <v>13</v>
      </c>
      <c r="E79">
        <v>11</v>
      </c>
      <c r="F79">
        <f>E79*6500</f>
        <v>71500</v>
      </c>
      <c r="G79">
        <f>E79*4500</f>
        <v>49500</v>
      </c>
      <c r="H79">
        <f>E79*2000</f>
        <v>22000</v>
      </c>
    </row>
    <row r="80" spans="1:8" hidden="1" x14ac:dyDescent="0.25">
      <c r="D80" t="s">
        <v>14</v>
      </c>
      <c r="E80">
        <v>9</v>
      </c>
      <c r="F80">
        <f>E80*10000</f>
        <v>90000</v>
      </c>
      <c r="G80">
        <f>E80*5500</f>
        <v>49500</v>
      </c>
      <c r="H80">
        <f>E80*4500</f>
        <v>40500</v>
      </c>
    </row>
    <row r="81" spans="1:8" hidden="1" x14ac:dyDescent="0.25">
      <c r="D81" t="s">
        <v>404</v>
      </c>
      <c r="E81">
        <v>9</v>
      </c>
      <c r="F81">
        <f>E81*2000</f>
        <v>18000</v>
      </c>
      <c r="G81">
        <v>9000</v>
      </c>
      <c r="H81">
        <v>9000</v>
      </c>
    </row>
    <row r="82" spans="1:8" x14ac:dyDescent="0.25">
      <c r="D82" t="s">
        <v>437</v>
      </c>
      <c r="E82">
        <v>2</v>
      </c>
      <c r="F82">
        <f>E82*10000</f>
        <v>20000</v>
      </c>
      <c r="G82">
        <v>10000</v>
      </c>
      <c r="H82">
        <v>10000</v>
      </c>
    </row>
    <row r="83" spans="1:8" hidden="1" x14ac:dyDescent="0.25">
      <c r="C83" t="s">
        <v>399</v>
      </c>
      <c r="D83" t="s">
        <v>13</v>
      </c>
      <c r="E83">
        <v>4</v>
      </c>
      <c r="F83">
        <v>0</v>
      </c>
      <c r="G83">
        <v>0</v>
      </c>
      <c r="H83">
        <v>0</v>
      </c>
    </row>
    <row r="84" spans="1:8" hidden="1" x14ac:dyDescent="0.25">
      <c r="D84" t="s">
        <v>13</v>
      </c>
      <c r="E84">
        <v>5</v>
      </c>
      <c r="F84">
        <f>E84*6500</f>
        <v>32500</v>
      </c>
      <c r="G84">
        <f>E84*4500</f>
        <v>22500</v>
      </c>
      <c r="H84">
        <f>E84*2000</f>
        <v>10000</v>
      </c>
    </row>
    <row r="85" spans="1:8" hidden="1" x14ac:dyDescent="0.25">
      <c r="D85" t="s">
        <v>404</v>
      </c>
      <c r="E85">
        <v>4</v>
      </c>
      <c r="F85">
        <f>E85*2000</f>
        <v>8000</v>
      </c>
      <c r="G85">
        <v>4000</v>
      </c>
      <c r="H85">
        <v>4000</v>
      </c>
    </row>
    <row r="86" spans="1:8" hidden="1" x14ac:dyDescent="0.25">
      <c r="A86" s="112" t="s">
        <v>17</v>
      </c>
      <c r="B86" s="112"/>
      <c r="C86" s="112"/>
      <c r="D86" s="112"/>
      <c r="E86" s="78">
        <f>SUM(E73:E84)</f>
        <v>326</v>
      </c>
      <c r="F86" s="78">
        <f t="shared" ref="F86:H86" si="10">SUM(F73:F84)</f>
        <v>710100</v>
      </c>
      <c r="G86" s="78">
        <f t="shared" si="10"/>
        <v>290500</v>
      </c>
      <c r="H86" s="78">
        <f t="shared" si="10"/>
        <v>419600</v>
      </c>
    </row>
    <row r="87" spans="1:8" hidden="1" x14ac:dyDescent="0.25">
      <c r="A87" t="s">
        <v>28</v>
      </c>
      <c r="B87" s="3">
        <v>45207</v>
      </c>
      <c r="C87" t="s">
        <v>217</v>
      </c>
      <c r="D87" t="s">
        <v>11</v>
      </c>
      <c r="E87">
        <v>9</v>
      </c>
      <c r="F87" s="79">
        <f>E87*1500</f>
        <v>13500</v>
      </c>
      <c r="G87" s="79">
        <f>E87*500</f>
        <v>4500</v>
      </c>
      <c r="H87" s="79">
        <v>9000</v>
      </c>
    </row>
    <row r="88" spans="1:8" hidden="1" x14ac:dyDescent="0.25">
      <c r="D88" t="s">
        <v>13</v>
      </c>
      <c r="E88">
        <v>10</v>
      </c>
      <c r="F88" s="79">
        <f>E88*6500</f>
        <v>65000</v>
      </c>
      <c r="G88" s="79">
        <f>E88*4500</f>
        <v>45000</v>
      </c>
      <c r="H88" s="79">
        <f>E88*2000</f>
        <v>20000</v>
      </c>
    </row>
    <row r="89" spans="1:8" hidden="1" x14ac:dyDescent="0.25">
      <c r="D89" t="s">
        <v>14</v>
      </c>
      <c r="E89">
        <v>10</v>
      </c>
      <c r="F89" s="79">
        <f>E89*10000</f>
        <v>100000</v>
      </c>
      <c r="G89" s="79">
        <f>E89*5500</f>
        <v>55000</v>
      </c>
      <c r="H89" s="79">
        <f>E89*4500</f>
        <v>45000</v>
      </c>
    </row>
    <row r="90" spans="1:8" x14ac:dyDescent="0.25">
      <c r="D90" t="s">
        <v>441</v>
      </c>
      <c r="E90">
        <v>4</v>
      </c>
      <c r="F90" s="79">
        <f>E90*3000</f>
        <v>12000</v>
      </c>
      <c r="G90" s="79">
        <v>6000</v>
      </c>
      <c r="H90" s="79">
        <v>6000</v>
      </c>
    </row>
    <row r="91" spans="1:8" hidden="1" x14ac:dyDescent="0.25">
      <c r="D91" t="s">
        <v>415</v>
      </c>
      <c r="E91">
        <v>1</v>
      </c>
      <c r="F91" s="79">
        <v>5000</v>
      </c>
      <c r="G91" s="79">
        <v>2500</v>
      </c>
      <c r="H91" s="79">
        <v>2500</v>
      </c>
    </row>
    <row r="92" spans="1:8" hidden="1" x14ac:dyDescent="0.25">
      <c r="D92" t="s">
        <v>404</v>
      </c>
      <c r="E92">
        <v>2</v>
      </c>
      <c r="F92" s="79">
        <f>E92*2000</f>
        <v>4000</v>
      </c>
      <c r="G92" s="79">
        <v>2000</v>
      </c>
      <c r="H92" s="79">
        <v>2000</v>
      </c>
    </row>
    <row r="93" spans="1:8" hidden="1" x14ac:dyDescent="0.25">
      <c r="C93" t="s">
        <v>16</v>
      </c>
      <c r="D93" t="s">
        <v>11</v>
      </c>
      <c r="E93">
        <v>86</v>
      </c>
      <c r="F93" s="79">
        <f>E93*1500</f>
        <v>129000</v>
      </c>
      <c r="G93" s="79">
        <f>E93*500</f>
        <v>43000</v>
      </c>
      <c r="H93" s="79">
        <v>86000</v>
      </c>
    </row>
    <row r="94" spans="1:8" hidden="1" x14ac:dyDescent="0.25">
      <c r="D94" t="s">
        <v>12</v>
      </c>
      <c r="E94">
        <v>10</v>
      </c>
      <c r="F94" s="79">
        <f>E94*3000</f>
        <v>30000</v>
      </c>
      <c r="G94" s="79">
        <v>20000</v>
      </c>
      <c r="H94" s="79">
        <v>10000</v>
      </c>
    </row>
    <row r="95" spans="1:8" hidden="1" x14ac:dyDescent="0.25">
      <c r="D95" t="s">
        <v>13</v>
      </c>
      <c r="E95">
        <v>2</v>
      </c>
      <c r="F95" s="79">
        <f>E95*6500</f>
        <v>13000</v>
      </c>
      <c r="G95" s="79">
        <f>E95*4500</f>
        <v>9000</v>
      </c>
      <c r="H95" s="79">
        <f>E95*2000</f>
        <v>4000</v>
      </c>
    </row>
    <row r="96" spans="1:8" hidden="1" x14ac:dyDescent="0.25">
      <c r="D96" t="s">
        <v>14</v>
      </c>
      <c r="E96">
        <v>1</v>
      </c>
      <c r="F96" s="79">
        <v>10000</v>
      </c>
      <c r="G96" s="79">
        <v>5500</v>
      </c>
      <c r="H96" s="79">
        <v>4500</v>
      </c>
    </row>
    <row r="97" spans="1:8" hidden="1" x14ac:dyDescent="0.25">
      <c r="C97" t="s">
        <v>24</v>
      </c>
      <c r="D97" t="s">
        <v>243</v>
      </c>
      <c r="E97">
        <v>8</v>
      </c>
      <c r="F97" s="79">
        <f>E97*13000</f>
        <v>104000</v>
      </c>
      <c r="G97" s="79">
        <f>E97*10000</f>
        <v>80000</v>
      </c>
      <c r="H97" s="79">
        <f>E97*3000</f>
        <v>24000</v>
      </c>
    </row>
    <row r="98" spans="1:8" hidden="1" x14ac:dyDescent="0.25">
      <c r="C98" t="s">
        <v>399</v>
      </c>
      <c r="D98" t="s">
        <v>13</v>
      </c>
      <c r="E98">
        <v>3</v>
      </c>
      <c r="F98" s="79">
        <f>E98*8000</f>
        <v>24000</v>
      </c>
      <c r="G98" s="79">
        <f>E98*4500</f>
        <v>13500</v>
      </c>
      <c r="H98" s="79">
        <f>E98*3500</f>
        <v>10500</v>
      </c>
    </row>
    <row r="99" spans="1:8" hidden="1" x14ac:dyDescent="0.25">
      <c r="D99" t="s">
        <v>14</v>
      </c>
      <c r="E99">
        <v>18</v>
      </c>
      <c r="F99" s="79">
        <f>E99*13000</f>
        <v>234000</v>
      </c>
      <c r="G99" s="79">
        <f>E99*5500</f>
        <v>99000</v>
      </c>
      <c r="H99" s="79">
        <f>E99*7500</f>
        <v>135000</v>
      </c>
    </row>
    <row r="100" spans="1:8" hidden="1" x14ac:dyDescent="0.25">
      <c r="A100" s="112" t="s">
        <v>17</v>
      </c>
      <c r="B100" s="112"/>
      <c r="C100" s="112"/>
      <c r="D100" s="112"/>
      <c r="E100" s="78">
        <f>SUM(E87:E99)</f>
        <v>164</v>
      </c>
      <c r="F100" s="78">
        <f t="shared" ref="F100:H100" si="11">SUM(F87:F99)</f>
        <v>743500</v>
      </c>
      <c r="G100" s="78">
        <f t="shared" si="11"/>
        <v>385000</v>
      </c>
      <c r="H100" s="78">
        <f t="shared" si="11"/>
        <v>358500</v>
      </c>
    </row>
    <row r="101" spans="1:8" hidden="1" x14ac:dyDescent="0.25">
      <c r="A101" t="s">
        <v>30</v>
      </c>
      <c r="B101" s="3">
        <v>45208</v>
      </c>
      <c r="C101" t="s">
        <v>338</v>
      </c>
      <c r="D101" t="s">
        <v>11</v>
      </c>
      <c r="E101">
        <v>64</v>
      </c>
      <c r="F101" s="79">
        <f>E101*1800</f>
        <v>115200</v>
      </c>
      <c r="G101" s="79">
        <f>E101*500</f>
        <v>32000</v>
      </c>
      <c r="H101" s="79">
        <f>E101*1300</f>
        <v>83200</v>
      </c>
    </row>
    <row r="102" spans="1:8" hidden="1" x14ac:dyDescent="0.25">
      <c r="C102" t="s">
        <v>306</v>
      </c>
      <c r="D102" t="s">
        <v>11</v>
      </c>
      <c r="E102">
        <v>3</v>
      </c>
      <c r="F102" s="79">
        <f>E102*1800</f>
        <v>5400</v>
      </c>
      <c r="G102" s="79">
        <f>E102*500</f>
        <v>1500</v>
      </c>
      <c r="H102" s="79">
        <f>E102*1300</f>
        <v>3900</v>
      </c>
    </row>
    <row r="103" spans="1:8" hidden="1" x14ac:dyDescent="0.25">
      <c r="C103" t="s">
        <v>209</v>
      </c>
      <c r="D103" t="s">
        <v>11</v>
      </c>
      <c r="E103">
        <v>35</v>
      </c>
      <c r="F103" s="79">
        <f>E103*1500</f>
        <v>52500</v>
      </c>
      <c r="G103" s="79">
        <f>E103*500</f>
        <v>17500</v>
      </c>
      <c r="H103" s="79">
        <v>35000</v>
      </c>
    </row>
    <row r="104" spans="1:8" hidden="1" x14ac:dyDescent="0.25">
      <c r="C104" t="s">
        <v>104</v>
      </c>
      <c r="D104" t="s">
        <v>11</v>
      </c>
      <c r="E104">
        <v>20</v>
      </c>
      <c r="F104" s="79">
        <f>E104*1700</f>
        <v>34000</v>
      </c>
      <c r="G104" s="79">
        <f>E104*500</f>
        <v>10000</v>
      </c>
      <c r="H104" s="79">
        <f>E104*1200</f>
        <v>24000</v>
      </c>
    </row>
    <row r="105" spans="1:8" hidden="1" x14ac:dyDescent="0.25">
      <c r="C105" t="s">
        <v>217</v>
      </c>
      <c r="D105" t="s">
        <v>11</v>
      </c>
      <c r="E105">
        <v>11</v>
      </c>
      <c r="F105" s="79">
        <f>E105*1500</f>
        <v>16500</v>
      </c>
      <c r="G105" s="79">
        <f>E105*500</f>
        <v>5500</v>
      </c>
      <c r="H105" s="79">
        <f>E105*1000</f>
        <v>11000</v>
      </c>
    </row>
    <row r="106" spans="1:8" hidden="1" x14ac:dyDescent="0.25">
      <c r="D106" t="s">
        <v>13</v>
      </c>
      <c r="E106">
        <v>6</v>
      </c>
      <c r="F106" s="79">
        <f>E106*6500</f>
        <v>39000</v>
      </c>
      <c r="G106" s="79">
        <f>E106*4500</f>
        <v>27000</v>
      </c>
      <c r="H106" s="79">
        <f>E106*2000</f>
        <v>12000</v>
      </c>
    </row>
    <row r="107" spans="1:8" hidden="1" x14ac:dyDescent="0.25">
      <c r="D107" t="s">
        <v>14</v>
      </c>
      <c r="E107">
        <v>1</v>
      </c>
      <c r="F107" s="79">
        <v>10000</v>
      </c>
      <c r="G107" s="79">
        <v>5500</v>
      </c>
      <c r="H107" s="79">
        <v>4500</v>
      </c>
    </row>
    <row r="108" spans="1:8" hidden="1" x14ac:dyDescent="0.25">
      <c r="D108" t="s">
        <v>404</v>
      </c>
      <c r="E108">
        <v>6</v>
      </c>
      <c r="F108" s="79">
        <f>E108*2000</f>
        <v>12000</v>
      </c>
      <c r="G108" s="79">
        <v>6000</v>
      </c>
      <c r="H108" s="79">
        <v>6000</v>
      </c>
    </row>
    <row r="109" spans="1:8" hidden="1" x14ac:dyDescent="0.25">
      <c r="C109" t="s">
        <v>466</v>
      </c>
      <c r="D109" t="s">
        <v>13</v>
      </c>
      <c r="E109">
        <v>9</v>
      </c>
      <c r="F109" s="79">
        <f>E109*8000</f>
        <v>72000</v>
      </c>
      <c r="G109" s="79">
        <f>E109*4500</f>
        <v>40500</v>
      </c>
      <c r="H109" s="79">
        <f>E109*3500</f>
        <v>31500</v>
      </c>
    </row>
    <row r="110" spans="1:8" hidden="1" x14ac:dyDescent="0.25">
      <c r="D110" t="s">
        <v>14</v>
      </c>
      <c r="E110">
        <v>9</v>
      </c>
      <c r="F110" s="79">
        <f>E110*10000</f>
        <v>90000</v>
      </c>
      <c r="G110" s="79">
        <f>E110*5500</f>
        <v>49500</v>
      </c>
      <c r="H110" s="79">
        <f>E110*4500</f>
        <v>40500</v>
      </c>
    </row>
    <row r="111" spans="1:8" hidden="1" x14ac:dyDescent="0.25">
      <c r="A111" s="112" t="s">
        <v>17</v>
      </c>
      <c r="B111" s="112"/>
      <c r="C111" s="112"/>
      <c r="D111" s="112"/>
      <c r="E111" s="78">
        <f>SUM(E101:E110)</f>
        <v>164</v>
      </c>
      <c r="F111" s="78">
        <f t="shared" ref="F111:H111" si="12">SUM(F101:F110)</f>
        <v>446600</v>
      </c>
      <c r="G111" s="78">
        <f t="shared" si="12"/>
        <v>195000</v>
      </c>
      <c r="H111" s="78">
        <f t="shared" si="12"/>
        <v>251600</v>
      </c>
    </row>
    <row r="112" spans="1:8" hidden="1" x14ac:dyDescent="0.25">
      <c r="A112" t="s">
        <v>32</v>
      </c>
      <c r="B112" s="3">
        <v>45209</v>
      </c>
      <c r="C112" t="s">
        <v>338</v>
      </c>
      <c r="D112" t="s">
        <v>11</v>
      </c>
      <c r="E112">
        <v>69</v>
      </c>
      <c r="F112" s="79">
        <f>E112*1800</f>
        <v>124200</v>
      </c>
      <c r="G112" s="79">
        <f>E112*500</f>
        <v>34500</v>
      </c>
      <c r="H112" s="79">
        <f>E112*1300</f>
        <v>89700</v>
      </c>
    </row>
    <row r="113" spans="1:8" hidden="1" x14ac:dyDescent="0.25">
      <c r="C113" t="s">
        <v>571</v>
      </c>
      <c r="D113" t="s">
        <v>11</v>
      </c>
      <c r="E113">
        <f>49+47</f>
        <v>96</v>
      </c>
      <c r="F113" s="79">
        <f>E113*1700</f>
        <v>163200</v>
      </c>
      <c r="G113" s="79">
        <f>E113*500</f>
        <v>48000</v>
      </c>
      <c r="H113" s="79">
        <f>E113*1200</f>
        <v>115200</v>
      </c>
    </row>
    <row r="114" spans="1:8" hidden="1" x14ac:dyDescent="0.25">
      <c r="C114" t="s">
        <v>209</v>
      </c>
      <c r="D114" t="s">
        <v>11</v>
      </c>
      <c r="E114">
        <v>20</v>
      </c>
      <c r="F114" s="79">
        <f>E114*1500</f>
        <v>30000</v>
      </c>
      <c r="G114" s="79">
        <f>E114*500</f>
        <v>10000</v>
      </c>
      <c r="H114" s="79">
        <f>E114*1000</f>
        <v>20000</v>
      </c>
    </row>
    <row r="115" spans="1:8" hidden="1" x14ac:dyDescent="0.25">
      <c r="C115" t="s">
        <v>16</v>
      </c>
      <c r="D115" t="s">
        <v>11</v>
      </c>
      <c r="E115">
        <v>62</v>
      </c>
      <c r="F115" s="79">
        <f>E115*1500</f>
        <v>93000</v>
      </c>
      <c r="G115" s="79">
        <f>E115*500</f>
        <v>31000</v>
      </c>
      <c r="H115" s="79">
        <f>E115*1000</f>
        <v>62000</v>
      </c>
    </row>
    <row r="116" spans="1:8" hidden="1" x14ac:dyDescent="0.25">
      <c r="D116" t="s">
        <v>12</v>
      </c>
      <c r="E116">
        <v>3</v>
      </c>
      <c r="F116" s="79">
        <f>E116*3000</f>
        <v>9000</v>
      </c>
      <c r="G116" s="79">
        <v>6000</v>
      </c>
      <c r="H116" s="79">
        <v>3000</v>
      </c>
    </row>
    <row r="117" spans="1:8" hidden="1" x14ac:dyDescent="0.25">
      <c r="A117" s="112" t="s">
        <v>17</v>
      </c>
      <c r="B117" s="112"/>
      <c r="C117" s="112"/>
      <c r="D117" s="112"/>
      <c r="E117" s="78">
        <f>SUM(E112:E116)</f>
        <v>250</v>
      </c>
      <c r="F117" s="78">
        <f t="shared" ref="F117:H117" si="13">SUM(F112:F116)</f>
        <v>419400</v>
      </c>
      <c r="G117" s="78">
        <f t="shared" si="13"/>
        <v>129500</v>
      </c>
      <c r="H117" s="78">
        <f t="shared" si="13"/>
        <v>289900</v>
      </c>
    </row>
    <row r="118" spans="1:8" hidden="1" x14ac:dyDescent="0.25">
      <c r="A118" t="s">
        <v>8</v>
      </c>
      <c r="B118" s="3">
        <v>45210</v>
      </c>
      <c r="C118" t="s">
        <v>338</v>
      </c>
      <c r="D118" t="s">
        <v>11</v>
      </c>
      <c r="E118">
        <v>69</v>
      </c>
      <c r="F118" s="79">
        <f>E118*1800</f>
        <v>124200</v>
      </c>
      <c r="G118" s="79">
        <f>E118*500</f>
        <v>34500</v>
      </c>
      <c r="H118" s="79">
        <f>E118*1300</f>
        <v>89700</v>
      </c>
    </row>
    <row r="119" spans="1:8" hidden="1" x14ac:dyDescent="0.25">
      <c r="C119" t="s">
        <v>571</v>
      </c>
      <c r="D119" t="s">
        <v>11</v>
      </c>
      <c r="E119">
        <v>49</v>
      </c>
      <c r="F119" s="79">
        <f>E119*1700</f>
        <v>83300</v>
      </c>
      <c r="G119" s="79">
        <f>E119*500</f>
        <v>24500</v>
      </c>
      <c r="H119" s="79">
        <f>E119*1200</f>
        <v>58800</v>
      </c>
    </row>
    <row r="120" spans="1:8" hidden="1" x14ac:dyDescent="0.25">
      <c r="C120" t="s">
        <v>646</v>
      </c>
      <c r="D120" t="s">
        <v>11</v>
      </c>
      <c r="E120">
        <f>50+48</f>
        <v>98</v>
      </c>
      <c r="F120" s="79">
        <f>E120*1500</f>
        <v>147000</v>
      </c>
      <c r="G120" s="79">
        <f>E120*500</f>
        <v>49000</v>
      </c>
      <c r="H120" s="79">
        <f>E120*1000</f>
        <v>98000</v>
      </c>
    </row>
    <row r="121" spans="1:8" hidden="1" x14ac:dyDescent="0.25">
      <c r="C121" t="s">
        <v>104</v>
      </c>
      <c r="D121" t="s">
        <v>11</v>
      </c>
      <c r="E121">
        <v>27</v>
      </c>
      <c r="F121" s="79">
        <f>E121*1500</f>
        <v>40500</v>
      </c>
      <c r="G121" s="79">
        <f>E121*500</f>
        <v>13500</v>
      </c>
      <c r="H121" s="79">
        <f>E121*1000</f>
        <v>27000</v>
      </c>
    </row>
    <row r="122" spans="1:8" hidden="1" x14ac:dyDescent="0.25">
      <c r="C122" t="s">
        <v>16</v>
      </c>
      <c r="D122" t="s">
        <v>11</v>
      </c>
      <c r="E122">
        <v>43</v>
      </c>
      <c r="F122" s="79">
        <f>E122*1500</f>
        <v>64500</v>
      </c>
      <c r="G122" s="79">
        <f>E122*500</f>
        <v>21500</v>
      </c>
      <c r="H122" s="79">
        <f>E122*1000</f>
        <v>43000</v>
      </c>
    </row>
    <row r="123" spans="1:8" hidden="1" x14ac:dyDescent="0.25">
      <c r="D123" t="s">
        <v>12</v>
      </c>
      <c r="E123">
        <v>3</v>
      </c>
      <c r="F123" s="79">
        <f>E123*3000</f>
        <v>9000</v>
      </c>
      <c r="G123" s="79">
        <v>6000</v>
      </c>
      <c r="H123" s="79">
        <v>2000</v>
      </c>
    </row>
    <row r="124" spans="1:8" hidden="1" x14ac:dyDescent="0.25">
      <c r="D124" t="s">
        <v>13</v>
      </c>
      <c r="E124">
        <v>1</v>
      </c>
      <c r="F124" s="79">
        <v>6500</v>
      </c>
      <c r="G124" s="79">
        <v>4500</v>
      </c>
      <c r="H124" s="79">
        <v>2000</v>
      </c>
    </row>
    <row r="125" spans="1:8" hidden="1" x14ac:dyDescent="0.25">
      <c r="D125" t="s">
        <v>14</v>
      </c>
      <c r="E125">
        <v>2</v>
      </c>
      <c r="F125" s="79">
        <f>E125*10000</f>
        <v>20000</v>
      </c>
      <c r="G125" s="79">
        <f>E125*5500</f>
        <v>11000</v>
      </c>
      <c r="H125" s="79">
        <f>E125*4500</f>
        <v>9000</v>
      </c>
    </row>
    <row r="126" spans="1:8" hidden="1" x14ac:dyDescent="0.25">
      <c r="C126" t="s">
        <v>217</v>
      </c>
      <c r="D126" t="s">
        <v>11</v>
      </c>
      <c r="E126">
        <v>22</v>
      </c>
      <c r="F126" s="79">
        <f>E126*1500</f>
        <v>33000</v>
      </c>
      <c r="G126" s="79">
        <f>E126*500</f>
        <v>11000</v>
      </c>
      <c r="H126" s="79">
        <f>E126*1000</f>
        <v>22000</v>
      </c>
    </row>
    <row r="127" spans="1:8" hidden="1" x14ac:dyDescent="0.25">
      <c r="D127" t="s">
        <v>13</v>
      </c>
      <c r="E127">
        <v>3</v>
      </c>
      <c r="F127" s="79">
        <f>E127*6500</f>
        <v>19500</v>
      </c>
      <c r="G127" s="79">
        <f>E127*4500</f>
        <v>13500</v>
      </c>
      <c r="H127" s="79">
        <f>E127*2000</f>
        <v>6000</v>
      </c>
    </row>
    <row r="128" spans="1:8" hidden="1" x14ac:dyDescent="0.25">
      <c r="D128" t="s">
        <v>14</v>
      </c>
      <c r="E128">
        <v>2</v>
      </c>
      <c r="F128" s="79">
        <f>E128*10000</f>
        <v>20000</v>
      </c>
      <c r="G128" s="79">
        <f>E128*5500</f>
        <v>11000</v>
      </c>
      <c r="H128" s="79">
        <f>E128*4500</f>
        <v>9000</v>
      </c>
    </row>
    <row r="129" spans="1:8" hidden="1" x14ac:dyDescent="0.25">
      <c r="D129" t="s">
        <v>404</v>
      </c>
      <c r="E129">
        <v>2</v>
      </c>
      <c r="F129" s="79">
        <f>E129*2000</f>
        <v>4000</v>
      </c>
      <c r="G129" s="79">
        <v>2000</v>
      </c>
      <c r="H129" s="79">
        <v>2000</v>
      </c>
    </row>
    <row r="130" spans="1:8" hidden="1" x14ac:dyDescent="0.25">
      <c r="D130" t="s">
        <v>415</v>
      </c>
      <c r="E130">
        <v>2</v>
      </c>
      <c r="F130" s="79">
        <v>10000</v>
      </c>
      <c r="G130" s="79">
        <v>5000</v>
      </c>
      <c r="H130" s="79">
        <v>5000</v>
      </c>
    </row>
    <row r="131" spans="1:8" hidden="1" x14ac:dyDescent="0.25">
      <c r="C131" t="s">
        <v>127</v>
      </c>
      <c r="D131" t="s">
        <v>21</v>
      </c>
      <c r="E131">
        <v>5</v>
      </c>
      <c r="F131" s="79">
        <f>E131*15000</f>
        <v>75000</v>
      </c>
      <c r="G131" s="79">
        <f>E131*10000</f>
        <v>50000</v>
      </c>
      <c r="H131" s="79">
        <v>25000</v>
      </c>
    </row>
    <row r="132" spans="1:8" hidden="1" x14ac:dyDescent="0.25">
      <c r="D132" t="s">
        <v>243</v>
      </c>
      <c r="E132">
        <v>1</v>
      </c>
      <c r="F132" s="79">
        <v>13000</v>
      </c>
      <c r="G132" s="79">
        <v>10000</v>
      </c>
      <c r="H132" s="79">
        <v>3000</v>
      </c>
    </row>
    <row r="133" spans="1:8" hidden="1" x14ac:dyDescent="0.25">
      <c r="A133" s="112" t="s">
        <v>17</v>
      </c>
      <c r="B133" s="112"/>
      <c r="C133" s="112"/>
      <c r="D133" s="112"/>
      <c r="E133" s="78">
        <f>SUM(E118:E132)</f>
        <v>329</v>
      </c>
      <c r="F133" s="78">
        <f t="shared" ref="F133:H133" si="14">SUM(F118:F132)</f>
        <v>669500</v>
      </c>
      <c r="G133" s="78">
        <f t="shared" si="14"/>
        <v>267000</v>
      </c>
      <c r="H133" s="78">
        <f t="shared" si="14"/>
        <v>401500</v>
      </c>
    </row>
    <row r="134" spans="1:8" hidden="1" x14ac:dyDescent="0.25">
      <c r="A134" t="s">
        <v>18</v>
      </c>
      <c r="B134" s="3">
        <v>45211</v>
      </c>
      <c r="C134" t="s">
        <v>338</v>
      </c>
      <c r="D134" t="s">
        <v>11</v>
      </c>
      <c r="E134">
        <v>70</v>
      </c>
      <c r="F134" s="79">
        <f>E134*1800</f>
        <v>126000</v>
      </c>
      <c r="G134" s="79">
        <f>E134*500</f>
        <v>35000</v>
      </c>
      <c r="H134" s="79">
        <f>E134*1300</f>
        <v>91000</v>
      </c>
    </row>
    <row r="135" spans="1:8" hidden="1" x14ac:dyDescent="0.25">
      <c r="C135" t="s">
        <v>306</v>
      </c>
      <c r="D135" t="s">
        <v>11</v>
      </c>
      <c r="E135">
        <v>21</v>
      </c>
      <c r="F135" s="79">
        <f>E135*1800</f>
        <v>37800</v>
      </c>
      <c r="G135" s="79">
        <f>E135*500</f>
        <v>10500</v>
      </c>
      <c r="H135" s="79">
        <f>E135*1300</f>
        <v>27300</v>
      </c>
    </row>
    <row r="136" spans="1:8" hidden="1" x14ac:dyDescent="0.25">
      <c r="C136" t="s">
        <v>571</v>
      </c>
      <c r="D136" t="s">
        <v>11</v>
      </c>
      <c r="E136">
        <v>24</v>
      </c>
      <c r="F136" s="79">
        <f>E136*1700</f>
        <v>40800</v>
      </c>
      <c r="G136" s="79">
        <f>E136*500</f>
        <v>12000</v>
      </c>
      <c r="H136" s="79">
        <f>E136*1200</f>
        <v>28800</v>
      </c>
    </row>
    <row r="137" spans="1:8" hidden="1" x14ac:dyDescent="0.25">
      <c r="C137" t="s">
        <v>104</v>
      </c>
      <c r="D137" t="s">
        <v>11</v>
      </c>
      <c r="E137">
        <f>17+20</f>
        <v>37</v>
      </c>
      <c r="F137" s="79">
        <f>E137*1700</f>
        <v>62900</v>
      </c>
      <c r="G137" s="79">
        <f>E137*500</f>
        <v>18500</v>
      </c>
      <c r="H137" s="79">
        <f>E137*1200</f>
        <v>44400</v>
      </c>
    </row>
    <row r="138" spans="1:8" hidden="1" x14ac:dyDescent="0.25">
      <c r="C138" t="s">
        <v>646</v>
      </c>
      <c r="D138" t="s">
        <v>11</v>
      </c>
      <c r="E138">
        <f>50+48</f>
        <v>98</v>
      </c>
      <c r="F138" s="79">
        <f>E138*1500</f>
        <v>147000</v>
      </c>
      <c r="G138" s="79">
        <f>E138*500</f>
        <v>49000</v>
      </c>
      <c r="H138" s="79">
        <f>E138*1000</f>
        <v>98000</v>
      </c>
    </row>
    <row r="139" spans="1:8" hidden="1" x14ac:dyDescent="0.25">
      <c r="C139" t="s">
        <v>209</v>
      </c>
      <c r="D139" t="s">
        <v>11</v>
      </c>
      <c r="E139">
        <v>17</v>
      </c>
      <c r="F139" s="79">
        <f t="shared" ref="F139:F140" si="15">E139*1500</f>
        <v>25500</v>
      </c>
      <c r="G139" s="79">
        <f t="shared" ref="G139:G140" si="16">E139*500</f>
        <v>8500</v>
      </c>
      <c r="H139" s="79">
        <f t="shared" ref="H139:H140" si="17">E139*1000</f>
        <v>17000</v>
      </c>
    </row>
    <row r="140" spans="1:8" hidden="1" x14ac:dyDescent="0.25">
      <c r="C140" t="s">
        <v>217</v>
      </c>
      <c r="D140" t="s">
        <v>11</v>
      </c>
      <c r="E140">
        <v>14</v>
      </c>
      <c r="F140" s="79">
        <f t="shared" si="15"/>
        <v>21000</v>
      </c>
      <c r="G140" s="79">
        <f t="shared" si="16"/>
        <v>7000</v>
      </c>
      <c r="H140" s="79">
        <f t="shared" si="17"/>
        <v>14000</v>
      </c>
    </row>
    <row r="141" spans="1:8" hidden="1" x14ac:dyDescent="0.25">
      <c r="D141" t="s">
        <v>13</v>
      </c>
      <c r="E141">
        <v>3</v>
      </c>
      <c r="F141" s="79">
        <f>E141*6500</f>
        <v>19500</v>
      </c>
      <c r="G141" s="79">
        <f>E141*4500</f>
        <v>13500</v>
      </c>
      <c r="H141" s="79">
        <f>E141*2000</f>
        <v>6000</v>
      </c>
    </row>
    <row r="142" spans="1:8" hidden="1" x14ac:dyDescent="0.25">
      <c r="D142" t="s">
        <v>14</v>
      </c>
      <c r="E142">
        <v>1</v>
      </c>
      <c r="F142" s="79">
        <v>10000</v>
      </c>
      <c r="G142" s="79">
        <v>5500</v>
      </c>
      <c r="H142" s="79">
        <v>4500</v>
      </c>
    </row>
    <row r="143" spans="1:8" hidden="1" x14ac:dyDescent="0.25">
      <c r="D143" t="s">
        <v>404</v>
      </c>
      <c r="E143">
        <v>4</v>
      </c>
      <c r="F143" s="79">
        <f>E143*2000</f>
        <v>8000</v>
      </c>
      <c r="G143" s="79">
        <v>4000</v>
      </c>
      <c r="H143" s="79">
        <v>4000</v>
      </c>
    </row>
    <row r="144" spans="1:8" hidden="1" x14ac:dyDescent="0.25">
      <c r="C144" t="s">
        <v>16</v>
      </c>
      <c r="D144" t="s">
        <v>11</v>
      </c>
      <c r="E144">
        <v>62</v>
      </c>
      <c r="F144" s="79">
        <f>E144*1500</f>
        <v>93000</v>
      </c>
      <c r="G144" s="79">
        <f>E144*500</f>
        <v>31000</v>
      </c>
      <c r="H144" s="79">
        <f>E144*1000</f>
        <v>62000</v>
      </c>
    </row>
    <row r="145" spans="1:8" hidden="1" x14ac:dyDescent="0.25">
      <c r="D145" t="s">
        <v>12</v>
      </c>
      <c r="E145">
        <v>3</v>
      </c>
      <c r="F145" s="79">
        <f>E145*3000</f>
        <v>9000</v>
      </c>
      <c r="G145" s="79">
        <v>6000</v>
      </c>
      <c r="H145" s="79">
        <v>3000</v>
      </c>
    </row>
    <row r="146" spans="1:8" hidden="1" x14ac:dyDescent="0.25">
      <c r="D146" t="s">
        <v>13</v>
      </c>
      <c r="E146">
        <v>1</v>
      </c>
      <c r="F146" s="79">
        <v>6500</v>
      </c>
      <c r="G146" s="79">
        <v>4500</v>
      </c>
      <c r="H146" s="79">
        <v>2000</v>
      </c>
    </row>
    <row r="147" spans="1:8" hidden="1" x14ac:dyDescent="0.25">
      <c r="A147" s="112" t="s">
        <v>17</v>
      </c>
      <c r="B147" s="112"/>
      <c r="C147" s="112"/>
      <c r="D147" s="112"/>
      <c r="E147" s="78">
        <f>SUM(E134:E146)</f>
        <v>355</v>
      </c>
      <c r="F147" s="78">
        <f t="shared" ref="F147:H147" si="18">SUM(F134:F146)</f>
        <v>607000</v>
      </c>
      <c r="G147" s="78">
        <f t="shared" si="18"/>
        <v>205000</v>
      </c>
      <c r="H147" s="78">
        <f t="shared" si="18"/>
        <v>402000</v>
      </c>
    </row>
    <row r="148" spans="1:8" hidden="1" x14ac:dyDescent="0.25">
      <c r="A148" t="s">
        <v>22</v>
      </c>
      <c r="B148" s="3">
        <v>45212</v>
      </c>
      <c r="C148" t="s">
        <v>338</v>
      </c>
      <c r="D148" t="s">
        <v>11</v>
      </c>
      <c r="E148">
        <v>70</v>
      </c>
      <c r="F148" s="79">
        <f>E148*1800</f>
        <v>126000</v>
      </c>
      <c r="G148" s="79">
        <f>E148*500</f>
        <v>35000</v>
      </c>
      <c r="H148" s="79">
        <f>E148*1300</f>
        <v>91000</v>
      </c>
    </row>
    <row r="149" spans="1:8" hidden="1" x14ac:dyDescent="0.25">
      <c r="C149" t="s">
        <v>571</v>
      </c>
      <c r="D149" t="s">
        <v>11</v>
      </c>
      <c r="E149">
        <v>50</v>
      </c>
      <c r="F149" s="79">
        <f>E149*1700</f>
        <v>85000</v>
      </c>
      <c r="G149" s="79">
        <f>E149*500</f>
        <v>25000</v>
      </c>
      <c r="H149" s="79">
        <f>E149*1200</f>
        <v>60000</v>
      </c>
    </row>
    <row r="150" spans="1:8" hidden="1" x14ac:dyDescent="0.25">
      <c r="C150" t="s">
        <v>104</v>
      </c>
      <c r="D150" t="s">
        <v>11</v>
      </c>
      <c r="E150">
        <v>20</v>
      </c>
      <c r="F150" s="79">
        <f>E150*1700</f>
        <v>34000</v>
      </c>
      <c r="G150" s="79">
        <f>E150*500</f>
        <v>10000</v>
      </c>
      <c r="H150" s="79">
        <f>E150*1200</f>
        <v>24000</v>
      </c>
    </row>
    <row r="151" spans="1:8" hidden="1" x14ac:dyDescent="0.25">
      <c r="C151" t="s">
        <v>209</v>
      </c>
      <c r="D151" t="s">
        <v>11</v>
      </c>
      <c r="E151">
        <v>14</v>
      </c>
      <c r="F151" s="79">
        <f>E151*1500</f>
        <v>21000</v>
      </c>
      <c r="G151" s="79">
        <f>E151*500</f>
        <v>7000</v>
      </c>
      <c r="H151" s="79">
        <f>E151*1000</f>
        <v>14000</v>
      </c>
    </row>
    <row r="152" spans="1:8" hidden="1" x14ac:dyDescent="0.25">
      <c r="C152" t="s">
        <v>16</v>
      </c>
      <c r="D152" t="s">
        <v>11</v>
      </c>
      <c r="E152">
        <v>68</v>
      </c>
      <c r="F152" s="79">
        <f>E152*1500</f>
        <v>102000</v>
      </c>
      <c r="G152" s="79">
        <f>E152*500</f>
        <v>34000</v>
      </c>
      <c r="H152" s="79">
        <f>E152*1000</f>
        <v>68000</v>
      </c>
    </row>
    <row r="153" spans="1:8" hidden="1" x14ac:dyDescent="0.25">
      <c r="D153" t="s">
        <v>12</v>
      </c>
      <c r="E153">
        <v>2</v>
      </c>
      <c r="F153" s="79">
        <f>E153*3000</f>
        <v>6000</v>
      </c>
      <c r="G153" s="79">
        <v>4000</v>
      </c>
      <c r="H153" s="79">
        <v>2000</v>
      </c>
    </row>
    <row r="154" spans="1:8" hidden="1" x14ac:dyDescent="0.25">
      <c r="D154" t="s">
        <v>13</v>
      </c>
      <c r="E154">
        <v>1</v>
      </c>
      <c r="F154" s="79">
        <v>6500</v>
      </c>
      <c r="G154" s="79">
        <v>4500</v>
      </c>
      <c r="H154" s="79">
        <v>2000</v>
      </c>
    </row>
    <row r="155" spans="1:8" hidden="1" x14ac:dyDescent="0.25">
      <c r="D155" t="s">
        <v>14</v>
      </c>
      <c r="E155">
        <v>1</v>
      </c>
      <c r="F155" s="79">
        <v>10000</v>
      </c>
      <c r="G155" s="79">
        <v>5500</v>
      </c>
      <c r="H155" s="79">
        <v>4500</v>
      </c>
    </row>
    <row r="156" spans="1:8" hidden="1" x14ac:dyDescent="0.25">
      <c r="D156" t="s">
        <v>243</v>
      </c>
      <c r="E156">
        <v>1</v>
      </c>
      <c r="F156" s="79">
        <v>13000</v>
      </c>
      <c r="G156" s="79">
        <v>10000</v>
      </c>
      <c r="H156" s="79">
        <v>3000</v>
      </c>
    </row>
    <row r="157" spans="1:8" hidden="1" x14ac:dyDescent="0.25">
      <c r="C157" t="s">
        <v>24</v>
      </c>
      <c r="D157" t="s">
        <v>243</v>
      </c>
      <c r="E157">
        <v>5</v>
      </c>
      <c r="F157" s="79">
        <f>E157*13000</f>
        <v>65000</v>
      </c>
      <c r="G157" s="79">
        <f>E157*10000</f>
        <v>50000</v>
      </c>
      <c r="H157" s="79">
        <f>E157*3000</f>
        <v>15000</v>
      </c>
    </row>
    <row r="158" spans="1:8" hidden="1" x14ac:dyDescent="0.25">
      <c r="A158" s="112" t="s">
        <v>17</v>
      </c>
      <c r="B158" s="112"/>
      <c r="C158" s="112"/>
      <c r="D158" s="112"/>
      <c r="E158" s="78">
        <f>SUM(E148:E157)</f>
        <v>232</v>
      </c>
      <c r="F158" s="78">
        <f t="shared" ref="F158:H158" si="19">SUM(F148:F157)</f>
        <v>468500</v>
      </c>
      <c r="G158" s="78">
        <f t="shared" si="19"/>
        <v>185000</v>
      </c>
      <c r="H158" s="78">
        <f t="shared" si="19"/>
        <v>283500</v>
      </c>
    </row>
    <row r="159" spans="1:8" hidden="1" x14ac:dyDescent="0.25">
      <c r="A159" t="s">
        <v>26</v>
      </c>
      <c r="B159" s="3">
        <v>45213</v>
      </c>
      <c r="C159" t="s">
        <v>338</v>
      </c>
      <c r="D159" t="s">
        <v>11</v>
      </c>
      <c r="E159">
        <v>48</v>
      </c>
      <c r="F159" s="79">
        <f>E159*1800</f>
        <v>86400</v>
      </c>
      <c r="G159" s="79">
        <f>E159*500</f>
        <v>24000</v>
      </c>
      <c r="H159" s="79">
        <f>E159*1300</f>
        <v>62400</v>
      </c>
    </row>
    <row r="160" spans="1:8" hidden="1" x14ac:dyDescent="0.25">
      <c r="C160" t="s">
        <v>581</v>
      </c>
      <c r="D160" t="s">
        <v>11</v>
      </c>
      <c r="E160">
        <v>213</v>
      </c>
      <c r="F160" s="79">
        <f>E160*1500</f>
        <v>319500</v>
      </c>
      <c r="G160" s="79">
        <f>E160*500</f>
        <v>106500</v>
      </c>
      <c r="H160" s="79">
        <f>E160*1000</f>
        <v>213000</v>
      </c>
    </row>
    <row r="161" spans="1:8" hidden="1" x14ac:dyDescent="0.25">
      <c r="C161" t="s">
        <v>16</v>
      </c>
      <c r="D161" t="s">
        <v>11</v>
      </c>
      <c r="E161">
        <v>37</v>
      </c>
      <c r="F161" s="79">
        <f>E161*1500</f>
        <v>55500</v>
      </c>
      <c r="G161" s="79">
        <f>E161*500</f>
        <v>18500</v>
      </c>
      <c r="H161" s="79">
        <f>E161*1000</f>
        <v>37000</v>
      </c>
    </row>
    <row r="162" spans="1:8" hidden="1" x14ac:dyDescent="0.25">
      <c r="D162" t="s">
        <v>12</v>
      </c>
      <c r="E162">
        <v>2</v>
      </c>
      <c r="F162" s="79">
        <f>E162*3000</f>
        <v>6000</v>
      </c>
      <c r="G162" s="79">
        <f>E162*2000</f>
        <v>4000</v>
      </c>
      <c r="H162" s="79">
        <v>2000</v>
      </c>
    </row>
    <row r="163" spans="1:8" hidden="1" x14ac:dyDescent="0.25">
      <c r="D163" t="s">
        <v>13</v>
      </c>
      <c r="E163">
        <v>2</v>
      </c>
      <c r="F163" s="79">
        <f>E163*6500</f>
        <v>13000</v>
      </c>
      <c r="G163" s="79">
        <f>E163*4500</f>
        <v>9000</v>
      </c>
      <c r="H163" s="79">
        <f>E163*2000</f>
        <v>4000</v>
      </c>
    </row>
    <row r="164" spans="1:8" hidden="1" x14ac:dyDescent="0.25">
      <c r="D164" t="s">
        <v>14</v>
      </c>
      <c r="E164">
        <v>2</v>
      </c>
      <c r="F164" s="79">
        <f>E164*10000</f>
        <v>20000</v>
      </c>
      <c r="G164" s="79">
        <f>E164*5500</f>
        <v>11000</v>
      </c>
      <c r="H164" s="79">
        <f>E164*4500</f>
        <v>9000</v>
      </c>
    </row>
    <row r="165" spans="1:8" hidden="1" x14ac:dyDescent="0.25">
      <c r="C165" t="s">
        <v>217</v>
      </c>
      <c r="D165" t="s">
        <v>11</v>
      </c>
      <c r="E165">
        <f>18+16+3+7</f>
        <v>44</v>
      </c>
      <c r="F165" s="79">
        <f>E165*1500</f>
        <v>66000</v>
      </c>
      <c r="G165" s="79">
        <f>E165*500</f>
        <v>22000</v>
      </c>
      <c r="H165" s="79">
        <f>E165*1000</f>
        <v>44000</v>
      </c>
    </row>
    <row r="166" spans="1:8" hidden="1" x14ac:dyDescent="0.25">
      <c r="D166" t="s">
        <v>13</v>
      </c>
      <c r="E166">
        <f>10+5</f>
        <v>15</v>
      </c>
      <c r="F166" s="79">
        <f>E166*6500</f>
        <v>97500</v>
      </c>
      <c r="G166" s="79">
        <f>E166*4500</f>
        <v>67500</v>
      </c>
      <c r="H166" s="79">
        <f>E166*2000</f>
        <v>30000</v>
      </c>
    </row>
    <row r="167" spans="1:8" hidden="1" x14ac:dyDescent="0.25">
      <c r="D167" t="s">
        <v>14</v>
      </c>
      <c r="E167">
        <f>3+5</f>
        <v>8</v>
      </c>
      <c r="F167" s="79">
        <f>E167*10000</f>
        <v>80000</v>
      </c>
      <c r="G167" s="79">
        <f>E167*5500</f>
        <v>44000</v>
      </c>
      <c r="H167" s="79">
        <f>E167*4500</f>
        <v>36000</v>
      </c>
    </row>
    <row r="168" spans="1:8" hidden="1" x14ac:dyDescent="0.25">
      <c r="D168" t="s">
        <v>404</v>
      </c>
      <c r="E168">
        <v>11</v>
      </c>
      <c r="F168" s="79">
        <f>E168*2000</f>
        <v>22000</v>
      </c>
      <c r="G168" s="79">
        <v>11000</v>
      </c>
      <c r="H168" s="79">
        <v>11000</v>
      </c>
    </row>
    <row r="169" spans="1:8" hidden="1" x14ac:dyDescent="0.25">
      <c r="D169" t="s">
        <v>415</v>
      </c>
      <c r="E169">
        <v>1</v>
      </c>
      <c r="F169" s="79">
        <v>5000</v>
      </c>
      <c r="G169" s="79">
        <v>2500</v>
      </c>
      <c r="H169" s="79">
        <v>2500</v>
      </c>
    </row>
    <row r="170" spans="1:8" x14ac:dyDescent="0.25">
      <c r="D170" t="s">
        <v>441</v>
      </c>
      <c r="E170">
        <v>6</v>
      </c>
      <c r="F170" s="79">
        <f>E170*3000</f>
        <v>18000</v>
      </c>
      <c r="G170" s="79">
        <v>9000</v>
      </c>
      <c r="H170" s="79">
        <v>9000</v>
      </c>
    </row>
    <row r="171" spans="1:8" x14ac:dyDescent="0.25">
      <c r="D171" t="s">
        <v>437</v>
      </c>
      <c r="E171">
        <v>4</v>
      </c>
      <c r="F171" s="79">
        <f>E171*5000</f>
        <v>20000</v>
      </c>
      <c r="G171" s="79">
        <v>10000</v>
      </c>
      <c r="H171" s="79">
        <v>10000</v>
      </c>
    </row>
    <row r="172" spans="1:8" hidden="1" x14ac:dyDescent="0.25">
      <c r="A172" s="112" t="s">
        <v>17</v>
      </c>
      <c r="B172" s="112"/>
      <c r="C172" s="112"/>
      <c r="D172" s="112"/>
      <c r="E172" s="78">
        <f>SUM(E159:E171)</f>
        <v>393</v>
      </c>
      <c r="F172" s="78">
        <f t="shared" ref="F172:H172" si="20">SUM(F159:F171)</f>
        <v>808900</v>
      </c>
      <c r="G172" s="78">
        <f t="shared" si="20"/>
        <v>339000</v>
      </c>
      <c r="H172" s="78">
        <f t="shared" si="20"/>
        <v>469900</v>
      </c>
    </row>
    <row r="173" spans="1:8" hidden="1" x14ac:dyDescent="0.25">
      <c r="A173" t="s">
        <v>28</v>
      </c>
      <c r="B173" s="3">
        <v>45214</v>
      </c>
      <c r="C173" t="s">
        <v>399</v>
      </c>
      <c r="D173" t="s">
        <v>13</v>
      </c>
      <c r="E173">
        <v>33</v>
      </c>
      <c r="F173" s="79">
        <f>E173*7000</f>
        <v>231000</v>
      </c>
      <c r="G173" s="79">
        <f>E173*4500</f>
        <v>148500</v>
      </c>
      <c r="H173" s="79">
        <f>E173*2500</f>
        <v>82500</v>
      </c>
    </row>
    <row r="174" spans="1:8" hidden="1" x14ac:dyDescent="0.25">
      <c r="D174" t="s">
        <v>14</v>
      </c>
      <c r="E174">
        <v>24</v>
      </c>
      <c r="F174" s="79">
        <f>E174*10000</f>
        <v>240000</v>
      </c>
      <c r="G174" s="79">
        <f>E174*5500</f>
        <v>132000</v>
      </c>
      <c r="H174" s="79">
        <f>E174*4500</f>
        <v>108000</v>
      </c>
    </row>
    <row r="175" spans="1:8" hidden="1" x14ac:dyDescent="0.25">
      <c r="D175" t="s">
        <v>243</v>
      </c>
      <c r="E175">
        <v>1</v>
      </c>
      <c r="F175" s="79">
        <v>13000</v>
      </c>
      <c r="G175" s="79">
        <v>10000</v>
      </c>
      <c r="H175" s="79">
        <v>3000</v>
      </c>
    </row>
    <row r="176" spans="1:8" hidden="1" x14ac:dyDescent="0.25">
      <c r="D176" t="s">
        <v>21</v>
      </c>
      <c r="E176">
        <v>1</v>
      </c>
      <c r="F176" s="79">
        <v>15000</v>
      </c>
      <c r="G176" s="79">
        <v>10000</v>
      </c>
      <c r="H176" s="79">
        <v>5000</v>
      </c>
    </row>
    <row r="177" spans="1:8" hidden="1" x14ac:dyDescent="0.25">
      <c r="D177" t="s">
        <v>404</v>
      </c>
      <c r="E177">
        <v>1</v>
      </c>
      <c r="F177" s="79">
        <v>2000</v>
      </c>
      <c r="G177" s="79">
        <v>1000</v>
      </c>
      <c r="H177" s="79">
        <v>1000</v>
      </c>
    </row>
    <row r="178" spans="1:8" hidden="1" x14ac:dyDescent="0.25">
      <c r="C178" t="s">
        <v>217</v>
      </c>
      <c r="D178" t="s">
        <v>11</v>
      </c>
      <c r="E178">
        <v>10</v>
      </c>
      <c r="F178" s="79">
        <f>E178*1500</f>
        <v>15000</v>
      </c>
      <c r="G178" s="79">
        <f>E178*500</f>
        <v>5000</v>
      </c>
      <c r="H178" s="79">
        <v>10000</v>
      </c>
    </row>
    <row r="179" spans="1:8" hidden="1" x14ac:dyDescent="0.25">
      <c r="D179" t="s">
        <v>13</v>
      </c>
      <c r="E179">
        <v>11</v>
      </c>
      <c r="F179" s="79">
        <f>E179*6500</f>
        <v>71500</v>
      </c>
      <c r="G179" s="79">
        <f>E179*4500</f>
        <v>49500</v>
      </c>
      <c r="H179" s="79">
        <f>E179*2000</f>
        <v>22000</v>
      </c>
    </row>
    <row r="180" spans="1:8" hidden="1" x14ac:dyDescent="0.25">
      <c r="D180" t="s">
        <v>14</v>
      </c>
      <c r="E180">
        <v>5</v>
      </c>
      <c r="F180" s="79">
        <f>E180*10000</f>
        <v>50000</v>
      </c>
      <c r="G180" s="79">
        <f>E180*5500</f>
        <v>27500</v>
      </c>
      <c r="H180" s="79">
        <f>E180*4500</f>
        <v>22500</v>
      </c>
    </row>
    <row r="181" spans="1:8" hidden="1" x14ac:dyDescent="0.25">
      <c r="D181" t="s">
        <v>404</v>
      </c>
      <c r="E181">
        <v>3</v>
      </c>
      <c r="F181" s="79">
        <f>E181*2000</f>
        <v>6000</v>
      </c>
      <c r="G181" s="79">
        <v>4000</v>
      </c>
      <c r="H181" s="79">
        <v>2000</v>
      </c>
    </row>
    <row r="182" spans="1:8" x14ac:dyDescent="0.25">
      <c r="D182" t="s">
        <v>626</v>
      </c>
      <c r="E182">
        <v>1</v>
      </c>
      <c r="F182" s="79">
        <v>3000</v>
      </c>
      <c r="G182" s="79">
        <v>1500</v>
      </c>
      <c r="H182" s="79">
        <v>1500</v>
      </c>
    </row>
    <row r="183" spans="1:8" hidden="1" x14ac:dyDescent="0.25">
      <c r="D183" t="s">
        <v>415</v>
      </c>
      <c r="E183">
        <v>2</v>
      </c>
      <c r="F183" s="79">
        <f>E183*5000</f>
        <v>10000</v>
      </c>
      <c r="G183" s="79">
        <v>5000</v>
      </c>
      <c r="H183" s="79">
        <v>5000</v>
      </c>
    </row>
    <row r="184" spans="1:8" hidden="1" x14ac:dyDescent="0.25">
      <c r="C184" t="s">
        <v>16</v>
      </c>
      <c r="D184" t="s">
        <v>11</v>
      </c>
      <c r="E184">
        <v>61</v>
      </c>
      <c r="F184" s="79">
        <f>E184*1500</f>
        <v>91500</v>
      </c>
      <c r="G184" s="79">
        <f>E184*500</f>
        <v>30500</v>
      </c>
      <c r="H184" s="79">
        <v>61000</v>
      </c>
    </row>
    <row r="185" spans="1:8" hidden="1" x14ac:dyDescent="0.25">
      <c r="D185" t="s">
        <v>12</v>
      </c>
      <c r="E185">
        <v>11</v>
      </c>
      <c r="F185" s="79">
        <f>E185*3000</f>
        <v>33000</v>
      </c>
      <c r="G185" s="79">
        <f>E185*2000</f>
        <v>22000</v>
      </c>
      <c r="H185" s="79">
        <v>11000</v>
      </c>
    </row>
    <row r="186" spans="1:8" hidden="1" x14ac:dyDescent="0.25">
      <c r="D186" t="s">
        <v>13</v>
      </c>
      <c r="E186">
        <v>2</v>
      </c>
      <c r="F186" s="79">
        <f>E186*6500</f>
        <v>13000</v>
      </c>
      <c r="G186" s="79">
        <f>E186*4500</f>
        <v>9000</v>
      </c>
      <c r="H186" s="79">
        <f>E186*2000</f>
        <v>4000</v>
      </c>
    </row>
    <row r="187" spans="1:8" hidden="1" x14ac:dyDescent="0.25">
      <c r="D187" t="s">
        <v>14</v>
      </c>
      <c r="E187">
        <v>1</v>
      </c>
      <c r="F187" s="79">
        <v>10000</v>
      </c>
      <c r="G187" s="79">
        <v>5500</v>
      </c>
      <c r="H187" s="79">
        <v>4500</v>
      </c>
    </row>
    <row r="188" spans="1:8" hidden="1" x14ac:dyDescent="0.25">
      <c r="C188" t="s">
        <v>24</v>
      </c>
      <c r="D188" t="s">
        <v>243</v>
      </c>
      <c r="E188">
        <v>5</v>
      </c>
      <c r="F188" s="79">
        <f>E188*15000</f>
        <v>75000</v>
      </c>
      <c r="G188" s="79">
        <f>E188*10000</f>
        <v>50000</v>
      </c>
      <c r="H188" s="79">
        <v>25000</v>
      </c>
    </row>
    <row r="189" spans="1:8" hidden="1" x14ac:dyDescent="0.25">
      <c r="A189" s="112" t="s">
        <v>17</v>
      </c>
      <c r="B189" s="112"/>
      <c r="C189" s="112"/>
      <c r="D189" s="112"/>
      <c r="E189" s="78">
        <f>SUM(E173:E188)</f>
        <v>172</v>
      </c>
      <c r="F189" s="78">
        <f t="shared" ref="F189:H189" si="21">SUM(F173:F188)</f>
        <v>879000</v>
      </c>
      <c r="G189" s="78">
        <f t="shared" si="21"/>
        <v>511000</v>
      </c>
      <c r="H189" s="78">
        <f t="shared" si="21"/>
        <v>368000</v>
      </c>
    </row>
    <row r="190" spans="1:8" hidden="1" x14ac:dyDescent="0.25">
      <c r="A190" t="s">
        <v>30</v>
      </c>
      <c r="B190" s="3">
        <v>45215</v>
      </c>
      <c r="C190" t="s">
        <v>306</v>
      </c>
      <c r="D190" t="s">
        <v>11</v>
      </c>
      <c r="E190">
        <v>25</v>
      </c>
      <c r="F190" s="79">
        <f>E190*1800</f>
        <v>45000</v>
      </c>
      <c r="G190" s="79">
        <f t="shared" ref="G190:G195" si="22">E190*500</f>
        <v>12500</v>
      </c>
      <c r="H190" s="79">
        <f>E190*1300</f>
        <v>32500</v>
      </c>
    </row>
    <row r="191" spans="1:8" hidden="1" x14ac:dyDescent="0.25">
      <c r="C191" t="s">
        <v>571</v>
      </c>
      <c r="D191" t="s">
        <v>11</v>
      </c>
      <c r="E191">
        <v>34</v>
      </c>
      <c r="F191" s="79">
        <f>E191*1700</f>
        <v>57800</v>
      </c>
      <c r="G191" s="79">
        <f t="shared" si="22"/>
        <v>17000</v>
      </c>
      <c r="H191" s="79">
        <f>E191*1200</f>
        <v>40800</v>
      </c>
    </row>
    <row r="192" spans="1:8" hidden="1" x14ac:dyDescent="0.25">
      <c r="C192" t="s">
        <v>572</v>
      </c>
      <c r="D192" t="s">
        <v>11</v>
      </c>
      <c r="E192">
        <f>19+18+24+33+14</f>
        <v>108</v>
      </c>
      <c r="F192" s="79">
        <f>E192*1700</f>
        <v>183600</v>
      </c>
      <c r="G192" s="79">
        <f t="shared" si="22"/>
        <v>54000</v>
      </c>
      <c r="H192" s="79">
        <f t="shared" ref="H192:H193" si="23">E192*1200</f>
        <v>129600</v>
      </c>
    </row>
    <row r="193" spans="1:8" hidden="1" x14ac:dyDescent="0.25">
      <c r="C193" t="s">
        <v>104</v>
      </c>
      <c r="D193" t="s">
        <v>11</v>
      </c>
      <c r="E193">
        <v>35</v>
      </c>
      <c r="F193" s="79">
        <f>E193*1700</f>
        <v>59500</v>
      </c>
      <c r="G193" s="79">
        <f t="shared" si="22"/>
        <v>17500</v>
      </c>
      <c r="H193" s="79">
        <f t="shared" si="23"/>
        <v>42000</v>
      </c>
    </row>
    <row r="194" spans="1:8" hidden="1" x14ac:dyDescent="0.25">
      <c r="C194" t="s">
        <v>209</v>
      </c>
      <c r="D194" t="s">
        <v>11</v>
      </c>
      <c r="E194">
        <v>18</v>
      </c>
      <c r="F194" s="79">
        <f>E194*1500</f>
        <v>27000</v>
      </c>
      <c r="G194" s="79">
        <f t="shared" si="22"/>
        <v>9000</v>
      </c>
      <c r="H194" s="79">
        <f>E194*1000</f>
        <v>18000</v>
      </c>
    </row>
    <row r="195" spans="1:8" hidden="1" x14ac:dyDescent="0.25">
      <c r="C195" t="s">
        <v>16</v>
      </c>
      <c r="D195" t="s">
        <v>11</v>
      </c>
      <c r="E195">
        <v>39</v>
      </c>
      <c r="F195" s="79">
        <f>E195*1500</f>
        <v>58500</v>
      </c>
      <c r="G195" s="79">
        <f t="shared" si="22"/>
        <v>19500</v>
      </c>
      <c r="H195" s="79">
        <f>E195*1000</f>
        <v>39000</v>
      </c>
    </row>
    <row r="196" spans="1:8" hidden="1" x14ac:dyDescent="0.25">
      <c r="D196" t="s">
        <v>12</v>
      </c>
      <c r="E196">
        <v>2</v>
      </c>
      <c r="F196" s="79">
        <f>E196*3000</f>
        <v>6000</v>
      </c>
      <c r="G196" s="79">
        <v>4000</v>
      </c>
      <c r="H196" s="79">
        <v>2000</v>
      </c>
    </row>
    <row r="197" spans="1:8" hidden="1" x14ac:dyDescent="0.25">
      <c r="D197" t="s">
        <v>243</v>
      </c>
      <c r="E197">
        <v>1</v>
      </c>
      <c r="F197" s="79">
        <v>13000</v>
      </c>
      <c r="G197" s="79">
        <v>10000</v>
      </c>
      <c r="H197" s="79">
        <v>3000</v>
      </c>
    </row>
    <row r="198" spans="1:8" hidden="1" x14ac:dyDescent="0.25">
      <c r="C198" t="s">
        <v>217</v>
      </c>
      <c r="D198" t="s">
        <v>11</v>
      </c>
      <c r="E198">
        <v>20</v>
      </c>
      <c r="F198" s="79">
        <f>E198*1500</f>
        <v>30000</v>
      </c>
      <c r="G198" s="79">
        <f>E198*500</f>
        <v>10000</v>
      </c>
      <c r="H198" s="79">
        <v>20000</v>
      </c>
    </row>
    <row r="199" spans="1:8" hidden="1" x14ac:dyDescent="0.25">
      <c r="D199" t="s">
        <v>13</v>
      </c>
      <c r="E199">
        <v>1</v>
      </c>
      <c r="F199" s="79">
        <v>6500</v>
      </c>
      <c r="G199" s="79">
        <v>4500</v>
      </c>
      <c r="H199" s="79">
        <v>2000</v>
      </c>
    </row>
    <row r="200" spans="1:8" hidden="1" x14ac:dyDescent="0.25">
      <c r="D200" t="s">
        <v>14</v>
      </c>
      <c r="E200">
        <v>5</v>
      </c>
      <c r="F200" s="79">
        <f>E200*10000</f>
        <v>50000</v>
      </c>
      <c r="G200" s="79">
        <f>E200*5500</f>
        <v>27500</v>
      </c>
      <c r="H200" s="79">
        <f>E200*4500</f>
        <v>22500</v>
      </c>
    </row>
    <row r="201" spans="1:8" hidden="1" x14ac:dyDescent="0.25">
      <c r="C201" t="s">
        <v>24</v>
      </c>
      <c r="D201" t="s">
        <v>243</v>
      </c>
      <c r="E201">
        <v>2</v>
      </c>
      <c r="F201" s="79">
        <v>26000</v>
      </c>
      <c r="G201" s="79">
        <v>20000</v>
      </c>
      <c r="H201" s="79">
        <v>6000</v>
      </c>
    </row>
    <row r="202" spans="1:8" hidden="1" x14ac:dyDescent="0.25">
      <c r="A202" s="112" t="s">
        <v>17</v>
      </c>
      <c r="B202" s="112"/>
      <c r="C202" s="112"/>
      <c r="D202" s="112"/>
      <c r="E202" s="78">
        <f>SUM(E190:E201)</f>
        <v>290</v>
      </c>
      <c r="F202" s="78">
        <f t="shared" ref="F202:H202" si="24">SUM(F190:F201)</f>
        <v>562900</v>
      </c>
      <c r="G202" s="78">
        <f t="shared" si="24"/>
        <v>205500</v>
      </c>
      <c r="H202" s="78">
        <f t="shared" si="24"/>
        <v>357400</v>
      </c>
    </row>
    <row r="203" spans="1:8" hidden="1" x14ac:dyDescent="0.25">
      <c r="A203" t="s">
        <v>32</v>
      </c>
      <c r="B203" s="3">
        <v>45216</v>
      </c>
      <c r="C203" t="s">
        <v>338</v>
      </c>
      <c r="D203" t="s">
        <v>11</v>
      </c>
      <c r="E203">
        <v>130</v>
      </c>
      <c r="F203" s="79">
        <f>E203*1800</f>
        <v>234000</v>
      </c>
      <c r="G203" s="79">
        <f t="shared" ref="G203:G209" si="25">E203*500</f>
        <v>65000</v>
      </c>
      <c r="H203" s="79">
        <f>E203*1300</f>
        <v>169000</v>
      </c>
    </row>
    <row r="204" spans="1:8" hidden="1" x14ac:dyDescent="0.25">
      <c r="C204" t="s">
        <v>306</v>
      </c>
      <c r="D204" t="s">
        <v>11</v>
      </c>
      <c r="E204">
        <v>18</v>
      </c>
      <c r="F204" s="79">
        <f>E204*1800</f>
        <v>32400</v>
      </c>
      <c r="G204" s="79">
        <f t="shared" si="25"/>
        <v>9000</v>
      </c>
      <c r="H204" s="79">
        <f>E204*1300</f>
        <v>23400</v>
      </c>
    </row>
    <row r="205" spans="1:8" hidden="1" x14ac:dyDescent="0.25">
      <c r="C205" t="s">
        <v>571</v>
      </c>
      <c r="D205" t="s">
        <v>11</v>
      </c>
      <c r="E205">
        <v>50</v>
      </c>
      <c r="F205" s="79">
        <f>E205*1700</f>
        <v>85000</v>
      </c>
      <c r="G205" s="79">
        <f t="shared" si="25"/>
        <v>25000</v>
      </c>
      <c r="H205" s="79">
        <f>E205*1200</f>
        <v>60000</v>
      </c>
    </row>
    <row r="206" spans="1:8" hidden="1" x14ac:dyDescent="0.25">
      <c r="C206" t="s">
        <v>104</v>
      </c>
      <c r="D206" t="s">
        <v>11</v>
      </c>
      <c r="E206">
        <v>18</v>
      </c>
      <c r="F206" s="79">
        <f>E206*1700</f>
        <v>30600</v>
      </c>
      <c r="G206" s="79">
        <f t="shared" si="25"/>
        <v>9000</v>
      </c>
      <c r="H206" s="79">
        <f>E206*1200</f>
        <v>21600</v>
      </c>
    </row>
    <row r="207" spans="1:8" hidden="1" x14ac:dyDescent="0.25">
      <c r="C207" t="s">
        <v>646</v>
      </c>
      <c r="D207" t="s">
        <v>11</v>
      </c>
      <c r="E207">
        <v>167</v>
      </c>
      <c r="F207" s="79">
        <f>E207*1500</f>
        <v>250500</v>
      </c>
      <c r="G207" s="79">
        <f t="shared" si="25"/>
        <v>83500</v>
      </c>
      <c r="H207" s="79">
        <f>E207*1000</f>
        <v>167000</v>
      </c>
    </row>
    <row r="208" spans="1:8" hidden="1" x14ac:dyDescent="0.25">
      <c r="C208" t="s">
        <v>209</v>
      </c>
      <c r="D208" t="s">
        <v>11</v>
      </c>
      <c r="E208">
        <v>32</v>
      </c>
      <c r="F208" s="79">
        <f>E208*1500</f>
        <v>48000</v>
      </c>
      <c r="G208" s="79">
        <f t="shared" si="25"/>
        <v>16000</v>
      </c>
      <c r="H208" s="79">
        <f>E208*1000</f>
        <v>32000</v>
      </c>
    </row>
    <row r="209" spans="1:8" hidden="1" x14ac:dyDescent="0.25">
      <c r="C209" t="s">
        <v>693</v>
      </c>
      <c r="D209" t="s">
        <v>11</v>
      </c>
      <c r="E209">
        <v>27</v>
      </c>
      <c r="F209" s="79">
        <f>E209*2000</f>
        <v>54000</v>
      </c>
      <c r="G209" s="79">
        <f t="shared" si="25"/>
        <v>13500</v>
      </c>
      <c r="H209" s="79">
        <f>E209*1500</f>
        <v>40500</v>
      </c>
    </row>
    <row r="210" spans="1:8" hidden="1" x14ac:dyDescent="0.25">
      <c r="D210" t="s">
        <v>13</v>
      </c>
      <c r="E210">
        <v>14</v>
      </c>
      <c r="F210" s="79">
        <f>E210*8000</f>
        <v>112000</v>
      </c>
      <c r="G210" s="79">
        <f>E210*4500</f>
        <v>63000</v>
      </c>
      <c r="H210" s="79">
        <f>E210*3500</f>
        <v>49000</v>
      </c>
    </row>
    <row r="211" spans="1:8" hidden="1" x14ac:dyDescent="0.25">
      <c r="D211" t="s">
        <v>14</v>
      </c>
      <c r="E211">
        <v>25</v>
      </c>
      <c r="F211" s="79">
        <f>E211*13000</f>
        <v>325000</v>
      </c>
      <c r="G211" s="79">
        <f>E211*5500</f>
        <v>137500</v>
      </c>
      <c r="H211" s="79">
        <f>E211*7500</f>
        <v>187500</v>
      </c>
    </row>
    <row r="212" spans="1:8" hidden="1" x14ac:dyDescent="0.25">
      <c r="D212" t="s">
        <v>404</v>
      </c>
      <c r="E212">
        <v>80</v>
      </c>
      <c r="F212" s="79">
        <f>E212*2000</f>
        <v>160000</v>
      </c>
      <c r="G212" s="79">
        <v>80000</v>
      </c>
      <c r="H212" s="79">
        <v>80000</v>
      </c>
    </row>
    <row r="213" spans="1:8" hidden="1" x14ac:dyDescent="0.25">
      <c r="C213" t="s">
        <v>16</v>
      </c>
      <c r="D213" t="s">
        <v>11</v>
      </c>
      <c r="E213">
        <v>45</v>
      </c>
      <c r="F213" s="79">
        <f>E213*1500</f>
        <v>67500</v>
      </c>
      <c r="G213" s="79">
        <f>E213*500</f>
        <v>22500</v>
      </c>
      <c r="H213" s="79">
        <f>E213*1000</f>
        <v>45000</v>
      </c>
    </row>
    <row r="214" spans="1:8" hidden="1" x14ac:dyDescent="0.25">
      <c r="D214" t="s">
        <v>12</v>
      </c>
      <c r="E214">
        <v>5</v>
      </c>
      <c r="F214" s="79">
        <f>E214*3000</f>
        <v>15000</v>
      </c>
      <c r="G214" s="79">
        <v>10000</v>
      </c>
      <c r="H214" s="79">
        <v>5000</v>
      </c>
    </row>
    <row r="215" spans="1:8" hidden="1" x14ac:dyDescent="0.25">
      <c r="D215" t="s">
        <v>13</v>
      </c>
      <c r="E215">
        <v>1</v>
      </c>
      <c r="F215" s="79">
        <v>6500</v>
      </c>
      <c r="G215" s="79">
        <v>4500</v>
      </c>
      <c r="H215" s="79">
        <v>2000</v>
      </c>
    </row>
    <row r="216" spans="1:8" hidden="1" x14ac:dyDescent="0.25">
      <c r="A216" s="112" t="s">
        <v>17</v>
      </c>
      <c r="B216" s="112"/>
      <c r="C216" s="112"/>
      <c r="D216" s="112"/>
      <c r="E216" s="78">
        <f>SUM(E203:E215)</f>
        <v>612</v>
      </c>
      <c r="F216" s="78">
        <f t="shared" ref="F216:H216" si="26">SUM(F203:F215)</f>
        <v>1420500</v>
      </c>
      <c r="G216" s="78">
        <f t="shared" si="26"/>
        <v>538500</v>
      </c>
      <c r="H216" s="78">
        <f t="shared" si="26"/>
        <v>882000</v>
      </c>
    </row>
    <row r="217" spans="1:8" hidden="1" x14ac:dyDescent="0.25">
      <c r="A217" t="s">
        <v>8</v>
      </c>
      <c r="B217" s="3">
        <v>45217</v>
      </c>
      <c r="C217" t="s">
        <v>338</v>
      </c>
      <c r="D217" t="s">
        <v>11</v>
      </c>
      <c r="E217">
        <v>60</v>
      </c>
      <c r="F217" s="79">
        <f>E217*1800</f>
        <v>108000</v>
      </c>
      <c r="G217" s="79">
        <f t="shared" ref="G217:G223" si="27">E217*500</f>
        <v>30000</v>
      </c>
      <c r="H217" s="79">
        <f>E217*1300</f>
        <v>78000</v>
      </c>
    </row>
    <row r="218" spans="1:8" hidden="1" x14ac:dyDescent="0.25">
      <c r="C218" t="s">
        <v>694</v>
      </c>
      <c r="D218" t="s">
        <v>11</v>
      </c>
      <c r="E218">
        <v>3</v>
      </c>
      <c r="F218" s="79">
        <f>E218*1800</f>
        <v>5400</v>
      </c>
      <c r="G218" s="79">
        <f t="shared" si="27"/>
        <v>1500</v>
      </c>
      <c r="H218" s="79">
        <f>E218*1300</f>
        <v>3900</v>
      </c>
    </row>
    <row r="219" spans="1:8" hidden="1" x14ac:dyDescent="0.25">
      <c r="C219" t="s">
        <v>571</v>
      </c>
      <c r="D219" t="s">
        <v>11</v>
      </c>
      <c r="E219">
        <v>50</v>
      </c>
      <c r="F219" s="79">
        <f>E219*1700</f>
        <v>85000</v>
      </c>
      <c r="G219" s="79">
        <f t="shared" si="27"/>
        <v>25000</v>
      </c>
      <c r="H219" s="79">
        <f>E219*1200</f>
        <v>60000</v>
      </c>
    </row>
    <row r="220" spans="1:8" hidden="1" x14ac:dyDescent="0.25">
      <c r="C220" t="s">
        <v>104</v>
      </c>
      <c r="D220" t="s">
        <v>11</v>
      </c>
      <c r="E220">
        <v>25</v>
      </c>
      <c r="F220" s="79">
        <f>E220*1700</f>
        <v>42500</v>
      </c>
      <c r="G220" s="79">
        <f t="shared" si="27"/>
        <v>12500</v>
      </c>
      <c r="H220" s="79">
        <f>E220*1200</f>
        <v>30000</v>
      </c>
    </row>
    <row r="221" spans="1:8" hidden="1" x14ac:dyDescent="0.25">
      <c r="C221" t="s">
        <v>209</v>
      </c>
      <c r="D221" t="s">
        <v>11</v>
      </c>
      <c r="E221">
        <v>32</v>
      </c>
      <c r="F221" s="79">
        <f>E221*1500</f>
        <v>48000</v>
      </c>
      <c r="G221" s="79">
        <f t="shared" si="27"/>
        <v>16000</v>
      </c>
      <c r="H221" s="79">
        <v>32000</v>
      </c>
    </row>
    <row r="222" spans="1:8" hidden="1" x14ac:dyDescent="0.25">
      <c r="C222" t="s">
        <v>646</v>
      </c>
      <c r="D222" t="s">
        <v>11</v>
      </c>
      <c r="E222">
        <v>50</v>
      </c>
      <c r="F222" s="79">
        <f>E222*1500</f>
        <v>75000</v>
      </c>
      <c r="G222" s="79">
        <f t="shared" si="27"/>
        <v>25000</v>
      </c>
      <c r="H222" s="79">
        <f>E222*1000</f>
        <v>50000</v>
      </c>
    </row>
    <row r="223" spans="1:8" hidden="1" x14ac:dyDescent="0.25">
      <c r="C223" t="s">
        <v>16</v>
      </c>
      <c r="D223" t="s">
        <v>11</v>
      </c>
      <c r="E223">
        <v>63</v>
      </c>
      <c r="F223" s="79">
        <f>E223*1500</f>
        <v>94500</v>
      </c>
      <c r="G223" s="79">
        <f t="shared" si="27"/>
        <v>31500</v>
      </c>
      <c r="H223" s="79">
        <f>E223*1000</f>
        <v>63000</v>
      </c>
    </row>
    <row r="224" spans="1:8" hidden="1" x14ac:dyDescent="0.25">
      <c r="D224" t="s">
        <v>12</v>
      </c>
      <c r="E224">
        <v>3</v>
      </c>
      <c r="F224" s="79">
        <f>E224*3000</f>
        <v>9000</v>
      </c>
      <c r="G224" s="79">
        <v>6000</v>
      </c>
      <c r="H224" s="79">
        <v>3000</v>
      </c>
    </row>
    <row r="225" spans="1:8" hidden="1" x14ac:dyDescent="0.25">
      <c r="D225" t="s">
        <v>243</v>
      </c>
      <c r="E225">
        <v>1</v>
      </c>
      <c r="F225" s="79">
        <v>13000</v>
      </c>
      <c r="G225" s="79">
        <v>10000</v>
      </c>
      <c r="H225" s="79">
        <v>3000</v>
      </c>
    </row>
    <row r="226" spans="1:8" hidden="1" x14ac:dyDescent="0.25">
      <c r="C226" t="s">
        <v>217</v>
      </c>
      <c r="D226" t="s">
        <v>11</v>
      </c>
      <c r="E226">
        <v>13</v>
      </c>
      <c r="F226" s="79">
        <f>E226*1500</f>
        <v>19500</v>
      </c>
      <c r="G226" s="79">
        <f>E226*500</f>
        <v>6500</v>
      </c>
      <c r="H226" s="79">
        <v>13000</v>
      </c>
    </row>
    <row r="227" spans="1:8" hidden="1" x14ac:dyDescent="0.25">
      <c r="D227" t="s">
        <v>13</v>
      </c>
      <c r="E227">
        <v>3</v>
      </c>
      <c r="F227" s="79">
        <f>E227*6500</f>
        <v>19500</v>
      </c>
      <c r="G227" s="79">
        <f>E227*4500</f>
        <v>13500</v>
      </c>
      <c r="H227" s="79">
        <f>E227*2000</f>
        <v>6000</v>
      </c>
    </row>
    <row r="228" spans="1:8" hidden="1" x14ac:dyDescent="0.25">
      <c r="D228" t="s">
        <v>14</v>
      </c>
      <c r="E228">
        <v>1</v>
      </c>
      <c r="F228" s="79">
        <v>10000</v>
      </c>
      <c r="G228" s="79">
        <v>5500</v>
      </c>
      <c r="H228" s="79">
        <v>4500</v>
      </c>
    </row>
    <row r="229" spans="1:8" hidden="1" x14ac:dyDescent="0.25">
      <c r="D229" t="s">
        <v>404</v>
      </c>
      <c r="E229">
        <v>3</v>
      </c>
      <c r="F229" s="79">
        <f>E229*3000</f>
        <v>9000</v>
      </c>
      <c r="G229" s="79">
        <v>4500</v>
      </c>
      <c r="H229" s="79">
        <v>4500</v>
      </c>
    </row>
    <row r="230" spans="1:8" hidden="1" x14ac:dyDescent="0.25">
      <c r="A230" s="112" t="s">
        <v>17</v>
      </c>
      <c r="B230" s="112"/>
      <c r="C230" s="112"/>
      <c r="D230" s="112"/>
      <c r="E230" s="78">
        <f>SUM(E217:E229)</f>
        <v>307</v>
      </c>
      <c r="F230" s="78">
        <f t="shared" ref="F230:H230" si="28">SUM(F217:F229)</f>
        <v>538400</v>
      </c>
      <c r="G230" s="78">
        <f t="shared" si="28"/>
        <v>187500</v>
      </c>
      <c r="H230" s="78">
        <f t="shared" si="28"/>
        <v>350900</v>
      </c>
    </row>
    <row r="231" spans="1:8" hidden="1" x14ac:dyDescent="0.25">
      <c r="A231" t="s">
        <v>18</v>
      </c>
      <c r="B231" s="3">
        <v>45218</v>
      </c>
      <c r="C231" t="s">
        <v>338</v>
      </c>
      <c r="D231" t="s">
        <v>11</v>
      </c>
      <c r="E231">
        <v>70</v>
      </c>
      <c r="F231" s="79">
        <f>E231*1800</f>
        <v>126000</v>
      </c>
      <c r="G231" s="79">
        <f t="shared" ref="G231:G236" si="29">E231*500</f>
        <v>35000</v>
      </c>
      <c r="H231" s="79">
        <f>E231*1300</f>
        <v>91000</v>
      </c>
    </row>
    <row r="232" spans="1:8" hidden="1" x14ac:dyDescent="0.25">
      <c r="C232" t="s">
        <v>571</v>
      </c>
      <c r="D232" t="s">
        <v>11</v>
      </c>
      <c r="E232">
        <v>49</v>
      </c>
      <c r="F232" s="79">
        <f>E232*1700</f>
        <v>83300</v>
      </c>
      <c r="G232" s="79">
        <f t="shared" si="29"/>
        <v>24500</v>
      </c>
      <c r="H232" s="79">
        <f>E232*1200</f>
        <v>58800</v>
      </c>
    </row>
    <row r="233" spans="1:8" hidden="1" x14ac:dyDescent="0.25">
      <c r="C233" t="s">
        <v>104</v>
      </c>
      <c r="D233" t="s">
        <v>11</v>
      </c>
      <c r="E233">
        <v>18</v>
      </c>
      <c r="F233" s="79">
        <f>E233*1700</f>
        <v>30600</v>
      </c>
      <c r="G233" s="79">
        <f t="shared" si="29"/>
        <v>9000</v>
      </c>
      <c r="H233" s="79">
        <f>E233*1200</f>
        <v>21600</v>
      </c>
    </row>
    <row r="234" spans="1:8" hidden="1" x14ac:dyDescent="0.25">
      <c r="C234" t="s">
        <v>209</v>
      </c>
      <c r="D234" t="s">
        <v>11</v>
      </c>
      <c r="E234">
        <v>19</v>
      </c>
      <c r="F234" s="79">
        <f>E234*1500</f>
        <v>28500</v>
      </c>
      <c r="G234" s="79">
        <f t="shared" si="29"/>
        <v>9500</v>
      </c>
      <c r="H234" s="79">
        <f>E234*1000</f>
        <v>19000</v>
      </c>
    </row>
    <row r="235" spans="1:8" hidden="1" x14ac:dyDescent="0.25">
      <c r="C235" t="s">
        <v>646</v>
      </c>
      <c r="D235" t="s">
        <v>11</v>
      </c>
      <c r="E235">
        <v>50</v>
      </c>
      <c r="F235" s="79">
        <f>E235*1500</f>
        <v>75000</v>
      </c>
      <c r="G235" s="79">
        <f t="shared" si="29"/>
        <v>25000</v>
      </c>
      <c r="H235" s="79">
        <v>50000</v>
      </c>
    </row>
    <row r="236" spans="1:8" hidden="1" x14ac:dyDescent="0.25">
      <c r="C236" t="s">
        <v>217</v>
      </c>
      <c r="D236" t="s">
        <v>11</v>
      </c>
      <c r="E236">
        <v>9</v>
      </c>
      <c r="F236" s="79">
        <f>E236*1500</f>
        <v>13500</v>
      </c>
      <c r="G236" s="79">
        <f t="shared" si="29"/>
        <v>4500</v>
      </c>
      <c r="H236" s="79">
        <v>9000</v>
      </c>
    </row>
    <row r="237" spans="1:8" hidden="1" x14ac:dyDescent="0.25">
      <c r="D237" t="s">
        <v>14</v>
      </c>
      <c r="E237">
        <v>1</v>
      </c>
      <c r="F237" s="79">
        <v>10000</v>
      </c>
      <c r="G237" s="79">
        <v>5500</v>
      </c>
      <c r="H237" s="79">
        <v>4500</v>
      </c>
    </row>
    <row r="238" spans="1:8" hidden="1" x14ac:dyDescent="0.25">
      <c r="D238" t="s">
        <v>404</v>
      </c>
      <c r="E238">
        <v>2</v>
      </c>
      <c r="F238" s="79">
        <f>E238*2000</f>
        <v>4000</v>
      </c>
      <c r="G238" s="79">
        <v>2000</v>
      </c>
      <c r="H238" s="79">
        <v>2000</v>
      </c>
    </row>
    <row r="239" spans="1:8" hidden="1" x14ac:dyDescent="0.25">
      <c r="C239" t="s">
        <v>24</v>
      </c>
      <c r="D239" t="s">
        <v>243</v>
      </c>
      <c r="E239">
        <v>5</v>
      </c>
      <c r="F239" s="79">
        <f>E239*15000</f>
        <v>75000</v>
      </c>
      <c r="G239" s="79">
        <f>E239*10000</f>
        <v>50000</v>
      </c>
      <c r="H239" s="79">
        <v>25000</v>
      </c>
    </row>
    <row r="240" spans="1:8" hidden="1" x14ac:dyDescent="0.25">
      <c r="A240" s="112" t="s">
        <v>17</v>
      </c>
      <c r="B240" s="112"/>
      <c r="C240" s="112"/>
      <c r="D240" s="112"/>
      <c r="E240" s="78">
        <f>SUM(E231:E239)</f>
        <v>223</v>
      </c>
      <c r="F240" s="78">
        <f t="shared" ref="F240:H240" si="30">SUM(F231:F239)</f>
        <v>445900</v>
      </c>
      <c r="G240" s="78">
        <f t="shared" si="30"/>
        <v>165000</v>
      </c>
      <c r="H240" s="78">
        <f t="shared" si="30"/>
        <v>280900</v>
      </c>
    </row>
    <row r="241" spans="1:8" hidden="1" x14ac:dyDescent="0.25">
      <c r="A241" t="s">
        <v>22</v>
      </c>
      <c r="B241" s="3">
        <v>45219</v>
      </c>
      <c r="C241" t="s">
        <v>338</v>
      </c>
      <c r="D241" t="s">
        <v>11</v>
      </c>
      <c r="E241">
        <v>70</v>
      </c>
      <c r="F241" s="79">
        <f>E241*1800</f>
        <v>126000</v>
      </c>
      <c r="G241" s="79">
        <f t="shared" ref="G241:G247" si="31">E241*500</f>
        <v>35000</v>
      </c>
      <c r="H241" s="79">
        <f>E241*1300</f>
        <v>91000</v>
      </c>
    </row>
    <row r="242" spans="1:8" hidden="1" x14ac:dyDescent="0.25">
      <c r="C242" t="s">
        <v>571</v>
      </c>
      <c r="D242" t="s">
        <v>11</v>
      </c>
      <c r="E242">
        <v>48</v>
      </c>
      <c r="F242" s="79">
        <f>E242*1700</f>
        <v>81600</v>
      </c>
      <c r="G242" s="79">
        <f t="shared" si="31"/>
        <v>24000</v>
      </c>
      <c r="H242" s="79">
        <f>E242*1200</f>
        <v>57600</v>
      </c>
    </row>
    <row r="243" spans="1:8" hidden="1" x14ac:dyDescent="0.25">
      <c r="C243" t="s">
        <v>572</v>
      </c>
      <c r="D243" t="s">
        <v>11</v>
      </c>
      <c r="E243">
        <f>11+20+20</f>
        <v>51</v>
      </c>
      <c r="F243" s="79">
        <f>E243*1700</f>
        <v>86700</v>
      </c>
      <c r="G243" s="79">
        <f t="shared" si="31"/>
        <v>25500</v>
      </c>
      <c r="H243" s="79">
        <f>E243*1200</f>
        <v>61200</v>
      </c>
    </row>
    <row r="244" spans="1:8" hidden="1" x14ac:dyDescent="0.25">
      <c r="C244" t="s">
        <v>104</v>
      </c>
      <c r="D244" t="s">
        <v>11</v>
      </c>
      <c r="E244">
        <v>18</v>
      </c>
      <c r="F244" s="79">
        <f>E244*1700</f>
        <v>30600</v>
      </c>
      <c r="G244" s="79">
        <f t="shared" si="31"/>
        <v>9000</v>
      </c>
      <c r="H244" s="79">
        <f>E244*1200</f>
        <v>21600</v>
      </c>
    </row>
    <row r="245" spans="1:8" hidden="1" x14ac:dyDescent="0.25">
      <c r="C245" t="s">
        <v>646</v>
      </c>
      <c r="D245" t="s">
        <v>11</v>
      </c>
      <c r="E245">
        <v>44</v>
      </c>
      <c r="F245" s="79">
        <f>E245*1500</f>
        <v>66000</v>
      </c>
      <c r="G245" s="79">
        <f t="shared" si="31"/>
        <v>22000</v>
      </c>
      <c r="H245" s="79">
        <f>E245*1000</f>
        <v>44000</v>
      </c>
    </row>
    <row r="246" spans="1:8" hidden="1" x14ac:dyDescent="0.25">
      <c r="C246" t="s">
        <v>209</v>
      </c>
      <c r="D246" t="s">
        <v>11</v>
      </c>
      <c r="E246">
        <v>11</v>
      </c>
      <c r="F246" s="79">
        <f>E246*1500</f>
        <v>16500</v>
      </c>
      <c r="G246" s="79">
        <f t="shared" si="31"/>
        <v>5500</v>
      </c>
      <c r="H246" s="79">
        <v>11000</v>
      </c>
    </row>
    <row r="247" spans="1:8" hidden="1" x14ac:dyDescent="0.25">
      <c r="C247" t="s">
        <v>16</v>
      </c>
      <c r="D247" t="s">
        <v>11</v>
      </c>
      <c r="E247">
        <v>39</v>
      </c>
      <c r="F247" s="79">
        <f>E247*1500</f>
        <v>58500</v>
      </c>
      <c r="G247" s="79">
        <f t="shared" si="31"/>
        <v>19500</v>
      </c>
      <c r="H247" s="79">
        <f>E247*1000</f>
        <v>39000</v>
      </c>
    </row>
    <row r="248" spans="1:8" hidden="1" x14ac:dyDescent="0.25">
      <c r="D248" t="s">
        <v>12</v>
      </c>
      <c r="E248">
        <v>3</v>
      </c>
      <c r="F248" s="79">
        <v>9000</v>
      </c>
      <c r="G248" s="79">
        <v>6000</v>
      </c>
      <c r="H248" s="79">
        <v>3000</v>
      </c>
    </row>
    <row r="249" spans="1:8" hidden="1" x14ac:dyDescent="0.25">
      <c r="A249" s="111" t="s">
        <v>17</v>
      </c>
      <c r="B249" s="111"/>
      <c r="C249" s="111"/>
      <c r="D249" s="111"/>
      <c r="E249" s="1">
        <f>SUM(E241:E248)</f>
        <v>284</v>
      </c>
      <c r="F249" s="78">
        <f t="shared" ref="F249:H249" si="32">SUM(F241:F248)</f>
        <v>474900</v>
      </c>
      <c r="G249" s="78">
        <f t="shared" si="32"/>
        <v>146500</v>
      </c>
      <c r="H249" s="78">
        <f t="shared" si="32"/>
        <v>328400</v>
      </c>
    </row>
    <row r="250" spans="1:8" hidden="1" x14ac:dyDescent="0.25">
      <c r="A250" t="s">
        <v>26</v>
      </c>
      <c r="B250" s="3">
        <v>45220</v>
      </c>
      <c r="C250" t="s">
        <v>338</v>
      </c>
      <c r="D250" t="s">
        <v>11</v>
      </c>
      <c r="E250">
        <v>210</v>
      </c>
      <c r="F250" s="79">
        <f>E250*1800</f>
        <v>378000</v>
      </c>
      <c r="G250" s="79">
        <f>E250*500</f>
        <v>105000</v>
      </c>
      <c r="H250" s="79">
        <f>E250*1300</f>
        <v>273000</v>
      </c>
    </row>
    <row r="251" spans="1:8" hidden="1" x14ac:dyDescent="0.25">
      <c r="C251" t="s">
        <v>646</v>
      </c>
      <c r="D251" t="s">
        <v>11</v>
      </c>
      <c r="E251">
        <v>50</v>
      </c>
      <c r="F251" s="79">
        <f>E251*1500</f>
        <v>75000</v>
      </c>
      <c r="G251" s="79">
        <f>E251*500</f>
        <v>25000</v>
      </c>
      <c r="H251" s="79">
        <v>50000</v>
      </c>
    </row>
    <row r="252" spans="1:8" hidden="1" x14ac:dyDescent="0.25">
      <c r="C252" t="s">
        <v>693</v>
      </c>
      <c r="D252" t="s">
        <v>11</v>
      </c>
      <c r="E252">
        <v>13</v>
      </c>
      <c r="F252" s="79">
        <f>E252*2000</f>
        <v>26000</v>
      </c>
      <c r="G252" s="79">
        <f>E252*500</f>
        <v>6500</v>
      </c>
      <c r="H252" s="79">
        <f>E252*1500</f>
        <v>19500</v>
      </c>
    </row>
    <row r="253" spans="1:8" hidden="1" x14ac:dyDescent="0.25">
      <c r="D253" t="s">
        <v>13</v>
      </c>
      <c r="E253">
        <v>35</v>
      </c>
      <c r="F253" s="79">
        <f>E253*8000</f>
        <v>280000</v>
      </c>
      <c r="G253" s="79">
        <f>E253*4500</f>
        <v>157500</v>
      </c>
      <c r="H253" s="79">
        <f>E253*3500</f>
        <v>122500</v>
      </c>
    </row>
    <row r="254" spans="1:8" hidden="1" x14ac:dyDescent="0.25">
      <c r="D254" t="s">
        <v>14</v>
      </c>
      <c r="E254">
        <v>21</v>
      </c>
      <c r="F254" s="79">
        <f>E254*11000</f>
        <v>231000</v>
      </c>
      <c r="G254" s="79">
        <f>E254*5500</f>
        <v>115500</v>
      </c>
      <c r="H254" s="79">
        <f>E254*5500</f>
        <v>115500</v>
      </c>
    </row>
    <row r="255" spans="1:8" x14ac:dyDescent="0.25">
      <c r="D255" t="s">
        <v>441</v>
      </c>
      <c r="E255">
        <v>4</v>
      </c>
      <c r="F255" s="79">
        <f>E255*5000</f>
        <v>20000</v>
      </c>
      <c r="G255" s="79">
        <v>10000</v>
      </c>
      <c r="H255" s="79">
        <v>10000</v>
      </c>
    </row>
    <row r="256" spans="1:8" hidden="1" x14ac:dyDescent="0.25">
      <c r="D256" t="s">
        <v>695</v>
      </c>
      <c r="E256">
        <v>31</v>
      </c>
      <c r="F256" s="79">
        <f>E256*2000</f>
        <v>62000</v>
      </c>
      <c r="G256" s="79">
        <v>31000</v>
      </c>
      <c r="H256" s="79">
        <v>31000</v>
      </c>
    </row>
    <row r="257" spans="1:8" hidden="1" x14ac:dyDescent="0.25">
      <c r="C257" t="s">
        <v>217</v>
      </c>
      <c r="D257" t="s">
        <v>11</v>
      </c>
      <c r="E257">
        <v>3</v>
      </c>
      <c r="F257" s="79">
        <f>E257*1500</f>
        <v>4500</v>
      </c>
      <c r="G257" s="79">
        <f>E257*500</f>
        <v>1500</v>
      </c>
      <c r="H257" s="79">
        <v>3000</v>
      </c>
    </row>
    <row r="258" spans="1:8" hidden="1" x14ac:dyDescent="0.25">
      <c r="D258" t="s">
        <v>13</v>
      </c>
      <c r="E258">
        <v>4</v>
      </c>
      <c r="F258" s="79">
        <f>E258*6500</f>
        <v>26000</v>
      </c>
      <c r="G258" s="79">
        <f>E258*4500</f>
        <v>18000</v>
      </c>
      <c r="H258" s="79">
        <f>E258*2000</f>
        <v>8000</v>
      </c>
    </row>
    <row r="259" spans="1:8" hidden="1" x14ac:dyDescent="0.25">
      <c r="D259" t="s">
        <v>14</v>
      </c>
      <c r="E259">
        <v>2</v>
      </c>
      <c r="F259" s="79">
        <f>E259*10000</f>
        <v>20000</v>
      </c>
      <c r="G259" s="79">
        <f>E259*5500</f>
        <v>11000</v>
      </c>
      <c r="H259" s="79">
        <f>E259*4500</f>
        <v>9000</v>
      </c>
    </row>
    <row r="260" spans="1:8" hidden="1" x14ac:dyDescent="0.25">
      <c r="D260" t="s">
        <v>404</v>
      </c>
      <c r="E260">
        <v>4</v>
      </c>
      <c r="F260" s="79">
        <v>12000</v>
      </c>
      <c r="G260" s="79">
        <v>6000</v>
      </c>
      <c r="H260" s="79">
        <v>6000</v>
      </c>
    </row>
    <row r="261" spans="1:8" hidden="1" x14ac:dyDescent="0.25">
      <c r="A261" s="112" t="s">
        <v>17</v>
      </c>
      <c r="B261" s="112"/>
      <c r="C261" s="112"/>
      <c r="D261" s="112"/>
      <c r="E261" s="80">
        <f>SUM(E250:E260)</f>
        <v>377</v>
      </c>
      <c r="F261" s="80">
        <f t="shared" ref="F261:H261" si="33">SUM(F250:F260)</f>
        <v>1134500</v>
      </c>
      <c r="G261" s="80">
        <f t="shared" si="33"/>
        <v>487000</v>
      </c>
      <c r="H261" s="80">
        <f t="shared" si="33"/>
        <v>647500</v>
      </c>
    </row>
    <row r="262" spans="1:8" hidden="1" x14ac:dyDescent="0.25">
      <c r="A262" t="s">
        <v>28</v>
      </c>
      <c r="B262" s="3">
        <v>45221</v>
      </c>
      <c r="C262" t="s">
        <v>693</v>
      </c>
      <c r="D262" t="s">
        <v>11</v>
      </c>
      <c r="E262">
        <v>1</v>
      </c>
      <c r="F262" s="79">
        <v>2000</v>
      </c>
      <c r="G262" s="79">
        <v>500</v>
      </c>
      <c r="H262" s="79">
        <v>1500</v>
      </c>
    </row>
    <row r="263" spans="1:8" hidden="1" x14ac:dyDescent="0.25">
      <c r="D263" t="s">
        <v>13</v>
      </c>
      <c r="E263">
        <v>32</v>
      </c>
      <c r="F263" s="79">
        <f>E263*7000</f>
        <v>224000</v>
      </c>
      <c r="G263" s="79">
        <f>E263*4500</f>
        <v>144000</v>
      </c>
      <c r="H263" s="79">
        <f>E263*2500</f>
        <v>80000</v>
      </c>
    </row>
    <row r="264" spans="1:8" hidden="1" x14ac:dyDescent="0.25">
      <c r="D264" t="s">
        <v>14</v>
      </c>
      <c r="E264">
        <v>17</v>
      </c>
      <c r="F264" s="79">
        <f>E264*10000</f>
        <v>170000</v>
      </c>
      <c r="G264" s="79">
        <f>E264*5500</f>
        <v>93500</v>
      </c>
      <c r="H264" s="79">
        <f>E264*4500</f>
        <v>76500</v>
      </c>
    </row>
    <row r="265" spans="1:8" hidden="1" x14ac:dyDescent="0.25">
      <c r="D265" t="s">
        <v>404</v>
      </c>
      <c r="E265">
        <v>1</v>
      </c>
      <c r="F265" s="79">
        <v>2000</v>
      </c>
      <c r="G265" s="79">
        <v>1000</v>
      </c>
      <c r="H265" s="79">
        <v>1000</v>
      </c>
    </row>
    <row r="266" spans="1:8" hidden="1" x14ac:dyDescent="0.25">
      <c r="C266" t="s">
        <v>693</v>
      </c>
      <c r="D266" t="s">
        <v>13</v>
      </c>
      <c r="E266">
        <v>19</v>
      </c>
      <c r="F266" s="79">
        <f>E266*7000</f>
        <v>133000</v>
      </c>
      <c r="G266" s="79">
        <f>E266*4500</f>
        <v>85500</v>
      </c>
      <c r="H266" s="79">
        <f>E266*2500</f>
        <v>47500</v>
      </c>
    </row>
    <row r="267" spans="1:8" hidden="1" x14ac:dyDescent="0.25">
      <c r="C267" t="s">
        <v>217</v>
      </c>
      <c r="D267" t="s">
        <v>11</v>
      </c>
      <c r="E267">
        <v>8</v>
      </c>
      <c r="F267" s="79">
        <f>E267*1500</f>
        <v>12000</v>
      </c>
      <c r="G267" s="79">
        <f>E267*500</f>
        <v>4000</v>
      </c>
      <c r="H267" s="79">
        <v>8000</v>
      </c>
    </row>
    <row r="268" spans="1:8" hidden="1" x14ac:dyDescent="0.25">
      <c r="D268" t="s">
        <v>13</v>
      </c>
      <c r="E268">
        <v>13</v>
      </c>
      <c r="F268" s="79">
        <f>E268*6500</f>
        <v>84500</v>
      </c>
      <c r="G268" s="79">
        <f>E268*4500</f>
        <v>58500</v>
      </c>
      <c r="H268" s="79">
        <f>E268*2000</f>
        <v>26000</v>
      </c>
    </row>
    <row r="269" spans="1:8" hidden="1" x14ac:dyDescent="0.25">
      <c r="D269" t="s">
        <v>14</v>
      </c>
      <c r="E269">
        <v>7</v>
      </c>
      <c r="F269" s="79">
        <f>E269*10000</f>
        <v>70000</v>
      </c>
      <c r="G269" s="79">
        <f>E269*5500</f>
        <v>38500</v>
      </c>
      <c r="H269" s="79">
        <f>E269*4500</f>
        <v>31500</v>
      </c>
    </row>
    <row r="270" spans="1:8" hidden="1" x14ac:dyDescent="0.25">
      <c r="C270" t="s">
        <v>24</v>
      </c>
      <c r="D270" t="s">
        <v>243</v>
      </c>
      <c r="E270">
        <v>5</v>
      </c>
      <c r="F270" s="79">
        <f>E270*13000</f>
        <v>65000</v>
      </c>
      <c r="G270" s="79">
        <f>E270*10000</f>
        <v>50000</v>
      </c>
      <c r="H270" s="79">
        <v>15000</v>
      </c>
    </row>
    <row r="271" spans="1:8" hidden="1" x14ac:dyDescent="0.25">
      <c r="A271" s="112" t="s">
        <v>17</v>
      </c>
      <c r="B271" s="112"/>
      <c r="C271" s="112"/>
      <c r="D271" s="112"/>
      <c r="E271" s="78">
        <f>SUM(E262:E270)</f>
        <v>103</v>
      </c>
      <c r="F271" s="78">
        <f t="shared" ref="F271:H271" si="34">SUM(F262:F270)</f>
        <v>762500</v>
      </c>
      <c r="G271" s="78">
        <f t="shared" si="34"/>
        <v>475500</v>
      </c>
      <c r="H271" s="78">
        <f t="shared" si="34"/>
        <v>287000</v>
      </c>
    </row>
    <row r="272" spans="1:8" hidden="1" x14ac:dyDescent="0.25">
      <c r="A272" t="s">
        <v>30</v>
      </c>
      <c r="B272" s="3">
        <v>45222</v>
      </c>
      <c r="C272" t="s">
        <v>306</v>
      </c>
      <c r="D272" t="s">
        <v>11</v>
      </c>
      <c r="E272">
        <v>20</v>
      </c>
      <c r="F272" s="79">
        <f>E272*1800</f>
        <v>36000</v>
      </c>
      <c r="G272" s="79">
        <f>E272*500</f>
        <v>10000</v>
      </c>
      <c r="H272" s="79">
        <f>E272*1300</f>
        <v>26000</v>
      </c>
    </row>
    <row r="273" spans="1:8" hidden="1" x14ac:dyDescent="0.25">
      <c r="C273" t="s">
        <v>571</v>
      </c>
      <c r="D273" t="s">
        <v>11</v>
      </c>
      <c r="E273">
        <v>50</v>
      </c>
      <c r="F273" s="79">
        <f>E273*1700</f>
        <v>85000</v>
      </c>
      <c r="G273" s="79">
        <f>E273*500</f>
        <v>25000</v>
      </c>
      <c r="H273" s="79">
        <f>E273*1200</f>
        <v>60000</v>
      </c>
    </row>
    <row r="274" spans="1:8" hidden="1" x14ac:dyDescent="0.25">
      <c r="C274" t="s">
        <v>209</v>
      </c>
      <c r="D274" t="s">
        <v>11</v>
      </c>
      <c r="E274">
        <v>14</v>
      </c>
      <c r="F274" s="79">
        <f>E274*1500</f>
        <v>21000</v>
      </c>
      <c r="G274" s="79">
        <f>E274*500</f>
        <v>7000</v>
      </c>
      <c r="H274" s="79">
        <f>E274*1000</f>
        <v>14000</v>
      </c>
    </row>
    <row r="275" spans="1:8" hidden="1" x14ac:dyDescent="0.25">
      <c r="C275" t="s">
        <v>16</v>
      </c>
      <c r="D275" t="s">
        <v>11</v>
      </c>
      <c r="E275">
        <v>29</v>
      </c>
      <c r="F275" s="79">
        <f>E275*1500</f>
        <v>43500</v>
      </c>
      <c r="G275" s="79">
        <f>E275*500</f>
        <v>14500</v>
      </c>
      <c r="H275" s="79">
        <v>29000</v>
      </c>
    </row>
    <row r="276" spans="1:8" hidden="1" x14ac:dyDescent="0.25">
      <c r="D276" t="s">
        <v>12</v>
      </c>
      <c r="E276">
        <v>5</v>
      </c>
      <c r="F276" s="79">
        <f>E276*3000</f>
        <v>15000</v>
      </c>
      <c r="G276" s="79">
        <v>10000</v>
      </c>
      <c r="H276" s="79">
        <v>5000</v>
      </c>
    </row>
    <row r="277" spans="1:8" hidden="1" x14ac:dyDescent="0.25">
      <c r="A277" s="112" t="s">
        <v>17</v>
      </c>
      <c r="B277" s="112"/>
      <c r="C277" s="112"/>
      <c r="D277" s="112"/>
      <c r="E277" s="78">
        <f>SUM(E272:E276)</f>
        <v>118</v>
      </c>
      <c r="F277" s="78">
        <f t="shared" ref="F277:H277" si="35">SUM(F272:F276)</f>
        <v>200500</v>
      </c>
      <c r="G277" s="78">
        <f t="shared" si="35"/>
        <v>66500</v>
      </c>
      <c r="H277" s="78">
        <f t="shared" si="35"/>
        <v>134000</v>
      </c>
    </row>
    <row r="278" spans="1:8" hidden="1" x14ac:dyDescent="0.25">
      <c r="A278" t="s">
        <v>32</v>
      </c>
      <c r="B278" s="3">
        <v>45223</v>
      </c>
      <c r="C278" t="s">
        <v>306</v>
      </c>
      <c r="D278" t="s">
        <v>11</v>
      </c>
      <c r="E278">
        <v>15</v>
      </c>
      <c r="F278" s="79">
        <f>E278*1800</f>
        <v>27000</v>
      </c>
      <c r="G278" s="79">
        <f>E278*500</f>
        <v>7500</v>
      </c>
      <c r="H278" s="79">
        <f>E278*1300</f>
        <v>19500</v>
      </c>
    </row>
    <row r="279" spans="1:8" hidden="1" x14ac:dyDescent="0.25">
      <c r="C279" t="s">
        <v>571</v>
      </c>
      <c r="D279" t="s">
        <v>11</v>
      </c>
      <c r="E279">
        <v>50</v>
      </c>
      <c r="F279" s="79">
        <f>E279*1700</f>
        <v>85000</v>
      </c>
      <c r="G279" s="79">
        <f>E279*500</f>
        <v>25000</v>
      </c>
      <c r="H279" s="79">
        <f>E279*1200</f>
        <v>60000</v>
      </c>
    </row>
    <row r="280" spans="1:8" hidden="1" x14ac:dyDescent="0.25">
      <c r="C280" t="s">
        <v>104</v>
      </c>
      <c r="D280" t="s">
        <v>11</v>
      </c>
      <c r="E280">
        <v>18</v>
      </c>
      <c r="F280" s="79">
        <f>E280*1700</f>
        <v>30600</v>
      </c>
      <c r="G280" s="79">
        <f>E280*500</f>
        <v>9000</v>
      </c>
      <c r="H280" s="79">
        <f>E280*1200</f>
        <v>21600</v>
      </c>
    </row>
    <row r="281" spans="1:8" hidden="1" x14ac:dyDescent="0.25">
      <c r="C281" t="s">
        <v>217</v>
      </c>
      <c r="D281" t="s">
        <v>11</v>
      </c>
      <c r="E281">
        <v>22</v>
      </c>
      <c r="F281" s="79">
        <f>E281*1500</f>
        <v>33000</v>
      </c>
      <c r="G281" s="79">
        <f>E281*500</f>
        <v>11000</v>
      </c>
      <c r="H281" s="79">
        <v>22000</v>
      </c>
    </row>
    <row r="282" spans="1:8" hidden="1" x14ac:dyDescent="0.25">
      <c r="D282" t="s">
        <v>13</v>
      </c>
      <c r="E282">
        <v>5</v>
      </c>
      <c r="F282" s="79">
        <f>E282*6500</f>
        <v>32500</v>
      </c>
      <c r="G282" s="79">
        <f>E282*4500</f>
        <v>22500</v>
      </c>
      <c r="H282" s="79">
        <f>E282*2000</f>
        <v>10000</v>
      </c>
    </row>
    <row r="283" spans="1:8" hidden="1" x14ac:dyDescent="0.25">
      <c r="D283" t="s">
        <v>14</v>
      </c>
      <c r="E283">
        <v>4</v>
      </c>
      <c r="F283" s="79">
        <f>E283*10000</f>
        <v>40000</v>
      </c>
      <c r="G283" s="79">
        <f>E283*5500</f>
        <v>22000</v>
      </c>
      <c r="H283" s="79">
        <f>E283*4500</f>
        <v>18000</v>
      </c>
    </row>
    <row r="284" spans="1:8" hidden="1" x14ac:dyDescent="0.25">
      <c r="D284" t="s">
        <v>404</v>
      </c>
      <c r="E284">
        <v>20</v>
      </c>
      <c r="F284" s="79">
        <f>E284*2000</f>
        <v>40000</v>
      </c>
      <c r="G284" s="79">
        <v>20000</v>
      </c>
      <c r="H284" s="79">
        <v>20000</v>
      </c>
    </row>
    <row r="285" spans="1:8" x14ac:dyDescent="0.25">
      <c r="D285" t="s">
        <v>441</v>
      </c>
      <c r="E285">
        <v>1</v>
      </c>
      <c r="F285" s="79">
        <v>3000</v>
      </c>
      <c r="G285" s="79">
        <v>1500</v>
      </c>
      <c r="H285" s="79">
        <v>1500</v>
      </c>
    </row>
    <row r="286" spans="1:8" hidden="1" x14ac:dyDescent="0.25">
      <c r="C286" t="s">
        <v>693</v>
      </c>
      <c r="D286" t="s">
        <v>11</v>
      </c>
      <c r="E286">
        <v>2</v>
      </c>
      <c r="F286" s="79">
        <v>3000</v>
      </c>
      <c r="G286" s="79">
        <v>1000</v>
      </c>
      <c r="H286" s="79">
        <v>2000</v>
      </c>
    </row>
    <row r="287" spans="1:8" hidden="1" x14ac:dyDescent="0.25">
      <c r="D287" t="s">
        <v>13</v>
      </c>
      <c r="E287">
        <v>5</v>
      </c>
      <c r="F287" s="79">
        <f>E287*7000</f>
        <v>35000</v>
      </c>
      <c r="G287" s="79">
        <f>E287*4500</f>
        <v>22500</v>
      </c>
      <c r="H287" s="79">
        <f>E287*2500</f>
        <v>12500</v>
      </c>
    </row>
    <row r="288" spans="1:8" hidden="1" x14ac:dyDescent="0.25">
      <c r="D288" t="s">
        <v>14</v>
      </c>
      <c r="E288">
        <v>3</v>
      </c>
      <c r="F288" s="79">
        <f>E288*10000</f>
        <v>30000</v>
      </c>
      <c r="G288" s="79">
        <f>E288*5500</f>
        <v>16500</v>
      </c>
      <c r="H288" s="79">
        <f>E288*4500</f>
        <v>13500</v>
      </c>
    </row>
    <row r="289" spans="1:8" x14ac:dyDescent="0.25">
      <c r="D289" t="s">
        <v>420</v>
      </c>
      <c r="E289">
        <v>1</v>
      </c>
      <c r="F289" s="79">
        <v>3000</v>
      </c>
      <c r="G289" s="79">
        <v>1500</v>
      </c>
      <c r="H289" s="79">
        <v>1500</v>
      </c>
    </row>
    <row r="290" spans="1:8" hidden="1" x14ac:dyDescent="0.25">
      <c r="D290" t="s">
        <v>404</v>
      </c>
      <c r="E290">
        <v>1</v>
      </c>
      <c r="F290" s="79">
        <v>2000</v>
      </c>
      <c r="G290" s="79">
        <v>1000</v>
      </c>
      <c r="H290" s="79">
        <v>1000</v>
      </c>
    </row>
    <row r="291" spans="1:8" hidden="1" x14ac:dyDescent="0.25">
      <c r="C291" t="s">
        <v>16</v>
      </c>
      <c r="D291" t="s">
        <v>11</v>
      </c>
      <c r="E291">
        <v>51</v>
      </c>
      <c r="F291" s="79">
        <f>E291*1500</f>
        <v>76500</v>
      </c>
      <c r="G291" s="79">
        <f>E291*500</f>
        <v>25500</v>
      </c>
      <c r="H291" s="79">
        <v>51000</v>
      </c>
    </row>
    <row r="292" spans="1:8" hidden="1" x14ac:dyDescent="0.25">
      <c r="D292" t="s">
        <v>12</v>
      </c>
      <c r="E292">
        <v>2</v>
      </c>
      <c r="F292" s="79">
        <f>E292*3000</f>
        <v>6000</v>
      </c>
      <c r="G292" s="79">
        <v>4000</v>
      </c>
      <c r="H292" s="79">
        <v>2000</v>
      </c>
    </row>
    <row r="293" spans="1:8" hidden="1" x14ac:dyDescent="0.25">
      <c r="D293" t="s">
        <v>13</v>
      </c>
      <c r="E293">
        <v>2</v>
      </c>
      <c r="F293" s="79">
        <f>E293*6500</f>
        <v>13000</v>
      </c>
      <c r="G293" s="79">
        <f>E293*4500</f>
        <v>9000</v>
      </c>
      <c r="H293" s="79">
        <f>E293*2000</f>
        <v>4000</v>
      </c>
    </row>
    <row r="294" spans="1:8" hidden="1" x14ac:dyDescent="0.25">
      <c r="D294" t="s">
        <v>14</v>
      </c>
      <c r="E294">
        <v>1</v>
      </c>
      <c r="F294" s="79">
        <v>10000</v>
      </c>
      <c r="G294" s="79">
        <v>5500</v>
      </c>
      <c r="H294" s="79">
        <v>4500</v>
      </c>
    </row>
    <row r="295" spans="1:8" hidden="1" x14ac:dyDescent="0.25">
      <c r="C295" t="s">
        <v>466</v>
      </c>
      <c r="D295" t="s">
        <v>13</v>
      </c>
      <c r="E295">
        <v>6</v>
      </c>
      <c r="F295" s="79">
        <f>E295*8000</f>
        <v>48000</v>
      </c>
      <c r="G295" s="79">
        <f>E295*4500</f>
        <v>27000</v>
      </c>
      <c r="H295" s="79">
        <f>E295*3500</f>
        <v>21000</v>
      </c>
    </row>
    <row r="296" spans="1:8" hidden="1" x14ac:dyDescent="0.25">
      <c r="D296" t="s">
        <v>14</v>
      </c>
      <c r="E296">
        <v>12</v>
      </c>
      <c r="F296" s="79">
        <f>E296*10000</f>
        <v>120000</v>
      </c>
      <c r="G296" s="79">
        <f>E296*5500</f>
        <v>66000</v>
      </c>
      <c r="H296" s="79">
        <f>E296*4500</f>
        <v>54000</v>
      </c>
    </row>
    <row r="297" spans="1:8" hidden="1" x14ac:dyDescent="0.25">
      <c r="C297" t="s">
        <v>696</v>
      </c>
      <c r="D297" t="s">
        <v>11</v>
      </c>
      <c r="E297">
        <v>10</v>
      </c>
      <c r="F297" s="79">
        <f>E297*2000</f>
        <v>20000</v>
      </c>
      <c r="G297" s="79">
        <f>E297*500</f>
        <v>5000</v>
      </c>
      <c r="H297" s="79">
        <f>E297*1500</f>
        <v>15000</v>
      </c>
    </row>
    <row r="298" spans="1:8" hidden="1" x14ac:dyDescent="0.25">
      <c r="D298" t="s">
        <v>13</v>
      </c>
      <c r="E298">
        <v>1</v>
      </c>
      <c r="F298" s="79">
        <v>8000</v>
      </c>
      <c r="G298" s="79">
        <v>4500</v>
      </c>
      <c r="H298" s="79">
        <v>3500</v>
      </c>
    </row>
    <row r="299" spans="1:8" hidden="1" x14ac:dyDescent="0.25">
      <c r="D299" t="s">
        <v>14</v>
      </c>
      <c r="E299">
        <v>2</v>
      </c>
      <c r="F299" s="79">
        <f>E299*10000</f>
        <v>20000</v>
      </c>
      <c r="G299" s="79">
        <f>E299*5500</f>
        <v>11000</v>
      </c>
      <c r="H299" s="79">
        <f>E299*4500</f>
        <v>9000</v>
      </c>
    </row>
    <row r="300" spans="1:8" hidden="1" x14ac:dyDescent="0.25">
      <c r="A300" s="112" t="s">
        <v>17</v>
      </c>
      <c r="B300" s="112"/>
      <c r="C300" s="112"/>
      <c r="D300" s="112"/>
      <c r="E300" s="78">
        <f>SUM(E278:E299)</f>
        <v>234</v>
      </c>
      <c r="F300" s="78">
        <f t="shared" ref="F300:H300" si="36">SUM(F278:F299)</f>
        <v>685600</v>
      </c>
      <c r="G300" s="78">
        <f t="shared" si="36"/>
        <v>318500</v>
      </c>
      <c r="H300" s="78">
        <f t="shared" si="36"/>
        <v>367100</v>
      </c>
    </row>
    <row r="301" spans="1:8" hidden="1" x14ac:dyDescent="0.25">
      <c r="A301" t="s">
        <v>8</v>
      </c>
      <c r="B301" s="3">
        <v>45224</v>
      </c>
      <c r="C301" t="s">
        <v>338</v>
      </c>
      <c r="D301" t="s">
        <v>11</v>
      </c>
      <c r="E301">
        <v>70</v>
      </c>
      <c r="F301" s="79">
        <f>E301*1800</f>
        <v>126000</v>
      </c>
      <c r="G301" s="79">
        <f t="shared" ref="G301:G306" si="37">E301*500</f>
        <v>35000</v>
      </c>
      <c r="H301" s="79">
        <f>E301*1300</f>
        <v>91000</v>
      </c>
    </row>
    <row r="302" spans="1:8" hidden="1" x14ac:dyDescent="0.25">
      <c r="C302" t="s">
        <v>306</v>
      </c>
      <c r="D302" t="s">
        <v>11</v>
      </c>
      <c r="E302">
        <v>8</v>
      </c>
      <c r="F302" s="79">
        <f>E302*1800</f>
        <v>14400</v>
      </c>
      <c r="G302" s="79">
        <f t="shared" si="37"/>
        <v>4000</v>
      </c>
      <c r="H302" s="79">
        <f>E302*1300</f>
        <v>10400</v>
      </c>
    </row>
    <row r="303" spans="1:8" hidden="1" x14ac:dyDescent="0.25">
      <c r="C303" t="s">
        <v>571</v>
      </c>
      <c r="D303" t="s">
        <v>11</v>
      </c>
      <c r="E303">
        <v>50</v>
      </c>
      <c r="F303" s="79">
        <f>E303*1700</f>
        <v>85000</v>
      </c>
      <c r="G303" s="79">
        <f t="shared" si="37"/>
        <v>25000</v>
      </c>
      <c r="H303" s="79">
        <f>E303*1200</f>
        <v>60000</v>
      </c>
    </row>
    <row r="304" spans="1:8" hidden="1" x14ac:dyDescent="0.25">
      <c r="C304" t="s">
        <v>209</v>
      </c>
      <c r="D304" t="s">
        <v>11</v>
      </c>
      <c r="E304">
        <v>23</v>
      </c>
      <c r="F304" s="79">
        <f>E304*1500</f>
        <v>34500</v>
      </c>
      <c r="G304" s="79">
        <f t="shared" si="37"/>
        <v>11500</v>
      </c>
      <c r="H304" s="79">
        <f>E304*1000</f>
        <v>23000</v>
      </c>
    </row>
    <row r="305" spans="1:8" hidden="1" x14ac:dyDescent="0.25">
      <c r="C305" t="s">
        <v>646</v>
      </c>
      <c r="D305" t="s">
        <v>11</v>
      </c>
      <c r="E305">
        <v>100</v>
      </c>
      <c r="F305" s="79">
        <f>E305*1500</f>
        <v>150000</v>
      </c>
      <c r="G305" s="79">
        <f t="shared" si="37"/>
        <v>50000</v>
      </c>
      <c r="H305" s="79">
        <f>E305*1000</f>
        <v>100000</v>
      </c>
    </row>
    <row r="306" spans="1:8" hidden="1" x14ac:dyDescent="0.25">
      <c r="C306" t="s">
        <v>217</v>
      </c>
      <c r="D306" t="s">
        <v>11</v>
      </c>
      <c r="E306">
        <v>23</v>
      </c>
      <c r="F306" s="79">
        <f>E306*1500</f>
        <v>34500</v>
      </c>
      <c r="G306" s="79">
        <f t="shared" si="37"/>
        <v>11500</v>
      </c>
      <c r="H306" s="79">
        <f>E306*1000</f>
        <v>23000</v>
      </c>
    </row>
    <row r="307" spans="1:8" hidden="1" x14ac:dyDescent="0.25">
      <c r="D307" t="s">
        <v>13</v>
      </c>
      <c r="E307">
        <v>1</v>
      </c>
      <c r="F307" s="79">
        <v>6500</v>
      </c>
      <c r="G307" s="79">
        <v>4500</v>
      </c>
      <c r="H307" s="79">
        <v>2000</v>
      </c>
    </row>
    <row r="308" spans="1:8" hidden="1" x14ac:dyDescent="0.25">
      <c r="D308" t="s">
        <v>404</v>
      </c>
      <c r="E308">
        <v>7</v>
      </c>
      <c r="F308" s="79">
        <v>14000</v>
      </c>
      <c r="G308" s="79">
        <v>7000</v>
      </c>
      <c r="H308" s="79">
        <v>7000</v>
      </c>
    </row>
    <row r="309" spans="1:8" x14ac:dyDescent="0.25">
      <c r="D309" t="s">
        <v>441</v>
      </c>
      <c r="E309">
        <v>1</v>
      </c>
      <c r="F309" s="79">
        <v>3000</v>
      </c>
      <c r="G309" s="79">
        <v>1500</v>
      </c>
      <c r="H309" s="79">
        <v>1500</v>
      </c>
    </row>
    <row r="310" spans="1:8" hidden="1" x14ac:dyDescent="0.25">
      <c r="D310" t="s">
        <v>415</v>
      </c>
      <c r="E310">
        <v>1</v>
      </c>
      <c r="F310" s="79">
        <v>5000</v>
      </c>
      <c r="G310" s="79">
        <v>2500</v>
      </c>
      <c r="H310" s="79">
        <v>2500</v>
      </c>
    </row>
    <row r="311" spans="1:8" hidden="1" x14ac:dyDescent="0.25">
      <c r="C311" t="s">
        <v>16</v>
      </c>
      <c r="D311" t="s">
        <v>11</v>
      </c>
      <c r="E311">
        <v>45</v>
      </c>
      <c r="F311" s="79">
        <f>E311*1500</f>
        <v>67500</v>
      </c>
      <c r="G311" s="79">
        <f>E311*500</f>
        <v>22500</v>
      </c>
      <c r="H311" s="79">
        <v>45000</v>
      </c>
    </row>
    <row r="312" spans="1:8" hidden="1" x14ac:dyDescent="0.25">
      <c r="D312" t="s">
        <v>12</v>
      </c>
      <c r="E312">
        <v>1</v>
      </c>
      <c r="F312" s="79">
        <v>3000</v>
      </c>
      <c r="G312" s="79">
        <v>2000</v>
      </c>
      <c r="H312" s="79">
        <v>1000</v>
      </c>
    </row>
    <row r="313" spans="1:8" hidden="1" x14ac:dyDescent="0.25">
      <c r="C313" t="s">
        <v>127</v>
      </c>
      <c r="D313" t="s">
        <v>21</v>
      </c>
      <c r="E313">
        <v>5</v>
      </c>
      <c r="F313" s="79">
        <f>E313*15000</f>
        <v>75000</v>
      </c>
      <c r="G313" s="79">
        <v>50000</v>
      </c>
      <c r="H313" s="79">
        <v>25000</v>
      </c>
    </row>
    <row r="314" spans="1:8" hidden="1" x14ac:dyDescent="0.25">
      <c r="D314" t="s">
        <v>243</v>
      </c>
      <c r="E314">
        <v>1</v>
      </c>
      <c r="F314" s="79">
        <v>13000</v>
      </c>
      <c r="G314" s="79">
        <v>10000</v>
      </c>
      <c r="H314" s="79">
        <v>30000</v>
      </c>
    </row>
    <row r="315" spans="1:8" hidden="1" x14ac:dyDescent="0.25">
      <c r="A315" s="112" t="s">
        <v>17</v>
      </c>
      <c r="B315" s="112"/>
      <c r="C315" s="112"/>
      <c r="D315" s="112"/>
      <c r="E315" s="78">
        <f>SUM(E301:E314)</f>
        <v>336</v>
      </c>
      <c r="F315" s="78">
        <f t="shared" ref="F315:H315" si="38">SUM(F301:F314)</f>
        <v>631400</v>
      </c>
      <c r="G315" s="78">
        <f t="shared" si="38"/>
        <v>237000</v>
      </c>
      <c r="H315" s="78">
        <f t="shared" si="38"/>
        <v>421400</v>
      </c>
    </row>
    <row r="316" spans="1:8" hidden="1" x14ac:dyDescent="0.25">
      <c r="A316" t="s">
        <v>18</v>
      </c>
      <c r="B316" s="3">
        <v>45225</v>
      </c>
      <c r="C316" t="s">
        <v>338</v>
      </c>
      <c r="D316" t="s">
        <v>11</v>
      </c>
      <c r="E316">
        <v>70</v>
      </c>
      <c r="F316" s="79">
        <f>E316*1800</f>
        <v>126000</v>
      </c>
      <c r="G316" s="79">
        <f>E316*500</f>
        <v>35000</v>
      </c>
      <c r="H316" s="79">
        <f>E316*1300</f>
        <v>91000</v>
      </c>
    </row>
    <row r="317" spans="1:8" hidden="1" x14ac:dyDescent="0.25">
      <c r="C317" t="s">
        <v>571</v>
      </c>
      <c r="D317" t="s">
        <v>11</v>
      </c>
      <c r="E317">
        <v>50</v>
      </c>
      <c r="F317" s="79">
        <f>E317*1700</f>
        <v>85000</v>
      </c>
      <c r="G317" s="79">
        <f>E317*500</f>
        <v>25000</v>
      </c>
      <c r="H317" s="79">
        <f>E317*1200</f>
        <v>60000</v>
      </c>
    </row>
    <row r="318" spans="1:8" hidden="1" x14ac:dyDescent="0.25">
      <c r="C318" t="s">
        <v>209</v>
      </c>
      <c r="D318" t="s">
        <v>11</v>
      </c>
      <c r="E318">
        <v>31</v>
      </c>
      <c r="F318" s="79">
        <f>E318*1500</f>
        <v>46500</v>
      </c>
      <c r="G318" s="79">
        <f>E318*500</f>
        <v>15500</v>
      </c>
      <c r="H318" s="79">
        <f>E318*1000</f>
        <v>31000</v>
      </c>
    </row>
    <row r="319" spans="1:8" hidden="1" x14ac:dyDescent="0.25">
      <c r="C319" t="s">
        <v>646</v>
      </c>
      <c r="D319" t="s">
        <v>11</v>
      </c>
      <c r="E319">
        <v>63</v>
      </c>
      <c r="F319" s="79">
        <f>E319*1500</f>
        <v>94500</v>
      </c>
      <c r="G319" s="79">
        <f>E319*500</f>
        <v>31500</v>
      </c>
      <c r="H319" s="79">
        <v>63000</v>
      </c>
    </row>
    <row r="320" spans="1:8" hidden="1" x14ac:dyDescent="0.25">
      <c r="C320" t="s">
        <v>217</v>
      </c>
      <c r="D320" t="s">
        <v>11</v>
      </c>
      <c r="E320">
        <v>21</v>
      </c>
      <c r="F320" s="79">
        <f>E320*1500</f>
        <v>31500</v>
      </c>
      <c r="G320" s="79">
        <f>E320*500</f>
        <v>10500</v>
      </c>
      <c r="H320" s="79">
        <v>21000</v>
      </c>
    </row>
    <row r="321" spans="1:8" hidden="1" x14ac:dyDescent="0.25">
      <c r="D321" t="s">
        <v>13</v>
      </c>
      <c r="E321">
        <v>20</v>
      </c>
      <c r="F321" s="79">
        <f>E321*7500</f>
        <v>150000</v>
      </c>
      <c r="G321" s="79">
        <f>E321*4500</f>
        <v>90000</v>
      </c>
      <c r="H321" s="79">
        <f>E321*3000</f>
        <v>60000</v>
      </c>
    </row>
    <row r="322" spans="1:8" hidden="1" x14ac:dyDescent="0.25">
      <c r="D322" t="s">
        <v>14</v>
      </c>
      <c r="E322">
        <v>8</v>
      </c>
      <c r="F322" s="79">
        <f>E322*10000</f>
        <v>80000</v>
      </c>
      <c r="G322" s="79">
        <f>E322*5500</f>
        <v>44000</v>
      </c>
      <c r="H322" s="79">
        <f>E322*4500</f>
        <v>36000</v>
      </c>
    </row>
    <row r="323" spans="1:8" hidden="1" x14ac:dyDescent="0.25">
      <c r="D323" t="s">
        <v>404</v>
      </c>
      <c r="E323">
        <v>9</v>
      </c>
      <c r="F323" s="79">
        <f>E323*2000</f>
        <v>18000</v>
      </c>
      <c r="G323" s="79">
        <v>9000</v>
      </c>
      <c r="H323" s="79">
        <v>9000</v>
      </c>
    </row>
    <row r="324" spans="1:8" x14ac:dyDescent="0.25">
      <c r="D324" t="s">
        <v>439</v>
      </c>
      <c r="E324">
        <v>5</v>
      </c>
      <c r="F324" s="79">
        <f>E324*5000</f>
        <v>25000</v>
      </c>
      <c r="G324" s="79">
        <v>12500</v>
      </c>
      <c r="H324" s="79">
        <v>12500</v>
      </c>
    </row>
    <row r="325" spans="1:8" x14ac:dyDescent="0.25">
      <c r="D325" t="s">
        <v>437</v>
      </c>
      <c r="E325">
        <v>5</v>
      </c>
      <c r="F325" s="79">
        <v>25000</v>
      </c>
      <c r="G325" s="79">
        <v>12500</v>
      </c>
      <c r="H325" s="79">
        <v>12500</v>
      </c>
    </row>
    <row r="326" spans="1:8" hidden="1" x14ac:dyDescent="0.25">
      <c r="C326" t="s">
        <v>16</v>
      </c>
      <c r="D326" t="s">
        <v>11</v>
      </c>
      <c r="E326">
        <v>46</v>
      </c>
      <c r="F326" s="79">
        <f>E326*1500</f>
        <v>69000</v>
      </c>
      <c r="G326" s="79">
        <f>E326*500</f>
        <v>23000</v>
      </c>
      <c r="H326" s="79">
        <v>46000</v>
      </c>
    </row>
    <row r="327" spans="1:8" hidden="1" x14ac:dyDescent="0.25">
      <c r="D327" t="s">
        <v>12</v>
      </c>
      <c r="E327">
        <v>2</v>
      </c>
      <c r="F327" s="79">
        <v>6000</v>
      </c>
      <c r="G327" s="79">
        <v>4000</v>
      </c>
      <c r="H327" s="79">
        <v>2000</v>
      </c>
    </row>
    <row r="328" spans="1:8" hidden="1" x14ac:dyDescent="0.25">
      <c r="D328" t="s">
        <v>13</v>
      </c>
      <c r="E328">
        <v>2</v>
      </c>
      <c r="F328" s="79">
        <v>13000</v>
      </c>
      <c r="G328" s="79">
        <v>9000</v>
      </c>
      <c r="H328" s="79">
        <v>4000</v>
      </c>
    </row>
    <row r="329" spans="1:8" hidden="1" x14ac:dyDescent="0.25">
      <c r="C329" t="s">
        <v>24</v>
      </c>
      <c r="D329" t="s">
        <v>243</v>
      </c>
      <c r="E329">
        <v>3</v>
      </c>
      <c r="F329" s="79">
        <v>45000</v>
      </c>
      <c r="G329" s="79">
        <v>30000</v>
      </c>
      <c r="H329" s="79">
        <v>15000</v>
      </c>
    </row>
    <row r="330" spans="1:8" hidden="1" x14ac:dyDescent="0.25">
      <c r="A330" s="111" t="s">
        <v>17</v>
      </c>
      <c r="B330" s="111"/>
      <c r="C330" s="111"/>
      <c r="D330" s="111"/>
      <c r="E330" s="1">
        <f>SUM(E316:E329)</f>
        <v>335</v>
      </c>
      <c r="F330" s="78">
        <f t="shared" ref="F330:H330" si="39">SUM(F316:F329)</f>
        <v>814500</v>
      </c>
      <c r="G330" s="78">
        <f t="shared" si="39"/>
        <v>351500</v>
      </c>
      <c r="H330" s="78">
        <f t="shared" si="39"/>
        <v>463000</v>
      </c>
    </row>
    <row r="331" spans="1:8" hidden="1" x14ac:dyDescent="0.25">
      <c r="A331" t="s">
        <v>22</v>
      </c>
      <c r="B331" s="3">
        <v>45226</v>
      </c>
      <c r="C331" t="s">
        <v>338</v>
      </c>
      <c r="D331" t="s">
        <v>11</v>
      </c>
      <c r="E331">
        <v>70</v>
      </c>
      <c r="F331" s="79">
        <f>E331*1800</f>
        <v>126000</v>
      </c>
      <c r="G331" s="79">
        <f>E331*500</f>
        <v>35000</v>
      </c>
      <c r="H331" s="79">
        <f>E331*1300</f>
        <v>91000</v>
      </c>
    </row>
    <row r="332" spans="1:8" hidden="1" x14ac:dyDescent="0.25">
      <c r="C332" t="s">
        <v>571</v>
      </c>
      <c r="D332" t="s">
        <v>11</v>
      </c>
      <c r="E332">
        <v>50</v>
      </c>
      <c r="F332" s="79">
        <f>E332*1700</f>
        <v>85000</v>
      </c>
      <c r="G332" s="79">
        <f>E332*500</f>
        <v>25000</v>
      </c>
      <c r="H332" s="79">
        <f>E332*1200</f>
        <v>60000</v>
      </c>
    </row>
    <row r="333" spans="1:8" hidden="1" x14ac:dyDescent="0.25">
      <c r="C333" t="s">
        <v>209</v>
      </c>
      <c r="D333" t="s">
        <v>11</v>
      </c>
      <c r="E333">
        <v>25</v>
      </c>
      <c r="F333" s="79">
        <f>E333*1500</f>
        <v>37500</v>
      </c>
      <c r="G333" s="79">
        <f>E333*500</f>
        <v>12500</v>
      </c>
      <c r="H333" s="79">
        <f>E333*1000</f>
        <v>25000</v>
      </c>
    </row>
    <row r="334" spans="1:8" hidden="1" x14ac:dyDescent="0.25">
      <c r="C334" t="s">
        <v>16</v>
      </c>
      <c r="D334" t="s">
        <v>11</v>
      </c>
      <c r="E334">
        <v>32</v>
      </c>
      <c r="F334" s="79">
        <f>E334*1500</f>
        <v>48000</v>
      </c>
      <c r="G334" s="79">
        <f>E334*500</f>
        <v>16000</v>
      </c>
      <c r="H334" s="79">
        <v>32000</v>
      </c>
    </row>
    <row r="335" spans="1:8" hidden="1" x14ac:dyDescent="0.25">
      <c r="D335" t="s">
        <v>12</v>
      </c>
      <c r="E335">
        <v>2</v>
      </c>
      <c r="F335" s="79">
        <f>E335*3000</f>
        <v>6000</v>
      </c>
      <c r="G335" s="79">
        <v>4000</v>
      </c>
      <c r="H335" s="79">
        <v>2000</v>
      </c>
    </row>
    <row r="336" spans="1:8" hidden="1" x14ac:dyDescent="0.25">
      <c r="C336" t="s">
        <v>217</v>
      </c>
      <c r="D336" t="s">
        <v>11</v>
      </c>
      <c r="E336">
        <v>9</v>
      </c>
      <c r="F336" s="79">
        <f>E336*1500</f>
        <v>13500</v>
      </c>
      <c r="G336" s="79">
        <f>E336*500</f>
        <v>4500</v>
      </c>
      <c r="H336" s="79">
        <v>9000</v>
      </c>
    </row>
    <row r="337" spans="1:8" hidden="1" x14ac:dyDescent="0.25">
      <c r="D337" t="s">
        <v>14</v>
      </c>
      <c r="E337">
        <v>4</v>
      </c>
      <c r="F337" s="79">
        <f>E337*10000</f>
        <v>40000</v>
      </c>
      <c r="G337" s="79">
        <f>E337*5500</f>
        <v>22000</v>
      </c>
      <c r="H337" s="79">
        <f>E337*4500</f>
        <v>18000</v>
      </c>
    </row>
    <row r="338" spans="1:8" hidden="1" x14ac:dyDescent="0.25">
      <c r="A338" s="112" t="s">
        <v>17</v>
      </c>
      <c r="B338" s="112"/>
      <c r="C338" s="112"/>
      <c r="D338" s="112"/>
      <c r="E338" s="78">
        <f>SUM(E331:E337)</f>
        <v>192</v>
      </c>
      <c r="F338" s="78">
        <f t="shared" ref="F338:H338" si="40">SUM(F331:F337)</f>
        <v>356000</v>
      </c>
      <c r="G338" s="78">
        <f t="shared" si="40"/>
        <v>119000</v>
      </c>
      <c r="H338" s="78">
        <f t="shared" si="40"/>
        <v>237000</v>
      </c>
    </row>
    <row r="339" spans="1:8" hidden="1" x14ac:dyDescent="0.25">
      <c r="A339" t="s">
        <v>26</v>
      </c>
      <c r="B339" s="3">
        <v>45227</v>
      </c>
      <c r="C339" t="s">
        <v>16</v>
      </c>
      <c r="D339" t="s">
        <v>11</v>
      </c>
      <c r="E339">
        <v>63</v>
      </c>
      <c r="F339" s="79">
        <f>E339*1500</f>
        <v>94500</v>
      </c>
      <c r="G339" s="79">
        <f>E339*500</f>
        <v>31500</v>
      </c>
      <c r="H339" s="79">
        <v>63000</v>
      </c>
    </row>
    <row r="340" spans="1:8" hidden="1" x14ac:dyDescent="0.25">
      <c r="D340" t="s">
        <v>12</v>
      </c>
      <c r="E340">
        <v>3</v>
      </c>
      <c r="F340" s="79">
        <v>9000</v>
      </c>
      <c r="G340" s="79">
        <v>6000</v>
      </c>
      <c r="H340" s="79">
        <v>3000</v>
      </c>
    </row>
    <row r="341" spans="1:8" hidden="1" x14ac:dyDescent="0.25">
      <c r="C341" t="s">
        <v>217</v>
      </c>
      <c r="D341" t="s">
        <v>11</v>
      </c>
      <c r="E341">
        <v>15</v>
      </c>
      <c r="F341" s="79">
        <f>E341*1500</f>
        <v>22500</v>
      </c>
      <c r="G341" s="79">
        <f>E341*500</f>
        <v>7500</v>
      </c>
      <c r="H341" s="79">
        <v>15000</v>
      </c>
    </row>
    <row r="342" spans="1:8" hidden="1" x14ac:dyDescent="0.25">
      <c r="D342" t="s">
        <v>13</v>
      </c>
      <c r="E342">
        <v>2</v>
      </c>
      <c r="F342" s="79">
        <f>E342*6500</f>
        <v>13000</v>
      </c>
      <c r="G342" s="79">
        <f>E342*500</f>
        <v>1000</v>
      </c>
      <c r="H342" s="79">
        <v>2000</v>
      </c>
    </row>
    <row r="343" spans="1:8" hidden="1" x14ac:dyDescent="0.25">
      <c r="D343" t="s">
        <v>14</v>
      </c>
      <c r="E343">
        <v>8</v>
      </c>
      <c r="F343" s="79">
        <f>E343*10000</f>
        <v>80000</v>
      </c>
      <c r="G343" s="79">
        <f>E343*5500</f>
        <v>44000</v>
      </c>
      <c r="H343" s="79">
        <f>E343*4500</f>
        <v>36000</v>
      </c>
    </row>
    <row r="344" spans="1:8" hidden="1" x14ac:dyDescent="0.25">
      <c r="D344" t="s">
        <v>695</v>
      </c>
      <c r="E344">
        <v>1</v>
      </c>
      <c r="F344" s="79">
        <v>3000</v>
      </c>
      <c r="G344" s="79">
        <v>1500</v>
      </c>
      <c r="H344" s="79">
        <v>1500</v>
      </c>
    </row>
    <row r="345" spans="1:8" hidden="1" x14ac:dyDescent="0.25">
      <c r="D345" t="s">
        <v>415</v>
      </c>
      <c r="E345">
        <v>1</v>
      </c>
      <c r="F345" s="79">
        <v>5000</v>
      </c>
      <c r="G345" s="79">
        <v>2500</v>
      </c>
      <c r="H345" s="79">
        <v>2500</v>
      </c>
    </row>
    <row r="346" spans="1:8" hidden="1" x14ac:dyDescent="0.25">
      <c r="C346" t="s">
        <v>697</v>
      </c>
      <c r="D346" t="s">
        <v>13</v>
      </c>
      <c r="E346">
        <v>10</v>
      </c>
      <c r="F346" s="79">
        <f>E346*8000</f>
        <v>80000</v>
      </c>
      <c r="G346" s="79">
        <f>E346*4500</f>
        <v>45000</v>
      </c>
      <c r="H346" s="79">
        <f>E346*3500</f>
        <v>35000</v>
      </c>
    </row>
    <row r="347" spans="1:8" hidden="1" x14ac:dyDescent="0.25">
      <c r="C347" t="s">
        <v>698</v>
      </c>
      <c r="D347" t="s">
        <v>14</v>
      </c>
      <c r="E347">
        <v>12</v>
      </c>
      <c r="F347" s="79">
        <f>E347*10000</f>
        <v>120000</v>
      </c>
      <c r="G347" s="79">
        <f>E347*5500</f>
        <v>66000</v>
      </c>
      <c r="H347" s="79">
        <f>E347*4500</f>
        <v>54000</v>
      </c>
    </row>
    <row r="348" spans="1:8" hidden="1" x14ac:dyDescent="0.25">
      <c r="C348" t="s">
        <v>699</v>
      </c>
      <c r="D348" t="s">
        <v>243</v>
      </c>
      <c r="E348">
        <v>15</v>
      </c>
      <c r="F348" s="79">
        <f>E348*15000</f>
        <v>225000</v>
      </c>
      <c r="G348" s="79">
        <f>E348*10000</f>
        <v>150000</v>
      </c>
      <c r="H348" s="79">
        <f>E348*3000</f>
        <v>45000</v>
      </c>
    </row>
    <row r="349" spans="1:8" hidden="1" x14ac:dyDescent="0.25">
      <c r="A349" s="112" t="s">
        <v>17</v>
      </c>
      <c r="B349" s="112"/>
      <c r="C349" s="112"/>
      <c r="D349" s="112"/>
      <c r="E349" s="78">
        <f>SUM(E339:E348)</f>
        <v>130</v>
      </c>
      <c r="F349" s="78">
        <f t="shared" ref="F349:H349" si="41">SUM(F339:F348)</f>
        <v>652000</v>
      </c>
      <c r="G349" s="78">
        <f t="shared" si="41"/>
        <v>355000</v>
      </c>
      <c r="H349" s="78">
        <f t="shared" si="41"/>
        <v>257000</v>
      </c>
    </row>
    <row r="350" spans="1:8" hidden="1" x14ac:dyDescent="0.25">
      <c r="A350" t="s">
        <v>28</v>
      </c>
      <c r="B350" s="3">
        <v>45228</v>
      </c>
      <c r="C350" t="s">
        <v>217</v>
      </c>
      <c r="D350" t="s">
        <v>11</v>
      </c>
      <c r="E350">
        <v>6</v>
      </c>
      <c r="F350" s="79">
        <f>E350*1500</f>
        <v>9000</v>
      </c>
      <c r="G350" s="79">
        <f>E350*500</f>
        <v>3000</v>
      </c>
      <c r="H350" s="79">
        <v>6000</v>
      </c>
    </row>
    <row r="351" spans="1:8" hidden="1" x14ac:dyDescent="0.25">
      <c r="D351" t="s">
        <v>13</v>
      </c>
      <c r="E351">
        <v>11</v>
      </c>
      <c r="F351" s="79">
        <f>E351*6500</f>
        <v>71500</v>
      </c>
      <c r="G351" s="79">
        <f>E351*4500</f>
        <v>49500</v>
      </c>
      <c r="H351" s="79">
        <f>E351*2000</f>
        <v>22000</v>
      </c>
    </row>
    <row r="352" spans="1:8" hidden="1" x14ac:dyDescent="0.25">
      <c r="D352" t="s">
        <v>14</v>
      </c>
      <c r="E352">
        <v>2</v>
      </c>
      <c r="F352" s="79">
        <f>E352*10000</f>
        <v>20000</v>
      </c>
      <c r="G352" s="79">
        <f>E352*5500</f>
        <v>11000</v>
      </c>
      <c r="H352" s="79">
        <f>E352*4500</f>
        <v>9000</v>
      </c>
    </row>
    <row r="353" spans="1:11" hidden="1" x14ac:dyDescent="0.25">
      <c r="D353" t="s">
        <v>404</v>
      </c>
      <c r="E353">
        <v>2</v>
      </c>
      <c r="F353" s="79">
        <v>4000</v>
      </c>
      <c r="G353" s="79">
        <v>2000</v>
      </c>
      <c r="H353" s="79">
        <v>2000</v>
      </c>
    </row>
    <row r="354" spans="1:11" hidden="1" x14ac:dyDescent="0.25">
      <c r="D354" t="s">
        <v>436</v>
      </c>
      <c r="E354">
        <v>2</v>
      </c>
      <c r="F354" s="79">
        <v>6000</v>
      </c>
      <c r="G354" s="79">
        <v>3000</v>
      </c>
      <c r="H354" s="79">
        <v>3000</v>
      </c>
    </row>
    <row r="355" spans="1:11" hidden="1" x14ac:dyDescent="0.25">
      <c r="C355" t="s">
        <v>16</v>
      </c>
      <c r="D355" t="s">
        <v>11</v>
      </c>
      <c r="E355">
        <v>25</v>
      </c>
      <c r="F355" s="79">
        <f>E355*1500</f>
        <v>37500</v>
      </c>
      <c r="G355" s="79">
        <f>E355*500</f>
        <v>12500</v>
      </c>
      <c r="H355" s="79">
        <v>25000</v>
      </c>
      <c r="K355" t="s">
        <v>612</v>
      </c>
    </row>
    <row r="356" spans="1:11" hidden="1" x14ac:dyDescent="0.25">
      <c r="D356" t="s">
        <v>12</v>
      </c>
      <c r="E356">
        <v>3</v>
      </c>
      <c r="F356" s="79">
        <v>9000</v>
      </c>
      <c r="G356" s="79">
        <v>6000</v>
      </c>
      <c r="H356" s="79">
        <v>3000</v>
      </c>
    </row>
    <row r="357" spans="1:11" hidden="1" x14ac:dyDescent="0.25">
      <c r="C357" t="s">
        <v>700</v>
      </c>
      <c r="D357" t="s">
        <v>11</v>
      </c>
      <c r="E357">
        <v>4</v>
      </c>
      <c r="F357" s="79">
        <f>E357*2000</f>
        <v>8000</v>
      </c>
      <c r="G357" s="79">
        <f>E357*500</f>
        <v>2000</v>
      </c>
      <c r="H357" s="79">
        <f>E357*1500</f>
        <v>6000</v>
      </c>
    </row>
    <row r="358" spans="1:11" hidden="1" x14ac:dyDescent="0.25">
      <c r="D358" t="s">
        <v>13</v>
      </c>
      <c r="E358">
        <v>17</v>
      </c>
      <c r="F358" s="79">
        <f>E358*7000</f>
        <v>119000</v>
      </c>
      <c r="G358" s="79">
        <f>E358*4500</f>
        <v>76500</v>
      </c>
      <c r="H358" s="79">
        <f>E358*2500</f>
        <v>42500</v>
      </c>
    </row>
    <row r="359" spans="1:11" hidden="1" x14ac:dyDescent="0.25">
      <c r="D359" t="s">
        <v>14</v>
      </c>
      <c r="E359">
        <v>16</v>
      </c>
      <c r="F359" s="79">
        <f>E359*10000</f>
        <v>160000</v>
      </c>
      <c r="G359" s="79">
        <f>E359*5500</f>
        <v>88000</v>
      </c>
      <c r="H359" s="79">
        <f>E359*4500</f>
        <v>72000</v>
      </c>
    </row>
    <row r="360" spans="1:11" x14ac:dyDescent="0.25">
      <c r="D360" t="s">
        <v>439</v>
      </c>
      <c r="E360">
        <v>1</v>
      </c>
      <c r="F360" s="79">
        <v>3000</v>
      </c>
      <c r="G360" s="79">
        <v>1500</v>
      </c>
      <c r="H360" s="79">
        <v>1500</v>
      </c>
    </row>
    <row r="361" spans="1:11" hidden="1" x14ac:dyDescent="0.25">
      <c r="C361" t="s">
        <v>701</v>
      </c>
      <c r="D361" t="s">
        <v>11</v>
      </c>
      <c r="E361">
        <v>2</v>
      </c>
      <c r="F361" s="79">
        <f>E361*2000</f>
        <v>4000</v>
      </c>
      <c r="G361" s="79">
        <f>E361*500</f>
        <v>1000</v>
      </c>
      <c r="H361" s="79">
        <v>3000</v>
      </c>
    </row>
    <row r="362" spans="1:11" hidden="1" x14ac:dyDescent="0.25">
      <c r="D362" t="s">
        <v>13</v>
      </c>
      <c r="E362">
        <v>12</v>
      </c>
      <c r="F362" s="79">
        <f>E362*7000</f>
        <v>84000</v>
      </c>
      <c r="G362" s="79">
        <f>E362*4500</f>
        <v>54000</v>
      </c>
      <c r="H362" s="79">
        <f>E362*2500</f>
        <v>30000</v>
      </c>
    </row>
    <row r="363" spans="1:11" hidden="1" x14ac:dyDescent="0.25">
      <c r="D363" t="s">
        <v>14</v>
      </c>
      <c r="E363">
        <v>5</v>
      </c>
      <c r="F363" s="79">
        <f>E363*10000</f>
        <v>50000</v>
      </c>
      <c r="G363" s="79">
        <f>E363*5500</f>
        <v>27500</v>
      </c>
      <c r="H363" s="79">
        <f>E363*4500</f>
        <v>22500</v>
      </c>
    </row>
    <row r="364" spans="1:11" hidden="1" x14ac:dyDescent="0.25">
      <c r="A364" s="112" t="s">
        <v>17</v>
      </c>
      <c r="B364" s="112"/>
      <c r="C364" s="112"/>
      <c r="D364" s="112"/>
      <c r="E364" s="78">
        <f>SUM(E350:E363)</f>
        <v>108</v>
      </c>
      <c r="F364" s="78">
        <f t="shared" ref="F364:H364" si="42">SUM(F350:F363)</f>
        <v>585000</v>
      </c>
      <c r="G364" s="78">
        <f t="shared" si="42"/>
        <v>337500</v>
      </c>
      <c r="H364" s="78">
        <f t="shared" si="42"/>
        <v>247500</v>
      </c>
    </row>
    <row r="365" spans="1:11" hidden="1" x14ac:dyDescent="0.25">
      <c r="A365" t="s">
        <v>30</v>
      </c>
      <c r="B365" s="3">
        <v>45229</v>
      </c>
      <c r="C365" t="s">
        <v>338</v>
      </c>
      <c r="D365" t="s">
        <v>11</v>
      </c>
      <c r="E365">
        <v>175</v>
      </c>
      <c r="F365" s="79">
        <f>E365*1800</f>
        <v>315000</v>
      </c>
      <c r="G365" s="79">
        <f>E365*500</f>
        <v>87500</v>
      </c>
      <c r="H365" s="79">
        <f>E365*1300</f>
        <v>227500</v>
      </c>
    </row>
    <row r="366" spans="1:11" hidden="1" x14ac:dyDescent="0.25">
      <c r="C366" t="s">
        <v>16</v>
      </c>
      <c r="D366" t="s">
        <v>11</v>
      </c>
      <c r="E366">
        <v>44</v>
      </c>
      <c r="F366" s="79">
        <f>E366*1500</f>
        <v>66000</v>
      </c>
      <c r="G366" s="79">
        <f>E366*500</f>
        <v>22000</v>
      </c>
      <c r="H366" s="79">
        <v>44000</v>
      </c>
    </row>
    <row r="367" spans="1:11" hidden="1" x14ac:dyDescent="0.25">
      <c r="D367" t="s">
        <v>12</v>
      </c>
      <c r="E367">
        <v>4</v>
      </c>
      <c r="F367" s="79">
        <v>12000</v>
      </c>
      <c r="G367" s="79">
        <v>8000</v>
      </c>
      <c r="H367" s="79">
        <v>4000</v>
      </c>
    </row>
    <row r="368" spans="1:11" hidden="1" x14ac:dyDescent="0.25">
      <c r="C368" t="s">
        <v>217</v>
      </c>
      <c r="D368" t="s">
        <v>11</v>
      </c>
      <c r="E368">
        <v>11</v>
      </c>
      <c r="F368" s="79">
        <f>E368*1500</f>
        <v>16500</v>
      </c>
      <c r="G368" s="79">
        <f>E368*500</f>
        <v>5500</v>
      </c>
      <c r="H368" s="79">
        <v>11000</v>
      </c>
    </row>
    <row r="369" spans="1:8" hidden="1" x14ac:dyDescent="0.25">
      <c r="D369" t="s">
        <v>13</v>
      </c>
      <c r="E369">
        <v>5</v>
      </c>
      <c r="F369" s="79">
        <f>E369*6500</f>
        <v>32500</v>
      </c>
      <c r="G369" s="79">
        <f>E369*4500</f>
        <v>22500</v>
      </c>
      <c r="H369" s="79">
        <f>E369*2000</f>
        <v>10000</v>
      </c>
    </row>
    <row r="370" spans="1:8" hidden="1" x14ac:dyDescent="0.25">
      <c r="D370" t="s">
        <v>14</v>
      </c>
      <c r="E370">
        <v>1</v>
      </c>
      <c r="F370" s="79">
        <v>10000</v>
      </c>
      <c r="G370" s="79">
        <v>5500</v>
      </c>
      <c r="H370" s="79">
        <v>4500</v>
      </c>
    </row>
    <row r="371" spans="1:8" hidden="1" x14ac:dyDescent="0.25">
      <c r="D371" t="s">
        <v>404</v>
      </c>
      <c r="E371">
        <v>4</v>
      </c>
      <c r="F371" s="79">
        <f>E371*2000</f>
        <v>8000</v>
      </c>
      <c r="G371" s="79">
        <v>4000</v>
      </c>
      <c r="H371" s="79">
        <v>4000</v>
      </c>
    </row>
    <row r="372" spans="1:8" hidden="1" x14ac:dyDescent="0.25">
      <c r="A372" s="112" t="s">
        <v>17</v>
      </c>
      <c r="B372" s="112"/>
      <c r="C372" s="112"/>
      <c r="D372" s="112"/>
      <c r="E372" s="78">
        <f>SUM(E365:E367)</f>
        <v>223</v>
      </c>
      <c r="F372" s="78">
        <f t="shared" ref="F372:H372" si="43">SUM(F365:F367)</f>
        <v>393000</v>
      </c>
      <c r="G372" s="78">
        <f t="shared" si="43"/>
        <v>117500</v>
      </c>
      <c r="H372" s="78">
        <f t="shared" si="43"/>
        <v>275500</v>
      </c>
    </row>
    <row r="373" spans="1:8" hidden="1" x14ac:dyDescent="0.25">
      <c r="A373" t="s">
        <v>32</v>
      </c>
      <c r="B373" t="s">
        <v>702</v>
      </c>
      <c r="C373" t="s">
        <v>571</v>
      </c>
      <c r="D373" t="s">
        <v>11</v>
      </c>
      <c r="E373">
        <v>48</v>
      </c>
      <c r="F373" s="79">
        <f>E373*1700</f>
        <v>81600</v>
      </c>
      <c r="G373" s="79">
        <f>E373*500</f>
        <v>24000</v>
      </c>
      <c r="H373" s="79">
        <f>E373*1300</f>
        <v>62400</v>
      </c>
    </row>
    <row r="374" spans="1:8" hidden="1" x14ac:dyDescent="0.25">
      <c r="C374" t="s">
        <v>572</v>
      </c>
      <c r="D374" t="s">
        <v>11</v>
      </c>
      <c r="E374">
        <v>40</v>
      </c>
      <c r="F374" s="79">
        <f>E374*1700</f>
        <v>68000</v>
      </c>
      <c r="G374" s="79">
        <f>E374*500</f>
        <v>20000</v>
      </c>
      <c r="H374" s="79">
        <f>E374*1300</f>
        <v>52000</v>
      </c>
    </row>
    <row r="375" spans="1:8" hidden="1" x14ac:dyDescent="0.25">
      <c r="C375" t="s">
        <v>209</v>
      </c>
      <c r="D375" t="s">
        <v>11</v>
      </c>
      <c r="E375">
        <v>25</v>
      </c>
      <c r="F375" s="79">
        <f>E375*1500</f>
        <v>37500</v>
      </c>
      <c r="G375" s="79">
        <f>E375*500</f>
        <v>12500</v>
      </c>
      <c r="H375" s="79">
        <f>E375*1000</f>
        <v>25000</v>
      </c>
    </row>
    <row r="376" spans="1:8" hidden="1" x14ac:dyDescent="0.25">
      <c r="C376" t="s">
        <v>646</v>
      </c>
      <c r="D376" t="s">
        <v>11</v>
      </c>
      <c r="E376">
        <v>200</v>
      </c>
      <c r="F376" s="79">
        <f>E376*1500</f>
        <v>300000</v>
      </c>
      <c r="G376" s="79">
        <f>E376*500</f>
        <v>100000</v>
      </c>
      <c r="H376" s="79">
        <f>E376*1000</f>
        <v>200000</v>
      </c>
    </row>
    <row r="377" spans="1:8" hidden="1" x14ac:dyDescent="0.25">
      <c r="C377" t="s">
        <v>16</v>
      </c>
      <c r="D377" t="s">
        <v>11</v>
      </c>
      <c r="E377">
        <v>32</v>
      </c>
      <c r="F377" s="79">
        <f>E377*1500</f>
        <v>48000</v>
      </c>
      <c r="G377" s="79">
        <f>E377*500</f>
        <v>16000</v>
      </c>
      <c r="H377" s="79">
        <f>E377*1000</f>
        <v>32000</v>
      </c>
    </row>
    <row r="378" spans="1:8" hidden="1" x14ac:dyDescent="0.25">
      <c r="D378" t="s">
        <v>12</v>
      </c>
      <c r="E378">
        <v>2</v>
      </c>
      <c r="F378" s="79">
        <v>6000</v>
      </c>
      <c r="G378" s="79">
        <v>4000</v>
      </c>
      <c r="H378" s="79">
        <v>2000</v>
      </c>
    </row>
    <row r="379" spans="1:8" hidden="1" x14ac:dyDescent="0.25">
      <c r="C379" t="s">
        <v>217</v>
      </c>
      <c r="D379" t="s">
        <v>11</v>
      </c>
      <c r="E379">
        <f>11+18</f>
        <v>29</v>
      </c>
      <c r="F379" s="79">
        <f>E379*1500</f>
        <v>43500</v>
      </c>
      <c r="G379" s="79">
        <f>E379*500</f>
        <v>14500</v>
      </c>
      <c r="H379" s="79">
        <v>29000</v>
      </c>
    </row>
    <row r="380" spans="1:8" hidden="1" x14ac:dyDescent="0.25">
      <c r="D380" t="s">
        <v>13</v>
      </c>
      <c r="E380">
        <v>6</v>
      </c>
      <c r="F380" s="79">
        <f>E380*6500</f>
        <v>39000</v>
      </c>
      <c r="G380" s="79">
        <f>E380*4500</f>
        <v>27000</v>
      </c>
      <c r="H380" s="79">
        <f>E380*2000</f>
        <v>12000</v>
      </c>
    </row>
    <row r="381" spans="1:8" hidden="1" x14ac:dyDescent="0.25">
      <c r="D381" t="s">
        <v>14</v>
      </c>
      <c r="E381">
        <v>3</v>
      </c>
      <c r="F381" s="79">
        <f>E381*10000</f>
        <v>30000</v>
      </c>
      <c r="G381" s="79">
        <f>E381*5500</f>
        <v>16500</v>
      </c>
      <c r="H381" s="79">
        <f>E381*4500</f>
        <v>13500</v>
      </c>
    </row>
    <row r="382" spans="1:8" hidden="1" x14ac:dyDescent="0.25">
      <c r="D382" t="s">
        <v>404</v>
      </c>
      <c r="E382">
        <v>9</v>
      </c>
      <c r="F382" s="79">
        <f>E382*2000</f>
        <v>18000</v>
      </c>
      <c r="G382" s="79">
        <v>9000</v>
      </c>
      <c r="H382" s="79">
        <v>9000</v>
      </c>
    </row>
    <row r="383" spans="1:8" x14ac:dyDescent="0.25">
      <c r="D383" t="s">
        <v>437</v>
      </c>
      <c r="E383">
        <v>3</v>
      </c>
      <c r="F383" s="79">
        <f>E383*5000</f>
        <v>15000</v>
      </c>
      <c r="G383" s="79">
        <v>7500</v>
      </c>
      <c r="H383" s="79">
        <v>7500</v>
      </c>
    </row>
    <row r="384" spans="1:8" hidden="1" x14ac:dyDescent="0.25">
      <c r="A384" s="112" t="s">
        <v>17</v>
      </c>
      <c r="B384" s="112"/>
      <c r="C384" s="112"/>
      <c r="D384" s="112"/>
      <c r="E384" s="78">
        <f>SUM(E373:E383)</f>
        <v>397</v>
      </c>
      <c r="F384" s="78">
        <f t="shared" ref="F384:H384" si="44">SUM(F373:F383)</f>
        <v>686600</v>
      </c>
      <c r="G384" s="78">
        <f t="shared" si="44"/>
        <v>251000</v>
      </c>
      <c r="H384" s="78">
        <f t="shared" si="44"/>
        <v>444400</v>
      </c>
    </row>
  </sheetData>
  <autoFilter ref="A1:K384" xr:uid="{00000000-0009-0000-0000-000017000000}">
    <filterColumn colId="3">
      <filters>
        <filter val="ES SUSU"/>
        <filter val="ES SUSU MURNI"/>
        <filter val="ES SUSU ORI"/>
        <filter val="ES SUSU RASA2"/>
        <filter val="ES SUSUORI"/>
      </filters>
    </filterColumn>
  </autoFilter>
  <mergeCells count="31">
    <mergeCell ref="A72:D72"/>
    <mergeCell ref="A202:D202"/>
    <mergeCell ref="A117:D117"/>
    <mergeCell ref="A111:D111"/>
    <mergeCell ref="A100:D100"/>
    <mergeCell ref="A86:D86"/>
    <mergeCell ref="A172:D172"/>
    <mergeCell ref="A189:D189"/>
    <mergeCell ref="A158:D158"/>
    <mergeCell ref="A147:D147"/>
    <mergeCell ref="A13:D13"/>
    <mergeCell ref="A20:D20"/>
    <mergeCell ref="A36:D36"/>
    <mergeCell ref="A55:D55"/>
    <mergeCell ref="A65:D65"/>
    <mergeCell ref="A384:D384"/>
    <mergeCell ref="A364:D364"/>
    <mergeCell ref="A230:D230"/>
    <mergeCell ref="A133:D133"/>
    <mergeCell ref="A216:D216"/>
    <mergeCell ref="A338:D338"/>
    <mergeCell ref="A349:D349"/>
    <mergeCell ref="A249:D249"/>
    <mergeCell ref="A240:D240"/>
    <mergeCell ref="A277:D277"/>
    <mergeCell ref="A261:D261"/>
    <mergeCell ref="A330:D330"/>
    <mergeCell ref="A315:D315"/>
    <mergeCell ref="A300:D300"/>
    <mergeCell ref="A271:D271"/>
    <mergeCell ref="A372:D37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03"/>
  <sheetViews>
    <sheetView workbookViewId="0">
      <selection sqref="A1:XFD1048576"/>
    </sheetView>
  </sheetViews>
  <sheetFormatPr defaultRowHeight="15" x14ac:dyDescent="0.25"/>
  <cols>
    <col min="2" max="2" width="10.710937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8</v>
      </c>
      <c r="B2" s="3">
        <v>45231</v>
      </c>
      <c r="C2" t="s">
        <v>338</v>
      </c>
      <c r="D2" t="s">
        <v>11</v>
      </c>
      <c r="E2">
        <v>70</v>
      </c>
      <c r="F2" s="79">
        <f>E2*1800</f>
        <v>126000</v>
      </c>
      <c r="G2" s="79">
        <f>E2*500</f>
        <v>35000</v>
      </c>
      <c r="H2" s="79">
        <f>E2*1300</f>
        <v>91000</v>
      </c>
    </row>
    <row r="3" spans="1:8" x14ac:dyDescent="0.25">
      <c r="C3" t="s">
        <v>306</v>
      </c>
      <c r="D3" t="s">
        <v>11</v>
      </c>
      <c r="E3">
        <v>20</v>
      </c>
      <c r="F3" s="79">
        <f>E3*1700</f>
        <v>34000</v>
      </c>
      <c r="G3" s="79">
        <f>E3*500</f>
        <v>10000</v>
      </c>
      <c r="H3" s="79">
        <f>E3*1200</f>
        <v>24000</v>
      </c>
    </row>
    <row r="4" spans="1:8" x14ac:dyDescent="0.25">
      <c r="C4" t="s">
        <v>571</v>
      </c>
      <c r="D4" t="s">
        <v>11</v>
      </c>
      <c r="E4">
        <v>50</v>
      </c>
      <c r="F4" s="79">
        <f>E4*1700</f>
        <v>85000</v>
      </c>
      <c r="G4" s="79">
        <f>E4*500</f>
        <v>25000</v>
      </c>
      <c r="H4" s="79">
        <f>E4*1200</f>
        <v>60000</v>
      </c>
    </row>
    <row r="5" spans="1:8" x14ac:dyDescent="0.25">
      <c r="C5" t="s">
        <v>16</v>
      </c>
      <c r="D5" t="s">
        <v>11</v>
      </c>
      <c r="E5">
        <v>52</v>
      </c>
      <c r="F5" s="79">
        <f>E5*1500</f>
        <v>78000</v>
      </c>
      <c r="G5" s="79">
        <f>E5*500</f>
        <v>26000</v>
      </c>
      <c r="H5" s="79">
        <f>E5*1000</f>
        <v>52000</v>
      </c>
    </row>
    <row r="6" spans="1:8" x14ac:dyDescent="0.25">
      <c r="D6" t="s">
        <v>12</v>
      </c>
      <c r="E6">
        <v>3</v>
      </c>
      <c r="F6" s="79">
        <f>E6*3000</f>
        <v>9000</v>
      </c>
      <c r="G6" s="81">
        <v>6000</v>
      </c>
      <c r="H6" s="79">
        <v>3000</v>
      </c>
    </row>
    <row r="7" spans="1:8" x14ac:dyDescent="0.25">
      <c r="D7" t="s">
        <v>13</v>
      </c>
      <c r="E7">
        <v>1</v>
      </c>
      <c r="F7" s="79">
        <v>6500</v>
      </c>
      <c r="G7" s="79">
        <v>4500</v>
      </c>
      <c r="H7" s="79">
        <v>2000</v>
      </c>
    </row>
    <row r="8" spans="1:8" x14ac:dyDescent="0.25">
      <c r="A8" s="112" t="s">
        <v>17</v>
      </c>
      <c r="B8" s="112"/>
      <c r="C8" s="112"/>
      <c r="D8" s="112"/>
      <c r="E8" s="78">
        <f>SUM(E2:E7)</f>
        <v>196</v>
      </c>
      <c r="F8" s="78">
        <f t="shared" ref="F8:H8" si="0">SUM(F2:F7)</f>
        <v>338500</v>
      </c>
      <c r="G8" s="78">
        <f t="shared" si="0"/>
        <v>106500</v>
      </c>
      <c r="H8" s="78">
        <f t="shared" si="0"/>
        <v>232000</v>
      </c>
    </row>
    <row r="9" spans="1:8" x14ac:dyDescent="0.25">
      <c r="A9" t="s">
        <v>18</v>
      </c>
      <c r="B9" s="3">
        <v>45232</v>
      </c>
      <c r="C9" t="s">
        <v>338</v>
      </c>
      <c r="D9" t="s">
        <v>11</v>
      </c>
      <c r="E9">
        <v>70</v>
      </c>
      <c r="F9">
        <f>E9*1800</f>
        <v>126000</v>
      </c>
      <c r="G9">
        <f>E9*500</f>
        <v>35000</v>
      </c>
      <c r="H9">
        <f>E9*1300</f>
        <v>91000</v>
      </c>
    </row>
    <row r="10" spans="1:8" x14ac:dyDescent="0.25">
      <c r="C10" t="s">
        <v>306</v>
      </c>
      <c r="D10" t="s">
        <v>11</v>
      </c>
      <c r="E10">
        <v>20</v>
      </c>
      <c r="F10">
        <f>E10*1700</f>
        <v>34000</v>
      </c>
      <c r="G10">
        <f>E10*500</f>
        <v>10000</v>
      </c>
      <c r="H10">
        <f>E10*1200</f>
        <v>24000</v>
      </c>
    </row>
    <row r="11" spans="1:8" x14ac:dyDescent="0.25">
      <c r="C11" t="s">
        <v>571</v>
      </c>
      <c r="D11" t="s">
        <v>11</v>
      </c>
      <c r="E11">
        <v>50</v>
      </c>
      <c r="F11">
        <f>E11*1700</f>
        <v>85000</v>
      </c>
      <c r="G11">
        <f>E11*500</f>
        <v>25000</v>
      </c>
      <c r="H11">
        <f>E11*1200</f>
        <v>60000</v>
      </c>
    </row>
    <row r="12" spans="1:8" x14ac:dyDescent="0.25">
      <c r="C12" t="s">
        <v>572</v>
      </c>
      <c r="D12" t="s">
        <v>11</v>
      </c>
      <c r="E12">
        <v>47</v>
      </c>
      <c r="F12">
        <f>E12*1700</f>
        <v>79900</v>
      </c>
      <c r="G12">
        <f>E12*500</f>
        <v>23500</v>
      </c>
      <c r="H12">
        <f>E12*1200</f>
        <v>56400</v>
      </c>
    </row>
    <row r="13" spans="1:8" x14ac:dyDescent="0.25">
      <c r="C13" t="s">
        <v>209</v>
      </c>
      <c r="D13" t="s">
        <v>11</v>
      </c>
      <c r="E13">
        <v>30</v>
      </c>
      <c r="F13">
        <f>E13*1500</f>
        <v>45000</v>
      </c>
      <c r="G13">
        <f>E13*500</f>
        <v>15000</v>
      </c>
      <c r="H13">
        <f>E13*1000</f>
        <v>30000</v>
      </c>
    </row>
    <row r="14" spans="1:8" x14ac:dyDescent="0.25">
      <c r="C14" t="s">
        <v>16</v>
      </c>
      <c r="D14" t="s">
        <v>11</v>
      </c>
      <c r="E14">
        <v>50</v>
      </c>
      <c r="F14">
        <f t="shared" ref="F14" si="1">E14*1500</f>
        <v>75000</v>
      </c>
      <c r="G14">
        <f t="shared" ref="G14" si="2">E14*500</f>
        <v>25000</v>
      </c>
      <c r="H14">
        <f t="shared" ref="H14" si="3">E14*1000</f>
        <v>50000</v>
      </c>
    </row>
    <row r="15" spans="1:8" x14ac:dyDescent="0.25">
      <c r="D15" t="s">
        <v>12</v>
      </c>
      <c r="E15">
        <v>2</v>
      </c>
      <c r="F15">
        <v>6000</v>
      </c>
      <c r="G15">
        <v>4000</v>
      </c>
      <c r="H15">
        <v>2000</v>
      </c>
    </row>
    <row r="16" spans="1:8" x14ac:dyDescent="0.25">
      <c r="C16" t="s">
        <v>127</v>
      </c>
      <c r="D16" t="s">
        <v>21</v>
      </c>
      <c r="E16">
        <v>5</v>
      </c>
      <c r="F16">
        <f>E16*15000</f>
        <v>75000</v>
      </c>
      <c r="G16">
        <v>50000</v>
      </c>
      <c r="H16">
        <v>25000</v>
      </c>
    </row>
    <row r="17" spans="1:9" x14ac:dyDescent="0.25">
      <c r="D17" t="s">
        <v>243</v>
      </c>
      <c r="E17">
        <v>1</v>
      </c>
      <c r="F17">
        <v>13000</v>
      </c>
      <c r="G17">
        <v>10000</v>
      </c>
      <c r="H17">
        <v>3000</v>
      </c>
    </row>
    <row r="18" spans="1:9" x14ac:dyDescent="0.25">
      <c r="A18" s="112" t="s">
        <v>17</v>
      </c>
      <c r="B18" s="112"/>
      <c r="C18" s="112"/>
      <c r="D18" s="112"/>
      <c r="E18" s="78">
        <f>SUM(E9:E17)</f>
        <v>275</v>
      </c>
      <c r="F18" s="78">
        <f t="shared" ref="F18:H18" si="4">SUM(F9:F17)</f>
        <v>538900</v>
      </c>
      <c r="G18" s="78">
        <f t="shared" si="4"/>
        <v>197500</v>
      </c>
      <c r="H18" s="78">
        <f t="shared" si="4"/>
        <v>341400</v>
      </c>
    </row>
    <row r="19" spans="1:9" x14ac:dyDescent="0.25">
      <c r="A19" t="s">
        <v>22</v>
      </c>
      <c r="B19" s="3">
        <v>45233</v>
      </c>
      <c r="C19" t="s">
        <v>338</v>
      </c>
      <c r="D19" t="s">
        <v>11</v>
      </c>
      <c r="E19">
        <v>70</v>
      </c>
      <c r="F19" s="79">
        <f>E19*1800</f>
        <v>126000</v>
      </c>
      <c r="G19" s="79">
        <f t="shared" ref="G19:G25" si="5">E19*500</f>
        <v>35000</v>
      </c>
      <c r="H19" s="79">
        <f>E19*1300</f>
        <v>91000</v>
      </c>
      <c r="I19" s="79"/>
    </row>
    <row r="20" spans="1:9" x14ac:dyDescent="0.25">
      <c r="C20" t="s">
        <v>306</v>
      </c>
      <c r="D20" t="s">
        <v>11</v>
      </c>
      <c r="E20">
        <v>14</v>
      </c>
      <c r="F20" s="79">
        <f>E20*1800</f>
        <v>25200</v>
      </c>
      <c r="G20" s="79">
        <f t="shared" si="5"/>
        <v>7000</v>
      </c>
      <c r="H20" s="79">
        <f>E20*1300</f>
        <v>18200</v>
      </c>
      <c r="I20" s="79"/>
    </row>
    <row r="21" spans="1:9" x14ac:dyDescent="0.25">
      <c r="C21" t="s">
        <v>703</v>
      </c>
      <c r="E21">
        <v>50</v>
      </c>
      <c r="F21" s="79">
        <f>E21*1700</f>
        <v>85000</v>
      </c>
      <c r="G21" s="79">
        <f t="shared" si="5"/>
        <v>25000</v>
      </c>
      <c r="H21" s="79">
        <f>E21*1200</f>
        <v>60000</v>
      </c>
      <c r="I21" s="79"/>
    </row>
    <row r="22" spans="1:9" x14ac:dyDescent="0.25">
      <c r="C22" t="s">
        <v>572</v>
      </c>
      <c r="E22">
        <v>18</v>
      </c>
      <c r="F22" s="79">
        <f>E22*1700</f>
        <v>30600</v>
      </c>
      <c r="G22" s="79">
        <f t="shared" si="5"/>
        <v>9000</v>
      </c>
      <c r="H22" s="79">
        <f>E22*1700</f>
        <v>30600</v>
      </c>
      <c r="I22" s="79"/>
    </row>
    <row r="23" spans="1:9" x14ac:dyDescent="0.25">
      <c r="C23" t="s">
        <v>209</v>
      </c>
      <c r="E23">
        <v>25</v>
      </c>
      <c r="F23" s="79">
        <f>E23*1500</f>
        <v>37500</v>
      </c>
      <c r="G23" s="79">
        <f t="shared" si="5"/>
        <v>12500</v>
      </c>
      <c r="H23" s="79">
        <v>25000</v>
      </c>
      <c r="I23" s="79"/>
    </row>
    <row r="24" spans="1:9" x14ac:dyDescent="0.25">
      <c r="C24" t="s">
        <v>646</v>
      </c>
      <c r="E24">
        <v>100</v>
      </c>
      <c r="F24" s="79">
        <f>E24*1500</f>
        <v>150000</v>
      </c>
      <c r="G24" s="79">
        <f t="shared" si="5"/>
        <v>50000</v>
      </c>
      <c r="H24" s="79">
        <v>100000</v>
      </c>
      <c r="I24" s="79"/>
    </row>
    <row r="25" spans="1:9" x14ac:dyDescent="0.25">
      <c r="C25" t="s">
        <v>16</v>
      </c>
      <c r="E25">
        <v>53</v>
      </c>
      <c r="F25" s="79">
        <f>E25*1500</f>
        <v>79500</v>
      </c>
      <c r="G25" s="79">
        <f t="shared" si="5"/>
        <v>26500</v>
      </c>
      <c r="H25" s="79">
        <v>53000</v>
      </c>
      <c r="I25" s="79"/>
    </row>
    <row r="26" spans="1:9" x14ac:dyDescent="0.25">
      <c r="A26" s="111" t="s">
        <v>17</v>
      </c>
      <c r="B26" s="111"/>
      <c r="C26" s="111"/>
      <c r="D26" s="111"/>
      <c r="E26" s="78">
        <f>SUM(E19:E25)</f>
        <v>330</v>
      </c>
      <c r="F26" s="78">
        <f t="shared" ref="F26:G26" si="6">SUM(F19:F25)</f>
        <v>533800</v>
      </c>
      <c r="G26" s="78">
        <f t="shared" si="6"/>
        <v>165000</v>
      </c>
      <c r="H26" s="78">
        <f>SUM(H19:H25)</f>
        <v>377800</v>
      </c>
    </row>
    <row r="27" spans="1:9" x14ac:dyDescent="0.25">
      <c r="A27" t="s">
        <v>26</v>
      </c>
      <c r="B27" s="3">
        <v>45234</v>
      </c>
      <c r="C27" t="s">
        <v>581</v>
      </c>
      <c r="D27" t="s">
        <v>11</v>
      </c>
      <c r="E27">
        <f>29+26+16+30+19+45+33+48+37+19+27</f>
        <v>329</v>
      </c>
      <c r="F27">
        <f>E27*1500</f>
        <v>493500</v>
      </c>
      <c r="G27" s="79">
        <f>E27*500</f>
        <v>164500</v>
      </c>
      <c r="H27">
        <f>E27*1000</f>
        <v>329000</v>
      </c>
    </row>
    <row r="28" spans="1:9" x14ac:dyDescent="0.25">
      <c r="C28" t="s">
        <v>646</v>
      </c>
      <c r="D28" t="s">
        <v>11</v>
      </c>
      <c r="E28">
        <v>50</v>
      </c>
      <c r="F28" s="79">
        <f>E28*1500</f>
        <v>75000</v>
      </c>
      <c r="G28" s="79">
        <f>E28*500</f>
        <v>25000</v>
      </c>
      <c r="H28" s="79">
        <v>50000</v>
      </c>
    </row>
    <row r="29" spans="1:9" x14ac:dyDescent="0.25">
      <c r="C29" t="s">
        <v>104</v>
      </c>
      <c r="D29" t="s">
        <v>11</v>
      </c>
      <c r="E29">
        <v>16</v>
      </c>
      <c r="F29" s="79">
        <f>E29*1700</f>
        <v>27200</v>
      </c>
      <c r="G29" s="79">
        <f>E29*500</f>
        <v>8000</v>
      </c>
      <c r="H29">
        <f>E29*1200</f>
        <v>19200</v>
      </c>
    </row>
    <row r="30" spans="1:9" x14ac:dyDescent="0.25">
      <c r="A30" s="111" t="s">
        <v>17</v>
      </c>
      <c r="B30" s="111"/>
      <c r="C30" s="111"/>
      <c r="D30" s="111"/>
      <c r="E30" s="78">
        <f>SUM(E27:E29)</f>
        <v>395</v>
      </c>
      <c r="F30" s="78">
        <f t="shared" ref="F30:H30" si="7">SUM(F27:F29)</f>
        <v>595700</v>
      </c>
      <c r="G30" s="78">
        <f t="shared" si="7"/>
        <v>197500</v>
      </c>
      <c r="H30" s="78">
        <f t="shared" si="7"/>
        <v>398200</v>
      </c>
    </row>
    <row r="31" spans="1:9" x14ac:dyDescent="0.25">
      <c r="A31" t="s">
        <v>28</v>
      </c>
      <c r="B31" s="3">
        <v>45235</v>
      </c>
      <c r="C31" t="s">
        <v>704</v>
      </c>
      <c r="D31" t="s">
        <v>11</v>
      </c>
      <c r="E31">
        <v>5</v>
      </c>
      <c r="F31" s="79">
        <f>E31*2000</f>
        <v>10000</v>
      </c>
      <c r="G31" s="79">
        <f>E31*500</f>
        <v>2500</v>
      </c>
      <c r="H31" s="79">
        <f>E31*1500</f>
        <v>7500</v>
      </c>
    </row>
    <row r="32" spans="1:9" x14ac:dyDescent="0.25">
      <c r="D32" t="s">
        <v>13</v>
      </c>
      <c r="E32">
        <v>16</v>
      </c>
      <c r="F32" s="79">
        <f>E32*7000</f>
        <v>112000</v>
      </c>
      <c r="G32" s="79">
        <f>E32*4500</f>
        <v>72000</v>
      </c>
      <c r="H32" s="79">
        <f>E32*2500</f>
        <v>40000</v>
      </c>
    </row>
    <row r="33" spans="1:9" x14ac:dyDescent="0.25">
      <c r="D33" t="s">
        <v>14</v>
      </c>
      <c r="E33">
        <v>6</v>
      </c>
      <c r="F33" s="79">
        <f>E33*13000</f>
        <v>78000</v>
      </c>
      <c r="G33" s="79">
        <f>E33*5500</f>
        <v>33000</v>
      </c>
      <c r="H33" s="79">
        <f>E33*7500</f>
        <v>45000</v>
      </c>
    </row>
    <row r="34" spans="1:9" x14ac:dyDescent="0.25">
      <c r="D34" t="s">
        <v>404</v>
      </c>
      <c r="E34">
        <v>6</v>
      </c>
      <c r="F34" s="79">
        <f>E34*3000</f>
        <v>18000</v>
      </c>
      <c r="G34" s="79">
        <v>9000</v>
      </c>
      <c r="H34" s="79">
        <v>9000</v>
      </c>
    </row>
    <row r="35" spans="1:9" x14ac:dyDescent="0.25">
      <c r="D35" t="s">
        <v>420</v>
      </c>
      <c r="E35">
        <v>1</v>
      </c>
      <c r="F35" s="79">
        <v>5000</v>
      </c>
      <c r="G35" s="79">
        <v>2500</v>
      </c>
      <c r="H35" s="79">
        <v>2500</v>
      </c>
    </row>
    <row r="36" spans="1:9" x14ac:dyDescent="0.25">
      <c r="C36" t="s">
        <v>705</v>
      </c>
      <c r="D36" t="s">
        <v>13</v>
      </c>
      <c r="E36">
        <v>23</v>
      </c>
      <c r="F36" s="79">
        <f>E36*7000</f>
        <v>161000</v>
      </c>
      <c r="G36" s="79">
        <f>E36*4500</f>
        <v>103500</v>
      </c>
      <c r="H36" s="79">
        <f>E36*2500</f>
        <v>57500</v>
      </c>
    </row>
    <row r="37" spans="1:9" x14ac:dyDescent="0.25">
      <c r="D37" t="s">
        <v>14</v>
      </c>
      <c r="E37">
        <v>19</v>
      </c>
      <c r="F37" s="79">
        <f>E37*10000</f>
        <v>190000</v>
      </c>
      <c r="G37" s="79">
        <f>E37*5500</f>
        <v>104500</v>
      </c>
      <c r="H37" s="79">
        <f>E37*4500</f>
        <v>85500</v>
      </c>
    </row>
    <row r="38" spans="1:9" x14ac:dyDescent="0.25">
      <c r="D38" t="s">
        <v>243</v>
      </c>
      <c r="E38">
        <v>1</v>
      </c>
      <c r="F38" s="79">
        <v>13000</v>
      </c>
      <c r="G38" s="79">
        <v>10000</v>
      </c>
      <c r="H38" s="79">
        <v>3000</v>
      </c>
    </row>
    <row r="39" spans="1:9" x14ac:dyDescent="0.25">
      <c r="C39" t="s">
        <v>217</v>
      </c>
      <c r="D39" t="s">
        <v>11</v>
      </c>
      <c r="E39">
        <v>5</v>
      </c>
      <c r="F39" s="79">
        <f>E39*1500</f>
        <v>7500</v>
      </c>
      <c r="G39" s="79">
        <f>E39*500</f>
        <v>2500</v>
      </c>
      <c r="H39" s="79">
        <v>5000</v>
      </c>
    </row>
    <row r="40" spans="1:9" x14ac:dyDescent="0.25">
      <c r="D40" t="s">
        <v>13</v>
      </c>
      <c r="E40">
        <v>15</v>
      </c>
      <c r="F40" s="79">
        <f>E40*6500</f>
        <v>97500</v>
      </c>
      <c r="G40" s="79">
        <f>E40*4500</f>
        <v>67500</v>
      </c>
      <c r="H40" s="79">
        <f>E40*2000</f>
        <v>30000</v>
      </c>
    </row>
    <row r="41" spans="1:9" x14ac:dyDescent="0.25">
      <c r="D41" t="s">
        <v>14</v>
      </c>
      <c r="E41">
        <v>10</v>
      </c>
      <c r="F41" s="79">
        <f>E41*10000</f>
        <v>100000</v>
      </c>
      <c r="G41" s="79">
        <f>E41*5500</f>
        <v>55000</v>
      </c>
      <c r="H41" s="79">
        <f>E41*4500</f>
        <v>45000</v>
      </c>
    </row>
    <row r="42" spans="1:9" x14ac:dyDescent="0.25">
      <c r="C42" t="s">
        <v>24</v>
      </c>
      <c r="D42" t="s">
        <v>243</v>
      </c>
      <c r="E42">
        <v>5</v>
      </c>
      <c r="F42" s="79">
        <f>E42*15000</f>
        <v>75000</v>
      </c>
      <c r="G42" s="79">
        <f>E42*10000</f>
        <v>50000</v>
      </c>
      <c r="H42" s="79">
        <f>E42*5000</f>
        <v>25000</v>
      </c>
    </row>
    <row r="43" spans="1:9" x14ac:dyDescent="0.25">
      <c r="C43" t="s">
        <v>16</v>
      </c>
      <c r="D43" t="s">
        <v>11</v>
      </c>
      <c r="E43">
        <v>42</v>
      </c>
      <c r="F43" s="79">
        <f>E43*1500</f>
        <v>63000</v>
      </c>
      <c r="G43" s="79">
        <f>E43*500</f>
        <v>21000</v>
      </c>
      <c r="H43" s="79">
        <f>E43*1000</f>
        <v>42000</v>
      </c>
    </row>
    <row r="44" spans="1:9" x14ac:dyDescent="0.25">
      <c r="D44" t="s">
        <v>12</v>
      </c>
      <c r="E44">
        <v>4</v>
      </c>
      <c r="F44" s="79">
        <f>E44*3000</f>
        <v>12000</v>
      </c>
      <c r="G44" s="79">
        <v>8000</v>
      </c>
      <c r="H44" s="79">
        <v>4000</v>
      </c>
    </row>
    <row r="45" spans="1:9" x14ac:dyDescent="0.25">
      <c r="D45" t="s">
        <v>13</v>
      </c>
      <c r="E45">
        <v>1</v>
      </c>
      <c r="F45" s="79">
        <v>6500</v>
      </c>
      <c r="G45" s="79">
        <v>4500</v>
      </c>
      <c r="H45" s="79">
        <v>2000</v>
      </c>
    </row>
    <row r="46" spans="1:9" x14ac:dyDescent="0.25">
      <c r="A46" s="112" t="s">
        <v>17</v>
      </c>
      <c r="B46" s="112"/>
      <c r="C46" s="112"/>
      <c r="D46" s="112"/>
      <c r="E46" s="78">
        <f>SUM(E31:E45)</f>
        <v>159</v>
      </c>
      <c r="F46" s="78">
        <f t="shared" ref="F46:H46" si="8">SUM(F31:F45)</f>
        <v>948500</v>
      </c>
      <c r="G46" s="78">
        <f t="shared" si="8"/>
        <v>545500</v>
      </c>
      <c r="H46" s="78">
        <f t="shared" si="8"/>
        <v>403000</v>
      </c>
      <c r="I46" s="78"/>
    </row>
    <row r="47" spans="1:9" x14ac:dyDescent="0.25">
      <c r="A47" t="s">
        <v>30</v>
      </c>
      <c r="B47" s="3">
        <v>45236</v>
      </c>
      <c r="C47" t="s">
        <v>338</v>
      </c>
      <c r="D47" t="s">
        <v>11</v>
      </c>
      <c r="E47">
        <v>70</v>
      </c>
      <c r="F47" s="79">
        <f>E47*1800</f>
        <v>126000</v>
      </c>
      <c r="G47" s="79">
        <f>E47*500</f>
        <v>35000</v>
      </c>
      <c r="H47" s="79">
        <f>E47*1300</f>
        <v>91000</v>
      </c>
    </row>
    <row r="48" spans="1:9" x14ac:dyDescent="0.25">
      <c r="C48" t="s">
        <v>571</v>
      </c>
      <c r="D48" t="s">
        <v>11</v>
      </c>
      <c r="E48">
        <v>50</v>
      </c>
      <c r="F48" s="79">
        <f>E48*1700</f>
        <v>85000</v>
      </c>
      <c r="G48" s="79">
        <f>E48*500</f>
        <v>25000</v>
      </c>
      <c r="H48" s="79">
        <f>E48*1200</f>
        <v>60000</v>
      </c>
    </row>
    <row r="49" spans="1:8" x14ac:dyDescent="0.25">
      <c r="C49" t="s">
        <v>209</v>
      </c>
      <c r="D49" t="s">
        <v>11</v>
      </c>
      <c r="E49">
        <v>19</v>
      </c>
      <c r="F49" s="79">
        <f>E49*1500</f>
        <v>28500</v>
      </c>
      <c r="G49" s="79">
        <f>E49*500</f>
        <v>9500</v>
      </c>
      <c r="H49" s="79">
        <f>E49*1000</f>
        <v>19000</v>
      </c>
    </row>
    <row r="50" spans="1:8" x14ac:dyDescent="0.25">
      <c r="C50" t="s">
        <v>104</v>
      </c>
      <c r="D50" t="s">
        <v>11</v>
      </c>
      <c r="E50">
        <v>16</v>
      </c>
      <c r="F50" s="79">
        <f>E50*1700</f>
        <v>27200</v>
      </c>
      <c r="G50" s="79">
        <f>E50*500</f>
        <v>8000</v>
      </c>
      <c r="H50" s="79">
        <f>E50*1200</f>
        <v>19200</v>
      </c>
    </row>
    <row r="51" spans="1:8" x14ac:dyDescent="0.25">
      <c r="C51" t="s">
        <v>217</v>
      </c>
      <c r="D51" t="s">
        <v>11</v>
      </c>
      <c r="E51">
        <v>20</v>
      </c>
      <c r="F51" s="79">
        <f>E51*1500</f>
        <v>30000</v>
      </c>
      <c r="G51" s="79">
        <f>E51*500</f>
        <v>10000</v>
      </c>
      <c r="H51" s="79">
        <f>E51*1000</f>
        <v>20000</v>
      </c>
    </row>
    <row r="52" spans="1:8" x14ac:dyDescent="0.25">
      <c r="D52" t="s">
        <v>14</v>
      </c>
      <c r="E52">
        <v>1</v>
      </c>
      <c r="F52" s="79">
        <v>10000</v>
      </c>
      <c r="G52" s="79">
        <v>5500</v>
      </c>
      <c r="H52" s="79">
        <v>4500</v>
      </c>
    </row>
    <row r="53" spans="1:8" x14ac:dyDescent="0.25">
      <c r="D53" t="s">
        <v>404</v>
      </c>
      <c r="E53">
        <v>4</v>
      </c>
      <c r="F53" s="79">
        <f>E53*2000</f>
        <v>8000</v>
      </c>
      <c r="G53" s="79">
        <v>4000</v>
      </c>
      <c r="H53" s="79">
        <v>4000</v>
      </c>
    </row>
    <row r="54" spans="1:8" x14ac:dyDescent="0.25">
      <c r="D54" t="s">
        <v>436</v>
      </c>
      <c r="E54">
        <v>1</v>
      </c>
      <c r="F54" s="79">
        <v>3000</v>
      </c>
      <c r="G54" s="79">
        <v>1500</v>
      </c>
      <c r="H54" s="79">
        <v>1500</v>
      </c>
    </row>
    <row r="55" spans="1:8" x14ac:dyDescent="0.25">
      <c r="A55" s="112" t="s">
        <v>17</v>
      </c>
      <c r="B55" s="112"/>
      <c r="C55" s="112"/>
      <c r="D55" s="112"/>
      <c r="E55" s="78">
        <f>SUM(E47:E54)</f>
        <v>181</v>
      </c>
      <c r="F55" s="78">
        <f t="shared" ref="F55:H55" si="9">SUM(F47:F54)</f>
        <v>317700</v>
      </c>
      <c r="G55" s="78">
        <f>SUM(G47:G54)</f>
        <v>98500</v>
      </c>
      <c r="H55" s="78">
        <f t="shared" si="9"/>
        <v>219200</v>
      </c>
    </row>
    <row r="56" spans="1:8" x14ac:dyDescent="0.25">
      <c r="A56" t="s">
        <v>32</v>
      </c>
      <c r="B56" s="3">
        <v>45237</v>
      </c>
      <c r="C56" t="s">
        <v>338</v>
      </c>
      <c r="D56" t="s">
        <v>11</v>
      </c>
      <c r="E56">
        <v>75</v>
      </c>
      <c r="F56" s="79">
        <f>E56*1800</f>
        <v>135000</v>
      </c>
      <c r="G56" s="79">
        <f>E56*500</f>
        <v>37500</v>
      </c>
      <c r="H56" s="79">
        <f>E56*1300</f>
        <v>97500</v>
      </c>
    </row>
    <row r="57" spans="1:8" x14ac:dyDescent="0.25">
      <c r="C57" t="s">
        <v>306</v>
      </c>
      <c r="D57" t="s">
        <v>11</v>
      </c>
      <c r="E57">
        <v>37</v>
      </c>
      <c r="F57" s="79">
        <f>E57*1800</f>
        <v>66600</v>
      </c>
      <c r="G57" s="79">
        <f>E57*500</f>
        <v>18500</v>
      </c>
      <c r="H57" s="79">
        <f>E57*1300</f>
        <v>48100</v>
      </c>
    </row>
    <row r="58" spans="1:8" x14ac:dyDescent="0.25">
      <c r="C58" t="s">
        <v>104</v>
      </c>
      <c r="D58" t="s">
        <v>11</v>
      </c>
      <c r="E58">
        <v>26</v>
      </c>
      <c r="F58" s="79">
        <f>E58*1700</f>
        <v>44200</v>
      </c>
      <c r="G58" s="79">
        <f>E58*500</f>
        <v>13000</v>
      </c>
      <c r="H58" s="79">
        <f>E58*1200</f>
        <v>31200</v>
      </c>
    </row>
    <row r="59" spans="1:8" x14ac:dyDescent="0.25">
      <c r="C59" t="s">
        <v>571</v>
      </c>
      <c r="D59" t="s">
        <v>11</v>
      </c>
      <c r="E59">
        <v>100</v>
      </c>
      <c r="F59" s="79">
        <f>E59*1700</f>
        <v>170000</v>
      </c>
      <c r="G59" s="79">
        <f>E59*500</f>
        <v>50000</v>
      </c>
      <c r="H59" s="79">
        <f>E59*1200</f>
        <v>120000</v>
      </c>
    </row>
    <row r="60" spans="1:8" x14ac:dyDescent="0.25">
      <c r="C60" t="s">
        <v>217</v>
      </c>
      <c r="D60" t="s">
        <v>11</v>
      </c>
      <c r="E60">
        <v>36</v>
      </c>
      <c r="F60" s="79">
        <f>E60*1500</f>
        <v>54000</v>
      </c>
      <c r="G60" s="79">
        <f>E60*500</f>
        <v>18000</v>
      </c>
      <c r="H60" s="79">
        <f>E60*1000</f>
        <v>36000</v>
      </c>
    </row>
    <row r="61" spans="1:8" x14ac:dyDescent="0.25">
      <c r="D61" t="s">
        <v>13</v>
      </c>
      <c r="E61">
        <v>1</v>
      </c>
      <c r="F61" s="79">
        <v>6500</v>
      </c>
      <c r="G61" s="79">
        <v>4500</v>
      </c>
      <c r="H61" s="79">
        <v>2000</v>
      </c>
    </row>
    <row r="62" spans="1:8" x14ac:dyDescent="0.25">
      <c r="D62" t="s">
        <v>14</v>
      </c>
      <c r="E62">
        <v>0</v>
      </c>
      <c r="F62" s="79">
        <v>0</v>
      </c>
      <c r="G62" s="79">
        <v>0</v>
      </c>
      <c r="H62" s="79">
        <v>0</v>
      </c>
    </row>
    <row r="63" spans="1:8" x14ac:dyDescent="0.25">
      <c r="D63" t="s">
        <v>404</v>
      </c>
      <c r="E63">
        <v>7</v>
      </c>
      <c r="F63" s="79">
        <f>E63*2000</f>
        <v>14000</v>
      </c>
      <c r="G63" s="79">
        <v>7000</v>
      </c>
      <c r="H63" s="79">
        <v>7000</v>
      </c>
    </row>
    <row r="64" spans="1:8" x14ac:dyDescent="0.25">
      <c r="D64" t="s">
        <v>415</v>
      </c>
      <c r="E64">
        <v>1</v>
      </c>
      <c r="F64" s="79">
        <v>5000</v>
      </c>
      <c r="G64" s="79">
        <v>2500</v>
      </c>
      <c r="H64" s="79">
        <v>2500</v>
      </c>
    </row>
    <row r="65" spans="1:8" x14ac:dyDescent="0.25">
      <c r="A65" s="143" t="s">
        <v>17</v>
      </c>
      <c r="B65" s="143"/>
      <c r="C65" s="143"/>
      <c r="D65" s="143"/>
      <c r="E65" s="78">
        <f>SUM(E56:E64)</f>
        <v>283</v>
      </c>
      <c r="F65" s="78">
        <f t="shared" ref="F65:H65" si="10">SUM(F56:F64)</f>
        <v>495300</v>
      </c>
      <c r="G65" s="78">
        <f t="shared" si="10"/>
        <v>151000</v>
      </c>
      <c r="H65" s="78">
        <f t="shared" si="10"/>
        <v>344300</v>
      </c>
    </row>
    <row r="66" spans="1:8" x14ac:dyDescent="0.25">
      <c r="A66" t="s">
        <v>8</v>
      </c>
      <c r="B66" s="3">
        <v>45238</v>
      </c>
      <c r="C66" t="s">
        <v>338</v>
      </c>
      <c r="D66" t="s">
        <v>11</v>
      </c>
      <c r="E66">
        <v>75</v>
      </c>
      <c r="F66" s="79">
        <f>E66*1800</f>
        <v>135000</v>
      </c>
      <c r="G66" s="79">
        <f>E66*500</f>
        <v>37500</v>
      </c>
      <c r="H66" s="79">
        <f>E66*1300</f>
        <v>97500</v>
      </c>
    </row>
    <row r="67" spans="1:8" x14ac:dyDescent="0.25">
      <c r="C67" t="s">
        <v>306</v>
      </c>
      <c r="D67" t="s">
        <v>11</v>
      </c>
      <c r="E67">
        <v>24</v>
      </c>
      <c r="F67" s="79">
        <f>E67*1800</f>
        <v>43200</v>
      </c>
      <c r="G67" s="79">
        <f>E67*500</f>
        <v>12000</v>
      </c>
      <c r="H67" s="79">
        <f>E67*1300</f>
        <v>31200</v>
      </c>
    </row>
    <row r="68" spans="1:8" x14ac:dyDescent="0.25">
      <c r="C68" t="s">
        <v>209</v>
      </c>
      <c r="D68" t="s">
        <v>11</v>
      </c>
      <c r="E68">
        <v>20</v>
      </c>
      <c r="F68" s="79">
        <f>E68*1500</f>
        <v>30000</v>
      </c>
      <c r="G68" s="79">
        <f>E68*500</f>
        <v>10000</v>
      </c>
      <c r="H68" s="79">
        <v>20000</v>
      </c>
    </row>
    <row r="69" spans="1:8" x14ac:dyDescent="0.25">
      <c r="C69" t="s">
        <v>217</v>
      </c>
      <c r="D69" t="s">
        <v>11</v>
      </c>
      <c r="E69">
        <v>19</v>
      </c>
      <c r="F69" s="79">
        <f>E69*1500</f>
        <v>28500</v>
      </c>
      <c r="G69" s="79">
        <f>E69*500</f>
        <v>9500</v>
      </c>
      <c r="H69" s="79">
        <v>19000</v>
      </c>
    </row>
    <row r="70" spans="1:8" x14ac:dyDescent="0.25">
      <c r="D70" t="s">
        <v>13</v>
      </c>
      <c r="E70">
        <v>2</v>
      </c>
      <c r="F70" s="79">
        <f>E70*6500</f>
        <v>13000</v>
      </c>
      <c r="G70" s="79">
        <f>E70*4500</f>
        <v>9000</v>
      </c>
      <c r="H70" s="79">
        <v>4000</v>
      </c>
    </row>
    <row r="71" spans="1:8" x14ac:dyDescent="0.25">
      <c r="D71" t="s">
        <v>404</v>
      </c>
      <c r="E71">
        <v>9</v>
      </c>
      <c r="F71" s="79">
        <f>E71*2000</f>
        <v>18000</v>
      </c>
      <c r="G71" s="79">
        <v>9000</v>
      </c>
      <c r="H71" s="79">
        <v>9000</v>
      </c>
    </row>
    <row r="72" spans="1:8" x14ac:dyDescent="0.25">
      <c r="D72" t="s">
        <v>415</v>
      </c>
      <c r="E72">
        <v>1</v>
      </c>
      <c r="F72" s="79">
        <v>5000</v>
      </c>
      <c r="G72" s="79">
        <v>2500</v>
      </c>
      <c r="H72" s="79">
        <v>2500</v>
      </c>
    </row>
    <row r="73" spans="1:8" x14ac:dyDescent="0.25">
      <c r="C73" t="s">
        <v>127</v>
      </c>
      <c r="D73" t="s">
        <v>21</v>
      </c>
      <c r="E73">
        <v>5</v>
      </c>
      <c r="F73" s="79">
        <f>E73*15000</f>
        <v>75000</v>
      </c>
      <c r="G73" s="79">
        <v>50000</v>
      </c>
      <c r="H73" s="79">
        <v>25000</v>
      </c>
    </row>
    <row r="74" spans="1:8" x14ac:dyDescent="0.25">
      <c r="D74" t="s">
        <v>243</v>
      </c>
      <c r="E74">
        <v>1</v>
      </c>
      <c r="F74" s="79">
        <v>13000</v>
      </c>
      <c r="G74" s="79">
        <v>10000</v>
      </c>
      <c r="H74" s="79">
        <v>3000</v>
      </c>
    </row>
    <row r="75" spans="1:8" x14ac:dyDescent="0.25">
      <c r="A75" s="111" t="s">
        <v>17</v>
      </c>
      <c r="B75" s="111"/>
      <c r="C75" s="111"/>
      <c r="D75" s="111"/>
      <c r="E75" s="1">
        <f>SUM(E66:E74)</f>
        <v>156</v>
      </c>
      <c r="F75" s="78">
        <f t="shared" ref="F75:H75" si="11">SUM(F66:F74)</f>
        <v>360700</v>
      </c>
      <c r="G75" s="78">
        <f t="shared" si="11"/>
        <v>149500</v>
      </c>
      <c r="H75" s="78">
        <f t="shared" si="11"/>
        <v>211200</v>
      </c>
    </row>
    <row r="76" spans="1:8" x14ac:dyDescent="0.25">
      <c r="A76" t="s">
        <v>18</v>
      </c>
      <c r="B76" s="3">
        <v>45239</v>
      </c>
      <c r="C76" t="s">
        <v>572</v>
      </c>
      <c r="D76" t="s">
        <v>11</v>
      </c>
      <c r="E76">
        <f>22+25+28+24</f>
        <v>99</v>
      </c>
      <c r="F76" s="79">
        <f>E76*1700</f>
        <v>168300</v>
      </c>
      <c r="G76" s="79">
        <f>E76*500</f>
        <v>49500</v>
      </c>
      <c r="H76" s="79">
        <f>E76*1200</f>
        <v>118800</v>
      </c>
    </row>
    <row r="77" spans="1:8" x14ac:dyDescent="0.25">
      <c r="C77" t="s">
        <v>209</v>
      </c>
      <c r="D77" t="s">
        <v>11</v>
      </c>
      <c r="E77">
        <v>12</v>
      </c>
      <c r="F77" s="79">
        <f>E77*1500</f>
        <v>18000</v>
      </c>
      <c r="G77" s="79">
        <f>E77*500</f>
        <v>6000</v>
      </c>
      <c r="H77" s="79">
        <f>E77*1000</f>
        <v>12000</v>
      </c>
    </row>
    <row r="78" spans="1:8" x14ac:dyDescent="0.25">
      <c r="C78" t="s">
        <v>646</v>
      </c>
      <c r="D78" t="s">
        <v>11</v>
      </c>
      <c r="E78">
        <f>50+40+40+46</f>
        <v>176</v>
      </c>
      <c r="F78" s="79">
        <f>E78*1500</f>
        <v>264000</v>
      </c>
      <c r="G78" s="79">
        <f>E78*500</f>
        <v>88000</v>
      </c>
      <c r="H78" s="79">
        <v>176000</v>
      </c>
    </row>
    <row r="79" spans="1:8" x14ac:dyDescent="0.25">
      <c r="C79" t="s">
        <v>217</v>
      </c>
      <c r="D79" t="s">
        <v>11</v>
      </c>
      <c r="E79">
        <v>27</v>
      </c>
      <c r="F79" s="79">
        <f>E79*1500</f>
        <v>40500</v>
      </c>
      <c r="G79" s="79">
        <f>E79*500</f>
        <v>13500</v>
      </c>
      <c r="H79" s="79">
        <f>E79*1000</f>
        <v>27000</v>
      </c>
    </row>
    <row r="80" spans="1:8" x14ac:dyDescent="0.25">
      <c r="D80" t="s">
        <v>14</v>
      </c>
      <c r="E80">
        <v>2</v>
      </c>
      <c r="F80" s="79">
        <f>E80*10000</f>
        <v>20000</v>
      </c>
      <c r="G80" s="79">
        <f>E80*5500</f>
        <v>11000</v>
      </c>
      <c r="H80" s="79">
        <f>E80*4500</f>
        <v>9000</v>
      </c>
    </row>
    <row r="81" spans="1:8" x14ac:dyDescent="0.25">
      <c r="D81" t="s">
        <v>404</v>
      </c>
      <c r="E81">
        <v>6</v>
      </c>
      <c r="F81" s="79">
        <f>E81*2000</f>
        <v>12000</v>
      </c>
      <c r="G81" s="79">
        <v>6000</v>
      </c>
      <c r="H81" s="79">
        <v>6000</v>
      </c>
    </row>
    <row r="82" spans="1:8" x14ac:dyDescent="0.25">
      <c r="A82" s="112" t="s">
        <v>17</v>
      </c>
      <c r="B82" s="112"/>
      <c r="C82" s="112"/>
      <c r="D82" s="112"/>
      <c r="E82" s="78">
        <f>SUM(E76:E81)</f>
        <v>322</v>
      </c>
      <c r="F82" s="78">
        <f t="shared" ref="F82:H82" si="12">SUM(F76:F81)</f>
        <v>522800</v>
      </c>
      <c r="G82" s="78">
        <f t="shared" si="12"/>
        <v>174000</v>
      </c>
      <c r="H82" s="78">
        <f t="shared" si="12"/>
        <v>348800</v>
      </c>
    </row>
    <row r="83" spans="1:8" x14ac:dyDescent="0.25">
      <c r="A83" t="s">
        <v>22</v>
      </c>
      <c r="B83" s="3">
        <v>45240</v>
      </c>
      <c r="C83" t="s">
        <v>338</v>
      </c>
      <c r="D83" t="s">
        <v>11</v>
      </c>
      <c r="E83">
        <v>150</v>
      </c>
      <c r="F83" s="79">
        <f>E83*1800</f>
        <v>270000</v>
      </c>
      <c r="G83" s="79">
        <f>E83*500</f>
        <v>75000</v>
      </c>
      <c r="H83" s="79">
        <f>E83*1300</f>
        <v>195000</v>
      </c>
    </row>
    <row r="84" spans="1:8" x14ac:dyDescent="0.25">
      <c r="C84" t="s">
        <v>706</v>
      </c>
      <c r="D84" t="s">
        <v>11</v>
      </c>
      <c r="E84">
        <v>150</v>
      </c>
      <c r="F84" s="79">
        <f>E84*1700</f>
        <v>255000</v>
      </c>
      <c r="G84" s="79">
        <f>E84*500</f>
        <v>75000</v>
      </c>
      <c r="H84" s="79">
        <f>E84*1200</f>
        <v>180000</v>
      </c>
    </row>
    <row r="85" spans="1:8" x14ac:dyDescent="0.25">
      <c r="A85" s="112" t="s">
        <v>17</v>
      </c>
      <c r="B85" s="112"/>
      <c r="C85" s="112"/>
      <c r="D85" s="112"/>
      <c r="E85" s="78">
        <f>SUM(E83:E84)</f>
        <v>300</v>
      </c>
      <c r="F85" s="78">
        <f t="shared" ref="F85:H85" si="13">SUM(F83:F84)</f>
        <v>525000</v>
      </c>
      <c r="G85" s="78">
        <f t="shared" si="13"/>
        <v>150000</v>
      </c>
      <c r="H85" s="78">
        <f t="shared" si="13"/>
        <v>375000</v>
      </c>
    </row>
    <row r="86" spans="1:8" x14ac:dyDescent="0.25">
      <c r="A86" t="s">
        <v>26</v>
      </c>
      <c r="B86" s="3">
        <v>45241</v>
      </c>
      <c r="C86" t="s">
        <v>338</v>
      </c>
      <c r="D86" t="s">
        <v>11</v>
      </c>
      <c r="E86">
        <v>75</v>
      </c>
      <c r="F86" s="79">
        <f>E86*1800</f>
        <v>135000</v>
      </c>
      <c r="G86" s="79">
        <f>E86*500</f>
        <v>37500</v>
      </c>
      <c r="H86" s="79">
        <f>E86*1300</f>
        <v>97500</v>
      </c>
    </row>
    <row r="87" spans="1:8" x14ac:dyDescent="0.25">
      <c r="C87" t="s">
        <v>646</v>
      </c>
      <c r="D87" t="s">
        <v>11</v>
      </c>
      <c r="E87">
        <v>30</v>
      </c>
      <c r="F87" s="79">
        <f>E87*1500</f>
        <v>45000</v>
      </c>
      <c r="G87" s="79">
        <f>E87*500</f>
        <v>15000</v>
      </c>
      <c r="H87" s="79">
        <v>30000</v>
      </c>
    </row>
    <row r="88" spans="1:8" x14ac:dyDescent="0.25">
      <c r="C88" t="s">
        <v>209</v>
      </c>
      <c r="D88" t="s">
        <v>11</v>
      </c>
      <c r="E88">
        <v>26</v>
      </c>
      <c r="F88" s="79">
        <f>E88*1500</f>
        <v>39000</v>
      </c>
      <c r="G88" s="79">
        <f>E88*500</f>
        <v>13000</v>
      </c>
      <c r="H88" s="79">
        <v>26000</v>
      </c>
    </row>
    <row r="89" spans="1:8" x14ac:dyDescent="0.25">
      <c r="C89" t="s">
        <v>693</v>
      </c>
      <c r="D89" t="s">
        <v>11</v>
      </c>
      <c r="E89">
        <v>5</v>
      </c>
      <c r="F89" s="79">
        <f>E89*1500</f>
        <v>7500</v>
      </c>
      <c r="G89" s="79">
        <f>E89*500</f>
        <v>2500</v>
      </c>
      <c r="H89" s="79">
        <v>5000</v>
      </c>
    </row>
    <row r="90" spans="1:8" x14ac:dyDescent="0.25">
      <c r="D90" t="s">
        <v>13</v>
      </c>
      <c r="E90">
        <v>4</v>
      </c>
      <c r="F90" s="79">
        <f>E90*7000</f>
        <v>28000</v>
      </c>
      <c r="G90" s="79">
        <f>E90*4500</f>
        <v>18000</v>
      </c>
      <c r="H90" s="79">
        <f>E90*2500</f>
        <v>10000</v>
      </c>
    </row>
    <row r="91" spans="1:8" x14ac:dyDescent="0.25">
      <c r="D91" t="s">
        <v>14</v>
      </c>
      <c r="E91">
        <v>1</v>
      </c>
      <c r="F91" s="79">
        <v>10000</v>
      </c>
      <c r="G91" s="79">
        <v>5500</v>
      </c>
      <c r="H91" s="79">
        <v>4500</v>
      </c>
    </row>
    <row r="92" spans="1:8" x14ac:dyDescent="0.25">
      <c r="D92" t="s">
        <v>404</v>
      </c>
      <c r="E92">
        <v>2</v>
      </c>
      <c r="F92" s="79">
        <v>4000</v>
      </c>
      <c r="G92" s="79">
        <v>2000</v>
      </c>
      <c r="H92" s="79">
        <v>2000</v>
      </c>
    </row>
    <row r="93" spans="1:8" x14ac:dyDescent="0.25">
      <c r="D93" t="s">
        <v>415</v>
      </c>
      <c r="E93">
        <v>2</v>
      </c>
      <c r="F93" s="79">
        <v>5000</v>
      </c>
      <c r="G93" s="79">
        <v>2500</v>
      </c>
      <c r="H93" s="79">
        <v>2500</v>
      </c>
    </row>
    <row r="94" spans="1:8" x14ac:dyDescent="0.25">
      <c r="A94" s="112" t="s">
        <v>17</v>
      </c>
      <c r="B94" s="112"/>
      <c r="C94" s="112"/>
      <c r="D94" s="112"/>
      <c r="E94" s="78">
        <f>SUM(E86:E93)</f>
        <v>145</v>
      </c>
      <c r="F94" s="78">
        <f t="shared" ref="F94:H94" si="14">SUM(F86:F93)</f>
        <v>273500</v>
      </c>
      <c r="G94" s="78">
        <f t="shared" si="14"/>
        <v>96000</v>
      </c>
      <c r="H94" s="78">
        <f t="shared" si="14"/>
        <v>177500</v>
      </c>
    </row>
    <row r="95" spans="1:8" x14ac:dyDescent="0.25">
      <c r="A95" t="s">
        <v>28</v>
      </c>
      <c r="B95" s="3">
        <v>45242</v>
      </c>
      <c r="C95" t="s">
        <v>693</v>
      </c>
      <c r="D95" t="s">
        <v>13</v>
      </c>
      <c r="E95">
        <v>27</v>
      </c>
      <c r="F95">
        <f>E95*7000</f>
        <v>189000</v>
      </c>
      <c r="G95">
        <f>E95*4500</f>
        <v>121500</v>
      </c>
      <c r="H95">
        <f>E95*2500</f>
        <v>67500</v>
      </c>
    </row>
    <row r="96" spans="1:8" x14ac:dyDescent="0.25">
      <c r="D96" t="s">
        <v>14</v>
      </c>
      <c r="E96">
        <v>6</v>
      </c>
      <c r="F96">
        <f>E96*10000</f>
        <v>60000</v>
      </c>
      <c r="G96">
        <f>E96*5500</f>
        <v>33000</v>
      </c>
      <c r="H96">
        <f>E96*4500</f>
        <v>27000</v>
      </c>
    </row>
    <row r="97" spans="1:8" x14ac:dyDescent="0.25">
      <c r="C97" t="s">
        <v>217</v>
      </c>
      <c r="D97" t="s">
        <v>11</v>
      </c>
      <c r="E97">
        <f>16+12</f>
        <v>28</v>
      </c>
      <c r="F97">
        <f>E97*1500</f>
        <v>42000</v>
      </c>
      <c r="G97">
        <f>E97*500</f>
        <v>14000</v>
      </c>
      <c r="H97">
        <f>E97*1000</f>
        <v>28000</v>
      </c>
    </row>
    <row r="98" spans="1:8" x14ac:dyDescent="0.25">
      <c r="D98" t="s">
        <v>13</v>
      </c>
      <c r="E98">
        <v>12</v>
      </c>
      <c r="F98">
        <f>E98*7000</f>
        <v>84000</v>
      </c>
      <c r="G98">
        <f>E98*4500</f>
        <v>54000</v>
      </c>
      <c r="H98">
        <f>E98*2500</f>
        <v>30000</v>
      </c>
    </row>
    <row r="99" spans="1:8" x14ac:dyDescent="0.25">
      <c r="D99" t="s">
        <v>14</v>
      </c>
      <c r="E99">
        <v>16</v>
      </c>
      <c r="F99">
        <f>E99*10000</f>
        <v>160000</v>
      </c>
      <c r="G99">
        <f>E99*5500</f>
        <v>88000</v>
      </c>
      <c r="H99">
        <f>E99*4500</f>
        <v>72000</v>
      </c>
    </row>
    <row r="100" spans="1:8" x14ac:dyDescent="0.25">
      <c r="D100" t="s">
        <v>404</v>
      </c>
      <c r="E100">
        <v>2</v>
      </c>
      <c r="F100">
        <v>4000</v>
      </c>
      <c r="G100">
        <v>2000</v>
      </c>
      <c r="H100">
        <v>2000</v>
      </c>
    </row>
    <row r="101" spans="1:8" x14ac:dyDescent="0.25">
      <c r="D101" t="s">
        <v>420</v>
      </c>
      <c r="E101">
        <v>3</v>
      </c>
      <c r="F101">
        <f>E101*3000</f>
        <v>9000</v>
      </c>
      <c r="G101">
        <v>4500</v>
      </c>
      <c r="H101">
        <v>4500</v>
      </c>
    </row>
    <row r="102" spans="1:8" x14ac:dyDescent="0.25">
      <c r="D102" t="s">
        <v>437</v>
      </c>
      <c r="E102">
        <v>6</v>
      </c>
      <c r="F102">
        <v>30000</v>
      </c>
      <c r="G102">
        <v>15000</v>
      </c>
      <c r="H102">
        <v>15000</v>
      </c>
    </row>
    <row r="103" spans="1:8" x14ac:dyDescent="0.25">
      <c r="A103" s="112" t="s">
        <v>17</v>
      </c>
      <c r="B103" s="112"/>
      <c r="C103" s="112"/>
      <c r="D103" s="112"/>
      <c r="E103" s="78">
        <f>SUM(E95:E102)</f>
        <v>100</v>
      </c>
      <c r="F103" s="78">
        <f t="shared" ref="F103:H103" si="15">SUM(F95:F102)</f>
        <v>578000</v>
      </c>
      <c r="G103" s="78">
        <f t="shared" si="15"/>
        <v>332000</v>
      </c>
      <c r="H103" s="78">
        <f t="shared" si="15"/>
        <v>246000</v>
      </c>
    </row>
  </sheetData>
  <mergeCells count="12">
    <mergeCell ref="A103:D103"/>
    <mergeCell ref="A94:D94"/>
    <mergeCell ref="A8:D8"/>
    <mergeCell ref="A18:D18"/>
    <mergeCell ref="A26:D26"/>
    <mergeCell ref="A30:D30"/>
    <mergeCell ref="A46:D46"/>
    <mergeCell ref="A85:D85"/>
    <mergeCell ref="A82:D82"/>
    <mergeCell ref="A75:D75"/>
    <mergeCell ref="A65:D65"/>
    <mergeCell ref="A55:D5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3"/>
  <sheetViews>
    <sheetView workbookViewId="0">
      <selection sqref="A1:XFD1048576"/>
    </sheetView>
  </sheetViews>
  <sheetFormatPr defaultRowHeight="15" x14ac:dyDescent="0.25"/>
  <cols>
    <col min="2" max="2" width="10.710937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8</v>
      </c>
      <c r="B2" s="3">
        <v>45231</v>
      </c>
      <c r="C2" t="s">
        <v>338</v>
      </c>
      <c r="D2" t="s">
        <v>11</v>
      </c>
      <c r="E2">
        <v>70</v>
      </c>
      <c r="F2" s="79">
        <f>E2*1800</f>
        <v>126000</v>
      </c>
      <c r="G2" s="79">
        <f>E2*500</f>
        <v>35000</v>
      </c>
      <c r="H2" s="79">
        <f>E2*1300</f>
        <v>91000</v>
      </c>
    </row>
    <row r="3" spans="1:8" x14ac:dyDescent="0.25">
      <c r="C3" t="s">
        <v>306</v>
      </c>
      <c r="D3" t="s">
        <v>11</v>
      </c>
      <c r="E3">
        <v>20</v>
      </c>
      <c r="F3" s="79">
        <f>E3*1700</f>
        <v>34000</v>
      </c>
      <c r="G3" s="79">
        <f>E3*500</f>
        <v>10000</v>
      </c>
      <c r="H3" s="79">
        <f>E3*1200</f>
        <v>24000</v>
      </c>
    </row>
    <row r="4" spans="1:8" x14ac:dyDescent="0.25">
      <c r="C4" t="s">
        <v>571</v>
      </c>
      <c r="D4" t="s">
        <v>11</v>
      </c>
      <c r="E4">
        <v>50</v>
      </c>
      <c r="F4" s="79">
        <f>E4*1700</f>
        <v>85000</v>
      </c>
      <c r="G4" s="79">
        <f>E4*500</f>
        <v>25000</v>
      </c>
      <c r="H4" s="79">
        <f>E4*1200</f>
        <v>60000</v>
      </c>
    </row>
    <row r="5" spans="1:8" x14ac:dyDescent="0.25">
      <c r="C5" t="s">
        <v>16</v>
      </c>
      <c r="D5" t="s">
        <v>11</v>
      </c>
      <c r="E5">
        <v>52</v>
      </c>
      <c r="F5" s="79">
        <f>E5*1500</f>
        <v>78000</v>
      </c>
      <c r="G5" s="79">
        <f>E5*500</f>
        <v>26000</v>
      </c>
      <c r="H5" s="79">
        <f>E5*1000</f>
        <v>52000</v>
      </c>
    </row>
    <row r="6" spans="1:8" x14ac:dyDescent="0.25">
      <c r="D6" t="s">
        <v>12</v>
      </c>
      <c r="E6">
        <v>3</v>
      </c>
      <c r="F6" s="79">
        <f>E6*3000</f>
        <v>9000</v>
      </c>
      <c r="G6" s="81">
        <v>6000</v>
      </c>
      <c r="H6" s="79">
        <v>3000</v>
      </c>
    </row>
    <row r="7" spans="1:8" x14ac:dyDescent="0.25">
      <c r="D7" t="s">
        <v>13</v>
      </c>
      <c r="E7">
        <v>1</v>
      </c>
      <c r="F7" s="79">
        <v>6500</v>
      </c>
      <c r="G7" s="79">
        <v>4500</v>
      </c>
      <c r="H7" s="79">
        <v>2000</v>
      </c>
    </row>
    <row r="8" spans="1:8" x14ac:dyDescent="0.25">
      <c r="A8" s="112" t="s">
        <v>17</v>
      </c>
      <c r="B8" s="112"/>
      <c r="C8" s="112"/>
      <c r="D8" s="112"/>
      <c r="E8" s="78">
        <f>SUM(E2:E7)</f>
        <v>196</v>
      </c>
      <c r="F8" s="78">
        <f t="shared" ref="F8:H8" si="0">SUM(F2:F7)</f>
        <v>338500</v>
      </c>
      <c r="G8" s="78">
        <f t="shared" si="0"/>
        <v>106500</v>
      </c>
      <c r="H8" s="78">
        <f t="shared" si="0"/>
        <v>232000</v>
      </c>
    </row>
    <row r="9" spans="1:8" x14ac:dyDescent="0.25">
      <c r="A9" t="s">
        <v>18</v>
      </c>
      <c r="B9" s="3">
        <v>45232</v>
      </c>
      <c r="C9" t="s">
        <v>338</v>
      </c>
      <c r="D9" t="s">
        <v>11</v>
      </c>
      <c r="E9">
        <v>70</v>
      </c>
      <c r="F9">
        <f>E9*1800</f>
        <v>126000</v>
      </c>
      <c r="G9">
        <f>E9*500</f>
        <v>35000</v>
      </c>
      <c r="H9">
        <f>E9*1300</f>
        <v>91000</v>
      </c>
    </row>
    <row r="10" spans="1:8" x14ac:dyDescent="0.25">
      <c r="C10" t="s">
        <v>306</v>
      </c>
      <c r="D10" t="s">
        <v>11</v>
      </c>
      <c r="E10">
        <v>20</v>
      </c>
      <c r="F10">
        <f>E10*1700</f>
        <v>34000</v>
      </c>
      <c r="G10">
        <f>E10*500</f>
        <v>10000</v>
      </c>
      <c r="H10">
        <f>E10*1200</f>
        <v>24000</v>
      </c>
    </row>
    <row r="11" spans="1:8" x14ac:dyDescent="0.25">
      <c r="C11" t="s">
        <v>571</v>
      </c>
      <c r="D11" t="s">
        <v>11</v>
      </c>
      <c r="E11">
        <v>50</v>
      </c>
      <c r="F11">
        <f>E11*1700</f>
        <v>85000</v>
      </c>
      <c r="G11">
        <f>E11*500</f>
        <v>25000</v>
      </c>
      <c r="H11">
        <f>E11*1200</f>
        <v>60000</v>
      </c>
    </row>
    <row r="12" spans="1:8" x14ac:dyDescent="0.25">
      <c r="C12" t="s">
        <v>572</v>
      </c>
      <c r="D12" t="s">
        <v>11</v>
      </c>
      <c r="E12">
        <v>47</v>
      </c>
      <c r="F12">
        <f>E12*1700</f>
        <v>79900</v>
      </c>
      <c r="G12">
        <f>E12*500</f>
        <v>23500</v>
      </c>
      <c r="H12">
        <f>E12*1200</f>
        <v>56400</v>
      </c>
    </row>
    <row r="13" spans="1:8" x14ac:dyDescent="0.25">
      <c r="C13" t="s">
        <v>209</v>
      </c>
      <c r="D13" t="s">
        <v>11</v>
      </c>
      <c r="E13">
        <v>30</v>
      </c>
      <c r="F13">
        <f>E13*1500</f>
        <v>45000</v>
      </c>
      <c r="G13">
        <f>E13*500</f>
        <v>15000</v>
      </c>
      <c r="H13">
        <f>E13*1000</f>
        <v>30000</v>
      </c>
    </row>
    <row r="14" spans="1:8" x14ac:dyDescent="0.25">
      <c r="C14" t="s">
        <v>16</v>
      </c>
      <c r="D14" t="s">
        <v>11</v>
      </c>
      <c r="E14">
        <v>50</v>
      </c>
      <c r="F14">
        <f t="shared" ref="F14" si="1">E14*1500</f>
        <v>75000</v>
      </c>
      <c r="G14">
        <f t="shared" ref="G14" si="2">E14*500</f>
        <v>25000</v>
      </c>
      <c r="H14">
        <f t="shared" ref="H14" si="3">E14*1000</f>
        <v>50000</v>
      </c>
    </row>
    <row r="15" spans="1:8" x14ac:dyDescent="0.25">
      <c r="D15" t="s">
        <v>12</v>
      </c>
      <c r="E15">
        <v>2</v>
      </c>
      <c r="F15">
        <v>6000</v>
      </c>
      <c r="G15">
        <v>4000</v>
      </c>
      <c r="H15">
        <v>2000</v>
      </c>
    </row>
    <row r="16" spans="1:8" x14ac:dyDescent="0.25">
      <c r="C16" t="s">
        <v>127</v>
      </c>
      <c r="D16" t="s">
        <v>21</v>
      </c>
      <c r="E16">
        <v>5</v>
      </c>
      <c r="F16">
        <f>E16*15000</f>
        <v>75000</v>
      </c>
      <c r="G16">
        <v>50000</v>
      </c>
      <c r="H16">
        <v>25000</v>
      </c>
    </row>
    <row r="17" spans="1:9" x14ac:dyDescent="0.25">
      <c r="D17" t="s">
        <v>243</v>
      </c>
      <c r="E17">
        <v>1</v>
      </c>
      <c r="F17">
        <v>13000</v>
      </c>
      <c r="G17">
        <v>10000</v>
      </c>
      <c r="H17">
        <v>3000</v>
      </c>
    </row>
    <row r="18" spans="1:9" x14ac:dyDescent="0.25">
      <c r="A18" s="112" t="s">
        <v>17</v>
      </c>
      <c r="B18" s="112"/>
      <c r="C18" s="112"/>
      <c r="D18" s="112"/>
      <c r="E18" s="78">
        <f>SUM(E9:E17)</f>
        <v>275</v>
      </c>
      <c r="F18" s="78">
        <f t="shared" ref="F18:H18" si="4">SUM(F9:F17)</f>
        <v>538900</v>
      </c>
      <c r="G18" s="78">
        <f t="shared" si="4"/>
        <v>197500</v>
      </c>
      <c r="H18" s="78">
        <f t="shared" si="4"/>
        <v>341400</v>
      </c>
    </row>
    <row r="19" spans="1:9" x14ac:dyDescent="0.25">
      <c r="A19" t="s">
        <v>22</v>
      </c>
      <c r="B19" s="3">
        <v>45233</v>
      </c>
      <c r="C19" t="s">
        <v>338</v>
      </c>
      <c r="D19" t="s">
        <v>11</v>
      </c>
      <c r="E19">
        <v>70</v>
      </c>
      <c r="F19" s="79">
        <f>E19*1800</f>
        <v>126000</v>
      </c>
      <c r="G19" s="79">
        <f t="shared" ref="G19:G25" si="5">E19*500</f>
        <v>35000</v>
      </c>
      <c r="H19" s="79">
        <f>E19*1300</f>
        <v>91000</v>
      </c>
      <c r="I19" s="79"/>
    </row>
    <row r="20" spans="1:9" x14ac:dyDescent="0.25">
      <c r="C20" t="s">
        <v>306</v>
      </c>
      <c r="D20" t="s">
        <v>11</v>
      </c>
      <c r="E20">
        <v>14</v>
      </c>
      <c r="F20" s="79">
        <f>E20*1800</f>
        <v>25200</v>
      </c>
      <c r="G20" s="79">
        <f t="shared" si="5"/>
        <v>7000</v>
      </c>
      <c r="H20" s="79">
        <f>E20*1300</f>
        <v>18200</v>
      </c>
      <c r="I20" s="79"/>
    </row>
    <row r="21" spans="1:9" x14ac:dyDescent="0.25">
      <c r="C21" t="s">
        <v>703</v>
      </c>
      <c r="E21">
        <v>50</v>
      </c>
      <c r="F21" s="79">
        <f>E21*1700</f>
        <v>85000</v>
      </c>
      <c r="G21" s="79">
        <f t="shared" si="5"/>
        <v>25000</v>
      </c>
      <c r="H21" s="79">
        <f>E21*1200</f>
        <v>60000</v>
      </c>
      <c r="I21" s="79"/>
    </row>
    <row r="22" spans="1:9" x14ac:dyDescent="0.25">
      <c r="C22" t="s">
        <v>572</v>
      </c>
      <c r="E22">
        <v>18</v>
      </c>
      <c r="F22" s="79">
        <f>E22*1700</f>
        <v>30600</v>
      </c>
      <c r="G22" s="79">
        <f t="shared" si="5"/>
        <v>9000</v>
      </c>
      <c r="H22" s="79">
        <f>E22*1700</f>
        <v>30600</v>
      </c>
      <c r="I22" s="79"/>
    </row>
    <row r="23" spans="1:9" x14ac:dyDescent="0.25">
      <c r="C23" t="s">
        <v>209</v>
      </c>
      <c r="E23">
        <v>25</v>
      </c>
      <c r="F23" s="79">
        <f>E23*1500</f>
        <v>37500</v>
      </c>
      <c r="G23" s="79">
        <f t="shared" si="5"/>
        <v>12500</v>
      </c>
      <c r="H23" s="79">
        <v>25000</v>
      </c>
      <c r="I23" s="79"/>
    </row>
    <row r="24" spans="1:9" x14ac:dyDescent="0.25">
      <c r="C24" t="s">
        <v>646</v>
      </c>
      <c r="E24">
        <v>100</v>
      </c>
      <c r="F24" s="79">
        <f>E24*1500</f>
        <v>150000</v>
      </c>
      <c r="G24" s="79">
        <f t="shared" si="5"/>
        <v>50000</v>
      </c>
      <c r="H24" s="79">
        <v>100000</v>
      </c>
      <c r="I24" s="79"/>
    </row>
    <row r="25" spans="1:9" x14ac:dyDescent="0.25">
      <c r="C25" t="s">
        <v>16</v>
      </c>
      <c r="E25">
        <v>53</v>
      </c>
      <c r="F25" s="79">
        <f>E25*1500</f>
        <v>79500</v>
      </c>
      <c r="G25" s="79">
        <f t="shared" si="5"/>
        <v>26500</v>
      </c>
      <c r="H25" s="79">
        <v>53000</v>
      </c>
      <c r="I25" s="79"/>
    </row>
    <row r="26" spans="1:9" x14ac:dyDescent="0.25">
      <c r="A26" s="111" t="s">
        <v>17</v>
      </c>
      <c r="B26" s="111"/>
      <c r="C26" s="111"/>
      <c r="D26" s="111"/>
      <c r="E26" s="78">
        <f>SUM(E19:E25)</f>
        <v>330</v>
      </c>
      <c r="F26" s="78">
        <f t="shared" ref="F26:G26" si="6">SUM(F19:F25)</f>
        <v>533800</v>
      </c>
      <c r="G26" s="78">
        <f t="shared" si="6"/>
        <v>165000</v>
      </c>
      <c r="H26" s="78">
        <f>SUM(H19:H25)</f>
        <v>377800</v>
      </c>
    </row>
    <row r="27" spans="1:9" x14ac:dyDescent="0.25">
      <c r="A27" t="s">
        <v>26</v>
      </c>
      <c r="B27" s="3">
        <v>45234</v>
      </c>
      <c r="C27" t="s">
        <v>581</v>
      </c>
      <c r="D27" t="s">
        <v>11</v>
      </c>
      <c r="E27">
        <f>29+26+16+30+19+45+33+48+37+19+27</f>
        <v>329</v>
      </c>
      <c r="F27">
        <f>E27*1500</f>
        <v>493500</v>
      </c>
      <c r="G27" s="79">
        <f>E27*500</f>
        <v>164500</v>
      </c>
      <c r="H27">
        <f>E27*1000</f>
        <v>329000</v>
      </c>
    </row>
    <row r="28" spans="1:9" x14ac:dyDescent="0.25">
      <c r="C28" t="s">
        <v>646</v>
      </c>
      <c r="D28" t="s">
        <v>11</v>
      </c>
      <c r="E28">
        <v>50</v>
      </c>
      <c r="F28" s="79">
        <f>E28*1500</f>
        <v>75000</v>
      </c>
      <c r="G28" s="79">
        <f>E28*500</f>
        <v>25000</v>
      </c>
      <c r="H28" s="79">
        <v>50000</v>
      </c>
    </row>
    <row r="29" spans="1:9" x14ac:dyDescent="0.25">
      <c r="C29" t="s">
        <v>104</v>
      </c>
      <c r="D29" t="s">
        <v>11</v>
      </c>
      <c r="E29">
        <v>16</v>
      </c>
      <c r="F29" s="79">
        <f>E29*1700</f>
        <v>27200</v>
      </c>
      <c r="G29" s="79">
        <f>E29*500</f>
        <v>8000</v>
      </c>
      <c r="H29">
        <f>E29*1200</f>
        <v>19200</v>
      </c>
    </row>
    <row r="30" spans="1:9" x14ac:dyDescent="0.25">
      <c r="A30" s="111" t="s">
        <v>17</v>
      </c>
      <c r="B30" s="111"/>
      <c r="C30" s="111"/>
      <c r="D30" s="111"/>
      <c r="E30" s="78">
        <f>SUM(E27:E29)</f>
        <v>395</v>
      </c>
      <c r="F30" s="78">
        <f t="shared" ref="F30:H30" si="7">SUM(F27:F29)</f>
        <v>595700</v>
      </c>
      <c r="G30" s="78">
        <f t="shared" si="7"/>
        <v>197500</v>
      </c>
      <c r="H30" s="78">
        <f t="shared" si="7"/>
        <v>398200</v>
      </c>
    </row>
    <row r="31" spans="1:9" x14ac:dyDescent="0.25">
      <c r="A31" t="s">
        <v>28</v>
      </c>
      <c r="B31" s="3">
        <v>45235</v>
      </c>
      <c r="C31" t="s">
        <v>704</v>
      </c>
      <c r="D31" t="s">
        <v>11</v>
      </c>
      <c r="E31">
        <v>5</v>
      </c>
      <c r="F31" s="79">
        <f>E31*2000</f>
        <v>10000</v>
      </c>
      <c r="G31" s="79">
        <f>E31*500</f>
        <v>2500</v>
      </c>
      <c r="H31" s="79">
        <f>E31*1500</f>
        <v>7500</v>
      </c>
    </row>
    <row r="32" spans="1:9" x14ac:dyDescent="0.25">
      <c r="D32" t="s">
        <v>13</v>
      </c>
      <c r="E32">
        <v>16</v>
      </c>
      <c r="F32" s="79">
        <f>E32*7000</f>
        <v>112000</v>
      </c>
      <c r="G32" s="79">
        <f>E32*4500</f>
        <v>72000</v>
      </c>
      <c r="H32" s="79">
        <f>E32*2500</f>
        <v>40000</v>
      </c>
    </row>
    <row r="33" spans="1:9" x14ac:dyDescent="0.25">
      <c r="D33" t="s">
        <v>14</v>
      </c>
      <c r="E33">
        <v>6</v>
      </c>
      <c r="F33" s="79">
        <f>E33*13000</f>
        <v>78000</v>
      </c>
      <c r="G33" s="79">
        <f>E33*5500</f>
        <v>33000</v>
      </c>
      <c r="H33" s="79">
        <f>E33*7500</f>
        <v>45000</v>
      </c>
    </row>
    <row r="34" spans="1:9" x14ac:dyDescent="0.25">
      <c r="D34" t="s">
        <v>404</v>
      </c>
      <c r="E34">
        <v>6</v>
      </c>
      <c r="F34" s="79">
        <f>E34*3000</f>
        <v>18000</v>
      </c>
      <c r="G34" s="79">
        <v>9000</v>
      </c>
      <c r="H34" s="79">
        <v>9000</v>
      </c>
    </row>
    <row r="35" spans="1:9" x14ac:dyDescent="0.25">
      <c r="D35" t="s">
        <v>420</v>
      </c>
      <c r="E35">
        <v>1</v>
      </c>
      <c r="F35" s="79">
        <v>5000</v>
      </c>
      <c r="G35" s="79">
        <v>2500</v>
      </c>
      <c r="H35" s="79">
        <v>2500</v>
      </c>
    </row>
    <row r="36" spans="1:9" x14ac:dyDescent="0.25">
      <c r="C36" t="s">
        <v>705</v>
      </c>
      <c r="D36" t="s">
        <v>13</v>
      </c>
      <c r="E36">
        <v>23</v>
      </c>
      <c r="F36" s="79">
        <f>E36*7000</f>
        <v>161000</v>
      </c>
      <c r="G36" s="79">
        <f>E36*4500</f>
        <v>103500</v>
      </c>
      <c r="H36" s="79">
        <f>E36*2500</f>
        <v>57500</v>
      </c>
    </row>
    <row r="37" spans="1:9" x14ac:dyDescent="0.25">
      <c r="D37" t="s">
        <v>14</v>
      </c>
      <c r="E37">
        <v>19</v>
      </c>
      <c r="F37" s="79">
        <f>E37*10000</f>
        <v>190000</v>
      </c>
      <c r="G37" s="79">
        <f>E37*5500</f>
        <v>104500</v>
      </c>
      <c r="H37" s="79">
        <f>E37*4500</f>
        <v>85500</v>
      </c>
    </row>
    <row r="38" spans="1:9" x14ac:dyDescent="0.25">
      <c r="D38" t="s">
        <v>243</v>
      </c>
      <c r="E38">
        <v>1</v>
      </c>
      <c r="F38" s="79">
        <v>13000</v>
      </c>
      <c r="G38" s="79">
        <v>10000</v>
      </c>
      <c r="H38" s="79">
        <v>3000</v>
      </c>
    </row>
    <row r="39" spans="1:9" x14ac:dyDescent="0.25">
      <c r="C39" t="s">
        <v>217</v>
      </c>
      <c r="D39" t="s">
        <v>11</v>
      </c>
      <c r="E39">
        <v>5</v>
      </c>
      <c r="F39" s="79">
        <f>E39*1500</f>
        <v>7500</v>
      </c>
      <c r="G39" s="79">
        <f>E39*500</f>
        <v>2500</v>
      </c>
      <c r="H39" s="79">
        <v>5000</v>
      </c>
    </row>
    <row r="40" spans="1:9" x14ac:dyDescent="0.25">
      <c r="D40" t="s">
        <v>13</v>
      </c>
      <c r="E40">
        <v>15</v>
      </c>
      <c r="F40" s="79">
        <f>E40*6500</f>
        <v>97500</v>
      </c>
      <c r="G40" s="79">
        <f>E40*4500</f>
        <v>67500</v>
      </c>
      <c r="H40" s="79">
        <f>E40*2000</f>
        <v>30000</v>
      </c>
    </row>
    <row r="41" spans="1:9" x14ac:dyDescent="0.25">
      <c r="D41" t="s">
        <v>14</v>
      </c>
      <c r="E41">
        <v>10</v>
      </c>
      <c r="F41" s="79">
        <f>E41*10000</f>
        <v>100000</v>
      </c>
      <c r="G41" s="79">
        <f>E41*5500</f>
        <v>55000</v>
      </c>
      <c r="H41" s="79">
        <f>E41*4500</f>
        <v>45000</v>
      </c>
    </row>
    <row r="42" spans="1:9" x14ac:dyDescent="0.25">
      <c r="C42" t="s">
        <v>24</v>
      </c>
      <c r="D42" t="s">
        <v>243</v>
      </c>
      <c r="E42">
        <v>5</v>
      </c>
      <c r="F42" s="79">
        <f>E42*15000</f>
        <v>75000</v>
      </c>
      <c r="G42" s="79">
        <f>E42*10000</f>
        <v>50000</v>
      </c>
      <c r="H42" s="79">
        <f>E42*5000</f>
        <v>25000</v>
      </c>
    </row>
    <row r="43" spans="1:9" x14ac:dyDescent="0.25">
      <c r="C43" t="s">
        <v>16</v>
      </c>
      <c r="D43" t="s">
        <v>11</v>
      </c>
      <c r="E43">
        <v>42</v>
      </c>
      <c r="F43" s="79">
        <f>E43*1500</f>
        <v>63000</v>
      </c>
      <c r="G43" s="79">
        <f>E43*500</f>
        <v>21000</v>
      </c>
      <c r="H43" s="79">
        <f>E43*1000</f>
        <v>42000</v>
      </c>
    </row>
    <row r="44" spans="1:9" x14ac:dyDescent="0.25">
      <c r="D44" t="s">
        <v>12</v>
      </c>
      <c r="E44">
        <v>4</v>
      </c>
      <c r="F44" s="79">
        <f>E44*3000</f>
        <v>12000</v>
      </c>
      <c r="G44" s="79">
        <v>8000</v>
      </c>
      <c r="H44" s="79">
        <v>4000</v>
      </c>
    </row>
    <row r="45" spans="1:9" x14ac:dyDescent="0.25">
      <c r="D45" t="s">
        <v>13</v>
      </c>
      <c r="E45">
        <v>1</v>
      </c>
      <c r="F45" s="79">
        <v>6500</v>
      </c>
      <c r="G45" s="79">
        <v>4500</v>
      </c>
      <c r="H45" s="79">
        <v>2000</v>
      </c>
    </row>
    <row r="46" spans="1:9" x14ac:dyDescent="0.25">
      <c r="A46" s="112" t="s">
        <v>17</v>
      </c>
      <c r="B46" s="112"/>
      <c r="C46" s="112"/>
      <c r="D46" s="112"/>
      <c r="E46" s="78">
        <f>SUM(E31:E45)</f>
        <v>159</v>
      </c>
      <c r="F46" s="78">
        <f t="shared" ref="F46:H46" si="8">SUM(F31:F45)</f>
        <v>948500</v>
      </c>
      <c r="G46" s="78">
        <f t="shared" si="8"/>
        <v>545500</v>
      </c>
      <c r="H46" s="78">
        <f t="shared" si="8"/>
        <v>403000</v>
      </c>
      <c r="I46" s="78"/>
    </row>
    <row r="47" spans="1:9" x14ac:dyDescent="0.25">
      <c r="A47" t="s">
        <v>30</v>
      </c>
      <c r="B47" s="3">
        <v>45236</v>
      </c>
      <c r="C47" t="s">
        <v>338</v>
      </c>
      <c r="D47" t="s">
        <v>11</v>
      </c>
      <c r="E47">
        <v>70</v>
      </c>
      <c r="F47" s="79">
        <f>E47*1800</f>
        <v>126000</v>
      </c>
      <c r="G47" s="79">
        <f>E47*500</f>
        <v>35000</v>
      </c>
      <c r="H47" s="79">
        <f>E47*1300</f>
        <v>91000</v>
      </c>
    </row>
    <row r="48" spans="1:9" x14ac:dyDescent="0.25">
      <c r="C48" t="s">
        <v>571</v>
      </c>
      <c r="D48" t="s">
        <v>11</v>
      </c>
      <c r="E48">
        <v>50</v>
      </c>
      <c r="F48" s="79">
        <f>E48*1700</f>
        <v>85000</v>
      </c>
      <c r="G48" s="79">
        <f>E48*500</f>
        <v>25000</v>
      </c>
      <c r="H48" s="79">
        <f>E48*1200</f>
        <v>60000</v>
      </c>
    </row>
    <row r="49" spans="1:8" x14ac:dyDescent="0.25">
      <c r="C49" t="s">
        <v>209</v>
      </c>
      <c r="D49" t="s">
        <v>11</v>
      </c>
      <c r="E49">
        <v>19</v>
      </c>
      <c r="F49" s="79">
        <f>E49*1500</f>
        <v>28500</v>
      </c>
      <c r="G49" s="79">
        <f>E49*500</f>
        <v>9500</v>
      </c>
      <c r="H49" s="79">
        <f>E49*1000</f>
        <v>19000</v>
      </c>
    </row>
    <row r="50" spans="1:8" x14ac:dyDescent="0.25">
      <c r="C50" t="s">
        <v>104</v>
      </c>
      <c r="D50" t="s">
        <v>11</v>
      </c>
      <c r="E50">
        <v>16</v>
      </c>
      <c r="F50" s="79">
        <f>E50*1700</f>
        <v>27200</v>
      </c>
      <c r="G50" s="79">
        <f>E50*500</f>
        <v>8000</v>
      </c>
      <c r="H50" s="79">
        <f>E50*1200</f>
        <v>19200</v>
      </c>
    </row>
    <row r="51" spans="1:8" x14ac:dyDescent="0.25">
      <c r="C51" t="s">
        <v>217</v>
      </c>
      <c r="D51" t="s">
        <v>11</v>
      </c>
      <c r="E51">
        <v>20</v>
      </c>
      <c r="F51" s="79">
        <f>E51*1500</f>
        <v>30000</v>
      </c>
      <c r="G51" s="79">
        <f>E51*500</f>
        <v>10000</v>
      </c>
      <c r="H51" s="79">
        <f>E51*1000</f>
        <v>20000</v>
      </c>
    </row>
    <row r="52" spans="1:8" x14ac:dyDescent="0.25">
      <c r="D52" t="s">
        <v>14</v>
      </c>
      <c r="E52">
        <v>1</v>
      </c>
      <c r="F52" s="79">
        <v>10000</v>
      </c>
      <c r="G52" s="79">
        <v>5500</v>
      </c>
      <c r="H52" s="79">
        <v>4500</v>
      </c>
    </row>
    <row r="53" spans="1:8" x14ac:dyDescent="0.25">
      <c r="D53" t="s">
        <v>404</v>
      </c>
      <c r="E53">
        <v>4</v>
      </c>
      <c r="F53" s="79">
        <f>E53*2000</f>
        <v>8000</v>
      </c>
      <c r="G53" s="79">
        <v>4000</v>
      </c>
      <c r="H53" s="79">
        <v>4000</v>
      </c>
    </row>
    <row r="54" spans="1:8" x14ac:dyDescent="0.25">
      <c r="D54" t="s">
        <v>436</v>
      </c>
      <c r="E54">
        <v>1</v>
      </c>
      <c r="F54" s="79">
        <v>3000</v>
      </c>
      <c r="G54" s="79">
        <v>1500</v>
      </c>
      <c r="H54" s="79">
        <v>1500</v>
      </c>
    </row>
    <row r="55" spans="1:8" x14ac:dyDescent="0.25">
      <c r="A55" s="112" t="s">
        <v>17</v>
      </c>
      <c r="B55" s="112"/>
      <c r="C55" s="112"/>
      <c r="D55" s="112"/>
      <c r="E55" s="78">
        <f>SUM(E47:E54)</f>
        <v>181</v>
      </c>
      <c r="F55" s="78">
        <f t="shared" ref="F55:H55" si="9">SUM(F47:F54)</f>
        <v>317700</v>
      </c>
      <c r="G55" s="78">
        <f>SUM(G47:G54)</f>
        <v>98500</v>
      </c>
      <c r="H55" s="78">
        <f t="shared" si="9"/>
        <v>219200</v>
      </c>
    </row>
    <row r="56" spans="1:8" x14ac:dyDescent="0.25">
      <c r="A56" t="s">
        <v>32</v>
      </c>
      <c r="B56" s="3">
        <v>45237</v>
      </c>
      <c r="C56" t="s">
        <v>338</v>
      </c>
      <c r="D56" t="s">
        <v>11</v>
      </c>
      <c r="E56">
        <v>75</v>
      </c>
      <c r="F56" s="79">
        <f>E56*1800</f>
        <v>135000</v>
      </c>
      <c r="G56" s="79">
        <f>E56*500</f>
        <v>37500</v>
      </c>
      <c r="H56" s="79">
        <f>E56*1300</f>
        <v>97500</v>
      </c>
    </row>
    <row r="57" spans="1:8" x14ac:dyDescent="0.25">
      <c r="C57" t="s">
        <v>306</v>
      </c>
      <c r="D57" t="s">
        <v>11</v>
      </c>
      <c r="E57">
        <v>37</v>
      </c>
      <c r="F57" s="79">
        <f>E57*1800</f>
        <v>66600</v>
      </c>
      <c r="G57" s="79">
        <f>E57*500</f>
        <v>18500</v>
      </c>
      <c r="H57" s="79">
        <f>E57*1300</f>
        <v>48100</v>
      </c>
    </row>
    <row r="58" spans="1:8" x14ac:dyDescent="0.25">
      <c r="C58" t="s">
        <v>104</v>
      </c>
      <c r="D58" t="s">
        <v>11</v>
      </c>
      <c r="E58">
        <v>26</v>
      </c>
      <c r="F58" s="79">
        <f>E58*1700</f>
        <v>44200</v>
      </c>
      <c r="G58" s="79">
        <f>E58*500</f>
        <v>13000</v>
      </c>
      <c r="H58" s="79">
        <f>E58*1200</f>
        <v>31200</v>
      </c>
    </row>
    <row r="59" spans="1:8" x14ac:dyDescent="0.25">
      <c r="C59" t="s">
        <v>571</v>
      </c>
      <c r="D59" t="s">
        <v>11</v>
      </c>
      <c r="E59">
        <v>100</v>
      </c>
      <c r="F59" s="79">
        <f>E59*1700</f>
        <v>170000</v>
      </c>
      <c r="G59" s="79">
        <f>E59*500</f>
        <v>50000</v>
      </c>
      <c r="H59" s="79">
        <f>E59*1200</f>
        <v>120000</v>
      </c>
    </row>
    <row r="60" spans="1:8" x14ac:dyDescent="0.25">
      <c r="C60" t="s">
        <v>217</v>
      </c>
      <c r="D60" t="s">
        <v>11</v>
      </c>
      <c r="E60">
        <v>36</v>
      </c>
      <c r="F60" s="79">
        <f>E60*1500</f>
        <v>54000</v>
      </c>
      <c r="G60" s="79">
        <f>E60*500</f>
        <v>18000</v>
      </c>
      <c r="H60" s="79">
        <f>E60*1000</f>
        <v>36000</v>
      </c>
    </row>
    <row r="61" spans="1:8" x14ac:dyDescent="0.25">
      <c r="D61" t="s">
        <v>13</v>
      </c>
      <c r="E61">
        <v>1</v>
      </c>
      <c r="F61" s="79">
        <v>6500</v>
      </c>
      <c r="G61" s="79">
        <v>4500</v>
      </c>
      <c r="H61" s="79">
        <v>2000</v>
      </c>
    </row>
    <row r="62" spans="1:8" x14ac:dyDescent="0.25">
      <c r="D62" t="s">
        <v>14</v>
      </c>
      <c r="E62">
        <v>0</v>
      </c>
      <c r="F62" s="79">
        <v>0</v>
      </c>
      <c r="G62" s="79">
        <v>0</v>
      </c>
      <c r="H62" s="79">
        <v>0</v>
      </c>
    </row>
    <row r="63" spans="1:8" x14ac:dyDescent="0.25">
      <c r="D63" t="s">
        <v>404</v>
      </c>
      <c r="E63">
        <v>7</v>
      </c>
      <c r="F63" s="79">
        <f>E63*2000</f>
        <v>14000</v>
      </c>
      <c r="G63" s="79">
        <v>7000</v>
      </c>
      <c r="H63" s="79">
        <v>7000</v>
      </c>
    </row>
    <row r="64" spans="1:8" x14ac:dyDescent="0.25">
      <c r="D64" t="s">
        <v>415</v>
      </c>
      <c r="E64">
        <v>1</v>
      </c>
      <c r="F64" s="79">
        <v>5000</v>
      </c>
      <c r="G64" s="79">
        <v>2500</v>
      </c>
      <c r="H64" s="79">
        <v>2500</v>
      </c>
    </row>
    <row r="65" spans="1:8" x14ac:dyDescent="0.25">
      <c r="A65" s="143" t="s">
        <v>17</v>
      </c>
      <c r="B65" s="143"/>
      <c r="C65" s="143"/>
      <c r="D65" s="143"/>
      <c r="E65" s="78">
        <f>SUM(E56:E64)</f>
        <v>283</v>
      </c>
      <c r="F65" s="78">
        <f t="shared" ref="F65:H65" si="10">SUM(F56:F64)</f>
        <v>495300</v>
      </c>
      <c r="G65" s="78">
        <f t="shared" si="10"/>
        <v>151000</v>
      </c>
      <c r="H65" s="78">
        <f t="shared" si="10"/>
        <v>344300</v>
      </c>
    </row>
    <row r="66" spans="1:8" x14ac:dyDescent="0.25">
      <c r="A66" t="s">
        <v>8</v>
      </c>
      <c r="B66" s="3">
        <v>45238</v>
      </c>
      <c r="C66" t="s">
        <v>338</v>
      </c>
      <c r="D66" t="s">
        <v>11</v>
      </c>
      <c r="E66">
        <v>75</v>
      </c>
      <c r="F66" s="79">
        <f>E66*1800</f>
        <v>135000</v>
      </c>
      <c r="G66" s="79">
        <f>E66*500</f>
        <v>37500</v>
      </c>
      <c r="H66" s="79">
        <f>E66*1300</f>
        <v>97500</v>
      </c>
    </row>
    <row r="67" spans="1:8" x14ac:dyDescent="0.25">
      <c r="C67" t="s">
        <v>306</v>
      </c>
      <c r="D67" t="s">
        <v>11</v>
      </c>
      <c r="E67">
        <v>24</v>
      </c>
      <c r="F67" s="79">
        <f>E67*1800</f>
        <v>43200</v>
      </c>
      <c r="G67" s="79">
        <f>E67*500</f>
        <v>12000</v>
      </c>
      <c r="H67" s="79">
        <f>E67*1300</f>
        <v>31200</v>
      </c>
    </row>
    <row r="68" spans="1:8" x14ac:dyDescent="0.25">
      <c r="C68" t="s">
        <v>209</v>
      </c>
      <c r="D68" t="s">
        <v>11</v>
      </c>
      <c r="E68">
        <v>20</v>
      </c>
      <c r="F68" s="79">
        <f>E68*1500</f>
        <v>30000</v>
      </c>
      <c r="G68" s="79">
        <f>E68*500</f>
        <v>10000</v>
      </c>
      <c r="H68" s="79">
        <v>20000</v>
      </c>
    </row>
    <row r="69" spans="1:8" x14ac:dyDescent="0.25">
      <c r="C69" t="s">
        <v>217</v>
      </c>
      <c r="D69" t="s">
        <v>11</v>
      </c>
      <c r="E69">
        <v>19</v>
      </c>
      <c r="F69" s="79">
        <f>E69*1500</f>
        <v>28500</v>
      </c>
      <c r="G69" s="79">
        <f>E69*500</f>
        <v>9500</v>
      </c>
      <c r="H69" s="79">
        <v>19000</v>
      </c>
    </row>
    <row r="70" spans="1:8" x14ac:dyDescent="0.25">
      <c r="D70" t="s">
        <v>13</v>
      </c>
      <c r="E70">
        <v>2</v>
      </c>
      <c r="F70" s="79">
        <f>E70*6500</f>
        <v>13000</v>
      </c>
      <c r="G70" s="79">
        <f>E70*4500</f>
        <v>9000</v>
      </c>
      <c r="H70" s="79">
        <v>4000</v>
      </c>
    </row>
    <row r="71" spans="1:8" x14ac:dyDescent="0.25">
      <c r="D71" t="s">
        <v>404</v>
      </c>
      <c r="E71">
        <v>9</v>
      </c>
      <c r="F71" s="79">
        <f>E71*2000</f>
        <v>18000</v>
      </c>
      <c r="G71" s="79">
        <v>9000</v>
      </c>
      <c r="H71" s="79">
        <v>9000</v>
      </c>
    </row>
    <row r="72" spans="1:8" x14ac:dyDescent="0.25">
      <c r="D72" t="s">
        <v>415</v>
      </c>
      <c r="E72">
        <v>1</v>
      </c>
      <c r="F72" s="79">
        <v>5000</v>
      </c>
      <c r="G72" s="79">
        <v>2500</v>
      </c>
      <c r="H72" s="79">
        <v>2500</v>
      </c>
    </row>
    <row r="73" spans="1:8" x14ac:dyDescent="0.25">
      <c r="C73" t="s">
        <v>127</v>
      </c>
      <c r="D73" t="s">
        <v>21</v>
      </c>
      <c r="E73">
        <v>5</v>
      </c>
      <c r="F73" s="79">
        <f>E73*15000</f>
        <v>75000</v>
      </c>
      <c r="G73" s="79">
        <v>50000</v>
      </c>
      <c r="H73" s="79">
        <v>25000</v>
      </c>
    </row>
    <row r="74" spans="1:8" x14ac:dyDescent="0.25">
      <c r="D74" t="s">
        <v>243</v>
      </c>
      <c r="E74">
        <v>1</v>
      </c>
      <c r="F74" s="79">
        <v>13000</v>
      </c>
      <c r="G74" s="79">
        <v>10000</v>
      </c>
      <c r="H74" s="79">
        <v>3000</v>
      </c>
    </row>
    <row r="75" spans="1:8" x14ac:dyDescent="0.25">
      <c r="A75" s="111" t="s">
        <v>17</v>
      </c>
      <c r="B75" s="111"/>
      <c r="C75" s="111"/>
      <c r="D75" s="111"/>
      <c r="E75" s="1">
        <f>SUM(E66:E74)</f>
        <v>156</v>
      </c>
      <c r="F75" s="78">
        <f t="shared" ref="F75:H75" si="11">SUM(F66:F74)</f>
        <v>360700</v>
      </c>
      <c r="G75" s="78">
        <f t="shared" si="11"/>
        <v>149500</v>
      </c>
      <c r="H75" s="78">
        <f t="shared" si="11"/>
        <v>211200</v>
      </c>
    </row>
    <row r="76" spans="1:8" x14ac:dyDescent="0.25">
      <c r="A76" t="s">
        <v>18</v>
      </c>
      <c r="B76" s="3">
        <v>45239</v>
      </c>
      <c r="C76" t="s">
        <v>572</v>
      </c>
      <c r="D76" t="s">
        <v>11</v>
      </c>
      <c r="E76">
        <f>22+25+28+24</f>
        <v>99</v>
      </c>
      <c r="F76" s="79">
        <f>E76*1700</f>
        <v>168300</v>
      </c>
      <c r="G76" s="79">
        <f>E76*500</f>
        <v>49500</v>
      </c>
      <c r="H76" s="79">
        <f>E76*1200</f>
        <v>118800</v>
      </c>
    </row>
    <row r="77" spans="1:8" x14ac:dyDescent="0.25">
      <c r="C77" t="s">
        <v>209</v>
      </c>
      <c r="D77" t="s">
        <v>11</v>
      </c>
      <c r="E77">
        <v>12</v>
      </c>
      <c r="F77" s="79">
        <f>E77*1500</f>
        <v>18000</v>
      </c>
      <c r="G77" s="79">
        <f>E77*500</f>
        <v>6000</v>
      </c>
      <c r="H77" s="79">
        <f>E77*1000</f>
        <v>12000</v>
      </c>
    </row>
    <row r="78" spans="1:8" x14ac:dyDescent="0.25">
      <c r="C78" t="s">
        <v>646</v>
      </c>
      <c r="D78" t="s">
        <v>11</v>
      </c>
      <c r="E78">
        <f>50+40+40+46</f>
        <v>176</v>
      </c>
      <c r="F78" s="79">
        <f>E78*1500</f>
        <v>264000</v>
      </c>
      <c r="G78" s="79">
        <f>E78*500</f>
        <v>88000</v>
      </c>
      <c r="H78" s="79">
        <v>176000</v>
      </c>
    </row>
    <row r="79" spans="1:8" x14ac:dyDescent="0.25">
      <c r="C79" t="s">
        <v>217</v>
      </c>
      <c r="D79" t="s">
        <v>11</v>
      </c>
      <c r="E79">
        <v>27</v>
      </c>
      <c r="F79" s="79">
        <f>E79*1500</f>
        <v>40500</v>
      </c>
      <c r="G79" s="79">
        <f>E79*500</f>
        <v>13500</v>
      </c>
      <c r="H79" s="79">
        <f>E79*1000</f>
        <v>27000</v>
      </c>
    </row>
    <row r="80" spans="1:8" x14ac:dyDescent="0.25">
      <c r="D80" t="s">
        <v>14</v>
      </c>
      <c r="E80">
        <v>2</v>
      </c>
      <c r="F80" s="79">
        <f>E80*10000</f>
        <v>20000</v>
      </c>
      <c r="G80" s="79">
        <f>E80*5500</f>
        <v>11000</v>
      </c>
      <c r="H80" s="79">
        <f>E80*4500</f>
        <v>9000</v>
      </c>
    </row>
    <row r="81" spans="1:8" x14ac:dyDescent="0.25">
      <c r="D81" t="s">
        <v>404</v>
      </c>
      <c r="E81">
        <v>6</v>
      </c>
      <c r="F81" s="79">
        <f>E81*2000</f>
        <v>12000</v>
      </c>
      <c r="G81" s="79">
        <v>6000</v>
      </c>
      <c r="H81" s="79">
        <v>6000</v>
      </c>
    </row>
    <row r="82" spans="1:8" x14ac:dyDescent="0.25">
      <c r="A82" s="112" t="s">
        <v>17</v>
      </c>
      <c r="B82" s="112"/>
      <c r="C82" s="112"/>
      <c r="D82" s="112"/>
      <c r="E82" s="78">
        <f>SUM(E76:E81)</f>
        <v>322</v>
      </c>
      <c r="F82" s="78">
        <f t="shared" ref="F82:H82" si="12">SUM(F76:F81)</f>
        <v>522800</v>
      </c>
      <c r="G82" s="78">
        <f t="shared" si="12"/>
        <v>174000</v>
      </c>
      <c r="H82" s="78">
        <f t="shared" si="12"/>
        <v>348800</v>
      </c>
    </row>
    <row r="83" spans="1:8" x14ac:dyDescent="0.25">
      <c r="A83" t="s">
        <v>22</v>
      </c>
      <c r="B83" s="3">
        <v>45240</v>
      </c>
      <c r="C83" t="s">
        <v>338</v>
      </c>
      <c r="D83" t="s">
        <v>11</v>
      </c>
      <c r="E83">
        <v>150</v>
      </c>
      <c r="F83" s="79">
        <f>E83*1800</f>
        <v>270000</v>
      </c>
      <c r="G83" s="79">
        <f>E83*500</f>
        <v>75000</v>
      </c>
      <c r="H83" s="79">
        <f>E83*1300</f>
        <v>195000</v>
      </c>
    </row>
    <row r="84" spans="1:8" x14ac:dyDescent="0.25">
      <c r="C84" t="s">
        <v>706</v>
      </c>
      <c r="D84" t="s">
        <v>11</v>
      </c>
      <c r="E84">
        <v>150</v>
      </c>
      <c r="F84" s="79">
        <f>E84*1700</f>
        <v>255000</v>
      </c>
      <c r="G84" s="79">
        <f>E84*500</f>
        <v>75000</v>
      </c>
      <c r="H84" s="79">
        <f>E84*1200</f>
        <v>180000</v>
      </c>
    </row>
    <row r="85" spans="1:8" x14ac:dyDescent="0.25">
      <c r="A85" s="112" t="s">
        <v>17</v>
      </c>
      <c r="B85" s="112"/>
      <c r="C85" s="112"/>
      <c r="D85" s="112"/>
      <c r="E85" s="78">
        <f>SUM(E83:E84)</f>
        <v>300</v>
      </c>
      <c r="F85" s="78">
        <f t="shared" ref="F85:H85" si="13">SUM(F83:F84)</f>
        <v>525000</v>
      </c>
      <c r="G85" s="78">
        <f t="shared" si="13"/>
        <v>150000</v>
      </c>
      <c r="H85" s="78">
        <f t="shared" si="13"/>
        <v>375000</v>
      </c>
    </row>
    <row r="86" spans="1:8" x14ac:dyDescent="0.25">
      <c r="A86" t="s">
        <v>26</v>
      </c>
      <c r="B86" s="3">
        <v>45241</v>
      </c>
      <c r="C86" t="s">
        <v>338</v>
      </c>
      <c r="D86" t="s">
        <v>11</v>
      </c>
      <c r="E86">
        <v>75</v>
      </c>
      <c r="F86" s="79">
        <f>E86*1800</f>
        <v>135000</v>
      </c>
      <c r="G86" s="79">
        <f>E86*500</f>
        <v>37500</v>
      </c>
      <c r="H86" s="79">
        <f>E86*1300</f>
        <v>97500</v>
      </c>
    </row>
    <row r="87" spans="1:8" x14ac:dyDescent="0.25">
      <c r="C87" t="s">
        <v>646</v>
      </c>
      <c r="D87" t="s">
        <v>11</v>
      </c>
      <c r="E87">
        <v>30</v>
      </c>
      <c r="F87" s="79">
        <f>E87*1500</f>
        <v>45000</v>
      </c>
      <c r="G87" s="79">
        <f>E87*500</f>
        <v>15000</v>
      </c>
      <c r="H87" s="79">
        <v>30000</v>
      </c>
    </row>
    <row r="88" spans="1:8" x14ac:dyDescent="0.25">
      <c r="C88" t="s">
        <v>209</v>
      </c>
      <c r="D88" t="s">
        <v>11</v>
      </c>
      <c r="E88">
        <v>26</v>
      </c>
      <c r="F88" s="79">
        <f>E88*1500</f>
        <v>39000</v>
      </c>
      <c r="G88" s="79">
        <f>E88*500</f>
        <v>13000</v>
      </c>
      <c r="H88" s="79">
        <v>26000</v>
      </c>
    </row>
    <row r="89" spans="1:8" x14ac:dyDescent="0.25">
      <c r="C89" t="s">
        <v>693</v>
      </c>
      <c r="D89" t="s">
        <v>11</v>
      </c>
      <c r="E89">
        <v>5</v>
      </c>
      <c r="F89" s="79">
        <f>E89*1500</f>
        <v>7500</v>
      </c>
      <c r="G89" s="79">
        <f>E89*500</f>
        <v>2500</v>
      </c>
      <c r="H89" s="79">
        <v>5000</v>
      </c>
    </row>
    <row r="90" spans="1:8" x14ac:dyDescent="0.25">
      <c r="D90" t="s">
        <v>13</v>
      </c>
      <c r="E90">
        <v>4</v>
      </c>
      <c r="F90" s="79">
        <f>E90*7000</f>
        <v>28000</v>
      </c>
      <c r="G90" s="79">
        <f>E90*4500</f>
        <v>18000</v>
      </c>
      <c r="H90" s="79">
        <f>E90*2500</f>
        <v>10000</v>
      </c>
    </row>
    <row r="91" spans="1:8" x14ac:dyDescent="0.25">
      <c r="D91" t="s">
        <v>14</v>
      </c>
      <c r="E91">
        <v>1</v>
      </c>
      <c r="F91" s="79">
        <v>10000</v>
      </c>
      <c r="G91" s="79">
        <v>5500</v>
      </c>
      <c r="H91" s="79">
        <v>4500</v>
      </c>
    </row>
    <row r="92" spans="1:8" x14ac:dyDescent="0.25">
      <c r="D92" t="s">
        <v>404</v>
      </c>
      <c r="E92">
        <v>2</v>
      </c>
      <c r="F92" s="79">
        <v>4000</v>
      </c>
      <c r="G92" s="79">
        <v>2000</v>
      </c>
      <c r="H92" s="79">
        <v>2000</v>
      </c>
    </row>
    <row r="93" spans="1:8" x14ac:dyDescent="0.25">
      <c r="D93" t="s">
        <v>415</v>
      </c>
      <c r="E93">
        <v>2</v>
      </c>
      <c r="F93" s="79">
        <v>5000</v>
      </c>
      <c r="G93" s="79">
        <v>2500</v>
      </c>
      <c r="H93" s="79">
        <v>2500</v>
      </c>
    </row>
    <row r="94" spans="1:8" x14ac:dyDescent="0.25">
      <c r="A94" s="112" t="s">
        <v>17</v>
      </c>
      <c r="B94" s="112"/>
      <c r="C94" s="112"/>
      <c r="D94" s="112"/>
      <c r="E94" s="78">
        <f>SUM(E86:E93)</f>
        <v>145</v>
      </c>
      <c r="F94" s="78">
        <f t="shared" ref="F94:H94" si="14">SUM(F86:F93)</f>
        <v>273500</v>
      </c>
      <c r="G94" s="78">
        <f t="shared" si="14"/>
        <v>96000</v>
      </c>
      <c r="H94" s="78">
        <f t="shared" si="14"/>
        <v>177500</v>
      </c>
    </row>
    <row r="95" spans="1:8" x14ac:dyDescent="0.25">
      <c r="A95" t="s">
        <v>28</v>
      </c>
      <c r="B95" s="3">
        <v>45242</v>
      </c>
      <c r="C95" t="s">
        <v>693</v>
      </c>
      <c r="D95" t="s">
        <v>13</v>
      </c>
      <c r="E95">
        <v>27</v>
      </c>
      <c r="F95">
        <f>E95*7000</f>
        <v>189000</v>
      </c>
      <c r="G95">
        <f>E95*4500</f>
        <v>121500</v>
      </c>
      <c r="H95">
        <f>E95*2500</f>
        <v>67500</v>
      </c>
    </row>
    <row r="96" spans="1:8" x14ac:dyDescent="0.25">
      <c r="D96" t="s">
        <v>14</v>
      </c>
      <c r="E96">
        <v>6</v>
      </c>
      <c r="F96">
        <f>E96*10000</f>
        <v>60000</v>
      </c>
      <c r="G96">
        <f>E96*5500</f>
        <v>33000</v>
      </c>
      <c r="H96">
        <f>E96*4500</f>
        <v>27000</v>
      </c>
    </row>
    <row r="97" spans="1:8" x14ac:dyDescent="0.25">
      <c r="C97" t="s">
        <v>217</v>
      </c>
      <c r="D97" t="s">
        <v>11</v>
      </c>
      <c r="E97">
        <f>16+12</f>
        <v>28</v>
      </c>
      <c r="F97">
        <f>E97*1500</f>
        <v>42000</v>
      </c>
      <c r="G97">
        <f>E97*500</f>
        <v>14000</v>
      </c>
      <c r="H97">
        <f>E97*1000</f>
        <v>28000</v>
      </c>
    </row>
    <row r="98" spans="1:8" x14ac:dyDescent="0.25">
      <c r="D98" t="s">
        <v>13</v>
      </c>
      <c r="E98">
        <v>12</v>
      </c>
      <c r="F98">
        <f>E98*7000</f>
        <v>84000</v>
      </c>
      <c r="G98">
        <f>E98*4500</f>
        <v>54000</v>
      </c>
      <c r="H98">
        <f>E98*2500</f>
        <v>30000</v>
      </c>
    </row>
    <row r="99" spans="1:8" x14ac:dyDescent="0.25">
      <c r="D99" t="s">
        <v>14</v>
      </c>
      <c r="E99">
        <v>16</v>
      </c>
      <c r="F99">
        <f>E99*10000</f>
        <v>160000</v>
      </c>
      <c r="G99">
        <f>E99*5500</f>
        <v>88000</v>
      </c>
      <c r="H99">
        <f>E99*4500</f>
        <v>72000</v>
      </c>
    </row>
    <row r="100" spans="1:8" x14ac:dyDescent="0.25">
      <c r="D100" t="s">
        <v>404</v>
      </c>
      <c r="E100">
        <v>2</v>
      </c>
      <c r="F100">
        <v>4000</v>
      </c>
      <c r="G100">
        <v>2000</v>
      </c>
      <c r="H100">
        <v>2000</v>
      </c>
    </row>
    <row r="101" spans="1:8" x14ac:dyDescent="0.25">
      <c r="D101" t="s">
        <v>420</v>
      </c>
      <c r="E101">
        <v>3</v>
      </c>
      <c r="F101">
        <f>E101*3000</f>
        <v>9000</v>
      </c>
      <c r="G101">
        <v>4500</v>
      </c>
      <c r="H101">
        <v>4500</v>
      </c>
    </row>
    <row r="102" spans="1:8" x14ac:dyDescent="0.25">
      <c r="D102" t="s">
        <v>437</v>
      </c>
      <c r="E102">
        <v>6</v>
      </c>
      <c r="F102">
        <v>30000</v>
      </c>
      <c r="G102">
        <v>15000</v>
      </c>
      <c r="H102">
        <v>15000</v>
      </c>
    </row>
    <row r="103" spans="1:8" x14ac:dyDescent="0.25">
      <c r="A103" s="112" t="s">
        <v>17</v>
      </c>
      <c r="B103" s="112"/>
      <c r="C103" s="112"/>
      <c r="D103" s="112"/>
      <c r="E103" s="78">
        <f>SUM(E95:E102)</f>
        <v>100</v>
      </c>
      <c r="F103" s="78">
        <f t="shared" ref="F103:H103" si="15">SUM(F95:F102)</f>
        <v>578000</v>
      </c>
      <c r="G103" s="78">
        <f t="shared" si="15"/>
        <v>332000</v>
      </c>
      <c r="H103" s="78">
        <f t="shared" si="15"/>
        <v>246000</v>
      </c>
    </row>
  </sheetData>
  <mergeCells count="12">
    <mergeCell ref="A103:D103"/>
    <mergeCell ref="A8:D8"/>
    <mergeCell ref="A18:D18"/>
    <mergeCell ref="A26:D26"/>
    <mergeCell ref="A30:D30"/>
    <mergeCell ref="A46:D46"/>
    <mergeCell ref="A55:D55"/>
    <mergeCell ref="A65:D65"/>
    <mergeCell ref="A75:D75"/>
    <mergeCell ref="A82:D82"/>
    <mergeCell ref="A85:D85"/>
    <mergeCell ref="A94:D9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I407"/>
  <sheetViews>
    <sheetView workbookViewId="0">
      <selection activeCell="H1" sqref="H1"/>
    </sheetView>
  </sheetViews>
  <sheetFormatPr defaultRowHeight="15" x14ac:dyDescent="0.25"/>
  <cols>
    <col min="1" max="1" width="8.5703125" customWidth="1"/>
    <col min="2" max="2" width="9.7109375" bestFit="1" customWidth="1"/>
    <col min="3" max="3" width="18" bestFit="1" customWidth="1"/>
    <col min="4" max="4" width="11.7109375" bestFit="1" customWidth="1"/>
    <col min="5" max="5" width="5.42578125" customWidth="1"/>
    <col min="6" max="8" width="9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s="37" t="s">
        <v>18</v>
      </c>
      <c r="B2" s="37">
        <v>45293</v>
      </c>
      <c r="C2" s="29"/>
      <c r="D2" s="29"/>
      <c r="E2" s="29"/>
      <c r="F2" s="29"/>
      <c r="G2" s="29"/>
      <c r="H2" s="29"/>
    </row>
    <row r="3" spans="1:8" hidden="1" x14ac:dyDescent="0.25">
      <c r="A3" s="29" t="s">
        <v>32</v>
      </c>
      <c r="B3" s="37">
        <v>45445</v>
      </c>
      <c r="C3" s="29" t="s">
        <v>338</v>
      </c>
      <c r="D3" s="29" t="s">
        <v>11</v>
      </c>
      <c r="E3" s="29">
        <v>75</v>
      </c>
      <c r="F3" s="29">
        <f>E3*1800</f>
        <v>135000</v>
      </c>
      <c r="G3" s="29">
        <f>E3*500</f>
        <v>37500</v>
      </c>
      <c r="H3" s="29">
        <f>E3*1300</f>
        <v>97500</v>
      </c>
    </row>
    <row r="4" spans="1:8" hidden="1" x14ac:dyDescent="0.25">
      <c r="A4" s="29"/>
      <c r="B4" s="29"/>
      <c r="C4" s="29" t="s">
        <v>646</v>
      </c>
      <c r="D4" s="29" t="s">
        <v>11</v>
      </c>
      <c r="E4" s="29">
        <v>48</v>
      </c>
      <c r="F4" s="29">
        <f>E4*1500</f>
        <v>72000</v>
      </c>
      <c r="G4" s="29">
        <f>E4*500</f>
        <v>24000</v>
      </c>
      <c r="H4" s="29">
        <f>E4*1000</f>
        <v>48000</v>
      </c>
    </row>
    <row r="5" spans="1:8" hidden="1" x14ac:dyDescent="0.25">
      <c r="A5" s="29"/>
      <c r="B5" s="29"/>
      <c r="C5" s="29" t="s">
        <v>571</v>
      </c>
      <c r="D5" s="29" t="s">
        <v>11</v>
      </c>
      <c r="E5" s="29">
        <v>82</v>
      </c>
      <c r="F5" s="29">
        <f>E5*1700</f>
        <v>139400</v>
      </c>
      <c r="G5" s="29">
        <f>E5*500</f>
        <v>41000</v>
      </c>
      <c r="H5" s="29">
        <f>E5*1300</f>
        <v>106600</v>
      </c>
    </row>
    <row r="6" spans="1:8" hidden="1" x14ac:dyDescent="0.25">
      <c r="A6" s="29"/>
      <c r="B6" s="29"/>
      <c r="C6" s="29" t="s">
        <v>572</v>
      </c>
      <c r="D6" s="29" t="s">
        <v>11</v>
      </c>
      <c r="E6" s="29">
        <v>18</v>
      </c>
      <c r="F6" s="29">
        <f>E6*1700</f>
        <v>30600</v>
      </c>
      <c r="G6" s="29">
        <f>E6*500</f>
        <v>9000</v>
      </c>
      <c r="H6" s="29">
        <f>E6*1200</f>
        <v>21600</v>
      </c>
    </row>
    <row r="7" spans="1:8" hidden="1" x14ac:dyDescent="0.25">
      <c r="A7" s="29"/>
      <c r="B7" s="29"/>
      <c r="C7" s="29" t="s">
        <v>104</v>
      </c>
      <c r="D7" s="29" t="s">
        <v>11</v>
      </c>
      <c r="E7" s="29">
        <v>14</v>
      </c>
      <c r="F7" s="29">
        <f>E7*1700</f>
        <v>23800</v>
      </c>
      <c r="G7" s="29">
        <f>E7*500</f>
        <v>7000</v>
      </c>
      <c r="H7" s="29">
        <f>E7*1200</f>
        <v>16800</v>
      </c>
    </row>
    <row r="8" spans="1:8" hidden="1" x14ac:dyDescent="0.25">
      <c r="A8" s="29"/>
      <c r="B8" s="29"/>
      <c r="C8" s="29" t="s">
        <v>710</v>
      </c>
      <c r="D8" s="29" t="s">
        <v>13</v>
      </c>
      <c r="E8" s="29">
        <v>10</v>
      </c>
      <c r="F8" s="29">
        <f>E8*8000</f>
        <v>80000</v>
      </c>
      <c r="G8" s="29">
        <f>E8*4500</f>
        <v>45000</v>
      </c>
      <c r="H8" s="29">
        <f>E8*3500</f>
        <v>35000</v>
      </c>
    </row>
    <row r="9" spans="1:8" hidden="1" x14ac:dyDescent="0.25">
      <c r="A9" s="29"/>
      <c r="B9" s="29"/>
      <c r="C9" s="29"/>
      <c r="D9" s="29" t="s">
        <v>14</v>
      </c>
      <c r="E9" s="29">
        <v>9</v>
      </c>
      <c r="F9" s="29">
        <f>E9*10000</f>
        <v>90000</v>
      </c>
      <c r="G9" s="29">
        <f>E9*5500</f>
        <v>49500</v>
      </c>
      <c r="H9" s="29">
        <f>E9*4500</f>
        <v>40500</v>
      </c>
    </row>
    <row r="10" spans="1:8" hidden="1" x14ac:dyDescent="0.25">
      <c r="A10" s="29"/>
      <c r="B10" s="29"/>
      <c r="C10" s="29" t="s">
        <v>16</v>
      </c>
      <c r="D10" s="29" t="s">
        <v>11</v>
      </c>
      <c r="E10" s="29">
        <v>23</v>
      </c>
      <c r="F10" s="29">
        <f>E10*1500</f>
        <v>34500</v>
      </c>
      <c r="G10" s="29">
        <f>E10*500</f>
        <v>11500</v>
      </c>
      <c r="H10" s="29">
        <f>E10*1000</f>
        <v>23000</v>
      </c>
    </row>
    <row r="11" spans="1:8" hidden="1" x14ac:dyDescent="0.25">
      <c r="A11" s="29"/>
      <c r="B11" s="29"/>
      <c r="C11" s="29"/>
      <c r="D11" s="29" t="s">
        <v>12</v>
      </c>
      <c r="E11" s="29">
        <v>5</v>
      </c>
      <c r="F11" s="29">
        <f>E11*3000</f>
        <v>15000</v>
      </c>
      <c r="G11" s="29">
        <v>10000</v>
      </c>
      <c r="H11" s="29">
        <v>5000</v>
      </c>
    </row>
    <row r="12" spans="1:8" hidden="1" x14ac:dyDescent="0.25">
      <c r="A12" s="29"/>
      <c r="B12" s="29"/>
      <c r="C12" s="29"/>
      <c r="D12" s="29" t="s">
        <v>243</v>
      </c>
      <c r="E12" s="29">
        <v>2</v>
      </c>
      <c r="F12" s="29">
        <v>26000</v>
      </c>
      <c r="G12" s="29">
        <v>20000</v>
      </c>
      <c r="H12" s="29">
        <v>6000</v>
      </c>
    </row>
    <row r="13" spans="1:8" hidden="1" x14ac:dyDescent="0.25">
      <c r="A13" s="29"/>
      <c r="B13" s="29"/>
      <c r="C13" s="29" t="s">
        <v>24</v>
      </c>
      <c r="D13" s="29" t="s">
        <v>243</v>
      </c>
      <c r="E13" s="29">
        <v>2</v>
      </c>
      <c r="F13" s="29">
        <f>E13*15000</f>
        <v>30000</v>
      </c>
      <c r="G13" s="29">
        <v>20000</v>
      </c>
      <c r="H13" s="29">
        <v>10000</v>
      </c>
    </row>
    <row r="14" spans="1:8" hidden="1" x14ac:dyDescent="0.25">
      <c r="A14" s="29"/>
      <c r="B14" s="29"/>
      <c r="C14" s="29" t="s">
        <v>217</v>
      </c>
      <c r="D14" s="29" t="s">
        <v>11</v>
      </c>
      <c r="E14" s="29">
        <v>7</v>
      </c>
      <c r="F14" s="29">
        <f>E14*1500</f>
        <v>10500</v>
      </c>
      <c r="G14" s="29">
        <f>E14*500</f>
        <v>3500</v>
      </c>
      <c r="H14" s="29">
        <v>7000</v>
      </c>
    </row>
    <row r="15" spans="1:8" hidden="1" x14ac:dyDescent="0.25">
      <c r="A15" s="29"/>
      <c r="B15" s="29"/>
      <c r="C15" s="29"/>
      <c r="D15" s="29" t="s">
        <v>13</v>
      </c>
      <c r="E15" s="29">
        <v>2</v>
      </c>
      <c r="F15" s="29">
        <v>13000</v>
      </c>
      <c r="G15" s="29">
        <v>9000</v>
      </c>
      <c r="H15" s="29">
        <v>4000</v>
      </c>
    </row>
    <row r="16" spans="1:8" hidden="1" x14ac:dyDescent="0.25">
      <c r="A16" s="29"/>
      <c r="B16" s="29"/>
      <c r="C16" s="29"/>
      <c r="D16" s="29" t="s">
        <v>14</v>
      </c>
      <c r="E16" s="29">
        <v>2</v>
      </c>
      <c r="F16" s="29">
        <v>20000</v>
      </c>
      <c r="G16" s="29">
        <f>E16*5500</f>
        <v>11000</v>
      </c>
      <c r="H16" s="29">
        <v>9000</v>
      </c>
    </row>
    <row r="17" spans="1:9" hidden="1" x14ac:dyDescent="0.25">
      <c r="A17" s="29"/>
      <c r="B17" s="29"/>
      <c r="C17" s="29"/>
      <c r="D17" s="29" t="s">
        <v>404</v>
      </c>
      <c r="E17" s="29">
        <v>7</v>
      </c>
      <c r="F17" s="29">
        <v>14000</v>
      </c>
      <c r="G17" s="29">
        <v>7000</v>
      </c>
      <c r="H17" s="29">
        <v>7000</v>
      </c>
    </row>
    <row r="18" spans="1:9" hidden="1" x14ac:dyDescent="0.25">
      <c r="A18" s="125" t="s">
        <v>17</v>
      </c>
      <c r="B18" s="125"/>
      <c r="C18" s="125"/>
      <c r="D18" s="125"/>
      <c r="E18" s="17">
        <f>SUM(E3:E17)</f>
        <v>306</v>
      </c>
      <c r="F18" s="17">
        <f t="shared" ref="F18:H18" si="0">SUM(F3:F17)</f>
        <v>733800</v>
      </c>
      <c r="G18" s="17">
        <f t="shared" si="0"/>
        <v>305000</v>
      </c>
      <c r="H18" s="17">
        <f t="shared" si="0"/>
        <v>437000</v>
      </c>
      <c r="I18" s="13"/>
    </row>
    <row r="19" spans="1:9" hidden="1" x14ac:dyDescent="0.25">
      <c r="A19" s="29" t="s">
        <v>8</v>
      </c>
      <c r="B19" s="37">
        <v>45475</v>
      </c>
      <c r="C19" s="29" t="s">
        <v>338</v>
      </c>
      <c r="D19" s="29" t="s">
        <v>11</v>
      </c>
      <c r="E19" s="29">
        <v>75</v>
      </c>
      <c r="F19" s="29">
        <f>E19*1800</f>
        <v>135000</v>
      </c>
      <c r="G19" s="29">
        <f>E19*500</f>
        <v>37500</v>
      </c>
      <c r="H19" s="29">
        <f>E19*1300</f>
        <v>97500</v>
      </c>
    </row>
    <row r="20" spans="1:9" hidden="1" x14ac:dyDescent="0.25">
      <c r="A20" s="29"/>
      <c r="B20" s="29"/>
      <c r="C20" s="29" t="s">
        <v>646</v>
      </c>
      <c r="D20" s="29" t="s">
        <v>11</v>
      </c>
      <c r="E20" s="29">
        <v>16</v>
      </c>
      <c r="F20" s="29">
        <f>E20*1500</f>
        <v>24000</v>
      </c>
      <c r="G20" s="29">
        <f>E20*500</f>
        <v>8000</v>
      </c>
      <c r="H20" s="29">
        <v>16000</v>
      </c>
    </row>
    <row r="21" spans="1:9" hidden="1" x14ac:dyDescent="0.25">
      <c r="A21" s="29"/>
      <c r="B21" s="29"/>
      <c r="C21" s="29" t="s">
        <v>209</v>
      </c>
      <c r="D21" s="29" t="s">
        <v>11</v>
      </c>
      <c r="E21" s="29">
        <v>42</v>
      </c>
      <c r="F21" s="29">
        <f>E21*1500</f>
        <v>63000</v>
      </c>
      <c r="G21" s="29">
        <f>E21*500</f>
        <v>21000</v>
      </c>
      <c r="H21" s="29">
        <f>E21*1000</f>
        <v>42000</v>
      </c>
    </row>
    <row r="22" spans="1:9" hidden="1" x14ac:dyDescent="0.25">
      <c r="A22" s="29"/>
      <c r="B22" s="29"/>
      <c r="C22" s="29" t="s">
        <v>16</v>
      </c>
      <c r="D22" s="29" t="s">
        <v>11</v>
      </c>
      <c r="E22" s="29">
        <v>48</v>
      </c>
      <c r="F22" s="29">
        <f>E22*1500</f>
        <v>72000</v>
      </c>
      <c r="G22" s="29">
        <f>E22*500</f>
        <v>24000</v>
      </c>
      <c r="H22" s="29">
        <v>48000</v>
      </c>
    </row>
    <row r="23" spans="1:9" hidden="1" x14ac:dyDescent="0.25">
      <c r="A23" s="29"/>
      <c r="B23" s="29"/>
      <c r="C23" s="29" t="s">
        <v>127</v>
      </c>
      <c r="D23" s="29" t="s">
        <v>243</v>
      </c>
      <c r="E23" s="29">
        <v>5</v>
      </c>
      <c r="F23" s="29">
        <f>E23*12000</f>
        <v>60000</v>
      </c>
      <c r="G23" s="29">
        <v>50000</v>
      </c>
      <c r="H23" s="29">
        <v>10000</v>
      </c>
    </row>
    <row r="24" spans="1:9" hidden="1" x14ac:dyDescent="0.25">
      <c r="A24" s="29"/>
      <c r="B24" s="29"/>
      <c r="C24" s="29"/>
      <c r="D24" s="29" t="s">
        <v>21</v>
      </c>
      <c r="E24" s="29">
        <v>1</v>
      </c>
      <c r="F24" s="29">
        <v>13000</v>
      </c>
      <c r="G24" s="29">
        <v>10000</v>
      </c>
      <c r="H24" s="29">
        <v>3000</v>
      </c>
    </row>
    <row r="25" spans="1:9" hidden="1" x14ac:dyDescent="0.25">
      <c r="A25" s="125" t="s">
        <v>17</v>
      </c>
      <c r="B25" s="125"/>
      <c r="C25" s="125"/>
      <c r="D25" s="125"/>
      <c r="E25" s="17">
        <f>SUM(E19:E24)</f>
        <v>187</v>
      </c>
      <c r="F25" s="17">
        <f t="shared" ref="F25:H25" si="1">SUM(F19:F24)</f>
        <v>367000</v>
      </c>
      <c r="G25" s="17">
        <f t="shared" si="1"/>
        <v>150500</v>
      </c>
      <c r="H25" s="17">
        <f t="shared" si="1"/>
        <v>216500</v>
      </c>
    </row>
    <row r="26" spans="1:9" hidden="1" x14ac:dyDescent="0.25">
      <c r="A26" s="29" t="s">
        <v>18</v>
      </c>
      <c r="B26" s="37">
        <v>45506</v>
      </c>
      <c r="C26" s="29" t="s">
        <v>16</v>
      </c>
      <c r="D26" s="29" t="s">
        <v>11</v>
      </c>
      <c r="E26" s="29">
        <v>30</v>
      </c>
      <c r="F26" s="29">
        <f>E26*1500</f>
        <v>45000</v>
      </c>
      <c r="G26" s="29">
        <f>E26*500</f>
        <v>15000</v>
      </c>
      <c r="H26" s="29">
        <f>E26*1000</f>
        <v>30000</v>
      </c>
    </row>
    <row r="27" spans="1:9" hidden="1" x14ac:dyDescent="0.25">
      <c r="A27" s="29"/>
      <c r="B27" s="29"/>
      <c r="C27" s="29"/>
      <c r="D27" s="29" t="s">
        <v>12</v>
      </c>
      <c r="E27" s="29">
        <v>10</v>
      </c>
      <c r="F27" s="29">
        <f>E27*3000</f>
        <v>30000</v>
      </c>
      <c r="G27" s="29">
        <v>20000</v>
      </c>
      <c r="H27" s="29">
        <v>10000</v>
      </c>
    </row>
    <row r="28" spans="1:9" hidden="1" x14ac:dyDescent="0.25">
      <c r="A28" s="29"/>
      <c r="B28" s="29"/>
      <c r="C28" s="29"/>
      <c r="D28" s="29" t="s">
        <v>14</v>
      </c>
      <c r="E28" s="29">
        <v>1</v>
      </c>
      <c r="F28" s="29">
        <v>10000</v>
      </c>
      <c r="G28" s="29">
        <v>5500</v>
      </c>
      <c r="H28" s="29">
        <v>4500</v>
      </c>
    </row>
    <row r="29" spans="1:9" hidden="1" x14ac:dyDescent="0.25">
      <c r="A29" s="29"/>
      <c r="B29" s="29"/>
      <c r="C29" s="29"/>
      <c r="D29" s="29" t="s">
        <v>243</v>
      </c>
      <c r="E29" s="29">
        <v>1</v>
      </c>
      <c r="F29" s="29">
        <v>1300</v>
      </c>
      <c r="G29" s="29">
        <v>10000</v>
      </c>
      <c r="H29" s="29">
        <v>3000</v>
      </c>
    </row>
    <row r="30" spans="1:9" hidden="1" x14ac:dyDescent="0.25">
      <c r="A30" s="29"/>
      <c r="B30" s="29"/>
      <c r="C30" s="29" t="s">
        <v>707</v>
      </c>
      <c r="D30" s="29" t="s">
        <v>11</v>
      </c>
      <c r="E30" s="29">
        <v>40</v>
      </c>
      <c r="F30" s="29">
        <f>E30*1500</f>
        <v>60000</v>
      </c>
      <c r="G30" s="29">
        <f>E30*500</f>
        <v>20000</v>
      </c>
      <c r="H30" s="29">
        <v>40000</v>
      </c>
    </row>
    <row r="31" spans="1:9" hidden="1" x14ac:dyDescent="0.25">
      <c r="A31" s="29"/>
      <c r="B31" s="29"/>
      <c r="C31" s="29" t="s">
        <v>708</v>
      </c>
      <c r="D31" s="29" t="s">
        <v>13</v>
      </c>
      <c r="E31" s="29">
        <v>9</v>
      </c>
      <c r="F31" s="29">
        <f>E31*8000</f>
        <v>72000</v>
      </c>
      <c r="G31" s="29">
        <f>E31*4500</f>
        <v>40500</v>
      </c>
      <c r="H31" s="29">
        <f>E31*3500</f>
        <v>31500</v>
      </c>
    </row>
    <row r="32" spans="1:9" hidden="1" x14ac:dyDescent="0.25">
      <c r="A32" s="29"/>
      <c r="B32" s="29"/>
      <c r="C32" s="29" t="s">
        <v>338</v>
      </c>
      <c r="D32" s="29" t="s">
        <v>11</v>
      </c>
      <c r="E32" s="29">
        <v>75</v>
      </c>
      <c r="F32" s="29">
        <f>E32*1800</f>
        <v>135000</v>
      </c>
      <c r="G32" s="29">
        <f>E32*500</f>
        <v>37500</v>
      </c>
      <c r="H32" s="29">
        <f>E32*1300</f>
        <v>97500</v>
      </c>
    </row>
    <row r="33" spans="1:8" hidden="1" x14ac:dyDescent="0.25">
      <c r="A33" s="29"/>
      <c r="B33" s="29"/>
      <c r="C33" s="29" t="s">
        <v>646</v>
      </c>
      <c r="D33" s="29" t="s">
        <v>11</v>
      </c>
      <c r="E33" s="29">
        <v>25</v>
      </c>
      <c r="F33" s="29">
        <f>E33*1500</f>
        <v>37500</v>
      </c>
      <c r="G33" s="29">
        <f>E33*500</f>
        <v>12500</v>
      </c>
      <c r="H33" s="29">
        <v>25000</v>
      </c>
    </row>
    <row r="34" spans="1:8" hidden="1" x14ac:dyDescent="0.25">
      <c r="A34" s="29"/>
      <c r="B34" s="29"/>
      <c r="C34" s="29" t="s">
        <v>709</v>
      </c>
      <c r="D34" s="29" t="s">
        <v>11</v>
      </c>
      <c r="E34" s="29">
        <v>19</v>
      </c>
      <c r="F34" s="29">
        <f>E34*1800</f>
        <v>34200</v>
      </c>
      <c r="G34" s="29">
        <f>E34*500</f>
        <v>9500</v>
      </c>
      <c r="H34" s="29">
        <f>E34*1300</f>
        <v>24700</v>
      </c>
    </row>
    <row r="35" spans="1:8" hidden="1" x14ac:dyDescent="0.25">
      <c r="A35" s="125" t="s">
        <v>17</v>
      </c>
      <c r="B35" s="125"/>
      <c r="C35" s="125"/>
      <c r="D35" s="125"/>
      <c r="E35" s="17">
        <f>SUM(E26:E34)</f>
        <v>210</v>
      </c>
      <c r="F35" s="17">
        <f t="shared" ref="F35:H35" si="2">SUM(F26:F34)</f>
        <v>425000</v>
      </c>
      <c r="G35" s="17">
        <f t="shared" si="2"/>
        <v>170500</v>
      </c>
      <c r="H35" s="17">
        <f t="shared" si="2"/>
        <v>266200</v>
      </c>
    </row>
    <row r="36" spans="1:8" hidden="1" x14ac:dyDescent="0.25">
      <c r="A36" s="29" t="s">
        <v>22</v>
      </c>
      <c r="B36" s="37">
        <v>45537</v>
      </c>
      <c r="C36" s="29" t="s">
        <v>16</v>
      </c>
      <c r="D36" s="29" t="s">
        <v>11</v>
      </c>
      <c r="E36" s="29">
        <v>60</v>
      </c>
      <c r="F36" s="29">
        <f>E36*1500</f>
        <v>90000</v>
      </c>
      <c r="G36" s="29">
        <f>E36*500</f>
        <v>30000</v>
      </c>
      <c r="H36" s="29">
        <f>E36*1000</f>
        <v>60000</v>
      </c>
    </row>
    <row r="37" spans="1:8" hidden="1" x14ac:dyDescent="0.25">
      <c r="A37" s="29"/>
      <c r="B37" s="29"/>
      <c r="C37" s="29"/>
      <c r="D37" s="29" t="s">
        <v>12</v>
      </c>
      <c r="E37" s="29">
        <v>5</v>
      </c>
      <c r="F37" s="29">
        <f>E37*3000</f>
        <v>15000</v>
      </c>
      <c r="G37" s="29">
        <v>10000</v>
      </c>
      <c r="H37" s="29">
        <v>5000</v>
      </c>
    </row>
    <row r="38" spans="1:8" hidden="1" x14ac:dyDescent="0.25">
      <c r="A38" s="29"/>
      <c r="B38" s="29"/>
      <c r="C38" s="29"/>
      <c r="D38" s="29" t="s">
        <v>14</v>
      </c>
      <c r="E38" s="29">
        <v>1</v>
      </c>
      <c r="F38" s="29">
        <v>10000</v>
      </c>
      <c r="G38" s="29">
        <v>5500</v>
      </c>
      <c r="H38" s="29">
        <v>4500</v>
      </c>
    </row>
    <row r="39" spans="1:8" hidden="1" x14ac:dyDescent="0.25">
      <c r="A39" s="125" t="s">
        <v>17</v>
      </c>
      <c r="B39" s="125"/>
      <c r="C39" s="125"/>
      <c r="D39" s="125"/>
      <c r="E39" s="17">
        <f>SUM(E36:E38)</f>
        <v>66</v>
      </c>
      <c r="F39" s="17">
        <f t="shared" ref="F39:H39" si="3">SUM(F36:F38)</f>
        <v>115000</v>
      </c>
      <c r="G39" s="17">
        <f t="shared" si="3"/>
        <v>45500</v>
      </c>
      <c r="H39" s="17">
        <f t="shared" si="3"/>
        <v>69500</v>
      </c>
    </row>
    <row r="40" spans="1:8" hidden="1" x14ac:dyDescent="0.25">
      <c r="A40" s="29" t="s">
        <v>26</v>
      </c>
      <c r="B40" s="37">
        <v>45567</v>
      </c>
      <c r="C40" s="29" t="s">
        <v>16</v>
      </c>
      <c r="D40" s="29" t="s">
        <v>11</v>
      </c>
      <c r="E40" s="29">
        <v>46</v>
      </c>
      <c r="F40" s="38">
        <f>E40*1500</f>
        <v>69000</v>
      </c>
      <c r="G40" s="38">
        <f>E40*500</f>
        <v>23000</v>
      </c>
      <c r="H40" s="38">
        <v>46000</v>
      </c>
    </row>
    <row r="41" spans="1:8" hidden="1" x14ac:dyDescent="0.25">
      <c r="A41" s="29"/>
      <c r="B41" s="29"/>
      <c r="C41" s="29"/>
      <c r="D41" s="29" t="s">
        <v>12</v>
      </c>
      <c r="E41" s="29">
        <v>1</v>
      </c>
      <c r="F41" s="38">
        <v>3000</v>
      </c>
      <c r="G41" s="38">
        <v>2000</v>
      </c>
      <c r="H41" s="38">
        <v>1000</v>
      </c>
    </row>
    <row r="42" spans="1:8" hidden="1" x14ac:dyDescent="0.25">
      <c r="A42" s="29"/>
      <c r="B42" s="29"/>
      <c r="C42" s="29"/>
      <c r="D42" s="29" t="s">
        <v>243</v>
      </c>
      <c r="E42" s="29">
        <v>1</v>
      </c>
      <c r="F42" s="38">
        <v>13000</v>
      </c>
      <c r="G42" s="38">
        <v>10000</v>
      </c>
      <c r="H42" s="38">
        <v>3000</v>
      </c>
    </row>
    <row r="43" spans="1:8" hidden="1" x14ac:dyDescent="0.25">
      <c r="A43" s="29"/>
      <c r="B43" s="29"/>
      <c r="C43" s="29" t="s">
        <v>217</v>
      </c>
      <c r="D43" s="29" t="s">
        <v>13</v>
      </c>
      <c r="E43" s="29">
        <v>8</v>
      </c>
      <c r="F43" s="38">
        <f>E43*6500</f>
        <v>52000</v>
      </c>
      <c r="G43" s="38">
        <f>E43*4500</f>
        <v>36000</v>
      </c>
      <c r="H43" s="38">
        <f>E43*2000</f>
        <v>16000</v>
      </c>
    </row>
    <row r="44" spans="1:8" hidden="1" x14ac:dyDescent="0.25">
      <c r="A44" s="29"/>
      <c r="B44" s="29"/>
      <c r="C44" s="29"/>
      <c r="D44" s="29" t="s">
        <v>14</v>
      </c>
      <c r="E44" s="29">
        <v>3</v>
      </c>
      <c r="F44" s="38">
        <f>E44*10000</f>
        <v>30000</v>
      </c>
      <c r="G44" s="38">
        <f>E44*5500</f>
        <v>16500</v>
      </c>
      <c r="H44" s="38">
        <f>E44*4500</f>
        <v>13500</v>
      </c>
    </row>
    <row r="45" spans="1:8" hidden="1" x14ac:dyDescent="0.25">
      <c r="A45" s="29"/>
      <c r="B45" s="29"/>
      <c r="C45" s="29"/>
      <c r="D45" s="29" t="s">
        <v>404</v>
      </c>
      <c r="E45" s="29">
        <v>2</v>
      </c>
      <c r="F45" s="38">
        <v>4000</v>
      </c>
      <c r="G45" s="38">
        <v>2000</v>
      </c>
      <c r="H45" s="38">
        <v>2000</v>
      </c>
    </row>
    <row r="46" spans="1:8" x14ac:dyDescent="0.25">
      <c r="A46" s="29"/>
      <c r="B46" s="29"/>
      <c r="C46" s="29"/>
      <c r="D46" s="29" t="s">
        <v>441</v>
      </c>
      <c r="E46" s="29">
        <v>1</v>
      </c>
      <c r="F46" s="38">
        <v>3000</v>
      </c>
      <c r="G46" s="38">
        <v>1500</v>
      </c>
      <c r="H46" s="38">
        <v>1500</v>
      </c>
    </row>
    <row r="47" spans="1:8" hidden="1" x14ac:dyDescent="0.25">
      <c r="A47" s="29"/>
      <c r="B47" s="29"/>
      <c r="C47" s="29" t="s">
        <v>24</v>
      </c>
      <c r="D47" s="29" t="s">
        <v>243</v>
      </c>
      <c r="E47" s="29">
        <v>1</v>
      </c>
      <c r="F47" s="38">
        <v>15000</v>
      </c>
      <c r="G47" s="38">
        <v>10000</v>
      </c>
      <c r="H47" s="38">
        <v>5000</v>
      </c>
    </row>
    <row r="48" spans="1:8" hidden="1" x14ac:dyDescent="0.25">
      <c r="A48" s="125" t="s">
        <v>17</v>
      </c>
      <c r="B48" s="125"/>
      <c r="C48" s="125"/>
      <c r="D48" s="125"/>
      <c r="E48" s="17">
        <f>SUM(E40:E47)</f>
        <v>63</v>
      </c>
      <c r="F48" s="17">
        <f t="shared" ref="F48:H48" si="4">SUM(F40:F47)</f>
        <v>189000</v>
      </c>
      <c r="G48" s="17">
        <f t="shared" si="4"/>
        <v>101000</v>
      </c>
      <c r="H48" s="17">
        <f t="shared" si="4"/>
        <v>88000</v>
      </c>
    </row>
    <row r="49" spans="1:8" hidden="1" x14ac:dyDescent="0.25">
      <c r="A49" s="29" t="s">
        <v>28</v>
      </c>
      <c r="B49" s="37">
        <v>45598</v>
      </c>
      <c r="C49" s="29" t="s">
        <v>700</v>
      </c>
      <c r="D49" s="29" t="s">
        <v>11</v>
      </c>
      <c r="E49" s="29">
        <v>7</v>
      </c>
      <c r="F49" s="29">
        <f>E49*2000</f>
        <v>14000</v>
      </c>
      <c r="G49" s="29">
        <f>E49*500</f>
        <v>3500</v>
      </c>
      <c r="H49" s="29">
        <f>E49*1500</f>
        <v>10500</v>
      </c>
    </row>
    <row r="50" spans="1:8" hidden="1" x14ac:dyDescent="0.25">
      <c r="A50" s="29"/>
      <c r="B50" s="29"/>
      <c r="C50" s="29"/>
      <c r="D50" s="29" t="s">
        <v>13</v>
      </c>
      <c r="E50" s="29">
        <v>25</v>
      </c>
      <c r="F50" s="29">
        <f>E50*7000</f>
        <v>175000</v>
      </c>
      <c r="G50" s="29">
        <f>E50*4500</f>
        <v>112500</v>
      </c>
      <c r="H50" s="29">
        <f>E50*2500</f>
        <v>62500</v>
      </c>
    </row>
    <row r="51" spans="1:8" hidden="1" x14ac:dyDescent="0.25">
      <c r="A51" s="29"/>
      <c r="B51" s="29"/>
      <c r="C51" s="29"/>
      <c r="D51" s="29" t="s">
        <v>14</v>
      </c>
      <c r="E51" s="29">
        <v>19</v>
      </c>
      <c r="F51" s="29">
        <f>E51*10000</f>
        <v>190000</v>
      </c>
      <c r="G51" s="29">
        <f>E51*5500</f>
        <v>104500</v>
      </c>
      <c r="H51" s="29">
        <f>E51*4500</f>
        <v>85500</v>
      </c>
    </row>
    <row r="52" spans="1:8" x14ac:dyDescent="0.25">
      <c r="A52" s="29"/>
      <c r="B52" s="29"/>
      <c r="C52" s="29"/>
      <c r="D52" s="29" t="s">
        <v>441</v>
      </c>
      <c r="E52" s="29">
        <v>1</v>
      </c>
      <c r="F52" s="29">
        <v>5000</v>
      </c>
      <c r="G52" s="29">
        <v>2500</v>
      </c>
      <c r="H52" s="29">
        <v>2500</v>
      </c>
    </row>
    <row r="53" spans="1:8" hidden="1" x14ac:dyDescent="0.25">
      <c r="A53" s="29"/>
      <c r="B53" s="29"/>
      <c r="C53" s="29"/>
      <c r="D53" s="29" t="s">
        <v>243</v>
      </c>
      <c r="E53" s="29">
        <v>1</v>
      </c>
      <c r="F53" s="29">
        <v>13000</v>
      </c>
      <c r="G53" s="29">
        <v>10000</v>
      </c>
      <c r="H53" s="29">
        <v>3000</v>
      </c>
    </row>
    <row r="54" spans="1:8" hidden="1" x14ac:dyDescent="0.25">
      <c r="A54" s="29"/>
      <c r="B54" s="29"/>
      <c r="C54" s="29"/>
      <c r="D54" s="29" t="s">
        <v>404</v>
      </c>
      <c r="E54" s="29">
        <v>3</v>
      </c>
      <c r="F54" s="29">
        <f>E54*2000</f>
        <v>6000</v>
      </c>
      <c r="G54" s="29">
        <v>3000</v>
      </c>
      <c r="H54" s="29">
        <v>3000</v>
      </c>
    </row>
    <row r="55" spans="1:8" hidden="1" x14ac:dyDescent="0.25">
      <c r="A55" s="29"/>
      <c r="B55" s="29"/>
      <c r="C55" s="29" t="s">
        <v>701</v>
      </c>
      <c r="D55" s="29" t="s">
        <v>11</v>
      </c>
      <c r="E55" s="29">
        <v>3</v>
      </c>
      <c r="F55" s="29">
        <v>6000</v>
      </c>
      <c r="G55" s="29">
        <f>E55*500</f>
        <v>1500</v>
      </c>
      <c r="H55" s="29">
        <v>4500</v>
      </c>
    </row>
    <row r="56" spans="1:8" hidden="1" x14ac:dyDescent="0.25">
      <c r="A56" s="29"/>
      <c r="B56" s="29"/>
      <c r="C56" s="29"/>
      <c r="D56" s="29" t="s">
        <v>13</v>
      </c>
      <c r="E56" s="29">
        <v>15</v>
      </c>
      <c r="F56" s="29">
        <f>E56*7000</f>
        <v>105000</v>
      </c>
      <c r="G56" s="29">
        <f>E56*4500</f>
        <v>67500</v>
      </c>
      <c r="H56" s="29">
        <f>E56*2500</f>
        <v>37500</v>
      </c>
    </row>
    <row r="57" spans="1:8" hidden="1" x14ac:dyDescent="0.25">
      <c r="A57" s="29"/>
      <c r="B57" s="29"/>
      <c r="C57" s="29"/>
      <c r="D57" s="29" t="s">
        <v>14</v>
      </c>
      <c r="E57" s="29">
        <v>17</v>
      </c>
      <c r="F57" s="29">
        <f>E57*10000</f>
        <v>170000</v>
      </c>
      <c r="G57" s="29">
        <f>E57*5500</f>
        <v>93500</v>
      </c>
      <c r="H57" s="29">
        <f>E57*4500</f>
        <v>76500</v>
      </c>
    </row>
    <row r="58" spans="1:8" hidden="1" x14ac:dyDescent="0.25">
      <c r="A58" s="29"/>
      <c r="B58" s="29"/>
      <c r="C58" s="29"/>
      <c r="D58" s="29" t="s">
        <v>404</v>
      </c>
      <c r="E58" s="29">
        <v>1</v>
      </c>
      <c r="F58" s="29">
        <v>2000</v>
      </c>
      <c r="G58" s="29">
        <v>1000</v>
      </c>
      <c r="H58" s="29">
        <v>1000</v>
      </c>
    </row>
    <row r="59" spans="1:8" hidden="1" x14ac:dyDescent="0.25">
      <c r="A59" s="29"/>
      <c r="B59" s="29"/>
      <c r="C59" s="29" t="s">
        <v>217</v>
      </c>
      <c r="D59" s="29" t="s">
        <v>11</v>
      </c>
      <c r="E59" s="29">
        <v>22</v>
      </c>
      <c r="F59" s="29">
        <f>E59*1500</f>
        <v>33000</v>
      </c>
      <c r="G59" s="29">
        <f>E59*500</f>
        <v>11000</v>
      </c>
      <c r="H59" s="29">
        <f>E59*1000</f>
        <v>22000</v>
      </c>
    </row>
    <row r="60" spans="1:8" hidden="1" x14ac:dyDescent="0.25">
      <c r="A60" s="29"/>
      <c r="B60" s="29"/>
      <c r="C60" s="29"/>
      <c r="D60" s="29" t="s">
        <v>13</v>
      </c>
      <c r="E60" s="29">
        <v>13</v>
      </c>
      <c r="F60" s="29">
        <f>E60*6500</f>
        <v>84500</v>
      </c>
      <c r="G60" s="29">
        <f>E60*4500</f>
        <v>58500</v>
      </c>
      <c r="H60" s="29">
        <f>E60*2000</f>
        <v>26000</v>
      </c>
    </row>
    <row r="61" spans="1:8" hidden="1" x14ac:dyDescent="0.25">
      <c r="A61" s="29"/>
      <c r="B61" s="29"/>
      <c r="C61" s="29"/>
      <c r="D61" s="29" t="s">
        <v>14</v>
      </c>
      <c r="E61" s="29">
        <v>7</v>
      </c>
      <c r="F61" s="29">
        <f>E61*10000</f>
        <v>70000</v>
      </c>
      <c r="G61" s="29">
        <f>E61*5500</f>
        <v>38500</v>
      </c>
      <c r="H61" s="29">
        <f>E61*4500</f>
        <v>31500</v>
      </c>
    </row>
    <row r="62" spans="1:8" hidden="1" x14ac:dyDescent="0.25">
      <c r="A62" s="29"/>
      <c r="B62" s="29"/>
      <c r="C62" s="29"/>
      <c r="D62" s="29" t="s">
        <v>415</v>
      </c>
      <c r="E62" s="29">
        <v>1</v>
      </c>
      <c r="F62" s="29">
        <v>5000</v>
      </c>
      <c r="G62" s="29">
        <v>2500</v>
      </c>
      <c r="H62" s="29">
        <v>2500</v>
      </c>
    </row>
    <row r="63" spans="1:8" x14ac:dyDescent="0.25">
      <c r="A63" s="29"/>
      <c r="B63" s="29"/>
      <c r="C63" s="29"/>
      <c r="D63" s="29" t="s">
        <v>441</v>
      </c>
      <c r="E63" s="29">
        <v>3</v>
      </c>
      <c r="F63" s="29">
        <v>6000</v>
      </c>
      <c r="G63" s="29">
        <v>3000</v>
      </c>
      <c r="H63" s="29">
        <v>3000</v>
      </c>
    </row>
    <row r="64" spans="1:8" hidden="1" x14ac:dyDescent="0.25">
      <c r="A64" s="29"/>
      <c r="B64" s="29"/>
      <c r="C64" s="29" t="s">
        <v>16</v>
      </c>
      <c r="D64" s="29" t="s">
        <v>11</v>
      </c>
      <c r="E64" s="29">
        <v>33</v>
      </c>
      <c r="F64" s="29">
        <f>E64*1500</f>
        <v>49500</v>
      </c>
      <c r="G64" s="29">
        <f>E64*500</f>
        <v>16500</v>
      </c>
      <c r="H64" s="29">
        <v>33000</v>
      </c>
    </row>
    <row r="65" spans="1:8" hidden="1" x14ac:dyDescent="0.25">
      <c r="A65" s="29"/>
      <c r="B65" s="29"/>
      <c r="C65" s="29"/>
      <c r="D65" s="29" t="s">
        <v>12</v>
      </c>
      <c r="E65" s="29">
        <v>1</v>
      </c>
      <c r="F65" s="29">
        <v>3000</v>
      </c>
      <c r="G65" s="29">
        <v>2000</v>
      </c>
      <c r="H65" s="29">
        <v>1000</v>
      </c>
    </row>
    <row r="66" spans="1:8" hidden="1" x14ac:dyDescent="0.25">
      <c r="A66" s="29"/>
      <c r="B66" s="29"/>
      <c r="C66" s="29"/>
      <c r="D66" s="29" t="s">
        <v>13</v>
      </c>
      <c r="E66" s="29">
        <v>0</v>
      </c>
      <c r="F66" s="29"/>
      <c r="G66" s="29"/>
      <c r="H66" s="29"/>
    </row>
    <row r="67" spans="1:8" hidden="1" x14ac:dyDescent="0.25">
      <c r="A67" s="29"/>
      <c r="B67" s="29"/>
      <c r="C67" s="29"/>
      <c r="D67" s="29" t="s">
        <v>14</v>
      </c>
      <c r="E67" s="29">
        <v>0</v>
      </c>
      <c r="F67" s="29"/>
      <c r="G67" s="29"/>
      <c r="H67" s="29"/>
    </row>
    <row r="68" spans="1:8" hidden="1" x14ac:dyDescent="0.25">
      <c r="A68" s="29"/>
      <c r="B68" s="29"/>
      <c r="C68" s="29"/>
      <c r="D68" s="29" t="s">
        <v>243</v>
      </c>
      <c r="E68" s="29">
        <v>1</v>
      </c>
      <c r="F68" s="29">
        <v>13000</v>
      </c>
      <c r="G68" s="29">
        <v>10000</v>
      </c>
      <c r="H68" s="29">
        <v>3000</v>
      </c>
    </row>
    <row r="69" spans="1:8" hidden="1" x14ac:dyDescent="0.25">
      <c r="A69" s="125" t="s">
        <v>17</v>
      </c>
      <c r="B69" s="125"/>
      <c r="C69" s="125"/>
      <c r="D69" s="125"/>
      <c r="E69" s="17">
        <f>SUM(E49:E68)</f>
        <v>173</v>
      </c>
      <c r="F69" s="17">
        <f t="shared" ref="F69:H69" si="5">SUM(F49:F68)</f>
        <v>950000</v>
      </c>
      <c r="G69" s="17">
        <f t="shared" si="5"/>
        <v>541500</v>
      </c>
      <c r="H69" s="17">
        <f t="shared" si="5"/>
        <v>408500</v>
      </c>
    </row>
    <row r="70" spans="1:8" hidden="1" x14ac:dyDescent="0.25">
      <c r="A70" s="29" t="s">
        <v>30</v>
      </c>
      <c r="B70" s="37">
        <v>45628</v>
      </c>
      <c r="C70" s="29" t="s">
        <v>338</v>
      </c>
      <c r="D70" s="29" t="s">
        <v>11</v>
      </c>
      <c r="E70" s="29">
        <v>73</v>
      </c>
      <c r="F70" s="29">
        <f>E70*1800</f>
        <v>131400</v>
      </c>
      <c r="G70" s="29">
        <f>E70*500</f>
        <v>36500</v>
      </c>
      <c r="H70" s="29">
        <f>E70*1300</f>
        <v>94900</v>
      </c>
    </row>
    <row r="71" spans="1:8" hidden="1" x14ac:dyDescent="0.25">
      <c r="A71" s="29"/>
      <c r="B71" s="29"/>
      <c r="C71" s="29" t="s">
        <v>209</v>
      </c>
      <c r="D71" s="29" t="s">
        <v>11</v>
      </c>
      <c r="E71" s="29">
        <v>19</v>
      </c>
      <c r="F71" s="29">
        <f>E71*1500</f>
        <v>28500</v>
      </c>
      <c r="G71" s="29">
        <f>E71*500</f>
        <v>9500</v>
      </c>
      <c r="H71" s="29">
        <v>19000</v>
      </c>
    </row>
    <row r="72" spans="1:8" hidden="1" x14ac:dyDescent="0.25">
      <c r="A72" s="29"/>
      <c r="B72" s="29"/>
      <c r="C72" s="29" t="s">
        <v>572</v>
      </c>
      <c r="D72" s="29" t="s">
        <v>11</v>
      </c>
      <c r="E72" s="29">
        <v>16</v>
      </c>
      <c r="F72" s="29">
        <f>E72*1700</f>
        <v>27200</v>
      </c>
      <c r="G72" s="29">
        <f>E72*500</f>
        <v>8000</v>
      </c>
      <c r="H72" s="29">
        <f>E72*1200</f>
        <v>19200</v>
      </c>
    </row>
    <row r="73" spans="1:8" hidden="1" x14ac:dyDescent="0.25">
      <c r="A73" s="29"/>
      <c r="B73" s="29"/>
      <c r="C73" s="29" t="s">
        <v>571</v>
      </c>
      <c r="D73" s="29" t="s">
        <v>11</v>
      </c>
      <c r="E73" s="29">
        <v>27</v>
      </c>
      <c r="F73" s="29">
        <f>E73*1700</f>
        <v>45900</v>
      </c>
      <c r="G73" s="29">
        <f>E73*500</f>
        <v>13500</v>
      </c>
      <c r="H73" s="29">
        <f>E73*1200</f>
        <v>32400</v>
      </c>
    </row>
    <row r="74" spans="1:8" hidden="1" x14ac:dyDescent="0.25">
      <c r="A74" s="29"/>
      <c r="B74" s="29"/>
      <c r="C74" s="29" t="s">
        <v>217</v>
      </c>
      <c r="D74" s="29" t="s">
        <v>11</v>
      </c>
      <c r="E74" s="29">
        <v>10</v>
      </c>
      <c r="F74" s="29">
        <f>E74*1500</f>
        <v>15000</v>
      </c>
      <c r="G74" s="29">
        <f>E74*500</f>
        <v>5000</v>
      </c>
      <c r="H74" s="29">
        <v>10000</v>
      </c>
    </row>
    <row r="75" spans="1:8" hidden="1" x14ac:dyDescent="0.25">
      <c r="A75" s="29"/>
      <c r="B75" s="29"/>
      <c r="C75" s="29"/>
      <c r="D75" s="29" t="s">
        <v>404</v>
      </c>
      <c r="E75" s="29">
        <v>3</v>
      </c>
      <c r="F75" s="29">
        <v>6000</v>
      </c>
      <c r="G75" s="29">
        <v>3000</v>
      </c>
      <c r="H75" s="29">
        <v>3000</v>
      </c>
    </row>
    <row r="76" spans="1:8" x14ac:dyDescent="0.25">
      <c r="A76" s="29"/>
      <c r="B76" s="29"/>
      <c r="C76" s="29"/>
      <c r="D76" s="29" t="s">
        <v>441</v>
      </c>
      <c r="E76" s="29">
        <v>2</v>
      </c>
      <c r="F76" s="29">
        <v>6000</v>
      </c>
      <c r="G76" s="29">
        <v>3000</v>
      </c>
      <c r="H76" s="29">
        <v>3000</v>
      </c>
    </row>
    <row r="77" spans="1:8" hidden="1" x14ac:dyDescent="0.25">
      <c r="A77" s="29"/>
      <c r="B77" s="29"/>
      <c r="C77" s="29"/>
      <c r="D77" s="29" t="s">
        <v>415</v>
      </c>
      <c r="E77" s="29">
        <v>1</v>
      </c>
      <c r="F77" s="29">
        <v>5000</v>
      </c>
      <c r="G77" s="29">
        <v>2500</v>
      </c>
      <c r="H77" s="29">
        <v>2500</v>
      </c>
    </row>
    <row r="78" spans="1:8" hidden="1" x14ac:dyDescent="0.25">
      <c r="A78" s="29"/>
      <c r="B78" s="29"/>
      <c r="C78" s="29" t="s">
        <v>16</v>
      </c>
      <c r="D78" s="29" t="s">
        <v>11</v>
      </c>
      <c r="E78" s="29">
        <v>51</v>
      </c>
      <c r="F78" s="29">
        <f>E78*1500</f>
        <v>76500</v>
      </c>
      <c r="G78" s="29">
        <f>E78*500</f>
        <v>25500</v>
      </c>
      <c r="H78" s="29">
        <v>51000</v>
      </c>
    </row>
    <row r="79" spans="1:8" hidden="1" x14ac:dyDescent="0.25">
      <c r="A79" s="29"/>
      <c r="B79" s="29"/>
      <c r="C79" s="29"/>
      <c r="D79" s="29" t="s">
        <v>12</v>
      </c>
      <c r="E79" s="29">
        <v>3</v>
      </c>
      <c r="F79" s="29">
        <v>9000</v>
      </c>
      <c r="G79" s="29">
        <v>6000</v>
      </c>
      <c r="H79" s="29">
        <v>3000</v>
      </c>
    </row>
    <row r="80" spans="1:8" hidden="1" x14ac:dyDescent="0.25">
      <c r="A80" s="29"/>
      <c r="B80" s="29"/>
      <c r="C80" s="29"/>
      <c r="D80" s="29" t="s">
        <v>13</v>
      </c>
      <c r="E80" s="29">
        <v>1</v>
      </c>
      <c r="F80" s="29">
        <v>6500</v>
      </c>
      <c r="G80" s="29">
        <v>4500</v>
      </c>
      <c r="H80" s="29">
        <v>2000</v>
      </c>
    </row>
    <row r="81" spans="1:8" hidden="1" x14ac:dyDescent="0.25">
      <c r="A81" s="131" t="s">
        <v>17</v>
      </c>
      <c r="B81" s="132"/>
      <c r="C81" s="132"/>
      <c r="D81" s="133"/>
      <c r="E81" s="17">
        <f>SUM(E70:E80)</f>
        <v>206</v>
      </c>
      <c r="F81" s="17">
        <f t="shared" ref="F81:H81" si="6">SUM(F70:F80)</f>
        <v>357000</v>
      </c>
      <c r="G81" s="17">
        <f t="shared" si="6"/>
        <v>117000</v>
      </c>
      <c r="H81" s="17">
        <f t="shared" si="6"/>
        <v>240000</v>
      </c>
    </row>
    <row r="82" spans="1:8" hidden="1" x14ac:dyDescent="0.25">
      <c r="A82" s="29" t="s">
        <v>32</v>
      </c>
      <c r="B82" s="29" t="s">
        <v>711</v>
      </c>
      <c r="C82" s="29" t="s">
        <v>338</v>
      </c>
      <c r="D82" s="29" t="s">
        <v>11</v>
      </c>
      <c r="E82" s="29">
        <v>75</v>
      </c>
      <c r="F82" s="38">
        <f>E82*1800</f>
        <v>135000</v>
      </c>
      <c r="G82" s="38">
        <f t="shared" ref="G82:G88" si="7">E82*500</f>
        <v>37500</v>
      </c>
      <c r="H82" s="38">
        <f>E82*1300</f>
        <v>97500</v>
      </c>
    </row>
    <row r="83" spans="1:8" hidden="1" x14ac:dyDescent="0.25">
      <c r="A83" s="29"/>
      <c r="B83" s="29"/>
      <c r="C83" s="29" t="s">
        <v>646</v>
      </c>
      <c r="D83" s="29" t="s">
        <v>11</v>
      </c>
      <c r="E83" s="29">
        <v>19</v>
      </c>
      <c r="F83" s="38">
        <f>E83*1500</f>
        <v>28500</v>
      </c>
      <c r="G83" s="38">
        <f t="shared" si="7"/>
        <v>9500</v>
      </c>
      <c r="H83" s="38">
        <f>E83*1000</f>
        <v>19000</v>
      </c>
    </row>
    <row r="84" spans="1:8" hidden="1" x14ac:dyDescent="0.25">
      <c r="A84" s="29"/>
      <c r="B84" s="29"/>
      <c r="C84" s="29" t="s">
        <v>104</v>
      </c>
      <c r="D84" s="29" t="s">
        <v>11</v>
      </c>
      <c r="E84" s="29">
        <v>40</v>
      </c>
      <c r="F84" s="38">
        <f>E84*1700</f>
        <v>68000</v>
      </c>
      <c r="G84" s="38">
        <f t="shared" si="7"/>
        <v>20000</v>
      </c>
      <c r="H84" s="38">
        <f>E84*1200</f>
        <v>48000</v>
      </c>
    </row>
    <row r="85" spans="1:8" hidden="1" x14ac:dyDescent="0.25">
      <c r="A85" s="29"/>
      <c r="B85" s="29"/>
      <c r="C85" s="29" t="s">
        <v>209</v>
      </c>
      <c r="D85" s="29" t="s">
        <v>11</v>
      </c>
      <c r="E85" s="29">
        <v>14</v>
      </c>
      <c r="F85" s="38">
        <f>E85*1500</f>
        <v>21000</v>
      </c>
      <c r="G85" s="38">
        <f t="shared" si="7"/>
        <v>7000</v>
      </c>
      <c r="H85" s="38">
        <v>14000</v>
      </c>
    </row>
    <row r="86" spans="1:8" hidden="1" x14ac:dyDescent="0.25">
      <c r="A86" s="29"/>
      <c r="B86" s="29"/>
      <c r="C86" s="29" t="s">
        <v>571</v>
      </c>
      <c r="D86" s="29" t="s">
        <v>11</v>
      </c>
      <c r="E86" s="29">
        <v>24</v>
      </c>
      <c r="F86" s="38">
        <f>E86*1700</f>
        <v>40800</v>
      </c>
      <c r="G86" s="38">
        <f t="shared" si="7"/>
        <v>12000</v>
      </c>
      <c r="H86" s="38">
        <f>E86*1200</f>
        <v>28800</v>
      </c>
    </row>
    <row r="87" spans="1:8" hidden="1" x14ac:dyDescent="0.25">
      <c r="A87" s="29"/>
      <c r="B87" s="29"/>
      <c r="C87" s="29" t="s">
        <v>709</v>
      </c>
      <c r="D87" s="29" t="s">
        <v>11</v>
      </c>
      <c r="E87" s="29">
        <v>11</v>
      </c>
      <c r="F87" s="38">
        <f>E87*1800</f>
        <v>19800</v>
      </c>
      <c r="G87" s="38">
        <f t="shared" si="7"/>
        <v>5500</v>
      </c>
      <c r="H87" s="38">
        <f>E87*1300</f>
        <v>14300</v>
      </c>
    </row>
    <row r="88" spans="1:8" hidden="1" x14ac:dyDescent="0.25">
      <c r="A88" s="29"/>
      <c r="B88" s="29"/>
      <c r="C88" s="29" t="s">
        <v>217</v>
      </c>
      <c r="D88" s="29" t="s">
        <v>11</v>
      </c>
      <c r="E88" s="29">
        <v>16</v>
      </c>
      <c r="F88" s="38">
        <f>E88*1500</f>
        <v>24000</v>
      </c>
      <c r="G88" s="38">
        <f t="shared" si="7"/>
        <v>8000</v>
      </c>
      <c r="H88" s="38">
        <v>16000</v>
      </c>
    </row>
    <row r="89" spans="1:8" hidden="1" x14ac:dyDescent="0.25">
      <c r="A89" s="29"/>
      <c r="B89" s="29"/>
      <c r="C89" s="29"/>
      <c r="D89" s="29" t="s">
        <v>13</v>
      </c>
      <c r="E89" s="29">
        <v>3</v>
      </c>
      <c r="F89" s="38">
        <f>E89*6500</f>
        <v>19500</v>
      </c>
      <c r="G89" s="38">
        <f>E89*4500</f>
        <v>13500</v>
      </c>
      <c r="H89" s="38">
        <v>6000</v>
      </c>
    </row>
    <row r="90" spans="1:8" hidden="1" x14ac:dyDescent="0.25">
      <c r="A90" s="29"/>
      <c r="B90" s="29"/>
      <c r="C90" s="29"/>
      <c r="D90" s="29" t="s">
        <v>14</v>
      </c>
      <c r="E90" s="29">
        <v>2</v>
      </c>
      <c r="F90" s="38">
        <v>20000</v>
      </c>
      <c r="G90" s="38">
        <f>E90*5500</f>
        <v>11000</v>
      </c>
      <c r="H90" s="38">
        <f>E90*4500</f>
        <v>9000</v>
      </c>
    </row>
    <row r="91" spans="1:8" hidden="1" x14ac:dyDescent="0.25">
      <c r="A91" s="29"/>
      <c r="B91" s="29"/>
      <c r="C91" s="29"/>
      <c r="D91" s="29" t="s">
        <v>404</v>
      </c>
      <c r="E91" s="29">
        <v>4</v>
      </c>
      <c r="F91" s="38">
        <f>E91*2000</f>
        <v>8000</v>
      </c>
      <c r="G91" s="38">
        <v>4000</v>
      </c>
      <c r="H91" s="38">
        <v>4000</v>
      </c>
    </row>
    <row r="92" spans="1:8" hidden="1" x14ac:dyDescent="0.25">
      <c r="A92" s="29"/>
      <c r="B92" s="29"/>
      <c r="C92" s="29" t="s">
        <v>16</v>
      </c>
      <c r="D92" s="29" t="s">
        <v>11</v>
      </c>
      <c r="E92" s="29">
        <v>24</v>
      </c>
      <c r="F92" s="38">
        <f>E92*1500</f>
        <v>36000</v>
      </c>
      <c r="G92" s="38">
        <f>E92*500</f>
        <v>12000</v>
      </c>
      <c r="H92" s="38">
        <v>24000</v>
      </c>
    </row>
    <row r="93" spans="1:8" hidden="1" x14ac:dyDescent="0.25">
      <c r="A93" s="131" t="s">
        <v>17</v>
      </c>
      <c r="B93" s="132"/>
      <c r="C93" s="132"/>
      <c r="D93" s="133"/>
      <c r="E93" s="17">
        <f>SUM(E82:E92)</f>
        <v>232</v>
      </c>
      <c r="F93" s="17">
        <f t="shared" ref="F93:H93" si="8">SUM(F82:F92)</f>
        <v>420600</v>
      </c>
      <c r="G93" s="17">
        <f t="shared" si="8"/>
        <v>140000</v>
      </c>
      <c r="H93" s="17">
        <f t="shared" si="8"/>
        <v>280600</v>
      </c>
    </row>
    <row r="94" spans="1:8" x14ac:dyDescent="0.25">
      <c r="A94" s="47" t="s">
        <v>8</v>
      </c>
      <c r="B94" s="47" t="s">
        <v>712</v>
      </c>
      <c r="C94" s="47" t="s">
        <v>713</v>
      </c>
      <c r="D94" s="47" t="s">
        <v>713</v>
      </c>
      <c r="E94" s="47"/>
      <c r="F94" s="47"/>
      <c r="G94" s="47"/>
      <c r="H94" s="47"/>
    </row>
    <row r="95" spans="1:8" hidden="1" x14ac:dyDescent="0.25">
      <c r="A95" s="29" t="s">
        <v>18</v>
      </c>
      <c r="B95" s="29" t="s">
        <v>714</v>
      </c>
      <c r="C95" s="29" t="s">
        <v>338</v>
      </c>
      <c r="D95" s="29" t="s">
        <v>11</v>
      </c>
      <c r="E95" s="29">
        <v>73</v>
      </c>
      <c r="F95" s="38">
        <f>E95*1800</f>
        <v>131400</v>
      </c>
      <c r="G95" s="38">
        <f>E95*500</f>
        <v>36500</v>
      </c>
      <c r="H95" s="38">
        <f>E95*1300</f>
        <v>94900</v>
      </c>
    </row>
    <row r="96" spans="1:8" hidden="1" x14ac:dyDescent="0.25">
      <c r="A96" s="29"/>
      <c r="B96" s="29"/>
      <c r="C96" s="29" t="s">
        <v>646</v>
      </c>
      <c r="D96" s="29" t="s">
        <v>11</v>
      </c>
      <c r="E96" s="29">
        <v>21</v>
      </c>
      <c r="F96" s="38">
        <f>E96*1500</f>
        <v>31500</v>
      </c>
      <c r="G96" s="38">
        <f>E96*500</f>
        <v>10500</v>
      </c>
      <c r="H96" s="38">
        <f>E96*1000</f>
        <v>21000</v>
      </c>
    </row>
    <row r="97" spans="1:8" hidden="1" x14ac:dyDescent="0.25">
      <c r="A97" s="29"/>
      <c r="B97" s="29"/>
      <c r="C97" s="29" t="s">
        <v>209</v>
      </c>
      <c r="D97" s="29" t="s">
        <v>11</v>
      </c>
      <c r="E97" s="29">
        <v>18</v>
      </c>
      <c r="F97" s="38">
        <f>E97*1500</f>
        <v>27000</v>
      </c>
      <c r="G97" s="38">
        <f>E97*500</f>
        <v>9000</v>
      </c>
      <c r="H97" s="38">
        <v>18000</v>
      </c>
    </row>
    <row r="98" spans="1:8" hidden="1" x14ac:dyDescent="0.25">
      <c r="A98" s="29"/>
      <c r="B98" s="29"/>
      <c r="C98" s="29" t="s">
        <v>571</v>
      </c>
      <c r="D98" s="29" t="s">
        <v>11</v>
      </c>
      <c r="E98" s="29">
        <v>34</v>
      </c>
      <c r="F98" s="38">
        <f>E98*1700</f>
        <v>57800</v>
      </c>
      <c r="G98" s="38">
        <f>E98*500</f>
        <v>17000</v>
      </c>
      <c r="H98" s="38">
        <f>E98*1200</f>
        <v>40800</v>
      </c>
    </row>
    <row r="99" spans="1:8" hidden="1" x14ac:dyDescent="0.25">
      <c r="A99" s="29"/>
      <c r="B99" s="29"/>
      <c r="C99" s="29" t="s">
        <v>572</v>
      </c>
      <c r="D99" s="29" t="s">
        <v>11</v>
      </c>
      <c r="E99" s="29">
        <v>18</v>
      </c>
      <c r="F99" s="38">
        <f>E99*1700</f>
        <v>30600</v>
      </c>
      <c r="G99" s="38">
        <f>E99*500</f>
        <v>9000</v>
      </c>
      <c r="H99" s="38">
        <f>E99*1200</f>
        <v>21600</v>
      </c>
    </row>
    <row r="100" spans="1:8" hidden="1" x14ac:dyDescent="0.25">
      <c r="A100" s="29"/>
      <c r="B100" s="29"/>
      <c r="C100" s="29" t="s">
        <v>127</v>
      </c>
      <c r="D100" s="29" t="s">
        <v>21</v>
      </c>
      <c r="E100" s="29">
        <v>5</v>
      </c>
      <c r="F100" s="38">
        <f>E100*13000</f>
        <v>65000</v>
      </c>
      <c r="G100" s="38">
        <f>E100*10000</f>
        <v>50000</v>
      </c>
      <c r="H100" s="38">
        <f>E100*3000</f>
        <v>15000</v>
      </c>
    </row>
    <row r="101" spans="1:8" hidden="1" x14ac:dyDescent="0.25">
      <c r="A101" s="29"/>
      <c r="B101" s="29"/>
      <c r="C101" s="29"/>
      <c r="D101" s="29" t="s">
        <v>243</v>
      </c>
      <c r="E101" s="29">
        <v>1</v>
      </c>
      <c r="F101" s="38">
        <v>12000</v>
      </c>
      <c r="G101" s="38">
        <v>10000</v>
      </c>
      <c r="H101" s="38">
        <v>20000</v>
      </c>
    </row>
    <row r="102" spans="1:8" hidden="1" x14ac:dyDescent="0.25">
      <c r="A102" s="29"/>
      <c r="B102" s="29"/>
      <c r="C102" s="29" t="s">
        <v>217</v>
      </c>
      <c r="D102" s="29" t="s">
        <v>11</v>
      </c>
      <c r="E102" s="29">
        <v>18</v>
      </c>
      <c r="F102" s="38">
        <f>E102*1500</f>
        <v>27000</v>
      </c>
      <c r="G102" s="38">
        <f>E102*500</f>
        <v>9000</v>
      </c>
      <c r="H102" s="38">
        <v>18000</v>
      </c>
    </row>
    <row r="103" spans="1:8" hidden="1" x14ac:dyDescent="0.25">
      <c r="A103" s="29"/>
      <c r="B103" s="29"/>
      <c r="C103" s="29"/>
      <c r="D103" s="29" t="s">
        <v>404</v>
      </c>
      <c r="E103" s="29">
        <v>3</v>
      </c>
      <c r="F103" s="38">
        <v>6000</v>
      </c>
      <c r="G103" s="38">
        <v>3000</v>
      </c>
      <c r="H103" s="38">
        <v>3000</v>
      </c>
    </row>
    <row r="104" spans="1:8" hidden="1" x14ac:dyDescent="0.25">
      <c r="A104" s="29"/>
      <c r="B104" s="29"/>
      <c r="C104" s="29" t="s">
        <v>24</v>
      </c>
      <c r="D104" s="29" t="s">
        <v>243</v>
      </c>
      <c r="E104" s="29">
        <v>2</v>
      </c>
      <c r="F104" s="38">
        <v>30000</v>
      </c>
      <c r="G104" s="38">
        <v>20000</v>
      </c>
      <c r="H104" s="38">
        <v>10000</v>
      </c>
    </row>
    <row r="105" spans="1:8" hidden="1" x14ac:dyDescent="0.25">
      <c r="A105" s="128" t="s">
        <v>17</v>
      </c>
      <c r="B105" s="129"/>
      <c r="C105" s="129"/>
      <c r="D105" s="130"/>
      <c r="E105" s="16">
        <f>SUM(E95:E104)</f>
        <v>193</v>
      </c>
      <c r="F105" s="17">
        <f t="shared" ref="F105:H105" si="9">SUM(F95:F104)</f>
        <v>418300</v>
      </c>
      <c r="G105" s="17">
        <f t="shared" si="9"/>
        <v>174000</v>
      </c>
      <c r="H105" s="17">
        <f t="shared" si="9"/>
        <v>262300</v>
      </c>
    </row>
    <row r="106" spans="1:8" hidden="1" x14ac:dyDescent="0.25">
      <c r="A106" s="29" t="s">
        <v>22</v>
      </c>
      <c r="B106" s="29" t="s">
        <v>715</v>
      </c>
      <c r="C106" s="29" t="s">
        <v>104</v>
      </c>
      <c r="D106" s="29" t="s">
        <v>11</v>
      </c>
      <c r="E106" s="29">
        <v>40</v>
      </c>
      <c r="F106" s="38">
        <f>E106*1700</f>
        <v>68000</v>
      </c>
      <c r="G106" s="38">
        <f>E106*500</f>
        <v>20000</v>
      </c>
      <c r="H106" s="38">
        <f>E106*1000</f>
        <v>40000</v>
      </c>
    </row>
    <row r="107" spans="1:8" hidden="1" x14ac:dyDescent="0.25">
      <c r="A107" s="29"/>
      <c r="B107" s="29"/>
      <c r="C107" s="29" t="s">
        <v>338</v>
      </c>
      <c r="D107" s="29" t="s">
        <v>11</v>
      </c>
      <c r="E107" s="29">
        <v>75</v>
      </c>
      <c r="F107" s="38">
        <f>E107*1800</f>
        <v>135000</v>
      </c>
      <c r="G107" s="38">
        <f>E107*500</f>
        <v>37500</v>
      </c>
      <c r="H107" s="38">
        <f>E107*1300</f>
        <v>97500</v>
      </c>
    </row>
    <row r="108" spans="1:8" hidden="1" x14ac:dyDescent="0.25">
      <c r="A108" s="29"/>
      <c r="B108" s="29"/>
      <c r="C108" s="29" t="s">
        <v>209</v>
      </c>
      <c r="D108" s="29" t="s">
        <v>11</v>
      </c>
      <c r="E108" s="29">
        <v>12</v>
      </c>
      <c r="F108" s="38">
        <f>E108*1500</f>
        <v>18000</v>
      </c>
      <c r="G108" s="38">
        <f>E108*500</f>
        <v>6000</v>
      </c>
      <c r="H108" s="38">
        <f>E108*1000</f>
        <v>12000</v>
      </c>
    </row>
    <row r="109" spans="1:8" hidden="1" x14ac:dyDescent="0.25">
      <c r="A109" s="29"/>
      <c r="B109" s="29"/>
      <c r="C109" s="29" t="s">
        <v>571</v>
      </c>
      <c r="D109" s="29" t="s">
        <v>11</v>
      </c>
      <c r="E109" s="29">
        <v>40</v>
      </c>
      <c r="F109" s="38">
        <f>E109*1700</f>
        <v>68000</v>
      </c>
      <c r="G109" s="38">
        <f>E109*500</f>
        <v>20000</v>
      </c>
      <c r="H109" s="38">
        <f>E109*1200</f>
        <v>48000</v>
      </c>
    </row>
    <row r="110" spans="1:8" hidden="1" x14ac:dyDescent="0.25">
      <c r="A110" s="29"/>
      <c r="B110" s="29"/>
      <c r="C110" s="29" t="s">
        <v>217</v>
      </c>
      <c r="D110" s="29" t="s">
        <v>11</v>
      </c>
      <c r="E110" s="29">
        <v>15</v>
      </c>
      <c r="F110" s="38">
        <f>E110*1500</f>
        <v>22500</v>
      </c>
      <c r="G110" s="38">
        <f>E110*500</f>
        <v>7500</v>
      </c>
      <c r="H110" s="38">
        <f>E110*1000</f>
        <v>15000</v>
      </c>
    </row>
    <row r="111" spans="1:8" hidden="1" x14ac:dyDescent="0.25">
      <c r="A111" s="29"/>
      <c r="B111" s="29"/>
      <c r="C111" s="29"/>
      <c r="D111" s="29" t="s">
        <v>14</v>
      </c>
      <c r="E111" s="29">
        <v>1</v>
      </c>
      <c r="F111" s="38">
        <v>10000</v>
      </c>
      <c r="G111" s="38">
        <v>5500</v>
      </c>
      <c r="H111" s="38">
        <v>4500</v>
      </c>
    </row>
    <row r="112" spans="1:8" hidden="1" x14ac:dyDescent="0.25">
      <c r="A112" s="29"/>
      <c r="B112" s="29"/>
      <c r="C112" s="29"/>
      <c r="D112" s="29" t="s">
        <v>404</v>
      </c>
      <c r="E112" s="29">
        <v>9</v>
      </c>
      <c r="F112" s="38">
        <v>18000</v>
      </c>
      <c r="G112" s="38">
        <v>9000</v>
      </c>
      <c r="H112" s="38">
        <v>9000</v>
      </c>
    </row>
    <row r="113" spans="1:8" hidden="1" x14ac:dyDescent="0.25">
      <c r="A113" s="29"/>
      <c r="B113" s="29"/>
      <c r="C113" s="29"/>
      <c r="D113" s="29" t="s">
        <v>686</v>
      </c>
      <c r="E113" s="29">
        <v>2</v>
      </c>
      <c r="F113" s="38">
        <v>10000</v>
      </c>
      <c r="G113" s="38">
        <v>5000</v>
      </c>
      <c r="H113" s="38">
        <v>5000</v>
      </c>
    </row>
    <row r="114" spans="1:8" hidden="1" x14ac:dyDescent="0.25">
      <c r="A114" s="29"/>
      <c r="B114" s="29"/>
      <c r="C114" s="29" t="s">
        <v>24</v>
      </c>
      <c r="D114" s="29" t="s">
        <v>243</v>
      </c>
      <c r="E114" s="29">
        <v>2</v>
      </c>
      <c r="F114" s="38">
        <v>30000</v>
      </c>
      <c r="G114" s="38">
        <v>20000</v>
      </c>
      <c r="H114" s="38">
        <v>10000</v>
      </c>
    </row>
    <row r="115" spans="1:8" hidden="1" x14ac:dyDescent="0.25">
      <c r="A115" s="29"/>
      <c r="B115" s="29"/>
      <c r="C115" s="29" t="s">
        <v>16</v>
      </c>
      <c r="D115" s="29" t="s">
        <v>11</v>
      </c>
      <c r="E115" s="29">
        <v>48</v>
      </c>
      <c r="F115" s="38">
        <f>E115*1500</f>
        <v>72000</v>
      </c>
      <c r="G115" s="38">
        <f>E115*500</f>
        <v>24000</v>
      </c>
      <c r="H115" s="38">
        <v>48000</v>
      </c>
    </row>
    <row r="116" spans="1:8" hidden="1" x14ac:dyDescent="0.25">
      <c r="A116" s="29"/>
      <c r="B116" s="29"/>
      <c r="C116" s="29"/>
      <c r="D116" s="29" t="s">
        <v>12</v>
      </c>
      <c r="E116" s="29">
        <v>5</v>
      </c>
      <c r="F116" s="38">
        <v>15000</v>
      </c>
      <c r="G116" s="38">
        <v>10000</v>
      </c>
      <c r="H116" s="38">
        <v>5000</v>
      </c>
    </row>
    <row r="117" spans="1:8" hidden="1" x14ac:dyDescent="0.25">
      <c r="A117" s="29"/>
      <c r="B117" s="29"/>
      <c r="C117" s="29"/>
      <c r="D117" s="29" t="s">
        <v>13</v>
      </c>
      <c r="E117" s="29">
        <v>1</v>
      </c>
      <c r="F117" s="38">
        <v>6500</v>
      </c>
      <c r="G117" s="38">
        <v>4500</v>
      </c>
      <c r="H117" s="38">
        <v>2000</v>
      </c>
    </row>
    <row r="118" spans="1:8" hidden="1" x14ac:dyDescent="0.25">
      <c r="A118" s="29"/>
      <c r="B118" s="29"/>
      <c r="C118" s="29"/>
      <c r="D118" s="29" t="s">
        <v>14</v>
      </c>
      <c r="E118" s="29">
        <v>1</v>
      </c>
      <c r="F118" s="38">
        <v>10000</v>
      </c>
      <c r="G118" s="38">
        <v>5500</v>
      </c>
      <c r="H118" s="38">
        <v>4500</v>
      </c>
    </row>
    <row r="119" spans="1:8" hidden="1" x14ac:dyDescent="0.25">
      <c r="A119" s="29"/>
      <c r="B119" s="29"/>
      <c r="C119" s="29"/>
      <c r="D119" s="29" t="s">
        <v>243</v>
      </c>
      <c r="E119" s="29">
        <v>1</v>
      </c>
      <c r="F119" s="38">
        <v>13000</v>
      </c>
      <c r="G119" s="38">
        <v>10000</v>
      </c>
      <c r="H119" s="38">
        <v>3000</v>
      </c>
    </row>
    <row r="120" spans="1:8" hidden="1" x14ac:dyDescent="0.25">
      <c r="A120" s="131" t="s">
        <v>17</v>
      </c>
      <c r="B120" s="132"/>
      <c r="C120" s="132"/>
      <c r="D120" s="133"/>
      <c r="E120" s="17">
        <f>SUM(E106:E119)</f>
        <v>252</v>
      </c>
      <c r="F120" s="17">
        <f t="shared" ref="F120:H120" si="10">SUM(F106:F119)</f>
        <v>496000</v>
      </c>
      <c r="G120" s="17">
        <f t="shared" si="10"/>
        <v>184500</v>
      </c>
      <c r="H120" s="17">
        <f t="shared" si="10"/>
        <v>303500</v>
      </c>
    </row>
    <row r="121" spans="1:8" hidden="1" x14ac:dyDescent="0.25">
      <c r="A121" s="29" t="s">
        <v>26</v>
      </c>
      <c r="B121" s="29" t="s">
        <v>716</v>
      </c>
      <c r="C121" s="29" t="s">
        <v>104</v>
      </c>
      <c r="D121" s="29" t="s">
        <v>11</v>
      </c>
      <c r="E121" s="29">
        <v>15</v>
      </c>
      <c r="F121" s="38">
        <f>E121*1700</f>
        <v>25500</v>
      </c>
      <c r="G121" s="38">
        <f>E121*500</f>
        <v>7500</v>
      </c>
      <c r="H121" s="38">
        <f>E121*1200</f>
        <v>18000</v>
      </c>
    </row>
    <row r="122" spans="1:8" hidden="1" x14ac:dyDescent="0.25">
      <c r="A122" s="29"/>
      <c r="B122" s="29"/>
      <c r="C122" s="29" t="s">
        <v>338</v>
      </c>
      <c r="D122" s="29" t="s">
        <v>11</v>
      </c>
      <c r="E122" s="29">
        <v>75</v>
      </c>
      <c r="F122" s="38">
        <f>E122*1800</f>
        <v>135000</v>
      </c>
      <c r="G122" s="38">
        <f>E122*500</f>
        <v>37500</v>
      </c>
      <c r="H122" s="38">
        <f>E122*1300</f>
        <v>97500</v>
      </c>
    </row>
    <row r="123" spans="1:8" hidden="1" x14ac:dyDescent="0.25">
      <c r="A123" s="29"/>
      <c r="B123" s="29"/>
      <c r="C123" s="29" t="s">
        <v>646</v>
      </c>
      <c r="D123" s="29" t="s">
        <v>11</v>
      </c>
      <c r="E123" s="29">
        <v>14</v>
      </c>
      <c r="F123" s="38">
        <f>E123*1500</f>
        <v>21000</v>
      </c>
      <c r="G123" s="38">
        <f>E123*500</f>
        <v>7000</v>
      </c>
      <c r="H123" s="38">
        <v>14000</v>
      </c>
    </row>
    <row r="124" spans="1:8" hidden="1" x14ac:dyDescent="0.25">
      <c r="A124" s="29"/>
      <c r="B124" s="29"/>
      <c r="C124" s="29" t="s">
        <v>217</v>
      </c>
      <c r="D124" s="29" t="s">
        <v>11</v>
      </c>
      <c r="E124" s="29">
        <v>13</v>
      </c>
      <c r="F124" s="38">
        <f>E124*1500</f>
        <v>19500</v>
      </c>
      <c r="G124" s="38">
        <f>E124*500</f>
        <v>6500</v>
      </c>
      <c r="H124" s="38">
        <v>13000</v>
      </c>
    </row>
    <row r="125" spans="1:8" hidden="1" x14ac:dyDescent="0.25">
      <c r="A125" s="29"/>
      <c r="B125" s="29"/>
      <c r="C125" s="29"/>
      <c r="D125" s="29" t="s">
        <v>14</v>
      </c>
      <c r="E125" s="29">
        <v>1</v>
      </c>
      <c r="F125" s="38">
        <v>10000</v>
      </c>
      <c r="G125" s="38">
        <v>5500</v>
      </c>
      <c r="H125" s="38">
        <v>4500</v>
      </c>
    </row>
    <row r="126" spans="1:8" hidden="1" x14ac:dyDescent="0.25">
      <c r="A126" s="29"/>
      <c r="B126" s="29"/>
      <c r="C126" s="29"/>
      <c r="D126" s="29" t="s">
        <v>425</v>
      </c>
      <c r="E126" s="29">
        <v>2</v>
      </c>
      <c r="F126" s="38">
        <v>4000</v>
      </c>
      <c r="G126" s="38">
        <v>2000</v>
      </c>
      <c r="H126" s="38">
        <v>2000</v>
      </c>
    </row>
    <row r="127" spans="1:8" x14ac:dyDescent="0.25">
      <c r="A127" s="29"/>
      <c r="B127" s="29"/>
      <c r="C127" s="29"/>
      <c r="D127" s="29" t="s">
        <v>436</v>
      </c>
      <c r="E127" s="29">
        <v>1</v>
      </c>
      <c r="F127" s="38">
        <v>3000</v>
      </c>
      <c r="G127" s="38">
        <v>1500</v>
      </c>
      <c r="H127" s="38">
        <v>1500</v>
      </c>
    </row>
    <row r="128" spans="1:8" hidden="1" x14ac:dyDescent="0.25">
      <c r="A128" s="29"/>
      <c r="B128" s="29"/>
      <c r="C128" s="29" t="s">
        <v>16</v>
      </c>
      <c r="D128" s="29" t="s">
        <v>11</v>
      </c>
      <c r="E128" s="29">
        <v>57</v>
      </c>
      <c r="F128" s="38">
        <f>E128*1500</f>
        <v>85500</v>
      </c>
      <c r="G128" s="38">
        <f>E128*500</f>
        <v>28500</v>
      </c>
      <c r="H128" s="38">
        <v>57000</v>
      </c>
    </row>
    <row r="129" spans="1:8" hidden="1" x14ac:dyDescent="0.25">
      <c r="A129" s="29"/>
      <c r="B129" s="29"/>
      <c r="C129" s="29"/>
      <c r="D129" s="29" t="s">
        <v>12</v>
      </c>
      <c r="E129" s="29">
        <v>3</v>
      </c>
      <c r="F129" s="38">
        <v>9000</v>
      </c>
      <c r="G129" s="38">
        <v>6000</v>
      </c>
      <c r="H129" s="38">
        <v>3000</v>
      </c>
    </row>
    <row r="130" spans="1:8" hidden="1" x14ac:dyDescent="0.25">
      <c r="A130" s="29"/>
      <c r="B130" s="29"/>
      <c r="C130" s="29"/>
      <c r="D130" s="29" t="s">
        <v>243</v>
      </c>
      <c r="E130" s="29">
        <v>1</v>
      </c>
      <c r="F130" s="38">
        <v>13000</v>
      </c>
      <c r="G130" s="38">
        <v>10000</v>
      </c>
      <c r="H130" s="38">
        <v>3000</v>
      </c>
    </row>
    <row r="131" spans="1:8" hidden="1" x14ac:dyDescent="0.25">
      <c r="A131" s="29"/>
      <c r="B131" s="29"/>
      <c r="C131" s="29" t="s">
        <v>581</v>
      </c>
      <c r="D131" s="29" t="s">
        <v>11</v>
      </c>
      <c r="E131" s="29">
        <v>270</v>
      </c>
      <c r="F131" s="38">
        <f>E131*1500</f>
        <v>405000</v>
      </c>
      <c r="G131" s="38">
        <f>E131*500</f>
        <v>135000</v>
      </c>
      <c r="H131" s="38">
        <f>E131*1000</f>
        <v>270000</v>
      </c>
    </row>
    <row r="132" spans="1:8" hidden="1" x14ac:dyDescent="0.25">
      <c r="A132" s="131" t="s">
        <v>17</v>
      </c>
      <c r="B132" s="132"/>
      <c r="C132" s="132"/>
      <c r="D132" s="133"/>
      <c r="E132" s="17">
        <f>SUM(E121:E131)</f>
        <v>452</v>
      </c>
      <c r="F132" s="17">
        <f t="shared" ref="F132:H132" si="11">SUM(F121:F131)</f>
        <v>730500</v>
      </c>
      <c r="G132" s="17">
        <f t="shared" si="11"/>
        <v>247000</v>
      </c>
      <c r="H132" s="17">
        <f t="shared" si="11"/>
        <v>483500</v>
      </c>
    </row>
    <row r="133" spans="1:8" hidden="1" x14ac:dyDescent="0.25">
      <c r="A133" s="29" t="s">
        <v>28</v>
      </c>
      <c r="B133" s="29" t="s">
        <v>717</v>
      </c>
      <c r="C133" s="29" t="s">
        <v>700</v>
      </c>
      <c r="D133" s="29" t="s">
        <v>11</v>
      </c>
      <c r="E133" s="29">
        <v>4</v>
      </c>
      <c r="F133" s="38">
        <f>E133*2000</f>
        <v>8000</v>
      </c>
      <c r="G133" s="38">
        <f>E133*500</f>
        <v>2000</v>
      </c>
      <c r="H133" s="38">
        <f>E133*1500</f>
        <v>6000</v>
      </c>
    </row>
    <row r="134" spans="1:8" hidden="1" x14ac:dyDescent="0.25">
      <c r="A134" s="29"/>
      <c r="B134" s="29"/>
      <c r="C134" s="29"/>
      <c r="D134" s="29" t="s">
        <v>13</v>
      </c>
      <c r="E134" s="29">
        <v>25</v>
      </c>
      <c r="F134" s="38">
        <f>E134*7000</f>
        <v>175000</v>
      </c>
      <c r="G134" s="38">
        <f>E134*4500</f>
        <v>112500</v>
      </c>
      <c r="H134" s="38">
        <f>E134*2500</f>
        <v>62500</v>
      </c>
    </row>
    <row r="135" spans="1:8" hidden="1" x14ac:dyDescent="0.25">
      <c r="A135" s="29"/>
      <c r="B135" s="29"/>
      <c r="C135" s="29"/>
      <c r="D135" s="29" t="s">
        <v>14</v>
      </c>
      <c r="E135" s="29">
        <v>25</v>
      </c>
      <c r="F135" s="38">
        <f>E135*10000</f>
        <v>250000</v>
      </c>
      <c r="G135" s="38">
        <f>E135*5500</f>
        <v>137500</v>
      </c>
      <c r="H135" s="38">
        <f>E135*4500</f>
        <v>112500</v>
      </c>
    </row>
    <row r="136" spans="1:8" x14ac:dyDescent="0.25">
      <c r="A136" s="29"/>
      <c r="B136" s="29"/>
      <c r="C136" s="29"/>
      <c r="D136" s="29" t="s">
        <v>441</v>
      </c>
      <c r="E136" s="29">
        <v>1</v>
      </c>
      <c r="F136" s="38">
        <v>3000</v>
      </c>
      <c r="G136" s="38">
        <v>1500</v>
      </c>
      <c r="H136" s="38">
        <v>1500</v>
      </c>
    </row>
    <row r="137" spans="1:8" hidden="1" x14ac:dyDescent="0.25">
      <c r="A137" s="29"/>
      <c r="B137" s="29"/>
      <c r="C137" s="29" t="s">
        <v>701</v>
      </c>
      <c r="D137" s="29" t="s">
        <v>13</v>
      </c>
      <c r="E137" s="29">
        <v>14</v>
      </c>
      <c r="F137" s="38">
        <f>E137*7000</f>
        <v>98000</v>
      </c>
      <c r="G137" s="38">
        <f>E137*4500</f>
        <v>63000</v>
      </c>
      <c r="H137" s="38">
        <f>E137*2500</f>
        <v>35000</v>
      </c>
    </row>
    <row r="138" spans="1:8" hidden="1" x14ac:dyDescent="0.25">
      <c r="A138" s="29"/>
      <c r="B138" s="29"/>
      <c r="C138" s="29"/>
      <c r="D138" s="29" t="s">
        <v>14</v>
      </c>
      <c r="E138" s="29">
        <v>9</v>
      </c>
      <c r="F138" s="38">
        <f>E138*10000</f>
        <v>90000</v>
      </c>
      <c r="G138" s="38">
        <f>E138*5500</f>
        <v>49500</v>
      </c>
      <c r="H138" s="38">
        <f>E138*4500</f>
        <v>40500</v>
      </c>
    </row>
    <row r="139" spans="1:8" hidden="1" x14ac:dyDescent="0.25">
      <c r="A139" s="29"/>
      <c r="B139" s="29"/>
      <c r="C139" s="29" t="s">
        <v>217</v>
      </c>
      <c r="D139" s="29" t="s">
        <v>11</v>
      </c>
      <c r="E139" s="29">
        <v>8</v>
      </c>
      <c r="F139" s="38">
        <f>E139*1500</f>
        <v>12000</v>
      </c>
      <c r="G139" s="38">
        <f>E139*500</f>
        <v>4000</v>
      </c>
      <c r="H139" s="38">
        <v>8000</v>
      </c>
    </row>
    <row r="140" spans="1:8" hidden="1" x14ac:dyDescent="0.25">
      <c r="A140" s="29"/>
      <c r="B140" s="29"/>
      <c r="C140" s="29"/>
      <c r="D140" s="29" t="s">
        <v>13</v>
      </c>
      <c r="E140" s="29">
        <v>10</v>
      </c>
      <c r="F140" s="38">
        <f>E140*6500</f>
        <v>65000</v>
      </c>
      <c r="G140" s="38">
        <f>E140*4500</f>
        <v>45000</v>
      </c>
      <c r="H140" s="38">
        <f>E140*2000</f>
        <v>20000</v>
      </c>
    </row>
    <row r="141" spans="1:8" hidden="1" x14ac:dyDescent="0.25">
      <c r="A141" s="29"/>
      <c r="B141" s="29"/>
      <c r="C141" s="29"/>
      <c r="D141" s="29" t="s">
        <v>14</v>
      </c>
      <c r="E141" s="29">
        <v>8</v>
      </c>
      <c r="F141" s="38">
        <f>E141*10000</f>
        <v>80000</v>
      </c>
      <c r="G141" s="38">
        <f>E141*5500</f>
        <v>44000</v>
      </c>
      <c r="H141" s="38">
        <f>E141*4500</f>
        <v>36000</v>
      </c>
    </row>
    <row r="142" spans="1:8" hidden="1" x14ac:dyDescent="0.25">
      <c r="A142" s="29"/>
      <c r="B142" s="29"/>
      <c r="C142" s="29"/>
      <c r="D142" s="29" t="s">
        <v>404</v>
      </c>
      <c r="E142" s="29">
        <v>1</v>
      </c>
      <c r="F142" s="38">
        <v>2000</v>
      </c>
      <c r="G142" s="38">
        <v>1000</v>
      </c>
      <c r="H142" s="38">
        <v>1000</v>
      </c>
    </row>
    <row r="143" spans="1:8" hidden="1" x14ac:dyDescent="0.25">
      <c r="A143" s="29"/>
      <c r="B143" s="29"/>
      <c r="C143" s="29"/>
      <c r="D143" s="29" t="s">
        <v>415</v>
      </c>
      <c r="E143" s="29">
        <v>2</v>
      </c>
      <c r="F143" s="38">
        <v>10000</v>
      </c>
      <c r="G143" s="38">
        <v>5000</v>
      </c>
      <c r="H143" s="38">
        <v>5000</v>
      </c>
    </row>
    <row r="144" spans="1:8" x14ac:dyDescent="0.25">
      <c r="A144" s="29"/>
      <c r="B144" s="29"/>
      <c r="C144" s="29"/>
      <c r="D144" s="29" t="s">
        <v>441</v>
      </c>
      <c r="E144" s="29">
        <v>1</v>
      </c>
      <c r="F144" s="38">
        <v>3000</v>
      </c>
      <c r="G144" s="38">
        <v>1500</v>
      </c>
      <c r="H144" s="38">
        <v>1500</v>
      </c>
    </row>
    <row r="145" spans="1:8" hidden="1" x14ac:dyDescent="0.25">
      <c r="A145" s="29"/>
      <c r="B145" s="29"/>
      <c r="C145" s="29" t="s">
        <v>16</v>
      </c>
      <c r="D145" s="29" t="s">
        <v>11</v>
      </c>
      <c r="E145" s="29">
        <v>45</v>
      </c>
      <c r="F145" s="38">
        <f>E145*1500</f>
        <v>67500</v>
      </c>
      <c r="G145" s="38">
        <f>E145*500</f>
        <v>22500</v>
      </c>
      <c r="H145" s="38">
        <f>E145*1000</f>
        <v>45000</v>
      </c>
    </row>
    <row r="146" spans="1:8" hidden="1" x14ac:dyDescent="0.25">
      <c r="A146" s="29"/>
      <c r="B146" s="29"/>
      <c r="C146" s="29"/>
      <c r="D146" s="29" t="s">
        <v>12</v>
      </c>
      <c r="E146" s="29">
        <v>5</v>
      </c>
      <c r="F146" s="38">
        <f>E146*3000</f>
        <v>15000</v>
      </c>
      <c r="G146" s="38">
        <v>10000</v>
      </c>
      <c r="H146" s="38">
        <v>5000</v>
      </c>
    </row>
    <row r="147" spans="1:8" hidden="1" x14ac:dyDescent="0.25">
      <c r="A147" s="29"/>
      <c r="B147" s="29"/>
      <c r="C147" s="29"/>
      <c r="D147" s="29" t="s">
        <v>13</v>
      </c>
      <c r="E147" s="29">
        <v>1</v>
      </c>
      <c r="F147" s="38">
        <v>6500</v>
      </c>
      <c r="G147" s="38">
        <v>4500</v>
      </c>
      <c r="H147" s="38">
        <v>2000</v>
      </c>
    </row>
    <row r="148" spans="1:8" hidden="1" x14ac:dyDescent="0.25">
      <c r="A148" s="29"/>
      <c r="B148" s="29"/>
      <c r="C148" s="29"/>
      <c r="D148" s="29" t="s">
        <v>14</v>
      </c>
      <c r="E148" s="29">
        <v>0</v>
      </c>
      <c r="F148" s="38"/>
      <c r="G148" s="38"/>
      <c r="H148" s="38"/>
    </row>
    <row r="149" spans="1:8" hidden="1" x14ac:dyDescent="0.25">
      <c r="A149" s="29"/>
      <c r="B149" s="29"/>
      <c r="C149" s="29"/>
      <c r="D149" s="29" t="s">
        <v>243</v>
      </c>
      <c r="E149" s="29">
        <v>1</v>
      </c>
      <c r="F149" s="38">
        <v>13000</v>
      </c>
      <c r="G149" s="38">
        <v>10000</v>
      </c>
      <c r="H149" s="38">
        <v>3000</v>
      </c>
    </row>
    <row r="150" spans="1:8" hidden="1" x14ac:dyDescent="0.25">
      <c r="A150" s="131" t="s">
        <v>17</v>
      </c>
      <c r="B150" s="132"/>
      <c r="C150" s="132"/>
      <c r="D150" s="133"/>
      <c r="E150" s="17">
        <f>SUM(E133:E149)</f>
        <v>160</v>
      </c>
      <c r="F150" s="17">
        <f>SUM(F133:F149)</f>
        <v>898000</v>
      </c>
      <c r="G150" s="17">
        <f t="shared" ref="G150:H150" si="12">SUM(G133:G149)</f>
        <v>513500</v>
      </c>
      <c r="H150" s="17">
        <f t="shared" si="12"/>
        <v>384500</v>
      </c>
    </row>
    <row r="151" spans="1:8" hidden="1" x14ac:dyDescent="0.25">
      <c r="A151" s="29" t="s">
        <v>30</v>
      </c>
      <c r="B151" s="29" t="s">
        <v>718</v>
      </c>
      <c r="C151" s="29" t="s">
        <v>338</v>
      </c>
      <c r="D151" s="29" t="s">
        <v>11</v>
      </c>
      <c r="E151" s="29">
        <v>75</v>
      </c>
      <c r="F151" s="29">
        <f>E151*1800</f>
        <v>135000</v>
      </c>
      <c r="G151" s="29">
        <f t="shared" ref="G151:G158" si="13">E151*500</f>
        <v>37500</v>
      </c>
      <c r="H151" s="29">
        <f>E151*1300</f>
        <v>97500</v>
      </c>
    </row>
    <row r="152" spans="1:8" hidden="1" x14ac:dyDescent="0.25">
      <c r="A152" s="29"/>
      <c r="B152" s="29"/>
      <c r="C152" s="29" t="s">
        <v>646</v>
      </c>
      <c r="D152" s="29" t="s">
        <v>11</v>
      </c>
      <c r="E152" s="29">
        <v>15</v>
      </c>
      <c r="F152" s="29">
        <f>E152*1500</f>
        <v>22500</v>
      </c>
      <c r="G152" s="29">
        <f t="shared" si="13"/>
        <v>7500</v>
      </c>
      <c r="H152" s="29">
        <f>E152*1000</f>
        <v>15000</v>
      </c>
    </row>
    <row r="153" spans="1:8" hidden="1" x14ac:dyDescent="0.25">
      <c r="A153" s="29"/>
      <c r="B153" s="29"/>
      <c r="C153" s="29" t="s">
        <v>209</v>
      </c>
      <c r="D153" s="29" t="s">
        <v>11</v>
      </c>
      <c r="E153" s="29">
        <v>20</v>
      </c>
      <c r="F153" s="29">
        <f>E153*1500</f>
        <v>30000</v>
      </c>
      <c r="G153" s="29">
        <f t="shared" si="13"/>
        <v>10000</v>
      </c>
      <c r="H153" s="29">
        <v>20000</v>
      </c>
    </row>
    <row r="154" spans="1:8" hidden="1" x14ac:dyDescent="0.25">
      <c r="A154" s="29"/>
      <c r="B154" s="29"/>
      <c r="C154" s="29" t="s">
        <v>571</v>
      </c>
      <c r="D154" s="29" t="s">
        <v>11</v>
      </c>
      <c r="E154" s="29">
        <v>42</v>
      </c>
      <c r="F154" s="29">
        <f>E154*1700</f>
        <v>71400</v>
      </c>
      <c r="G154" s="29">
        <f t="shared" si="13"/>
        <v>21000</v>
      </c>
      <c r="H154" s="29">
        <f>E154*1200</f>
        <v>50400</v>
      </c>
    </row>
    <row r="155" spans="1:8" hidden="1" x14ac:dyDescent="0.25">
      <c r="A155" s="29"/>
      <c r="B155" s="29"/>
      <c r="C155" s="29" t="s">
        <v>572</v>
      </c>
      <c r="D155" s="29" t="s">
        <v>11</v>
      </c>
      <c r="E155" s="29">
        <v>26</v>
      </c>
      <c r="F155" s="29">
        <v>44200</v>
      </c>
      <c r="G155" s="29">
        <f t="shared" si="13"/>
        <v>13000</v>
      </c>
      <c r="H155" s="29">
        <f>E155*1200</f>
        <v>31200</v>
      </c>
    </row>
    <row r="156" spans="1:8" hidden="1" x14ac:dyDescent="0.25">
      <c r="A156" s="29"/>
      <c r="B156" s="29"/>
      <c r="C156" s="29" t="s">
        <v>104</v>
      </c>
      <c r="D156" s="29" t="s">
        <v>11</v>
      </c>
      <c r="E156" s="29">
        <v>15</v>
      </c>
      <c r="F156" s="29">
        <f>E156*1700</f>
        <v>25500</v>
      </c>
      <c r="G156" s="29">
        <f t="shared" si="13"/>
        <v>7500</v>
      </c>
      <c r="H156" s="29">
        <f>E156*1200</f>
        <v>18000</v>
      </c>
    </row>
    <row r="157" spans="1:8" hidden="1" x14ac:dyDescent="0.25">
      <c r="A157" s="29"/>
      <c r="B157" s="29"/>
      <c r="C157" s="29" t="s">
        <v>709</v>
      </c>
      <c r="D157" s="29" t="s">
        <v>11</v>
      </c>
      <c r="E157" s="29">
        <v>18</v>
      </c>
      <c r="F157" s="29">
        <f>E157*1800</f>
        <v>32400</v>
      </c>
      <c r="G157" s="29">
        <f t="shared" si="13"/>
        <v>9000</v>
      </c>
      <c r="H157" s="29">
        <f>E157*1300</f>
        <v>23400</v>
      </c>
    </row>
    <row r="158" spans="1:8" hidden="1" x14ac:dyDescent="0.25">
      <c r="A158" s="29"/>
      <c r="B158" s="29"/>
      <c r="C158" s="29" t="s">
        <v>16</v>
      </c>
      <c r="D158" s="29" t="s">
        <v>11</v>
      </c>
      <c r="E158" s="29">
        <v>49</v>
      </c>
      <c r="F158" s="29">
        <f>E158*1500</f>
        <v>73500</v>
      </c>
      <c r="G158" s="29">
        <f t="shared" si="13"/>
        <v>24500</v>
      </c>
      <c r="H158" s="29">
        <v>49000</v>
      </c>
    </row>
    <row r="159" spans="1:8" hidden="1" x14ac:dyDescent="0.25">
      <c r="A159" s="29"/>
      <c r="B159" s="29"/>
      <c r="C159" s="29"/>
      <c r="D159" s="29" t="s">
        <v>12</v>
      </c>
      <c r="E159" s="29">
        <v>4</v>
      </c>
      <c r="F159" s="29">
        <v>12000</v>
      </c>
      <c r="G159" s="29">
        <v>8000</v>
      </c>
      <c r="H159" s="29">
        <v>4000</v>
      </c>
    </row>
    <row r="160" spans="1:8" hidden="1" x14ac:dyDescent="0.25">
      <c r="A160" s="29"/>
      <c r="B160" s="29"/>
      <c r="C160" s="29" t="s">
        <v>217</v>
      </c>
      <c r="D160" s="29" t="s">
        <v>11</v>
      </c>
      <c r="E160" s="29">
        <v>13</v>
      </c>
      <c r="F160" s="29">
        <f>E160*1500</f>
        <v>19500</v>
      </c>
      <c r="G160" s="29">
        <f>E160*500</f>
        <v>6500</v>
      </c>
      <c r="H160" s="29">
        <v>13000</v>
      </c>
    </row>
    <row r="161" spans="1:8" hidden="1" x14ac:dyDescent="0.25">
      <c r="A161" s="29"/>
      <c r="B161" s="29"/>
      <c r="C161" s="29"/>
      <c r="D161" s="29" t="s">
        <v>14</v>
      </c>
      <c r="E161" s="29">
        <v>2</v>
      </c>
      <c r="F161" s="29">
        <v>20000</v>
      </c>
      <c r="G161" s="29">
        <v>11000</v>
      </c>
      <c r="H161" s="29">
        <v>9000</v>
      </c>
    </row>
    <row r="162" spans="1:8" x14ac:dyDescent="0.25">
      <c r="A162" s="29"/>
      <c r="B162" s="29"/>
      <c r="C162" s="29"/>
      <c r="D162" s="29" t="s">
        <v>441</v>
      </c>
      <c r="E162" s="29">
        <v>1</v>
      </c>
      <c r="F162" s="29">
        <v>3000</v>
      </c>
      <c r="G162" s="29">
        <v>1500</v>
      </c>
      <c r="H162" s="29">
        <v>1500</v>
      </c>
    </row>
    <row r="163" spans="1:8" x14ac:dyDescent="0.25">
      <c r="A163" s="29"/>
      <c r="B163" s="29"/>
      <c r="C163" s="29"/>
      <c r="D163" s="29" t="s">
        <v>432</v>
      </c>
      <c r="E163" s="29">
        <v>2</v>
      </c>
      <c r="F163" s="29">
        <v>10000</v>
      </c>
      <c r="G163" s="29">
        <v>5000</v>
      </c>
      <c r="H163" s="29">
        <v>5000</v>
      </c>
    </row>
    <row r="164" spans="1:8" hidden="1" x14ac:dyDescent="0.25">
      <c r="A164" s="29"/>
      <c r="B164" s="29"/>
      <c r="C164" s="29"/>
      <c r="D164" s="29" t="s">
        <v>404</v>
      </c>
      <c r="E164" s="29">
        <v>12</v>
      </c>
      <c r="F164" s="29">
        <v>24000</v>
      </c>
      <c r="G164" s="29">
        <v>12000</v>
      </c>
      <c r="H164" s="29">
        <v>12000</v>
      </c>
    </row>
    <row r="165" spans="1:8" hidden="1" x14ac:dyDescent="0.25">
      <c r="A165" s="29"/>
      <c r="B165" s="29"/>
      <c r="C165" s="29" t="s">
        <v>719</v>
      </c>
      <c r="D165" s="29" t="s">
        <v>243</v>
      </c>
      <c r="E165" s="29">
        <v>2</v>
      </c>
      <c r="F165" s="29">
        <v>30000</v>
      </c>
      <c r="G165" s="29">
        <v>20000</v>
      </c>
      <c r="H165" s="29">
        <v>10000</v>
      </c>
    </row>
    <row r="166" spans="1:8" hidden="1" x14ac:dyDescent="0.25">
      <c r="A166" s="131" t="s">
        <v>17</v>
      </c>
      <c r="B166" s="132"/>
      <c r="C166" s="132"/>
      <c r="D166" s="133"/>
      <c r="E166" s="17">
        <f>SUM(E151:E165)</f>
        <v>296</v>
      </c>
      <c r="F166" s="17">
        <f t="shared" ref="F166:H166" si="14">SUM(F151:F165)</f>
        <v>553000</v>
      </c>
      <c r="G166" s="17">
        <f t="shared" si="14"/>
        <v>194000</v>
      </c>
      <c r="H166" s="17">
        <f t="shared" si="14"/>
        <v>359000</v>
      </c>
    </row>
    <row r="167" spans="1:8" hidden="1" x14ac:dyDescent="0.25">
      <c r="A167" s="29" t="s">
        <v>32</v>
      </c>
      <c r="B167" s="29" t="s">
        <v>720</v>
      </c>
      <c r="C167" s="29" t="s">
        <v>338</v>
      </c>
      <c r="D167" s="29" t="s">
        <v>11</v>
      </c>
      <c r="E167" s="29">
        <f>75-29</f>
        <v>46</v>
      </c>
      <c r="F167" s="29">
        <f>E167*1800</f>
        <v>82800</v>
      </c>
      <c r="G167" s="29">
        <f>E167*500</f>
        <v>23000</v>
      </c>
      <c r="H167" s="29">
        <f>E167*1300</f>
        <v>59800</v>
      </c>
    </row>
    <row r="168" spans="1:8" hidden="1" x14ac:dyDescent="0.25">
      <c r="A168" s="29"/>
      <c r="B168" s="29"/>
      <c r="C168" s="29" t="s">
        <v>646</v>
      </c>
      <c r="D168" s="29" t="s">
        <v>11</v>
      </c>
      <c r="E168" s="29">
        <v>6</v>
      </c>
      <c r="F168" s="29">
        <f>E168*1500</f>
        <v>9000</v>
      </c>
      <c r="G168" s="29">
        <f>E168*500</f>
        <v>3000</v>
      </c>
      <c r="H168" s="29">
        <f>E168*1000</f>
        <v>6000</v>
      </c>
    </row>
    <row r="169" spans="1:8" hidden="1" x14ac:dyDescent="0.25">
      <c r="A169" s="29"/>
      <c r="B169" s="29"/>
      <c r="C169" s="29" t="s">
        <v>571</v>
      </c>
      <c r="D169" s="29" t="s">
        <v>11</v>
      </c>
      <c r="E169" s="29">
        <v>42</v>
      </c>
      <c r="F169" s="29">
        <f>E169*1700</f>
        <v>71400</v>
      </c>
      <c r="G169" s="29">
        <f>E169*500</f>
        <v>21000</v>
      </c>
      <c r="H169" s="29">
        <f>E169*1200</f>
        <v>50400</v>
      </c>
    </row>
    <row r="170" spans="1:8" hidden="1" x14ac:dyDescent="0.25">
      <c r="A170" s="29"/>
      <c r="B170" s="29"/>
      <c r="C170" s="29" t="s">
        <v>16</v>
      </c>
      <c r="D170" s="29" t="s">
        <v>11</v>
      </c>
      <c r="E170" s="29">
        <v>40</v>
      </c>
      <c r="F170" s="29">
        <f>E170*1500</f>
        <v>60000</v>
      </c>
      <c r="G170" s="29">
        <f>E170*500</f>
        <v>20000</v>
      </c>
      <c r="H170" s="29">
        <v>40000</v>
      </c>
    </row>
    <row r="171" spans="1:8" hidden="1" x14ac:dyDescent="0.25">
      <c r="A171" s="29"/>
      <c r="B171" s="29"/>
      <c r="C171" s="29"/>
      <c r="D171" s="29" t="s">
        <v>12</v>
      </c>
      <c r="E171" s="29">
        <v>1</v>
      </c>
      <c r="F171" s="29">
        <v>3000</v>
      </c>
      <c r="G171" s="29">
        <v>2000</v>
      </c>
      <c r="H171" s="29">
        <v>1000</v>
      </c>
    </row>
    <row r="172" spans="1:8" hidden="1" x14ac:dyDescent="0.25">
      <c r="A172" s="29"/>
      <c r="B172" s="29"/>
      <c r="C172" s="29" t="s">
        <v>24</v>
      </c>
      <c r="D172" s="29" t="s">
        <v>243</v>
      </c>
      <c r="E172" s="29">
        <v>2</v>
      </c>
      <c r="F172" s="29">
        <v>30000</v>
      </c>
      <c r="G172" s="29">
        <v>20000</v>
      </c>
      <c r="H172" s="29">
        <v>10000</v>
      </c>
    </row>
    <row r="173" spans="1:8" hidden="1" x14ac:dyDescent="0.25">
      <c r="A173" s="29"/>
      <c r="B173" s="29"/>
      <c r="C173" s="29" t="s">
        <v>693</v>
      </c>
      <c r="D173" s="29" t="s">
        <v>695</v>
      </c>
      <c r="E173" s="29">
        <v>4</v>
      </c>
      <c r="F173" s="29">
        <v>12000</v>
      </c>
      <c r="G173" s="29">
        <v>6000</v>
      </c>
      <c r="H173" s="29">
        <v>6000</v>
      </c>
    </row>
    <row r="174" spans="1:8" hidden="1" x14ac:dyDescent="0.25">
      <c r="A174" s="29"/>
      <c r="B174" s="29"/>
      <c r="C174" s="29"/>
      <c r="D174" s="29" t="s">
        <v>14</v>
      </c>
      <c r="E174" s="29">
        <v>1</v>
      </c>
      <c r="F174" s="29">
        <v>10000</v>
      </c>
      <c r="G174" s="29">
        <v>5500</v>
      </c>
      <c r="H174" s="29">
        <v>4500</v>
      </c>
    </row>
    <row r="175" spans="1:8" hidden="1" x14ac:dyDescent="0.25">
      <c r="A175" s="131" t="s">
        <v>17</v>
      </c>
      <c r="B175" s="132"/>
      <c r="C175" s="132"/>
      <c r="D175" s="133"/>
      <c r="E175" s="17">
        <f>SUM(E167:E174)</f>
        <v>142</v>
      </c>
      <c r="F175" s="17">
        <f t="shared" ref="F175:H175" si="15">SUM(F167:F174)</f>
        <v>278200</v>
      </c>
      <c r="G175" s="17">
        <f t="shared" si="15"/>
        <v>100500</v>
      </c>
      <c r="H175" s="17">
        <f t="shared" si="15"/>
        <v>177700</v>
      </c>
    </row>
    <row r="176" spans="1:8" hidden="1" x14ac:dyDescent="0.25">
      <c r="A176" s="29" t="s">
        <v>8</v>
      </c>
      <c r="B176" s="29" t="s">
        <v>721</v>
      </c>
      <c r="C176" s="29" t="s">
        <v>338</v>
      </c>
      <c r="D176" s="29" t="s">
        <v>11</v>
      </c>
      <c r="E176" s="29">
        <v>75</v>
      </c>
      <c r="F176" s="38">
        <f>E176*1800</f>
        <v>135000</v>
      </c>
      <c r="G176" s="38">
        <f t="shared" ref="G176:G181" si="16">E176*500</f>
        <v>37500</v>
      </c>
      <c r="H176" s="38">
        <f>E176*1300</f>
        <v>97500</v>
      </c>
    </row>
    <row r="177" spans="1:8" hidden="1" x14ac:dyDescent="0.25">
      <c r="A177" s="29"/>
      <c r="B177" s="29"/>
      <c r="C177" s="29" t="s">
        <v>104</v>
      </c>
      <c r="D177" s="29" t="s">
        <v>11</v>
      </c>
      <c r="E177" s="29">
        <v>18</v>
      </c>
      <c r="F177" s="38">
        <f>E177*1700</f>
        <v>30600</v>
      </c>
      <c r="G177" s="38">
        <f t="shared" si="16"/>
        <v>9000</v>
      </c>
      <c r="H177" s="38">
        <f>E177*1200</f>
        <v>21600</v>
      </c>
    </row>
    <row r="178" spans="1:8" hidden="1" x14ac:dyDescent="0.25">
      <c r="A178" s="29"/>
      <c r="B178" s="29"/>
      <c r="C178" s="29" t="s">
        <v>646</v>
      </c>
      <c r="D178" s="29" t="s">
        <v>11</v>
      </c>
      <c r="E178" s="29">
        <v>22</v>
      </c>
      <c r="F178" s="38">
        <f>E178*1500</f>
        <v>33000</v>
      </c>
      <c r="G178" s="38">
        <f t="shared" si="16"/>
        <v>11000</v>
      </c>
      <c r="H178" s="38">
        <v>22000</v>
      </c>
    </row>
    <row r="179" spans="1:8" hidden="1" x14ac:dyDescent="0.25">
      <c r="A179" s="29"/>
      <c r="B179" s="29"/>
      <c r="C179" s="29" t="s">
        <v>209</v>
      </c>
      <c r="D179" s="29" t="s">
        <v>11</v>
      </c>
      <c r="E179" s="29">
        <v>20</v>
      </c>
      <c r="F179" s="38">
        <f>E179*1500</f>
        <v>30000</v>
      </c>
      <c r="G179" s="38">
        <f t="shared" si="16"/>
        <v>10000</v>
      </c>
      <c r="H179" s="38">
        <v>20000</v>
      </c>
    </row>
    <row r="180" spans="1:8" hidden="1" x14ac:dyDescent="0.25">
      <c r="A180" s="29"/>
      <c r="B180" s="29"/>
      <c r="C180" s="29" t="s">
        <v>571</v>
      </c>
      <c r="D180" s="29" t="s">
        <v>11</v>
      </c>
      <c r="E180" s="29">
        <v>47</v>
      </c>
      <c r="F180" s="38">
        <f>E180*1700</f>
        <v>79900</v>
      </c>
      <c r="G180" s="38">
        <f t="shared" si="16"/>
        <v>23500</v>
      </c>
      <c r="H180" s="38">
        <f>E180*1200</f>
        <v>56400</v>
      </c>
    </row>
    <row r="181" spans="1:8" hidden="1" x14ac:dyDescent="0.25">
      <c r="A181" s="29"/>
      <c r="B181" s="29"/>
      <c r="C181" s="29" t="s">
        <v>16</v>
      </c>
      <c r="D181" s="29" t="s">
        <v>11</v>
      </c>
      <c r="E181" s="29">
        <v>62</v>
      </c>
      <c r="F181" s="38">
        <f>E181*1500</f>
        <v>93000</v>
      </c>
      <c r="G181" s="38">
        <f t="shared" si="16"/>
        <v>31000</v>
      </c>
      <c r="H181" s="38">
        <v>62000</v>
      </c>
    </row>
    <row r="182" spans="1:8" hidden="1" x14ac:dyDescent="0.25">
      <c r="A182" s="29"/>
      <c r="B182" s="29"/>
      <c r="C182" s="29"/>
      <c r="D182" s="29" t="s">
        <v>12</v>
      </c>
      <c r="E182" s="29">
        <v>1</v>
      </c>
      <c r="F182" s="38">
        <v>3000</v>
      </c>
      <c r="G182" s="38">
        <v>2000</v>
      </c>
      <c r="H182" s="38">
        <v>1000</v>
      </c>
    </row>
    <row r="183" spans="1:8" hidden="1" x14ac:dyDescent="0.25">
      <c r="A183" s="29"/>
      <c r="B183" s="29"/>
      <c r="C183" s="29"/>
      <c r="D183" s="29" t="s">
        <v>13</v>
      </c>
      <c r="E183" s="29">
        <v>2</v>
      </c>
      <c r="F183" s="38">
        <v>13000</v>
      </c>
      <c r="G183" s="38">
        <v>9000</v>
      </c>
      <c r="H183" s="38">
        <v>4000</v>
      </c>
    </row>
    <row r="184" spans="1:8" hidden="1" x14ac:dyDescent="0.25">
      <c r="A184" s="29"/>
      <c r="B184" s="29"/>
      <c r="C184" s="29"/>
      <c r="D184" s="29" t="s">
        <v>243</v>
      </c>
      <c r="E184" s="29">
        <v>2</v>
      </c>
      <c r="F184" s="38">
        <v>26000</v>
      </c>
      <c r="G184" s="38">
        <v>20000</v>
      </c>
      <c r="H184" s="38">
        <v>6000</v>
      </c>
    </row>
    <row r="185" spans="1:8" hidden="1" x14ac:dyDescent="0.25">
      <c r="A185" s="29"/>
      <c r="B185" s="29"/>
      <c r="C185" s="29" t="s">
        <v>217</v>
      </c>
      <c r="D185" s="29" t="s">
        <v>11</v>
      </c>
      <c r="E185" s="29">
        <v>15</v>
      </c>
      <c r="F185" s="38">
        <f>E185*1500</f>
        <v>22500</v>
      </c>
      <c r="G185" s="38">
        <f>E185*500</f>
        <v>7500</v>
      </c>
      <c r="H185" s="38">
        <v>15000</v>
      </c>
    </row>
    <row r="186" spans="1:8" hidden="1" x14ac:dyDescent="0.25">
      <c r="A186" s="29"/>
      <c r="B186" s="29"/>
      <c r="C186" s="29"/>
      <c r="D186" s="29" t="s">
        <v>13</v>
      </c>
      <c r="E186" s="29">
        <v>2</v>
      </c>
      <c r="F186" s="38">
        <v>13000</v>
      </c>
      <c r="G186" s="38">
        <v>9000</v>
      </c>
      <c r="H186" s="38">
        <v>4000</v>
      </c>
    </row>
    <row r="187" spans="1:8" hidden="1" x14ac:dyDescent="0.25">
      <c r="A187" s="29"/>
      <c r="B187" s="29"/>
      <c r="C187" s="29"/>
      <c r="D187" s="29" t="s">
        <v>14</v>
      </c>
      <c r="E187" s="29">
        <v>4</v>
      </c>
      <c r="F187" s="38">
        <v>40000</v>
      </c>
      <c r="G187" s="38">
        <f>E187*5500</f>
        <v>22000</v>
      </c>
      <c r="H187" s="38">
        <f>E187*5500</f>
        <v>22000</v>
      </c>
    </row>
    <row r="188" spans="1:8" hidden="1" x14ac:dyDescent="0.25">
      <c r="A188" s="29"/>
      <c r="B188" s="29"/>
      <c r="C188" s="29"/>
      <c r="D188" s="29" t="s">
        <v>404</v>
      </c>
      <c r="E188" s="29">
        <v>8</v>
      </c>
      <c r="F188" s="38">
        <v>16000</v>
      </c>
      <c r="G188" s="38">
        <v>8000</v>
      </c>
      <c r="H188" s="38">
        <v>8000</v>
      </c>
    </row>
    <row r="189" spans="1:8" x14ac:dyDescent="0.25">
      <c r="A189" s="29"/>
      <c r="B189" s="29"/>
      <c r="C189" s="29"/>
      <c r="D189" s="29" t="s">
        <v>436</v>
      </c>
      <c r="E189" s="29">
        <v>4</v>
      </c>
      <c r="F189" s="38">
        <v>12000</v>
      </c>
      <c r="G189" s="38">
        <v>6000</v>
      </c>
      <c r="H189" s="38">
        <v>6000</v>
      </c>
    </row>
    <row r="190" spans="1:8" hidden="1" x14ac:dyDescent="0.25">
      <c r="A190" s="29"/>
      <c r="B190" s="29"/>
      <c r="C190" s="29"/>
      <c r="D190" s="29" t="s">
        <v>415</v>
      </c>
      <c r="E190" s="29">
        <v>2</v>
      </c>
      <c r="F190" s="29">
        <v>10000</v>
      </c>
      <c r="G190" s="29">
        <v>5000</v>
      </c>
      <c r="H190" s="29">
        <v>5000</v>
      </c>
    </row>
    <row r="191" spans="1:8" hidden="1" x14ac:dyDescent="0.25">
      <c r="A191" s="65"/>
      <c r="B191" s="66"/>
      <c r="C191" s="66" t="s">
        <v>127</v>
      </c>
      <c r="D191" s="67" t="s">
        <v>243</v>
      </c>
      <c r="E191" s="29">
        <v>1</v>
      </c>
      <c r="F191" s="29">
        <v>12000</v>
      </c>
      <c r="G191" s="29">
        <v>1000</v>
      </c>
      <c r="H191" s="29">
        <v>2000</v>
      </c>
    </row>
    <row r="192" spans="1:8" hidden="1" x14ac:dyDescent="0.25">
      <c r="A192" s="65"/>
      <c r="B192" s="66"/>
      <c r="C192" s="66"/>
      <c r="D192" s="67" t="s">
        <v>21</v>
      </c>
      <c r="E192" s="29">
        <v>5</v>
      </c>
      <c r="F192" s="29">
        <f>E192*13000</f>
        <v>65000</v>
      </c>
      <c r="G192" s="29">
        <f>E192*10000</f>
        <v>50000</v>
      </c>
      <c r="H192" s="29">
        <v>15000</v>
      </c>
    </row>
    <row r="193" spans="1:8" hidden="1" x14ac:dyDescent="0.25">
      <c r="A193" s="131" t="s">
        <v>17</v>
      </c>
      <c r="B193" s="132"/>
      <c r="C193" s="132"/>
      <c r="D193" s="133"/>
      <c r="E193" s="17">
        <f>SUM(E176:E190)</f>
        <v>284</v>
      </c>
      <c r="F193" s="17">
        <f>SUM(F176:F191)</f>
        <v>569000</v>
      </c>
      <c r="G193" s="17">
        <f>SUM(G176:G191)</f>
        <v>211500</v>
      </c>
      <c r="H193" s="17">
        <f>SUM(H176:H192)</f>
        <v>367500</v>
      </c>
    </row>
    <row r="194" spans="1:8" hidden="1" x14ac:dyDescent="0.25">
      <c r="A194" s="29" t="s">
        <v>18</v>
      </c>
      <c r="B194" s="29" t="s">
        <v>722</v>
      </c>
      <c r="C194" s="29" t="s">
        <v>338</v>
      </c>
      <c r="D194" s="29" t="s">
        <v>11</v>
      </c>
      <c r="E194" s="29">
        <v>75</v>
      </c>
      <c r="F194" s="29">
        <f>E194*1800</f>
        <v>135000</v>
      </c>
      <c r="G194" s="29">
        <f t="shared" ref="G194:G199" si="17">E194*500</f>
        <v>37500</v>
      </c>
      <c r="H194" s="29">
        <f>E194*1300</f>
        <v>97500</v>
      </c>
    </row>
    <row r="195" spans="1:8" hidden="1" x14ac:dyDescent="0.25">
      <c r="A195" s="29"/>
      <c r="B195" s="29"/>
      <c r="C195" s="29" t="s">
        <v>646</v>
      </c>
      <c r="D195" s="29" t="s">
        <v>11</v>
      </c>
      <c r="E195" s="29">
        <v>15</v>
      </c>
      <c r="F195" s="29">
        <f>E195*1500</f>
        <v>22500</v>
      </c>
      <c r="G195" s="29">
        <f t="shared" si="17"/>
        <v>7500</v>
      </c>
      <c r="H195" s="29">
        <f>E195*1000</f>
        <v>15000</v>
      </c>
    </row>
    <row r="196" spans="1:8" hidden="1" x14ac:dyDescent="0.25">
      <c r="A196" s="29"/>
      <c r="B196" s="29"/>
      <c r="C196" s="29" t="s">
        <v>209</v>
      </c>
      <c r="D196" s="29" t="s">
        <v>11</v>
      </c>
      <c r="E196" s="29">
        <v>12</v>
      </c>
      <c r="F196" s="29">
        <f>E196*1500</f>
        <v>18000</v>
      </c>
      <c r="G196" s="29">
        <f t="shared" si="17"/>
        <v>6000</v>
      </c>
      <c r="H196" s="29">
        <f>E196*1000</f>
        <v>12000</v>
      </c>
    </row>
    <row r="197" spans="1:8" hidden="1" x14ac:dyDescent="0.25">
      <c r="A197" s="29"/>
      <c r="B197" s="29"/>
      <c r="C197" s="29" t="s">
        <v>571</v>
      </c>
      <c r="D197" s="29" t="s">
        <v>11</v>
      </c>
      <c r="E197" s="29">
        <v>42</v>
      </c>
      <c r="F197" s="29">
        <f>E197*1700</f>
        <v>71400</v>
      </c>
      <c r="G197" s="29">
        <f t="shared" si="17"/>
        <v>21000</v>
      </c>
      <c r="H197" s="29">
        <f>E197*1200</f>
        <v>50400</v>
      </c>
    </row>
    <row r="198" spans="1:8" hidden="1" x14ac:dyDescent="0.25">
      <c r="A198" s="29"/>
      <c r="B198" s="29"/>
      <c r="C198" s="29" t="s">
        <v>104</v>
      </c>
      <c r="D198" s="29" t="s">
        <v>11</v>
      </c>
      <c r="E198" s="29">
        <v>15</v>
      </c>
      <c r="F198" s="29">
        <f>E198*1700</f>
        <v>25500</v>
      </c>
      <c r="G198" s="29">
        <f t="shared" si="17"/>
        <v>7500</v>
      </c>
      <c r="H198" s="29">
        <f>E198*1200</f>
        <v>18000</v>
      </c>
    </row>
    <row r="199" spans="1:8" hidden="1" x14ac:dyDescent="0.25">
      <c r="A199" s="29"/>
      <c r="B199" s="29"/>
      <c r="C199" s="29" t="s">
        <v>217</v>
      </c>
      <c r="D199" s="29" t="s">
        <v>11</v>
      </c>
      <c r="E199" s="29">
        <v>10</v>
      </c>
      <c r="F199" s="29">
        <f>E199*1500</f>
        <v>15000</v>
      </c>
      <c r="G199" s="29">
        <f t="shared" si="17"/>
        <v>5000</v>
      </c>
      <c r="H199" s="29">
        <v>10000</v>
      </c>
    </row>
    <row r="200" spans="1:8" hidden="1" x14ac:dyDescent="0.25">
      <c r="A200" s="29"/>
      <c r="B200" s="29"/>
      <c r="C200" s="29"/>
      <c r="D200" s="29" t="s">
        <v>14</v>
      </c>
      <c r="E200" s="29">
        <v>1</v>
      </c>
      <c r="F200" s="29">
        <v>10000</v>
      </c>
      <c r="G200" s="29">
        <v>5500</v>
      </c>
      <c r="H200" s="29">
        <v>4500</v>
      </c>
    </row>
    <row r="201" spans="1:8" hidden="1" x14ac:dyDescent="0.25">
      <c r="A201" s="29"/>
      <c r="B201" s="29"/>
      <c r="C201" s="29"/>
      <c r="D201" s="29" t="s">
        <v>404</v>
      </c>
      <c r="E201" s="29">
        <v>7</v>
      </c>
      <c r="F201" s="29">
        <v>14000</v>
      </c>
      <c r="G201" s="29">
        <v>7000</v>
      </c>
      <c r="H201" s="29">
        <v>7000</v>
      </c>
    </row>
    <row r="202" spans="1:8" x14ac:dyDescent="0.25">
      <c r="A202" s="29"/>
      <c r="B202" s="29"/>
      <c r="C202" s="29"/>
      <c r="D202" s="29" t="s">
        <v>441</v>
      </c>
      <c r="E202" s="29">
        <v>2</v>
      </c>
      <c r="F202" s="29">
        <v>6000</v>
      </c>
      <c r="G202" s="29">
        <v>3000</v>
      </c>
      <c r="H202" s="29">
        <v>3000</v>
      </c>
    </row>
    <row r="203" spans="1:8" hidden="1" x14ac:dyDescent="0.25">
      <c r="A203" s="29"/>
      <c r="B203" s="29"/>
      <c r="C203" s="29"/>
      <c r="D203" s="29" t="s">
        <v>415</v>
      </c>
      <c r="E203" s="29">
        <v>1</v>
      </c>
      <c r="F203" s="29">
        <v>5000</v>
      </c>
      <c r="G203" s="29">
        <v>2500</v>
      </c>
      <c r="H203" s="29">
        <v>2500</v>
      </c>
    </row>
    <row r="204" spans="1:8" hidden="1" x14ac:dyDescent="0.25">
      <c r="A204" s="29"/>
      <c r="B204" s="29"/>
      <c r="C204" s="29" t="s">
        <v>16</v>
      </c>
      <c r="D204" s="29" t="s">
        <v>11</v>
      </c>
      <c r="E204" s="29">
        <v>48</v>
      </c>
      <c r="F204" s="29">
        <f>E204*1500</f>
        <v>72000</v>
      </c>
      <c r="G204" s="29">
        <f>E204*500</f>
        <v>24000</v>
      </c>
      <c r="H204" s="29">
        <v>48000</v>
      </c>
    </row>
    <row r="205" spans="1:8" hidden="1" x14ac:dyDescent="0.25">
      <c r="A205" s="29"/>
      <c r="B205" s="29"/>
      <c r="C205" s="29"/>
      <c r="D205" s="29" t="s">
        <v>12</v>
      </c>
      <c r="E205" s="29">
        <v>1</v>
      </c>
      <c r="F205" s="29">
        <v>3000</v>
      </c>
      <c r="G205" s="29">
        <v>2000</v>
      </c>
      <c r="H205" s="29">
        <v>1000</v>
      </c>
    </row>
    <row r="206" spans="1:8" hidden="1" x14ac:dyDescent="0.25">
      <c r="A206" s="29"/>
      <c r="B206" s="29"/>
      <c r="C206" s="29"/>
      <c r="D206" s="29" t="s">
        <v>13</v>
      </c>
      <c r="E206" s="29">
        <v>1</v>
      </c>
      <c r="F206" s="29">
        <v>6500</v>
      </c>
      <c r="G206" s="29">
        <v>4500</v>
      </c>
      <c r="H206" s="29">
        <v>2000</v>
      </c>
    </row>
    <row r="207" spans="1:8" hidden="1" x14ac:dyDescent="0.25">
      <c r="A207" s="131" t="s">
        <v>17</v>
      </c>
      <c r="B207" s="132"/>
      <c r="C207" s="132"/>
      <c r="D207" s="133"/>
      <c r="E207" s="17">
        <f>SUM(E194:E206)</f>
        <v>230</v>
      </c>
      <c r="F207" s="17">
        <f t="shared" ref="F207:H207" si="18">SUM(F194:F206)</f>
        <v>403900</v>
      </c>
      <c r="G207" s="17">
        <f t="shared" si="18"/>
        <v>133000</v>
      </c>
      <c r="H207" s="17">
        <f t="shared" si="18"/>
        <v>270900</v>
      </c>
    </row>
    <row r="208" spans="1:8" hidden="1" x14ac:dyDescent="0.25">
      <c r="A208" s="29" t="s">
        <v>22</v>
      </c>
      <c r="B208" s="29" t="s">
        <v>723</v>
      </c>
      <c r="C208" s="29" t="s">
        <v>646</v>
      </c>
      <c r="D208" s="29" t="s">
        <v>11</v>
      </c>
      <c r="E208" s="29">
        <v>15</v>
      </c>
      <c r="F208" s="29">
        <f>E208*1500</f>
        <v>22500</v>
      </c>
      <c r="G208" s="29">
        <f>E208*500</f>
        <v>7500</v>
      </c>
      <c r="H208" s="29">
        <v>15000</v>
      </c>
    </row>
    <row r="209" spans="1:8" hidden="1" x14ac:dyDescent="0.25">
      <c r="A209" s="29"/>
      <c r="B209" s="29"/>
      <c r="C209" s="29" t="s">
        <v>209</v>
      </c>
      <c r="D209" s="29" t="s">
        <v>11</v>
      </c>
      <c r="E209" s="29">
        <v>20</v>
      </c>
      <c r="F209" s="29">
        <f>E209*1500</f>
        <v>30000</v>
      </c>
      <c r="G209" s="29">
        <f>E209*500</f>
        <v>10000</v>
      </c>
      <c r="H209" s="29">
        <v>20000</v>
      </c>
    </row>
    <row r="210" spans="1:8" hidden="1" x14ac:dyDescent="0.25">
      <c r="A210" s="29"/>
      <c r="B210" s="29"/>
      <c r="C210" s="29" t="s">
        <v>571</v>
      </c>
      <c r="D210" s="29" t="s">
        <v>11</v>
      </c>
      <c r="E210" s="29">
        <v>42</v>
      </c>
      <c r="F210" s="29">
        <f>E210*1700</f>
        <v>71400</v>
      </c>
      <c r="G210" s="29">
        <f>E210*500</f>
        <v>21000</v>
      </c>
      <c r="H210" s="29">
        <f>E210*1200</f>
        <v>50400</v>
      </c>
    </row>
    <row r="211" spans="1:8" hidden="1" x14ac:dyDescent="0.25">
      <c r="A211" s="29"/>
      <c r="B211" s="29"/>
      <c r="C211" s="29" t="s">
        <v>217</v>
      </c>
      <c r="D211" s="29" t="s">
        <v>11</v>
      </c>
      <c r="E211" s="29">
        <v>10</v>
      </c>
      <c r="F211" s="29">
        <f>E211*1500</f>
        <v>15000</v>
      </c>
      <c r="G211" s="29">
        <f>E211*500</f>
        <v>5000</v>
      </c>
      <c r="H211" s="29">
        <v>10000</v>
      </c>
    </row>
    <row r="212" spans="1:8" hidden="1" x14ac:dyDescent="0.25">
      <c r="A212" s="29"/>
      <c r="B212" s="29"/>
      <c r="C212" s="29"/>
      <c r="D212" s="29" t="s">
        <v>13</v>
      </c>
      <c r="E212" s="29">
        <v>5</v>
      </c>
      <c r="F212" s="29">
        <f>E212*6500</f>
        <v>32500</v>
      </c>
      <c r="G212" s="29">
        <f>E212*4500</f>
        <v>22500</v>
      </c>
      <c r="H212" s="29">
        <f>E212*2000</f>
        <v>10000</v>
      </c>
    </row>
    <row r="213" spans="1:8" hidden="1" x14ac:dyDescent="0.25">
      <c r="A213" s="29"/>
      <c r="B213" s="29"/>
      <c r="C213" s="29"/>
      <c r="D213" s="29" t="s">
        <v>14</v>
      </c>
      <c r="E213" s="29">
        <v>4</v>
      </c>
      <c r="F213" s="29">
        <v>40000</v>
      </c>
      <c r="G213" s="29">
        <f>E213*5500</f>
        <v>22000</v>
      </c>
      <c r="H213" s="29">
        <f>E213*4500</f>
        <v>18000</v>
      </c>
    </row>
    <row r="214" spans="1:8" hidden="1" x14ac:dyDescent="0.25">
      <c r="A214" s="29"/>
      <c r="B214" s="29"/>
      <c r="C214" s="29"/>
      <c r="D214" s="29" t="s">
        <v>404</v>
      </c>
      <c r="E214" s="29">
        <v>6</v>
      </c>
      <c r="F214" s="29">
        <v>12000</v>
      </c>
      <c r="G214" s="29">
        <v>6000</v>
      </c>
      <c r="H214" s="29">
        <v>6000</v>
      </c>
    </row>
    <row r="215" spans="1:8" x14ac:dyDescent="0.25">
      <c r="A215" s="29"/>
      <c r="B215" s="29"/>
      <c r="C215" s="29"/>
      <c r="D215" s="29" t="s">
        <v>436</v>
      </c>
      <c r="E215" s="29">
        <v>2</v>
      </c>
      <c r="F215" s="29">
        <v>6000</v>
      </c>
      <c r="G215" s="29">
        <v>3000</v>
      </c>
      <c r="H215" s="29">
        <v>3000</v>
      </c>
    </row>
    <row r="216" spans="1:8" hidden="1" x14ac:dyDescent="0.25">
      <c r="A216" s="29"/>
      <c r="B216" s="29"/>
      <c r="C216" s="29"/>
      <c r="D216" s="29" t="s">
        <v>415</v>
      </c>
      <c r="E216" s="29">
        <v>1</v>
      </c>
      <c r="F216" s="29">
        <v>5000</v>
      </c>
      <c r="G216" s="29">
        <v>2500</v>
      </c>
      <c r="H216" s="29">
        <v>2500</v>
      </c>
    </row>
    <row r="217" spans="1:8" hidden="1" x14ac:dyDescent="0.25">
      <c r="A217" s="29"/>
      <c r="B217" s="29"/>
      <c r="C217" s="29" t="s">
        <v>24</v>
      </c>
      <c r="D217" s="29" t="s">
        <v>13</v>
      </c>
      <c r="E217" s="29">
        <v>13</v>
      </c>
      <c r="F217" s="29">
        <f>E217*8000</f>
        <v>104000</v>
      </c>
      <c r="G217" s="29">
        <f>E217*4500</f>
        <v>58500</v>
      </c>
      <c r="H217" s="29">
        <f>E217*3500</f>
        <v>45500</v>
      </c>
    </row>
    <row r="218" spans="1:8" hidden="1" x14ac:dyDescent="0.25">
      <c r="A218" s="29"/>
      <c r="B218" s="29"/>
      <c r="C218" s="29" t="s">
        <v>16</v>
      </c>
      <c r="D218" s="29" t="s">
        <v>11</v>
      </c>
      <c r="E218" s="29">
        <v>29</v>
      </c>
      <c r="F218" s="29">
        <f>E218*1500</f>
        <v>43500</v>
      </c>
      <c r="G218" s="29">
        <f>E218*500</f>
        <v>14500</v>
      </c>
      <c r="H218" s="29">
        <v>29000</v>
      </c>
    </row>
    <row r="219" spans="1:8" hidden="1" x14ac:dyDescent="0.25">
      <c r="A219" s="65"/>
      <c r="B219" s="66"/>
      <c r="C219" s="66" t="s">
        <v>693</v>
      </c>
      <c r="D219" s="67" t="s">
        <v>13</v>
      </c>
      <c r="E219" s="29">
        <v>14</v>
      </c>
      <c r="F219" s="29">
        <f>E219*7000</f>
        <v>98000</v>
      </c>
      <c r="G219" s="29">
        <f>E219*4500</f>
        <v>63000</v>
      </c>
      <c r="H219" s="29">
        <f>E219*2500</f>
        <v>35000</v>
      </c>
    </row>
    <row r="220" spans="1:8" hidden="1" x14ac:dyDescent="0.25">
      <c r="A220" s="65"/>
      <c r="B220" s="66"/>
      <c r="C220" s="66"/>
      <c r="D220" s="67" t="s">
        <v>14</v>
      </c>
      <c r="E220" s="29">
        <v>16</v>
      </c>
      <c r="F220" s="29">
        <f>E220*10000</f>
        <v>160000</v>
      </c>
      <c r="G220" s="29">
        <f>E220*5500</f>
        <v>88000</v>
      </c>
      <c r="H220" s="29">
        <f>E220*4500</f>
        <v>72000</v>
      </c>
    </row>
    <row r="221" spans="1:8" hidden="1" x14ac:dyDescent="0.25">
      <c r="A221" s="65"/>
      <c r="B221" s="66"/>
      <c r="C221" s="66"/>
      <c r="D221" s="67" t="s">
        <v>724</v>
      </c>
      <c r="E221" s="29">
        <v>2</v>
      </c>
      <c r="F221" s="29">
        <v>10000</v>
      </c>
      <c r="G221" s="29">
        <f>E221*5500</f>
        <v>11000</v>
      </c>
      <c r="H221" s="29">
        <f>E221*4500</f>
        <v>9000</v>
      </c>
    </row>
    <row r="222" spans="1:8" hidden="1" x14ac:dyDescent="0.25">
      <c r="A222" s="128" t="s">
        <v>17</v>
      </c>
      <c r="B222" s="129"/>
      <c r="C222" s="129"/>
      <c r="D222" s="130"/>
      <c r="E222" s="16">
        <f>SUM(E208:E221)</f>
        <v>179</v>
      </c>
      <c r="F222" s="17">
        <f t="shared" ref="F222:H222" si="19">SUM(F208:F221)</f>
        <v>649900</v>
      </c>
      <c r="G222" s="17">
        <f t="shared" si="19"/>
        <v>334500</v>
      </c>
      <c r="H222" s="17">
        <f t="shared" si="19"/>
        <v>325400</v>
      </c>
    </row>
    <row r="223" spans="1:8" hidden="1" x14ac:dyDescent="0.25">
      <c r="A223" s="29" t="s">
        <v>26</v>
      </c>
      <c r="B223" s="29" t="s">
        <v>725</v>
      </c>
      <c r="C223" s="29" t="s">
        <v>726</v>
      </c>
      <c r="D223" s="29" t="s">
        <v>11</v>
      </c>
      <c r="E223" s="29">
        <v>75</v>
      </c>
      <c r="F223" s="29">
        <f>E223*1800</f>
        <v>135000</v>
      </c>
      <c r="G223" s="29">
        <f>E223*500</f>
        <v>37500</v>
      </c>
      <c r="H223" s="29">
        <f>E223*1300</f>
        <v>97500</v>
      </c>
    </row>
    <row r="224" spans="1:8" hidden="1" x14ac:dyDescent="0.25">
      <c r="A224" s="29"/>
      <c r="B224" s="29"/>
      <c r="C224" s="29" t="s">
        <v>646</v>
      </c>
      <c r="D224" s="29" t="s">
        <v>11</v>
      </c>
      <c r="E224" s="29">
        <v>17</v>
      </c>
      <c r="F224" s="29">
        <f>E224*1500</f>
        <v>25500</v>
      </c>
      <c r="G224" s="29">
        <f>E224*500</f>
        <v>8500</v>
      </c>
      <c r="H224" s="29">
        <v>17000</v>
      </c>
    </row>
    <row r="225" spans="1:8" hidden="1" x14ac:dyDescent="0.25">
      <c r="A225" s="29"/>
      <c r="B225" s="29"/>
      <c r="C225" s="29" t="s">
        <v>16</v>
      </c>
      <c r="D225" s="29" t="s">
        <v>11</v>
      </c>
      <c r="E225" s="29">
        <v>31</v>
      </c>
      <c r="F225" s="29">
        <f>E225*1500</f>
        <v>46500</v>
      </c>
      <c r="G225" s="29">
        <f>E225*500</f>
        <v>15500</v>
      </c>
      <c r="H225" s="29">
        <v>31000</v>
      </c>
    </row>
    <row r="226" spans="1:8" hidden="1" x14ac:dyDescent="0.25">
      <c r="A226" s="29"/>
      <c r="B226" s="29"/>
      <c r="C226" s="29"/>
      <c r="D226" s="29" t="s">
        <v>12</v>
      </c>
      <c r="E226" s="29">
        <v>3</v>
      </c>
      <c r="F226" s="29">
        <v>9000</v>
      </c>
      <c r="G226" s="29">
        <v>6000</v>
      </c>
      <c r="H226" s="29">
        <v>3000</v>
      </c>
    </row>
    <row r="227" spans="1:8" hidden="1" x14ac:dyDescent="0.25">
      <c r="A227" s="29"/>
      <c r="B227" s="29"/>
      <c r="C227" s="29"/>
      <c r="D227" s="29" t="s">
        <v>243</v>
      </c>
      <c r="E227" s="29">
        <v>1</v>
      </c>
      <c r="F227" s="29">
        <v>13000</v>
      </c>
      <c r="G227" s="29">
        <v>10000</v>
      </c>
      <c r="H227" s="29">
        <v>3000</v>
      </c>
    </row>
    <row r="228" spans="1:8" hidden="1" x14ac:dyDescent="0.25">
      <c r="A228" s="29"/>
      <c r="B228" s="29"/>
      <c r="C228" s="29" t="s">
        <v>693</v>
      </c>
      <c r="D228" s="29" t="s">
        <v>14</v>
      </c>
      <c r="E228" s="29">
        <v>12</v>
      </c>
      <c r="F228" s="29">
        <f>E228*10000</f>
        <v>120000</v>
      </c>
      <c r="G228" s="29">
        <f>E228*5500</f>
        <v>66000</v>
      </c>
      <c r="H228" s="29">
        <f>E228*4500</f>
        <v>54000</v>
      </c>
    </row>
    <row r="229" spans="1:8" hidden="1" x14ac:dyDescent="0.25">
      <c r="A229" s="29"/>
      <c r="B229" s="29"/>
      <c r="C229" s="29" t="s">
        <v>217</v>
      </c>
      <c r="D229" s="29" t="s">
        <v>11</v>
      </c>
      <c r="E229" s="29">
        <v>5</v>
      </c>
      <c r="F229" s="29">
        <f>E229*1500</f>
        <v>7500</v>
      </c>
      <c r="G229" s="29">
        <f>E229*500</f>
        <v>2500</v>
      </c>
      <c r="H229" s="29">
        <v>5000</v>
      </c>
    </row>
    <row r="230" spans="1:8" hidden="1" x14ac:dyDescent="0.25">
      <c r="A230" s="29"/>
      <c r="B230" s="29"/>
      <c r="C230" s="29"/>
      <c r="D230" s="29" t="s">
        <v>13</v>
      </c>
      <c r="E230" s="29">
        <v>3</v>
      </c>
      <c r="F230" s="29">
        <f>E230*6500</f>
        <v>19500</v>
      </c>
      <c r="G230" s="29">
        <f>E230*4500</f>
        <v>13500</v>
      </c>
      <c r="H230" s="29">
        <f>E230*2000</f>
        <v>6000</v>
      </c>
    </row>
    <row r="231" spans="1:8" hidden="1" x14ac:dyDescent="0.25">
      <c r="A231" s="29"/>
      <c r="B231" s="29"/>
      <c r="C231" s="29"/>
      <c r="D231" s="29" t="s">
        <v>14</v>
      </c>
      <c r="E231" s="29">
        <v>1</v>
      </c>
      <c r="F231" s="29">
        <v>8000</v>
      </c>
      <c r="G231" s="29">
        <v>5500</v>
      </c>
      <c r="H231" s="29">
        <v>2500</v>
      </c>
    </row>
    <row r="232" spans="1:8" hidden="1" x14ac:dyDescent="0.25">
      <c r="A232" s="29"/>
      <c r="B232" s="29"/>
      <c r="C232" s="29"/>
      <c r="D232" s="29" t="s">
        <v>404</v>
      </c>
      <c r="E232" s="29">
        <v>3</v>
      </c>
      <c r="F232" s="29">
        <v>6000</v>
      </c>
      <c r="G232" s="29">
        <v>3000</v>
      </c>
      <c r="H232" s="29">
        <v>3000</v>
      </c>
    </row>
    <row r="233" spans="1:8" x14ac:dyDescent="0.25">
      <c r="A233" s="29"/>
      <c r="B233" s="29"/>
      <c r="C233" s="29"/>
      <c r="D233" s="29" t="s">
        <v>691</v>
      </c>
      <c r="E233" s="29">
        <v>2</v>
      </c>
      <c r="F233" s="29">
        <v>6000</v>
      </c>
      <c r="G233" s="29">
        <v>3000</v>
      </c>
      <c r="H233" s="29">
        <v>3000</v>
      </c>
    </row>
    <row r="234" spans="1:8" x14ac:dyDescent="0.25">
      <c r="A234" s="29"/>
      <c r="B234" s="29"/>
      <c r="C234" s="29"/>
      <c r="D234" s="29" t="s">
        <v>542</v>
      </c>
      <c r="E234" s="29">
        <v>1</v>
      </c>
      <c r="F234" s="29">
        <v>5000</v>
      </c>
      <c r="G234" s="29">
        <v>2500</v>
      </c>
      <c r="H234" s="29">
        <v>2500</v>
      </c>
    </row>
    <row r="235" spans="1:8" hidden="1" x14ac:dyDescent="0.25">
      <c r="A235" s="29"/>
      <c r="B235" s="29"/>
      <c r="C235" s="29"/>
      <c r="D235" s="29" t="s">
        <v>686</v>
      </c>
      <c r="E235" s="29">
        <v>1</v>
      </c>
      <c r="F235" s="29">
        <v>5000</v>
      </c>
      <c r="G235" s="29">
        <v>2500</v>
      </c>
      <c r="H235" s="29">
        <v>2500</v>
      </c>
    </row>
    <row r="236" spans="1:8" hidden="1" x14ac:dyDescent="0.25">
      <c r="A236" s="131" t="s">
        <v>17</v>
      </c>
      <c r="B236" s="132"/>
      <c r="C236" s="132"/>
      <c r="D236" s="133"/>
      <c r="E236" s="17">
        <f>SUM(E223:E235)</f>
        <v>155</v>
      </c>
      <c r="F236" s="17">
        <f t="shared" ref="F236:H236" si="20">SUM(F223:F235)</f>
        <v>406000</v>
      </c>
      <c r="G236" s="17">
        <f t="shared" si="20"/>
        <v>176000</v>
      </c>
      <c r="H236" s="17">
        <f t="shared" si="20"/>
        <v>230000</v>
      </c>
    </row>
    <row r="237" spans="1:8" hidden="1" x14ac:dyDescent="0.25">
      <c r="A237" s="29" t="s">
        <v>28</v>
      </c>
      <c r="B237" s="29" t="s">
        <v>727</v>
      </c>
      <c r="C237" s="29" t="s">
        <v>700</v>
      </c>
      <c r="D237" s="29" t="s">
        <v>11</v>
      </c>
      <c r="E237" s="29">
        <v>11</v>
      </c>
      <c r="F237" s="38">
        <f>E237*2000</f>
        <v>22000</v>
      </c>
      <c r="G237" s="38">
        <f>E237*500</f>
        <v>5500</v>
      </c>
      <c r="H237" s="38">
        <f>E237*1500</f>
        <v>16500</v>
      </c>
    </row>
    <row r="238" spans="1:8" hidden="1" x14ac:dyDescent="0.25">
      <c r="A238" s="29"/>
      <c r="B238" s="29"/>
      <c r="C238" s="29"/>
      <c r="D238" s="29" t="s">
        <v>13</v>
      </c>
      <c r="E238" s="29">
        <v>15</v>
      </c>
      <c r="F238" s="38">
        <f>E238*7000</f>
        <v>105000</v>
      </c>
      <c r="G238" s="38">
        <f>E238*4500</f>
        <v>67500</v>
      </c>
      <c r="H238" s="38">
        <f>E238*2500</f>
        <v>37500</v>
      </c>
    </row>
    <row r="239" spans="1:8" hidden="1" x14ac:dyDescent="0.25">
      <c r="A239" s="29"/>
      <c r="B239" s="29"/>
      <c r="C239" s="29"/>
      <c r="D239" s="29" t="s">
        <v>14</v>
      </c>
      <c r="E239" s="29">
        <v>14</v>
      </c>
      <c r="F239" s="38">
        <f>E239*10000</f>
        <v>140000</v>
      </c>
      <c r="G239" s="38">
        <f>E239*5500</f>
        <v>77000</v>
      </c>
      <c r="H239" s="38">
        <f>E239*4500</f>
        <v>63000</v>
      </c>
    </row>
    <row r="240" spans="1:8" hidden="1" x14ac:dyDescent="0.25">
      <c r="A240" s="29"/>
      <c r="B240" s="29"/>
      <c r="C240" s="29" t="s">
        <v>701</v>
      </c>
      <c r="D240" s="29" t="s">
        <v>13</v>
      </c>
      <c r="E240" s="29">
        <v>17</v>
      </c>
      <c r="F240" s="38">
        <f>E240*7000</f>
        <v>119000</v>
      </c>
      <c r="G240" s="38">
        <f>E240*4500</f>
        <v>76500</v>
      </c>
      <c r="H240" s="38">
        <f>E240*2500</f>
        <v>42500</v>
      </c>
    </row>
    <row r="241" spans="1:8" hidden="1" x14ac:dyDescent="0.25">
      <c r="A241" s="29"/>
      <c r="B241" s="29"/>
      <c r="C241" s="29"/>
      <c r="D241" s="29" t="s">
        <v>14</v>
      </c>
      <c r="E241" s="29">
        <v>12</v>
      </c>
      <c r="F241" s="38">
        <f>E241*10000</f>
        <v>120000</v>
      </c>
      <c r="G241" s="38">
        <f>E241*5500</f>
        <v>66000</v>
      </c>
      <c r="H241" s="38">
        <f>E241*4500</f>
        <v>54000</v>
      </c>
    </row>
    <row r="242" spans="1:8" hidden="1" x14ac:dyDescent="0.25">
      <c r="A242" s="29"/>
      <c r="B242" s="29"/>
      <c r="C242" s="29" t="s">
        <v>217</v>
      </c>
      <c r="D242" s="29" t="s">
        <v>11</v>
      </c>
      <c r="E242" s="29">
        <v>5</v>
      </c>
      <c r="F242" s="38">
        <f>E242*1500</f>
        <v>7500</v>
      </c>
      <c r="G242" s="38">
        <f>E242*500</f>
        <v>2500</v>
      </c>
      <c r="H242" s="38">
        <v>5000</v>
      </c>
    </row>
    <row r="243" spans="1:8" hidden="1" x14ac:dyDescent="0.25">
      <c r="A243" s="29"/>
      <c r="B243" s="29"/>
      <c r="C243" s="29"/>
      <c r="D243" s="29" t="s">
        <v>13</v>
      </c>
      <c r="E243" s="29">
        <v>5</v>
      </c>
      <c r="F243" s="38">
        <f>E243*6500</f>
        <v>32500</v>
      </c>
      <c r="G243" s="38">
        <f>E243*4500</f>
        <v>22500</v>
      </c>
      <c r="H243" s="38">
        <f>E243*2000</f>
        <v>10000</v>
      </c>
    </row>
    <row r="244" spans="1:8" hidden="1" x14ac:dyDescent="0.25">
      <c r="A244" s="29"/>
      <c r="B244" s="29"/>
      <c r="C244" s="29"/>
      <c r="D244" s="29" t="s">
        <v>14</v>
      </c>
      <c r="E244" s="29">
        <v>3</v>
      </c>
      <c r="F244" s="38">
        <f>E244*10000</f>
        <v>30000</v>
      </c>
      <c r="G244" s="38">
        <f>E244*5500</f>
        <v>16500</v>
      </c>
      <c r="H244" s="38">
        <f>E244*4500</f>
        <v>13500</v>
      </c>
    </row>
    <row r="245" spans="1:8" hidden="1" x14ac:dyDescent="0.25">
      <c r="A245" s="29"/>
      <c r="B245" s="29"/>
      <c r="C245" s="29" t="s">
        <v>16</v>
      </c>
      <c r="D245" s="29" t="s">
        <v>11</v>
      </c>
      <c r="E245" s="29">
        <v>20</v>
      </c>
      <c r="F245" s="38">
        <f>E245*1500</f>
        <v>30000</v>
      </c>
      <c r="G245" s="38">
        <f>E245*500</f>
        <v>10000</v>
      </c>
      <c r="H245" s="38">
        <v>20000</v>
      </c>
    </row>
    <row r="246" spans="1:8" hidden="1" x14ac:dyDescent="0.25">
      <c r="A246" s="29"/>
      <c r="B246" s="29"/>
      <c r="C246" s="29"/>
      <c r="D246" s="29" t="s">
        <v>12</v>
      </c>
      <c r="E246" s="29">
        <v>3</v>
      </c>
      <c r="F246" s="38">
        <v>9000</v>
      </c>
      <c r="G246" s="38">
        <v>6000</v>
      </c>
      <c r="H246" s="38">
        <v>3000</v>
      </c>
    </row>
    <row r="247" spans="1:8" hidden="1" x14ac:dyDescent="0.25">
      <c r="A247" s="29"/>
      <c r="B247" s="29"/>
      <c r="C247" s="29"/>
      <c r="D247" s="29" t="s">
        <v>13</v>
      </c>
      <c r="E247" s="29">
        <v>1</v>
      </c>
      <c r="F247" s="38">
        <v>6500</v>
      </c>
      <c r="G247" s="38">
        <v>4500</v>
      </c>
      <c r="H247" s="38">
        <v>2000</v>
      </c>
    </row>
    <row r="248" spans="1:8" hidden="1" x14ac:dyDescent="0.25">
      <c r="A248" s="29"/>
      <c r="B248" s="29"/>
      <c r="C248" s="29"/>
      <c r="D248" s="29" t="s">
        <v>14</v>
      </c>
      <c r="E248" s="29">
        <v>0</v>
      </c>
      <c r="F248" s="38"/>
      <c r="G248" s="38"/>
      <c r="H248" s="38"/>
    </row>
    <row r="249" spans="1:8" hidden="1" x14ac:dyDescent="0.25">
      <c r="A249" s="29"/>
      <c r="B249" s="29"/>
      <c r="C249" s="29"/>
      <c r="D249" s="29" t="s">
        <v>243</v>
      </c>
      <c r="E249" s="29">
        <v>0</v>
      </c>
      <c r="F249" s="38"/>
      <c r="G249" s="38"/>
      <c r="H249" s="38"/>
    </row>
    <row r="250" spans="1:8" hidden="1" x14ac:dyDescent="0.25">
      <c r="A250" s="131" t="s">
        <v>17</v>
      </c>
      <c r="B250" s="132"/>
      <c r="C250" s="132"/>
      <c r="D250" s="133"/>
      <c r="E250" s="17">
        <f>SUM(E237:E249)</f>
        <v>106</v>
      </c>
      <c r="F250" s="17">
        <f>SUM(F237:F249)</f>
        <v>621500</v>
      </c>
      <c r="G250" s="17">
        <f t="shared" ref="G250:H250" si="21">SUM(G237:G249)</f>
        <v>354500</v>
      </c>
      <c r="H250" s="17">
        <f t="shared" si="21"/>
        <v>267000</v>
      </c>
    </row>
    <row r="251" spans="1:8" hidden="1" x14ac:dyDescent="0.25">
      <c r="A251" s="29" t="s">
        <v>30</v>
      </c>
      <c r="B251" s="29" t="s">
        <v>728</v>
      </c>
      <c r="C251" s="29" t="s">
        <v>338</v>
      </c>
      <c r="D251" s="29" t="s">
        <v>11</v>
      </c>
      <c r="E251" s="29">
        <v>75</v>
      </c>
      <c r="F251" s="29">
        <f>E251*1800</f>
        <v>135000</v>
      </c>
      <c r="G251" s="29">
        <f t="shared" ref="G251:G256" si="22">E251*500</f>
        <v>37500</v>
      </c>
      <c r="H251" s="29">
        <f>E251*1300</f>
        <v>97500</v>
      </c>
    </row>
    <row r="252" spans="1:8" hidden="1" x14ac:dyDescent="0.25">
      <c r="A252" s="29"/>
      <c r="B252" s="29"/>
      <c r="C252" s="29" t="s">
        <v>646</v>
      </c>
      <c r="D252" s="29" t="s">
        <v>11</v>
      </c>
      <c r="E252" s="29">
        <v>14</v>
      </c>
      <c r="F252" s="29">
        <f>E252*1500</f>
        <v>21000</v>
      </c>
      <c r="G252" s="29">
        <f t="shared" si="22"/>
        <v>7000</v>
      </c>
      <c r="H252" s="29">
        <v>14000</v>
      </c>
    </row>
    <row r="253" spans="1:8" hidden="1" x14ac:dyDescent="0.25">
      <c r="A253" s="29"/>
      <c r="B253" s="29"/>
      <c r="C253" s="29" t="s">
        <v>709</v>
      </c>
      <c r="D253" s="29" t="s">
        <v>11</v>
      </c>
      <c r="E253" s="29">
        <v>25</v>
      </c>
      <c r="F253" s="29">
        <f>E253*1800</f>
        <v>45000</v>
      </c>
      <c r="G253" s="29">
        <f t="shared" si="22"/>
        <v>12500</v>
      </c>
      <c r="H253" s="29">
        <f>E253*1300</f>
        <v>32500</v>
      </c>
    </row>
    <row r="254" spans="1:8" hidden="1" x14ac:dyDescent="0.25">
      <c r="A254" s="29"/>
      <c r="B254" s="29"/>
      <c r="C254" s="29" t="s">
        <v>209</v>
      </c>
      <c r="D254" s="29" t="s">
        <v>11</v>
      </c>
      <c r="E254" s="29">
        <v>24</v>
      </c>
      <c r="F254" s="29">
        <f>E254*1500</f>
        <v>36000</v>
      </c>
      <c r="G254" s="29">
        <f t="shared" si="22"/>
        <v>12000</v>
      </c>
      <c r="H254" s="29">
        <v>24000</v>
      </c>
    </row>
    <row r="255" spans="1:8" hidden="1" x14ac:dyDescent="0.25">
      <c r="A255" s="29"/>
      <c r="B255" s="29"/>
      <c r="C255" s="29" t="s">
        <v>571</v>
      </c>
      <c r="D255" s="29" t="s">
        <v>11</v>
      </c>
      <c r="E255" s="29">
        <v>34</v>
      </c>
      <c r="F255" s="29">
        <f>E255*1700</f>
        <v>57800</v>
      </c>
      <c r="G255" s="29">
        <f t="shared" si="22"/>
        <v>17000</v>
      </c>
      <c r="H255" s="29">
        <f>E255*1200</f>
        <v>40800</v>
      </c>
    </row>
    <row r="256" spans="1:8" hidden="1" x14ac:dyDescent="0.25">
      <c r="A256" s="29"/>
      <c r="B256" s="29"/>
      <c r="C256" s="29" t="s">
        <v>217</v>
      </c>
      <c r="D256" s="29" t="s">
        <v>11</v>
      </c>
      <c r="E256" s="29">
        <v>9</v>
      </c>
      <c r="F256" s="29">
        <f>E256*1500</f>
        <v>13500</v>
      </c>
      <c r="G256" s="29">
        <f t="shared" si="22"/>
        <v>4500</v>
      </c>
      <c r="H256" s="29">
        <v>9000</v>
      </c>
    </row>
    <row r="257" spans="1:8" hidden="1" x14ac:dyDescent="0.25">
      <c r="A257" s="29"/>
      <c r="B257" s="29"/>
      <c r="C257" s="29"/>
      <c r="D257" s="29" t="s">
        <v>13</v>
      </c>
      <c r="E257" s="29">
        <v>2</v>
      </c>
      <c r="F257" s="29">
        <v>13000</v>
      </c>
      <c r="G257" s="29">
        <v>9000</v>
      </c>
      <c r="H257" s="29">
        <v>4000</v>
      </c>
    </row>
    <row r="258" spans="1:8" hidden="1" x14ac:dyDescent="0.25">
      <c r="A258" s="29"/>
      <c r="B258" s="29"/>
      <c r="C258" s="29"/>
      <c r="D258" s="29" t="s">
        <v>404</v>
      </c>
      <c r="E258" s="29">
        <v>1</v>
      </c>
      <c r="F258" s="29">
        <v>2000</v>
      </c>
      <c r="G258" s="29">
        <v>1000</v>
      </c>
      <c r="H258" s="29">
        <v>1000</v>
      </c>
    </row>
    <row r="259" spans="1:8" x14ac:dyDescent="0.25">
      <c r="A259" s="29"/>
      <c r="B259" s="29"/>
      <c r="C259" s="29"/>
      <c r="D259" s="29" t="s">
        <v>436</v>
      </c>
      <c r="E259" s="29">
        <v>1</v>
      </c>
      <c r="F259" s="29">
        <v>3000</v>
      </c>
      <c r="G259" s="29">
        <v>1500</v>
      </c>
      <c r="H259" s="29">
        <v>1500</v>
      </c>
    </row>
    <row r="260" spans="1:8" hidden="1" x14ac:dyDescent="0.25">
      <c r="A260" s="29"/>
      <c r="B260" s="29"/>
      <c r="C260" s="29" t="s">
        <v>16</v>
      </c>
      <c r="D260" s="29" t="s">
        <v>11</v>
      </c>
      <c r="E260" s="29">
        <v>10</v>
      </c>
      <c r="F260" s="29">
        <v>15000</v>
      </c>
      <c r="G260" s="29">
        <v>5000</v>
      </c>
      <c r="H260" s="29">
        <v>10000</v>
      </c>
    </row>
    <row r="261" spans="1:8" hidden="1" x14ac:dyDescent="0.25">
      <c r="A261" s="29"/>
      <c r="B261" s="29"/>
      <c r="C261" s="29"/>
      <c r="D261" s="29" t="s">
        <v>243</v>
      </c>
      <c r="E261" s="29">
        <v>1</v>
      </c>
      <c r="F261" s="29">
        <v>13000</v>
      </c>
      <c r="G261" s="29">
        <v>10000</v>
      </c>
      <c r="H261" s="29">
        <v>3000</v>
      </c>
    </row>
    <row r="262" spans="1:8" hidden="1" x14ac:dyDescent="0.25">
      <c r="A262" s="29"/>
      <c r="B262" s="29"/>
      <c r="C262" s="29" t="s">
        <v>24</v>
      </c>
      <c r="D262" s="29" t="s">
        <v>243</v>
      </c>
      <c r="E262" s="29">
        <v>3</v>
      </c>
      <c r="F262" s="29">
        <v>45000</v>
      </c>
      <c r="G262" s="29">
        <v>30000</v>
      </c>
      <c r="H262" s="29">
        <v>15000</v>
      </c>
    </row>
    <row r="263" spans="1:8" hidden="1" x14ac:dyDescent="0.25">
      <c r="A263" s="131" t="s">
        <v>17</v>
      </c>
      <c r="B263" s="132"/>
      <c r="C263" s="132"/>
      <c r="D263" s="133"/>
      <c r="E263" s="17">
        <f>SUM(E251:E262)</f>
        <v>199</v>
      </c>
      <c r="F263" s="17">
        <f t="shared" ref="F263:H263" si="23">SUM(F251:F262)</f>
        <v>399300</v>
      </c>
      <c r="G263" s="17">
        <f t="shared" si="23"/>
        <v>147000</v>
      </c>
      <c r="H263" s="17">
        <f t="shared" si="23"/>
        <v>252300</v>
      </c>
    </row>
    <row r="264" spans="1:8" hidden="1" x14ac:dyDescent="0.25">
      <c r="A264" s="29" t="s">
        <v>32</v>
      </c>
      <c r="B264" s="29" t="s">
        <v>729</v>
      </c>
      <c r="C264" s="29" t="s">
        <v>338</v>
      </c>
      <c r="D264" s="29" t="s">
        <v>11</v>
      </c>
      <c r="E264" s="29">
        <v>75</v>
      </c>
      <c r="F264" s="38">
        <f>E264*1800</f>
        <v>135000</v>
      </c>
      <c r="G264" s="38">
        <f t="shared" ref="G264:G269" si="24">E264*500</f>
        <v>37500</v>
      </c>
      <c r="H264" s="38">
        <f>E264*1300</f>
        <v>97500</v>
      </c>
    </row>
    <row r="265" spans="1:8" hidden="1" x14ac:dyDescent="0.25">
      <c r="A265" s="29"/>
      <c r="B265" s="29"/>
      <c r="C265" s="29" t="s">
        <v>646</v>
      </c>
      <c r="D265" s="29" t="s">
        <v>11</v>
      </c>
      <c r="E265" s="29">
        <v>19</v>
      </c>
      <c r="F265" s="38">
        <f>E265*1500</f>
        <v>28500</v>
      </c>
      <c r="G265" s="38">
        <f t="shared" si="24"/>
        <v>9500</v>
      </c>
      <c r="H265" s="38">
        <v>19000</v>
      </c>
    </row>
    <row r="266" spans="1:8" hidden="1" x14ac:dyDescent="0.25">
      <c r="A266" s="29"/>
      <c r="B266" s="29"/>
      <c r="C266" s="29" t="s">
        <v>209</v>
      </c>
      <c r="D266" s="29" t="s">
        <v>11</v>
      </c>
      <c r="E266" s="29">
        <v>23</v>
      </c>
      <c r="F266" s="38">
        <f>E266*1500</f>
        <v>34500</v>
      </c>
      <c r="G266" s="38">
        <f t="shared" si="24"/>
        <v>11500</v>
      </c>
      <c r="H266" s="38">
        <v>23000</v>
      </c>
    </row>
    <row r="267" spans="1:8" hidden="1" x14ac:dyDescent="0.25">
      <c r="A267" s="29"/>
      <c r="B267" s="29"/>
      <c r="C267" s="29" t="s">
        <v>104</v>
      </c>
      <c r="D267" s="29" t="s">
        <v>11</v>
      </c>
      <c r="E267" s="29">
        <v>19</v>
      </c>
      <c r="F267" s="38">
        <f>E267*1700</f>
        <v>32300</v>
      </c>
      <c r="G267" s="38">
        <f t="shared" si="24"/>
        <v>9500</v>
      </c>
      <c r="H267" s="38">
        <v>19000</v>
      </c>
    </row>
    <row r="268" spans="1:8" hidden="1" x14ac:dyDescent="0.25">
      <c r="A268" s="29"/>
      <c r="B268" s="29"/>
      <c r="C268" s="29" t="s">
        <v>571</v>
      </c>
      <c r="D268" s="29" t="s">
        <v>11</v>
      </c>
      <c r="E268" s="29">
        <v>19</v>
      </c>
      <c r="F268" s="38">
        <f>E268*1700</f>
        <v>32300</v>
      </c>
      <c r="G268" s="38">
        <f t="shared" si="24"/>
        <v>9500</v>
      </c>
      <c r="H268" s="38">
        <f>E268*1200</f>
        <v>22800</v>
      </c>
    </row>
    <row r="269" spans="1:8" hidden="1" x14ac:dyDescent="0.25">
      <c r="A269" s="29"/>
      <c r="B269" s="29"/>
      <c r="C269" s="29" t="s">
        <v>217</v>
      </c>
      <c r="D269" s="29" t="s">
        <v>11</v>
      </c>
      <c r="E269" s="29">
        <v>11</v>
      </c>
      <c r="F269" s="38">
        <f>E269*1500</f>
        <v>16500</v>
      </c>
      <c r="G269" s="38">
        <f t="shared" si="24"/>
        <v>5500</v>
      </c>
      <c r="H269" s="38">
        <v>11000</v>
      </c>
    </row>
    <row r="270" spans="1:8" hidden="1" x14ac:dyDescent="0.25">
      <c r="A270" s="29"/>
      <c r="B270" s="29"/>
      <c r="C270" s="29"/>
      <c r="D270" s="29" t="s">
        <v>13</v>
      </c>
      <c r="E270" s="29">
        <v>3</v>
      </c>
      <c r="F270" s="38">
        <f>E270*6500</f>
        <v>19500</v>
      </c>
      <c r="G270" s="38">
        <f>E270*4500</f>
        <v>13500</v>
      </c>
      <c r="H270" s="38">
        <f>E270*2000</f>
        <v>6000</v>
      </c>
    </row>
    <row r="271" spans="1:8" hidden="1" x14ac:dyDescent="0.25">
      <c r="A271" s="29"/>
      <c r="B271" s="29"/>
      <c r="C271" s="29"/>
      <c r="D271" s="29" t="s">
        <v>14</v>
      </c>
      <c r="E271" s="29">
        <v>4</v>
      </c>
      <c r="F271" s="38">
        <f>E271*10000</f>
        <v>40000</v>
      </c>
      <c r="G271" s="38">
        <f>E271*5500</f>
        <v>22000</v>
      </c>
      <c r="H271" s="38">
        <f>E271*4500</f>
        <v>18000</v>
      </c>
    </row>
    <row r="272" spans="1:8" hidden="1" x14ac:dyDescent="0.25">
      <c r="A272" s="29"/>
      <c r="B272" s="29"/>
      <c r="C272" s="29"/>
      <c r="D272" s="29" t="s">
        <v>404</v>
      </c>
      <c r="E272" s="29">
        <v>3</v>
      </c>
      <c r="F272" s="38">
        <v>6000</v>
      </c>
      <c r="G272" s="38">
        <v>3000</v>
      </c>
      <c r="H272" s="38">
        <v>3000</v>
      </c>
    </row>
    <row r="273" spans="1:8" x14ac:dyDescent="0.25">
      <c r="A273" s="29"/>
      <c r="B273" s="29"/>
      <c r="C273" s="29"/>
      <c r="D273" s="29" t="s">
        <v>436</v>
      </c>
      <c r="E273" s="29">
        <v>2</v>
      </c>
      <c r="F273" s="38">
        <v>6000</v>
      </c>
      <c r="G273" s="38">
        <v>3000</v>
      </c>
      <c r="H273" s="38">
        <v>3000</v>
      </c>
    </row>
    <row r="274" spans="1:8" hidden="1" x14ac:dyDescent="0.25">
      <c r="A274" s="29"/>
      <c r="B274" s="29"/>
      <c r="C274" s="29"/>
      <c r="D274" s="29" t="s">
        <v>686</v>
      </c>
      <c r="E274" s="29">
        <v>1</v>
      </c>
      <c r="F274" s="38">
        <v>5000</v>
      </c>
      <c r="G274" s="38">
        <v>2500</v>
      </c>
      <c r="H274" s="38">
        <v>2500</v>
      </c>
    </row>
    <row r="275" spans="1:8" hidden="1" x14ac:dyDescent="0.25">
      <c r="A275" s="29"/>
      <c r="B275" s="29"/>
      <c r="C275" s="29" t="s">
        <v>730</v>
      </c>
      <c r="D275" s="29" t="s">
        <v>731</v>
      </c>
      <c r="E275" s="29">
        <v>2</v>
      </c>
      <c r="F275" s="38">
        <v>4000</v>
      </c>
      <c r="G275" s="38">
        <v>2000</v>
      </c>
      <c r="H275" s="38">
        <v>2000</v>
      </c>
    </row>
    <row r="276" spans="1:8" hidden="1" x14ac:dyDescent="0.25">
      <c r="A276" s="29"/>
      <c r="B276" s="29"/>
      <c r="C276" s="29"/>
      <c r="D276" s="29" t="s">
        <v>13</v>
      </c>
      <c r="E276" s="29">
        <v>3</v>
      </c>
      <c r="F276" s="38">
        <f>E276*8000</f>
        <v>24000</v>
      </c>
      <c r="G276" s="38">
        <f>E276*4500</f>
        <v>13500</v>
      </c>
      <c r="H276" s="38">
        <f>E276*3500</f>
        <v>10500</v>
      </c>
    </row>
    <row r="277" spans="1:8" hidden="1" x14ac:dyDescent="0.25">
      <c r="A277" s="29"/>
      <c r="B277" s="29"/>
      <c r="C277" s="29"/>
      <c r="D277" s="29" t="s">
        <v>14</v>
      </c>
      <c r="E277" s="29">
        <v>4</v>
      </c>
      <c r="F277" s="38">
        <f>E277*12000</f>
        <v>48000</v>
      </c>
      <c r="G277" s="38">
        <f>E277*5500</f>
        <v>22000</v>
      </c>
      <c r="H277" s="38">
        <f>E277*6500</f>
        <v>26000</v>
      </c>
    </row>
    <row r="278" spans="1:8" x14ac:dyDescent="0.25">
      <c r="A278" s="29"/>
      <c r="B278" s="29"/>
      <c r="C278" s="29"/>
      <c r="D278" s="29" t="s">
        <v>437</v>
      </c>
      <c r="E278" s="29">
        <v>3</v>
      </c>
      <c r="F278" s="38">
        <f>E278*7000</f>
        <v>21000</v>
      </c>
      <c r="G278" s="38">
        <v>10500</v>
      </c>
      <c r="H278" s="38">
        <v>10500</v>
      </c>
    </row>
    <row r="279" spans="1:8" hidden="1" x14ac:dyDescent="0.25">
      <c r="A279" s="131" t="s">
        <v>17</v>
      </c>
      <c r="B279" s="132"/>
      <c r="C279" s="132"/>
      <c r="D279" s="133"/>
      <c r="E279" s="17">
        <f>SUM(E264:E278)</f>
        <v>191</v>
      </c>
      <c r="F279" s="17">
        <f t="shared" ref="F279:H279" si="25">SUM(F264:F278)</f>
        <v>452600</v>
      </c>
      <c r="G279" s="17">
        <f t="shared" si="25"/>
        <v>175000</v>
      </c>
      <c r="H279" s="17">
        <f t="shared" si="25"/>
        <v>273800</v>
      </c>
    </row>
    <row r="280" spans="1:8" hidden="1" x14ac:dyDescent="0.25">
      <c r="A280" s="29" t="s">
        <v>8</v>
      </c>
      <c r="B280" s="29" t="s">
        <v>732</v>
      </c>
      <c r="C280" s="29" t="s">
        <v>338</v>
      </c>
      <c r="D280" s="29" t="s">
        <v>11</v>
      </c>
      <c r="E280" s="29">
        <v>75</v>
      </c>
      <c r="F280" s="29">
        <f>E280*1800</f>
        <v>135000</v>
      </c>
      <c r="G280" s="29">
        <f>E280*500</f>
        <v>37500</v>
      </c>
      <c r="H280" s="29">
        <f>E280*1300</f>
        <v>97500</v>
      </c>
    </row>
    <row r="281" spans="1:8" hidden="1" x14ac:dyDescent="0.25">
      <c r="A281" s="29"/>
      <c r="B281" s="29"/>
      <c r="C281" s="29" t="s">
        <v>646</v>
      </c>
      <c r="D281" s="29" t="s">
        <v>11</v>
      </c>
      <c r="E281" s="29">
        <v>10</v>
      </c>
      <c r="F281" s="29">
        <v>15000</v>
      </c>
      <c r="G281" s="29">
        <v>5000</v>
      </c>
      <c r="H281" s="29">
        <v>10000</v>
      </c>
    </row>
    <row r="282" spans="1:8" hidden="1" x14ac:dyDescent="0.25">
      <c r="A282" s="29"/>
      <c r="B282" s="29"/>
      <c r="C282" s="29" t="s">
        <v>709</v>
      </c>
      <c r="D282" s="29" t="s">
        <v>11</v>
      </c>
      <c r="E282" s="29">
        <v>25</v>
      </c>
      <c r="F282" s="29">
        <f>E282*1800</f>
        <v>45000</v>
      </c>
      <c r="G282" s="29">
        <f>E282*500</f>
        <v>12500</v>
      </c>
      <c r="H282" s="29">
        <f>E282*1300</f>
        <v>32500</v>
      </c>
    </row>
    <row r="283" spans="1:8" hidden="1" x14ac:dyDescent="0.25">
      <c r="A283" s="29"/>
      <c r="B283" s="29"/>
      <c r="C283" s="29" t="s">
        <v>209</v>
      </c>
      <c r="D283" s="29" t="s">
        <v>11</v>
      </c>
      <c r="E283" s="29">
        <f>34-9</f>
        <v>25</v>
      </c>
      <c r="F283" s="29">
        <f>E283*1500</f>
        <v>37500</v>
      </c>
      <c r="G283" s="29">
        <f>E283*500</f>
        <v>12500</v>
      </c>
      <c r="H283" s="29">
        <v>25000</v>
      </c>
    </row>
    <row r="284" spans="1:8" hidden="1" x14ac:dyDescent="0.25">
      <c r="A284" s="29"/>
      <c r="B284" s="29"/>
      <c r="C284" s="29" t="s">
        <v>571</v>
      </c>
      <c r="D284" s="29" t="s">
        <v>11</v>
      </c>
      <c r="E284" s="29">
        <v>29</v>
      </c>
      <c r="F284" s="29">
        <f>E284*1700</f>
        <v>49300</v>
      </c>
      <c r="G284" s="29">
        <f>E284*500</f>
        <v>14500</v>
      </c>
      <c r="H284" s="29">
        <f>E284*1200</f>
        <v>34800</v>
      </c>
    </row>
    <row r="285" spans="1:8" hidden="1" x14ac:dyDescent="0.25">
      <c r="A285" s="29"/>
      <c r="B285" s="29"/>
      <c r="C285" s="29" t="s">
        <v>104</v>
      </c>
      <c r="D285" s="29" t="s">
        <v>11</v>
      </c>
      <c r="E285" s="29">
        <v>29</v>
      </c>
      <c r="F285" s="29">
        <f>E285*1700</f>
        <v>49300</v>
      </c>
      <c r="G285" s="29">
        <f>E285*500</f>
        <v>14500</v>
      </c>
      <c r="H285" s="29">
        <f>E285*1200</f>
        <v>34800</v>
      </c>
    </row>
    <row r="286" spans="1:8" hidden="1" x14ac:dyDescent="0.25">
      <c r="A286" s="29"/>
      <c r="B286" s="29"/>
      <c r="C286" s="29" t="s">
        <v>217</v>
      </c>
      <c r="D286" s="29" t="s">
        <v>11</v>
      </c>
      <c r="E286" s="29">
        <v>20</v>
      </c>
      <c r="F286" s="29">
        <v>30000</v>
      </c>
      <c r="G286" s="29">
        <f>E286*500</f>
        <v>10000</v>
      </c>
      <c r="H286" s="29">
        <v>20000</v>
      </c>
    </row>
    <row r="287" spans="1:8" hidden="1" x14ac:dyDescent="0.25">
      <c r="A287" s="29"/>
      <c r="B287" s="29"/>
      <c r="C287" s="29"/>
      <c r="D287" s="29" t="s">
        <v>13</v>
      </c>
      <c r="E287" s="29">
        <v>2</v>
      </c>
      <c r="F287" s="29">
        <f>E287*6500</f>
        <v>13000</v>
      </c>
      <c r="G287" s="29">
        <f>E287*4500</f>
        <v>9000</v>
      </c>
      <c r="H287" s="29">
        <v>4000</v>
      </c>
    </row>
    <row r="288" spans="1:8" hidden="1" x14ac:dyDescent="0.25">
      <c r="A288" s="29"/>
      <c r="B288" s="29"/>
      <c r="C288" s="29"/>
      <c r="D288" s="29" t="s">
        <v>14</v>
      </c>
      <c r="E288" s="29">
        <v>4</v>
      </c>
      <c r="F288" s="29">
        <v>40000</v>
      </c>
      <c r="G288" s="29">
        <f>E288*5500</f>
        <v>22000</v>
      </c>
      <c r="H288" s="29">
        <f>E288*4500</f>
        <v>18000</v>
      </c>
    </row>
    <row r="289" spans="1:8" hidden="1" x14ac:dyDescent="0.25">
      <c r="A289" s="29"/>
      <c r="B289" s="29"/>
      <c r="C289" s="29"/>
      <c r="D289" s="29" t="s">
        <v>404</v>
      </c>
      <c r="E289" s="29">
        <v>9</v>
      </c>
      <c r="F289" s="29">
        <v>18000</v>
      </c>
      <c r="G289" s="29">
        <v>9000</v>
      </c>
      <c r="H289" s="29">
        <v>9000</v>
      </c>
    </row>
    <row r="290" spans="1:8" hidden="1" x14ac:dyDescent="0.25">
      <c r="A290" s="29"/>
      <c r="B290" s="29"/>
      <c r="C290" s="29" t="s">
        <v>16</v>
      </c>
      <c r="D290" s="29" t="s">
        <v>11</v>
      </c>
      <c r="E290" s="29">
        <v>42</v>
      </c>
      <c r="F290" s="29">
        <f>E290*1500</f>
        <v>63000</v>
      </c>
      <c r="G290" s="29">
        <f>E290*500</f>
        <v>21000</v>
      </c>
      <c r="H290" s="29">
        <v>42000</v>
      </c>
    </row>
    <row r="291" spans="1:8" hidden="1" x14ac:dyDescent="0.25">
      <c r="A291" s="29"/>
      <c r="B291" s="29"/>
      <c r="C291" s="29"/>
      <c r="D291" s="29" t="s">
        <v>13</v>
      </c>
      <c r="E291" s="29">
        <v>1</v>
      </c>
      <c r="F291" s="29">
        <v>6500</v>
      </c>
      <c r="G291" s="29">
        <v>4500</v>
      </c>
      <c r="H291" s="29">
        <v>2000</v>
      </c>
    </row>
    <row r="292" spans="1:8" hidden="1" x14ac:dyDescent="0.25">
      <c r="A292" s="29"/>
      <c r="B292" s="29"/>
      <c r="C292" s="29" t="s">
        <v>127</v>
      </c>
      <c r="D292" s="29" t="s">
        <v>21</v>
      </c>
      <c r="E292" s="29">
        <v>5</v>
      </c>
      <c r="F292" s="29">
        <f>E292*13000</f>
        <v>65000</v>
      </c>
      <c r="G292" s="29">
        <f>E292*10000</f>
        <v>50000</v>
      </c>
      <c r="H292" s="29">
        <v>15000</v>
      </c>
    </row>
    <row r="293" spans="1:8" hidden="1" x14ac:dyDescent="0.25">
      <c r="A293" s="29"/>
      <c r="B293" s="29"/>
      <c r="C293" s="29"/>
      <c r="D293" s="29" t="s">
        <v>243</v>
      </c>
      <c r="E293" s="29">
        <v>1</v>
      </c>
      <c r="F293" s="29">
        <v>12000</v>
      </c>
      <c r="G293" s="29">
        <v>10000</v>
      </c>
      <c r="H293" s="29">
        <v>2000</v>
      </c>
    </row>
    <row r="294" spans="1:8" hidden="1" x14ac:dyDescent="0.25">
      <c r="A294" s="29"/>
      <c r="B294" s="29"/>
      <c r="C294" s="29" t="s">
        <v>24</v>
      </c>
      <c r="D294" s="29" t="s">
        <v>243</v>
      </c>
      <c r="E294" s="29">
        <v>10</v>
      </c>
      <c r="F294" s="29">
        <f>E294*15000</f>
        <v>150000</v>
      </c>
      <c r="G294" s="29">
        <v>100000</v>
      </c>
      <c r="H294" s="29">
        <v>50000</v>
      </c>
    </row>
    <row r="295" spans="1:8" hidden="1" x14ac:dyDescent="0.25">
      <c r="A295" s="29"/>
      <c r="B295" s="29"/>
      <c r="C295" s="29" t="s">
        <v>24</v>
      </c>
      <c r="D295" s="29" t="s">
        <v>243</v>
      </c>
      <c r="E295" s="29">
        <v>1</v>
      </c>
      <c r="F295" s="29">
        <v>15000</v>
      </c>
      <c r="G295" s="29">
        <v>10000</v>
      </c>
      <c r="H295" s="29">
        <v>5000</v>
      </c>
    </row>
    <row r="296" spans="1:8" hidden="1" x14ac:dyDescent="0.25">
      <c r="A296" s="128" t="s">
        <v>17</v>
      </c>
      <c r="B296" s="129"/>
      <c r="C296" s="129"/>
      <c r="D296" s="130"/>
      <c r="E296" s="16">
        <f>SUM(E280:E295)</f>
        <v>288</v>
      </c>
      <c r="F296" s="16">
        <f t="shared" ref="F296:H296" si="26">SUM(F280:F295)</f>
        <v>743600</v>
      </c>
      <c r="G296" s="16">
        <f t="shared" si="26"/>
        <v>342000</v>
      </c>
      <c r="H296" s="16">
        <f t="shared" si="26"/>
        <v>401600</v>
      </c>
    </row>
    <row r="297" spans="1:8" hidden="1" x14ac:dyDescent="0.25">
      <c r="A297" s="29" t="s">
        <v>18</v>
      </c>
      <c r="B297" s="29" t="s">
        <v>733</v>
      </c>
      <c r="C297" s="29" t="s">
        <v>338</v>
      </c>
      <c r="D297" s="29" t="s">
        <v>11</v>
      </c>
      <c r="E297" s="29">
        <v>66</v>
      </c>
      <c r="F297" s="29">
        <f>E297*1800</f>
        <v>118800</v>
      </c>
      <c r="G297" s="29">
        <f>E297*500</f>
        <v>33000</v>
      </c>
      <c r="H297" s="29">
        <f>E297*1300</f>
        <v>85800</v>
      </c>
    </row>
    <row r="298" spans="1:8" hidden="1" x14ac:dyDescent="0.25">
      <c r="A298" s="29"/>
      <c r="B298" s="29"/>
      <c r="C298" s="29" t="s">
        <v>646</v>
      </c>
      <c r="D298" s="29" t="s">
        <v>11</v>
      </c>
      <c r="E298" s="29">
        <v>12</v>
      </c>
      <c r="F298" s="29">
        <f>E298*1500</f>
        <v>18000</v>
      </c>
      <c r="G298" s="29">
        <f>E298*500</f>
        <v>6000</v>
      </c>
      <c r="H298" s="29">
        <f>E298*1000</f>
        <v>12000</v>
      </c>
    </row>
    <row r="299" spans="1:8" hidden="1" x14ac:dyDescent="0.25">
      <c r="A299" s="29"/>
      <c r="B299" s="29"/>
      <c r="C299" s="29" t="s">
        <v>209</v>
      </c>
      <c r="D299" s="29" t="s">
        <v>11</v>
      </c>
      <c r="E299" s="29">
        <v>13</v>
      </c>
      <c r="F299" s="29">
        <f>E299*1500</f>
        <v>19500</v>
      </c>
      <c r="G299" s="29">
        <f>E299*500</f>
        <v>6500</v>
      </c>
      <c r="H299" s="29">
        <v>13000</v>
      </c>
    </row>
    <row r="300" spans="1:8" hidden="1" x14ac:dyDescent="0.25">
      <c r="A300" s="29"/>
      <c r="B300" s="29"/>
      <c r="C300" s="29" t="s">
        <v>571</v>
      </c>
      <c r="D300" s="29" t="s">
        <v>11</v>
      </c>
      <c r="E300" s="29">
        <v>21</v>
      </c>
      <c r="F300" s="29">
        <f>E300*1700</f>
        <v>35700</v>
      </c>
      <c r="G300" s="29">
        <f>E300*500</f>
        <v>10500</v>
      </c>
      <c r="H300" s="29">
        <f>E300*1200</f>
        <v>25200</v>
      </c>
    </row>
    <row r="301" spans="1:8" hidden="1" x14ac:dyDescent="0.25">
      <c r="A301" s="29"/>
      <c r="B301" s="29"/>
      <c r="C301" s="29" t="s">
        <v>16</v>
      </c>
      <c r="D301" s="29" t="s">
        <v>11</v>
      </c>
      <c r="E301" s="29">
        <v>22</v>
      </c>
      <c r="F301" s="29">
        <f>E301*1500</f>
        <v>33000</v>
      </c>
      <c r="G301" s="29">
        <f>E301*500</f>
        <v>11000</v>
      </c>
      <c r="H301" s="29">
        <v>22000</v>
      </c>
    </row>
    <row r="302" spans="1:8" hidden="1" x14ac:dyDescent="0.25">
      <c r="A302" s="29"/>
      <c r="B302" s="29"/>
      <c r="C302" s="29"/>
      <c r="D302" s="29" t="s">
        <v>14</v>
      </c>
      <c r="E302" s="29">
        <v>1</v>
      </c>
      <c r="F302" s="29">
        <v>10000</v>
      </c>
      <c r="G302" s="29">
        <v>5500</v>
      </c>
      <c r="H302" s="29">
        <v>4500</v>
      </c>
    </row>
    <row r="303" spans="1:8" hidden="1" x14ac:dyDescent="0.25">
      <c r="A303" s="29"/>
      <c r="B303" s="29"/>
      <c r="C303" s="29"/>
      <c r="D303" s="29" t="s">
        <v>243</v>
      </c>
      <c r="E303" s="29">
        <v>2</v>
      </c>
      <c r="F303" s="29">
        <v>26000</v>
      </c>
      <c r="G303" s="29">
        <v>20000</v>
      </c>
      <c r="H303" s="29">
        <v>6000</v>
      </c>
    </row>
    <row r="304" spans="1:8" hidden="1" x14ac:dyDescent="0.25">
      <c r="A304" s="29"/>
      <c r="B304" s="29"/>
      <c r="C304" s="29" t="s">
        <v>24</v>
      </c>
      <c r="D304" s="29" t="s">
        <v>243</v>
      </c>
      <c r="E304" s="29">
        <v>2</v>
      </c>
      <c r="F304" s="29">
        <v>30000</v>
      </c>
      <c r="G304" s="29">
        <v>20000</v>
      </c>
      <c r="H304" s="29">
        <v>10000</v>
      </c>
    </row>
    <row r="305" spans="1:8" hidden="1" x14ac:dyDescent="0.25">
      <c r="A305" s="29"/>
      <c r="B305" s="29"/>
      <c r="C305" s="29" t="s">
        <v>730</v>
      </c>
      <c r="D305" s="29" t="s">
        <v>14</v>
      </c>
      <c r="E305" s="29">
        <v>2</v>
      </c>
      <c r="F305" s="29">
        <v>24000</v>
      </c>
      <c r="G305" s="29">
        <f>E305*5500</f>
        <v>11000</v>
      </c>
      <c r="H305" s="29">
        <v>9000</v>
      </c>
    </row>
    <row r="306" spans="1:8" hidden="1" x14ac:dyDescent="0.25">
      <c r="A306" s="29"/>
      <c r="B306" s="29"/>
      <c r="C306" s="29"/>
      <c r="D306" s="29" t="s">
        <v>731</v>
      </c>
      <c r="E306" s="29">
        <v>4</v>
      </c>
      <c r="F306" s="29">
        <v>12000</v>
      </c>
      <c r="G306" s="29">
        <v>6000</v>
      </c>
      <c r="H306" s="29">
        <v>6000</v>
      </c>
    </row>
    <row r="307" spans="1:8" hidden="1" x14ac:dyDescent="0.25">
      <c r="A307" s="29"/>
      <c r="B307" s="29"/>
      <c r="C307" s="29"/>
      <c r="D307" s="29" t="s">
        <v>243</v>
      </c>
      <c r="E307" s="29">
        <v>1</v>
      </c>
      <c r="F307" s="29">
        <v>13000</v>
      </c>
      <c r="G307" s="29">
        <v>10000</v>
      </c>
      <c r="H307" s="29">
        <v>3000</v>
      </c>
    </row>
    <row r="308" spans="1:8" hidden="1" x14ac:dyDescent="0.25">
      <c r="A308" s="131" t="s">
        <v>17</v>
      </c>
      <c r="B308" s="132"/>
      <c r="C308" s="132"/>
      <c r="D308" s="133"/>
      <c r="E308" s="17">
        <f>SUM(E297:E307)</f>
        <v>146</v>
      </c>
      <c r="F308" s="17">
        <f t="shared" ref="F308:H308" si="27">SUM(F297:F307)</f>
        <v>340000</v>
      </c>
      <c r="G308" s="17">
        <f t="shared" si="27"/>
        <v>139500</v>
      </c>
      <c r="H308" s="17">
        <f t="shared" si="27"/>
        <v>196500</v>
      </c>
    </row>
    <row r="309" spans="1:8" x14ac:dyDescent="0.25">
      <c r="A309" s="29"/>
      <c r="B309" s="37"/>
      <c r="C309" s="29"/>
      <c r="D309" s="29"/>
      <c r="E309" s="29"/>
      <c r="F309" s="29"/>
      <c r="G309" s="29"/>
      <c r="H309" s="29"/>
    </row>
    <row r="310" spans="1:8" x14ac:dyDescent="0.25">
      <c r="A310" s="29"/>
      <c r="B310" s="29"/>
      <c r="C310" s="29"/>
      <c r="D310" s="29"/>
      <c r="E310" s="29"/>
      <c r="F310" s="29"/>
      <c r="G310" s="29"/>
      <c r="H310" s="29"/>
    </row>
    <row r="311" spans="1:8" x14ac:dyDescent="0.25">
      <c r="A311" s="29"/>
      <c r="B311" s="29"/>
      <c r="C311" s="29"/>
      <c r="D311" s="29"/>
      <c r="E311" s="29"/>
      <c r="F311" s="29"/>
      <c r="G311" s="29"/>
      <c r="H311" s="29"/>
    </row>
    <row r="312" spans="1:8" x14ac:dyDescent="0.25">
      <c r="A312" s="29"/>
      <c r="B312" s="29"/>
      <c r="C312" s="29"/>
      <c r="D312" s="29"/>
      <c r="E312" s="29"/>
      <c r="F312" s="29"/>
      <c r="G312" s="29"/>
      <c r="H312" s="29"/>
    </row>
    <row r="313" spans="1:8" x14ac:dyDescent="0.25">
      <c r="A313" s="29"/>
      <c r="B313" s="29"/>
      <c r="C313" s="29"/>
      <c r="D313" s="29"/>
      <c r="E313" s="29"/>
      <c r="F313" s="29"/>
      <c r="G313" s="29"/>
      <c r="H313" s="29"/>
    </row>
    <row r="314" spans="1:8" x14ac:dyDescent="0.25">
      <c r="A314" s="29"/>
      <c r="B314" s="29"/>
      <c r="C314" s="29"/>
      <c r="D314" s="29"/>
      <c r="E314" s="29"/>
      <c r="F314" s="29"/>
      <c r="G314" s="29"/>
      <c r="H314" s="29"/>
    </row>
    <row r="315" spans="1:8" x14ac:dyDescent="0.25">
      <c r="A315" s="29"/>
      <c r="B315" s="29"/>
      <c r="C315" s="29"/>
      <c r="D315" s="29"/>
      <c r="E315" s="29"/>
      <c r="F315" s="29"/>
      <c r="G315" s="29"/>
      <c r="H315" s="29"/>
    </row>
    <row r="316" spans="1:8" x14ac:dyDescent="0.25">
      <c r="A316" s="29"/>
      <c r="B316" s="29"/>
      <c r="C316" s="29"/>
      <c r="D316" s="29"/>
      <c r="E316" s="29"/>
      <c r="F316" s="29"/>
      <c r="G316" s="29"/>
      <c r="H316" s="29"/>
    </row>
    <row r="317" spans="1:8" x14ac:dyDescent="0.25">
      <c r="A317" s="29"/>
      <c r="B317" s="29"/>
      <c r="C317" s="29"/>
      <c r="D317" s="29"/>
      <c r="E317" s="29"/>
      <c r="F317" s="29"/>
      <c r="G317" s="29"/>
      <c r="H317" s="29"/>
    </row>
    <row r="318" spans="1:8" x14ac:dyDescent="0.25">
      <c r="A318" s="29"/>
      <c r="B318" s="29"/>
      <c r="C318" s="29"/>
      <c r="D318" s="29"/>
      <c r="E318" s="29"/>
      <c r="F318" s="29"/>
      <c r="G318" s="29"/>
      <c r="H318" s="29"/>
    </row>
    <row r="319" spans="1:8" x14ac:dyDescent="0.25">
      <c r="A319" s="29"/>
      <c r="B319" s="29"/>
      <c r="C319" s="29"/>
      <c r="D319" s="29"/>
      <c r="E319" s="29"/>
      <c r="F319" s="29"/>
      <c r="G319" s="29"/>
      <c r="H319" s="29"/>
    </row>
    <row r="320" spans="1:8" x14ac:dyDescent="0.25">
      <c r="A320" s="29"/>
      <c r="B320" s="29"/>
      <c r="C320" s="29"/>
      <c r="D320" s="29"/>
      <c r="E320" s="29"/>
      <c r="F320" s="29"/>
      <c r="G320" s="29"/>
      <c r="H320" s="29"/>
    </row>
    <row r="321" spans="1:8" x14ac:dyDescent="0.25">
      <c r="A321" s="29"/>
      <c r="B321" s="29"/>
      <c r="C321" s="29"/>
      <c r="D321" s="29"/>
      <c r="E321" s="29"/>
      <c r="F321" s="29"/>
      <c r="G321" s="29"/>
      <c r="H321" s="29"/>
    </row>
    <row r="322" spans="1:8" x14ac:dyDescent="0.25">
      <c r="A322" s="29"/>
      <c r="B322" s="29"/>
      <c r="C322" s="29"/>
      <c r="D322" s="29"/>
      <c r="E322" s="29"/>
      <c r="F322" s="29"/>
      <c r="G322" s="29"/>
      <c r="H322" s="29"/>
    </row>
    <row r="323" spans="1:8" x14ac:dyDescent="0.25">
      <c r="A323" s="29"/>
      <c r="B323" s="29"/>
      <c r="C323" s="29"/>
      <c r="D323" s="29"/>
      <c r="E323" s="29"/>
      <c r="F323" s="29"/>
      <c r="G323" s="29"/>
      <c r="H323" s="29"/>
    </row>
    <row r="324" spans="1:8" x14ac:dyDescent="0.25">
      <c r="A324" s="29"/>
      <c r="B324" s="29"/>
      <c r="C324" s="29"/>
      <c r="D324" s="29"/>
      <c r="E324" s="29"/>
      <c r="F324" s="29"/>
      <c r="G324" s="29"/>
      <c r="H324" s="29"/>
    </row>
    <row r="325" spans="1:8" x14ac:dyDescent="0.25">
      <c r="A325" s="29"/>
      <c r="B325" s="29"/>
      <c r="C325" s="29"/>
      <c r="D325" s="29"/>
      <c r="E325" s="29"/>
      <c r="F325" s="29"/>
      <c r="G325" s="29"/>
      <c r="H325" s="29"/>
    </row>
    <row r="326" spans="1:8" x14ac:dyDescent="0.25">
      <c r="A326" s="29"/>
      <c r="B326" s="29"/>
      <c r="C326" s="29"/>
      <c r="D326" s="29"/>
      <c r="E326" s="29"/>
      <c r="F326" s="29"/>
      <c r="G326" s="29"/>
      <c r="H326" s="29"/>
    </row>
    <row r="327" spans="1:8" x14ac:dyDescent="0.25">
      <c r="A327" s="29"/>
      <c r="B327" s="29"/>
      <c r="C327" s="29"/>
      <c r="D327" s="29"/>
      <c r="E327" s="29"/>
      <c r="F327" s="29"/>
      <c r="G327" s="29"/>
      <c r="H327" s="29"/>
    </row>
    <row r="328" spans="1:8" x14ac:dyDescent="0.25">
      <c r="A328" s="29"/>
      <c r="B328" s="29"/>
      <c r="C328" s="29"/>
      <c r="D328" s="29"/>
      <c r="E328" s="29"/>
      <c r="F328" s="29"/>
      <c r="G328" s="29"/>
      <c r="H328" s="29"/>
    </row>
    <row r="329" spans="1:8" x14ac:dyDescent="0.25">
      <c r="A329" s="29"/>
      <c r="B329" s="29"/>
      <c r="C329" s="29"/>
      <c r="D329" s="29"/>
      <c r="E329" s="29"/>
      <c r="F329" s="29"/>
      <c r="G329" s="29"/>
      <c r="H329" s="29"/>
    </row>
    <row r="330" spans="1:8" x14ac:dyDescent="0.25">
      <c r="A330" s="29"/>
      <c r="B330" s="29"/>
      <c r="C330" s="29"/>
      <c r="D330" s="29"/>
      <c r="E330" s="29"/>
      <c r="F330" s="29"/>
      <c r="G330" s="29"/>
      <c r="H330" s="29"/>
    </row>
    <row r="331" spans="1:8" x14ac:dyDescent="0.25">
      <c r="A331" s="29"/>
      <c r="B331" s="29"/>
      <c r="C331" s="29"/>
      <c r="D331" s="29"/>
      <c r="E331" s="29"/>
      <c r="F331" s="29"/>
      <c r="G331" s="29"/>
      <c r="H331" s="29"/>
    </row>
    <row r="332" spans="1:8" x14ac:dyDescent="0.25">
      <c r="A332" s="29"/>
      <c r="B332" s="29"/>
      <c r="C332" s="29"/>
      <c r="D332" s="29"/>
      <c r="E332" s="29"/>
      <c r="F332" s="29"/>
      <c r="G332" s="29"/>
      <c r="H332" s="29"/>
    </row>
    <row r="333" spans="1:8" x14ac:dyDescent="0.25">
      <c r="A333" s="29"/>
      <c r="B333" s="29"/>
      <c r="C333" s="29"/>
      <c r="D333" s="29"/>
      <c r="E333" s="29"/>
      <c r="F333" s="29"/>
      <c r="G333" s="29"/>
      <c r="H333" s="29"/>
    </row>
    <row r="334" spans="1:8" x14ac:dyDescent="0.25">
      <c r="A334" s="29"/>
      <c r="B334" s="29"/>
      <c r="C334" s="29"/>
      <c r="D334" s="29"/>
      <c r="E334" s="29"/>
      <c r="F334" s="29"/>
      <c r="G334" s="29"/>
      <c r="H334" s="29"/>
    </row>
    <row r="335" spans="1:8" x14ac:dyDescent="0.25">
      <c r="A335" s="29"/>
      <c r="B335" s="29"/>
      <c r="C335" s="29"/>
      <c r="D335" s="29"/>
      <c r="E335" s="29"/>
      <c r="F335" s="29"/>
      <c r="G335" s="29"/>
      <c r="H335" s="29"/>
    </row>
    <row r="336" spans="1:8" x14ac:dyDescent="0.25">
      <c r="A336" s="29"/>
      <c r="B336" s="29"/>
      <c r="C336" s="29"/>
      <c r="D336" s="29"/>
      <c r="E336" s="29"/>
      <c r="F336" s="29"/>
      <c r="G336" s="29"/>
      <c r="H336" s="29"/>
    </row>
    <row r="337" spans="1:8" x14ac:dyDescent="0.25">
      <c r="A337" s="29"/>
      <c r="B337" s="29"/>
      <c r="C337" s="29"/>
      <c r="D337" s="29"/>
      <c r="E337" s="29"/>
      <c r="F337" s="29"/>
      <c r="G337" s="29"/>
      <c r="H337" s="29"/>
    </row>
    <row r="338" spans="1:8" x14ac:dyDescent="0.25">
      <c r="A338" s="29"/>
      <c r="B338" s="29"/>
      <c r="C338" s="29"/>
      <c r="D338" s="29"/>
      <c r="E338" s="29"/>
      <c r="F338" s="29"/>
      <c r="G338" s="29"/>
      <c r="H338" s="29"/>
    </row>
    <row r="339" spans="1:8" x14ac:dyDescent="0.25">
      <c r="A339" s="29"/>
      <c r="B339" s="29"/>
      <c r="C339" s="29"/>
      <c r="D339" s="29"/>
      <c r="E339" s="29"/>
      <c r="F339" s="29"/>
      <c r="G339" s="29"/>
      <c r="H339" s="29"/>
    </row>
    <row r="340" spans="1:8" x14ac:dyDescent="0.25">
      <c r="A340" s="29"/>
      <c r="B340" s="29"/>
      <c r="C340" s="29"/>
      <c r="D340" s="29"/>
      <c r="E340" s="29"/>
      <c r="F340" s="29"/>
      <c r="G340" s="29"/>
      <c r="H340" s="29"/>
    </row>
    <row r="341" spans="1:8" x14ac:dyDescent="0.25">
      <c r="A341" s="29"/>
      <c r="B341" s="29"/>
      <c r="C341" s="29"/>
      <c r="D341" s="29"/>
      <c r="E341" s="29"/>
      <c r="F341" s="29"/>
      <c r="G341" s="29"/>
      <c r="H341" s="29"/>
    </row>
    <row r="342" spans="1:8" x14ac:dyDescent="0.25">
      <c r="A342" s="29"/>
      <c r="B342" s="29"/>
      <c r="C342" s="29"/>
      <c r="D342" s="29"/>
      <c r="E342" s="29"/>
      <c r="F342" s="29"/>
      <c r="G342" s="29"/>
      <c r="H342" s="29"/>
    </row>
    <row r="343" spans="1:8" x14ac:dyDescent="0.25">
      <c r="A343" s="29"/>
      <c r="B343" s="29"/>
      <c r="C343" s="29"/>
      <c r="D343" s="29"/>
      <c r="E343" s="29"/>
      <c r="F343" s="29"/>
      <c r="G343" s="29"/>
      <c r="H343" s="29"/>
    </row>
    <row r="344" spans="1:8" x14ac:dyDescent="0.25">
      <c r="A344" s="29"/>
      <c r="B344" s="29"/>
      <c r="C344" s="29"/>
      <c r="D344" s="29"/>
      <c r="E344" s="29"/>
      <c r="F344" s="29"/>
      <c r="G344" s="29"/>
      <c r="H344" s="29"/>
    </row>
    <row r="345" spans="1:8" x14ac:dyDescent="0.25">
      <c r="A345" s="29"/>
      <c r="B345" s="29"/>
      <c r="C345" s="29"/>
      <c r="D345" s="29"/>
      <c r="E345" s="29"/>
      <c r="F345" s="29"/>
      <c r="G345" s="29"/>
      <c r="H345" s="29"/>
    </row>
    <row r="346" spans="1:8" x14ac:dyDescent="0.25">
      <c r="A346" s="29"/>
      <c r="B346" s="29"/>
      <c r="C346" s="29"/>
      <c r="D346" s="29"/>
      <c r="E346" s="29"/>
      <c r="F346" s="29"/>
      <c r="G346" s="29"/>
      <c r="H346" s="29"/>
    </row>
    <row r="347" spans="1:8" x14ac:dyDescent="0.25">
      <c r="A347" s="29"/>
      <c r="B347" s="29"/>
      <c r="C347" s="29"/>
      <c r="D347" s="29"/>
      <c r="E347" s="29"/>
      <c r="F347" s="29"/>
      <c r="G347" s="29"/>
      <c r="H347" s="29"/>
    </row>
    <row r="348" spans="1:8" x14ac:dyDescent="0.25">
      <c r="A348" s="29"/>
      <c r="B348" s="29"/>
      <c r="C348" s="29"/>
      <c r="D348" s="29"/>
      <c r="E348" s="29"/>
      <c r="F348" s="29"/>
      <c r="G348" s="29"/>
      <c r="H348" s="29"/>
    </row>
    <row r="349" spans="1:8" x14ac:dyDescent="0.25">
      <c r="A349" s="29"/>
      <c r="B349" s="29"/>
      <c r="C349" s="29"/>
      <c r="D349" s="29"/>
      <c r="E349" s="29"/>
      <c r="F349" s="29"/>
      <c r="G349" s="29"/>
      <c r="H349" s="29"/>
    </row>
    <row r="350" spans="1:8" x14ac:dyDescent="0.25">
      <c r="A350" s="29"/>
      <c r="B350" s="29"/>
      <c r="C350" s="29"/>
      <c r="D350" s="29"/>
      <c r="E350" s="29"/>
      <c r="F350" s="29"/>
      <c r="G350" s="29"/>
      <c r="H350" s="29"/>
    </row>
    <row r="351" spans="1:8" x14ac:dyDescent="0.25">
      <c r="A351" s="29"/>
      <c r="B351" s="29"/>
      <c r="C351" s="29"/>
      <c r="D351" s="29"/>
      <c r="E351" s="29"/>
      <c r="F351" s="29"/>
      <c r="G351" s="29"/>
      <c r="H351" s="29"/>
    </row>
    <row r="352" spans="1:8" x14ac:dyDescent="0.25">
      <c r="A352" s="29"/>
      <c r="B352" s="29"/>
      <c r="C352" s="29"/>
      <c r="D352" s="29"/>
      <c r="E352" s="29"/>
      <c r="F352" s="29"/>
      <c r="G352" s="29"/>
      <c r="H352" s="29"/>
    </row>
    <row r="353" spans="1:8" x14ac:dyDescent="0.25">
      <c r="A353" s="29"/>
      <c r="B353" s="29"/>
      <c r="C353" s="29"/>
      <c r="D353" s="29"/>
      <c r="E353" s="29"/>
      <c r="F353" s="29"/>
      <c r="G353" s="29"/>
      <c r="H353" s="29"/>
    </row>
    <row r="354" spans="1:8" x14ac:dyDescent="0.25">
      <c r="A354" s="29"/>
      <c r="B354" s="29"/>
      <c r="C354" s="29"/>
      <c r="D354" s="29"/>
      <c r="E354" s="29"/>
      <c r="F354" s="29"/>
      <c r="G354" s="29"/>
      <c r="H354" s="29"/>
    </row>
    <row r="355" spans="1:8" x14ac:dyDescent="0.25">
      <c r="A355" s="29"/>
      <c r="B355" s="29"/>
      <c r="C355" s="29"/>
      <c r="D355" s="29"/>
      <c r="E355" s="29"/>
      <c r="F355" s="29"/>
      <c r="G355" s="29"/>
      <c r="H355" s="29"/>
    </row>
    <row r="356" spans="1:8" x14ac:dyDescent="0.25">
      <c r="A356" s="29"/>
      <c r="B356" s="29"/>
      <c r="C356" s="29"/>
      <c r="D356" s="29"/>
      <c r="E356" s="29"/>
      <c r="F356" s="29"/>
      <c r="G356" s="29"/>
      <c r="H356" s="29"/>
    </row>
    <row r="357" spans="1:8" x14ac:dyDescent="0.25">
      <c r="A357" s="29"/>
      <c r="B357" s="29"/>
      <c r="C357" s="29"/>
      <c r="D357" s="29"/>
      <c r="E357" s="29"/>
      <c r="F357" s="29"/>
      <c r="G357" s="29"/>
      <c r="H357" s="29"/>
    </row>
    <row r="358" spans="1:8" x14ac:dyDescent="0.25">
      <c r="A358" s="29"/>
      <c r="B358" s="29"/>
      <c r="C358" s="29"/>
      <c r="D358" s="29"/>
      <c r="E358" s="29"/>
      <c r="F358" s="29"/>
      <c r="G358" s="29"/>
      <c r="H358" s="29"/>
    </row>
    <row r="359" spans="1:8" x14ac:dyDescent="0.25">
      <c r="A359" s="29"/>
      <c r="B359" s="29"/>
      <c r="C359" s="29"/>
      <c r="D359" s="29"/>
      <c r="E359" s="29"/>
      <c r="F359" s="29"/>
      <c r="G359" s="29"/>
      <c r="H359" s="29"/>
    </row>
    <row r="360" spans="1:8" x14ac:dyDescent="0.25">
      <c r="A360" s="29"/>
      <c r="B360" s="29"/>
      <c r="C360" s="29"/>
      <c r="D360" s="29"/>
      <c r="E360" s="29"/>
      <c r="F360" s="29"/>
      <c r="G360" s="29"/>
      <c r="H360" s="29"/>
    </row>
    <row r="361" spans="1:8" x14ac:dyDescent="0.25">
      <c r="A361" s="29"/>
      <c r="B361" s="29"/>
      <c r="C361" s="29"/>
      <c r="D361" s="29"/>
      <c r="E361" s="29"/>
      <c r="F361" s="29"/>
      <c r="G361" s="29"/>
      <c r="H361" s="29"/>
    </row>
    <row r="362" spans="1:8" x14ac:dyDescent="0.25">
      <c r="A362" s="29"/>
      <c r="B362" s="29"/>
      <c r="C362" s="29"/>
      <c r="D362" s="29"/>
      <c r="E362" s="29"/>
      <c r="F362" s="29"/>
      <c r="G362" s="29"/>
      <c r="H362" s="29"/>
    </row>
    <row r="363" spans="1:8" x14ac:dyDescent="0.25">
      <c r="A363" s="29"/>
      <c r="B363" s="29"/>
      <c r="C363" s="29"/>
      <c r="D363" s="29"/>
      <c r="E363" s="29"/>
      <c r="F363" s="29"/>
      <c r="G363" s="29"/>
      <c r="H363" s="29"/>
    </row>
    <row r="364" spans="1:8" x14ac:dyDescent="0.25">
      <c r="A364" s="29"/>
      <c r="B364" s="29"/>
      <c r="C364" s="29"/>
      <c r="D364" s="29"/>
      <c r="E364" s="29"/>
      <c r="F364" s="29"/>
      <c r="G364" s="29"/>
      <c r="H364" s="29"/>
    </row>
    <row r="365" spans="1:8" x14ac:dyDescent="0.25">
      <c r="A365" s="29"/>
      <c r="B365" s="29"/>
      <c r="C365" s="29"/>
      <c r="D365" s="29"/>
      <c r="E365" s="29"/>
      <c r="F365" s="29"/>
      <c r="G365" s="29"/>
      <c r="H365" s="29"/>
    </row>
    <row r="366" spans="1:8" x14ac:dyDescent="0.25">
      <c r="A366" s="29"/>
      <c r="B366" s="29"/>
      <c r="C366" s="29"/>
      <c r="D366" s="29"/>
      <c r="E366" s="29"/>
      <c r="F366" s="29"/>
      <c r="G366" s="29"/>
      <c r="H366" s="29"/>
    </row>
    <row r="367" spans="1:8" x14ac:dyDescent="0.25">
      <c r="A367" s="29"/>
      <c r="B367" s="29"/>
      <c r="C367" s="29"/>
      <c r="D367" s="29"/>
      <c r="E367" s="29"/>
      <c r="F367" s="29"/>
      <c r="G367" s="29"/>
      <c r="H367" s="29"/>
    </row>
    <row r="368" spans="1:8" x14ac:dyDescent="0.25">
      <c r="A368" s="29"/>
      <c r="B368" s="29"/>
      <c r="C368" s="29"/>
      <c r="D368" s="29"/>
      <c r="E368" s="29"/>
      <c r="F368" s="29"/>
      <c r="G368" s="29"/>
      <c r="H368" s="29"/>
    </row>
    <row r="369" spans="1:8" x14ac:dyDescent="0.25">
      <c r="A369" s="29"/>
      <c r="B369" s="29"/>
      <c r="C369" s="29"/>
      <c r="D369" s="29"/>
      <c r="E369" s="29"/>
      <c r="F369" s="29"/>
      <c r="G369" s="29"/>
      <c r="H369" s="29"/>
    </row>
    <row r="370" spans="1:8" x14ac:dyDescent="0.25">
      <c r="A370" s="29"/>
      <c r="B370" s="29"/>
      <c r="C370" s="29"/>
      <c r="D370" s="29"/>
      <c r="E370" s="29"/>
      <c r="F370" s="29"/>
      <c r="G370" s="29"/>
      <c r="H370" s="29"/>
    </row>
    <row r="371" spans="1:8" x14ac:dyDescent="0.25">
      <c r="A371" s="29"/>
      <c r="B371" s="29"/>
      <c r="C371" s="29"/>
      <c r="D371" s="29"/>
      <c r="E371" s="29"/>
      <c r="F371" s="29"/>
      <c r="G371" s="29"/>
      <c r="H371" s="29"/>
    </row>
    <row r="372" spans="1:8" x14ac:dyDescent="0.25">
      <c r="A372" s="29"/>
      <c r="B372" s="29"/>
      <c r="C372" s="29"/>
      <c r="D372" s="29"/>
      <c r="E372" s="29"/>
      <c r="F372" s="29"/>
      <c r="G372" s="29"/>
      <c r="H372" s="29"/>
    </row>
    <row r="373" spans="1:8" x14ac:dyDescent="0.25">
      <c r="A373" s="29"/>
      <c r="B373" s="29"/>
      <c r="C373" s="29"/>
      <c r="D373" s="29"/>
      <c r="E373" s="29"/>
      <c r="F373" s="29"/>
      <c r="G373" s="29"/>
      <c r="H373" s="29"/>
    </row>
    <row r="374" spans="1:8" x14ac:dyDescent="0.25">
      <c r="A374" s="29"/>
      <c r="B374" s="29"/>
      <c r="C374" s="29"/>
      <c r="D374" s="29"/>
      <c r="E374" s="29"/>
      <c r="F374" s="29"/>
      <c r="G374" s="29"/>
      <c r="H374" s="29"/>
    </row>
    <row r="375" spans="1:8" x14ac:dyDescent="0.25">
      <c r="A375" s="29"/>
      <c r="B375" s="29"/>
      <c r="C375" s="29"/>
      <c r="D375" s="29"/>
      <c r="E375" s="29"/>
      <c r="F375" s="29"/>
      <c r="G375" s="29"/>
      <c r="H375" s="29"/>
    </row>
    <row r="376" spans="1:8" x14ac:dyDescent="0.25">
      <c r="A376" s="29"/>
      <c r="B376" s="29"/>
      <c r="C376" s="29"/>
      <c r="D376" s="29"/>
      <c r="E376" s="29"/>
      <c r="F376" s="29"/>
      <c r="G376" s="29"/>
      <c r="H376" s="29"/>
    </row>
    <row r="377" spans="1:8" x14ac:dyDescent="0.25">
      <c r="A377" s="29"/>
      <c r="B377" s="29"/>
      <c r="C377" s="29"/>
      <c r="D377" s="29"/>
      <c r="E377" s="29"/>
      <c r="F377" s="29"/>
      <c r="G377" s="29"/>
      <c r="H377" s="29"/>
    </row>
    <row r="378" spans="1:8" x14ac:dyDescent="0.25">
      <c r="A378" s="29"/>
      <c r="B378" s="29"/>
      <c r="C378" s="29"/>
      <c r="D378" s="29"/>
      <c r="E378" s="29"/>
      <c r="F378" s="29"/>
      <c r="G378" s="29"/>
      <c r="H378" s="29"/>
    </row>
    <row r="379" spans="1:8" x14ac:dyDescent="0.25">
      <c r="A379" s="29"/>
      <c r="B379" s="29"/>
      <c r="C379" s="29"/>
      <c r="D379" s="29"/>
      <c r="E379" s="29"/>
      <c r="F379" s="29"/>
      <c r="G379" s="29"/>
      <c r="H379" s="29"/>
    </row>
    <row r="380" spans="1:8" x14ac:dyDescent="0.25">
      <c r="A380" s="29"/>
      <c r="B380" s="29"/>
      <c r="C380" s="29"/>
      <c r="D380" s="29"/>
      <c r="E380" s="29"/>
      <c r="F380" s="29"/>
      <c r="G380" s="29"/>
      <c r="H380" s="29"/>
    </row>
    <row r="381" spans="1:8" x14ac:dyDescent="0.25">
      <c r="A381" s="29"/>
      <c r="B381" s="29"/>
      <c r="C381" s="29"/>
      <c r="D381" s="29"/>
      <c r="E381" s="29"/>
      <c r="F381" s="29"/>
      <c r="G381" s="29"/>
      <c r="H381" s="29"/>
    </row>
    <row r="382" spans="1:8" x14ac:dyDescent="0.25">
      <c r="A382" s="29"/>
      <c r="B382" s="29"/>
      <c r="C382" s="29"/>
      <c r="D382" s="29"/>
      <c r="E382" s="29"/>
      <c r="F382" s="29"/>
      <c r="G382" s="29"/>
      <c r="H382" s="29"/>
    </row>
    <row r="383" spans="1:8" x14ac:dyDescent="0.25">
      <c r="A383" s="29"/>
      <c r="B383" s="29"/>
      <c r="C383" s="29"/>
      <c r="D383" s="29"/>
      <c r="E383" s="29"/>
      <c r="F383" s="29"/>
      <c r="G383" s="29"/>
      <c r="H383" s="29"/>
    </row>
    <row r="384" spans="1:8" x14ac:dyDescent="0.25">
      <c r="A384" s="29"/>
      <c r="B384" s="29"/>
      <c r="C384" s="29"/>
      <c r="D384" s="29"/>
      <c r="E384" s="29"/>
      <c r="F384" s="29"/>
      <c r="G384" s="29"/>
      <c r="H384" s="29"/>
    </row>
    <row r="385" spans="1:8" x14ac:dyDescent="0.25">
      <c r="A385" s="29"/>
      <c r="B385" s="29"/>
      <c r="C385" s="29"/>
      <c r="D385" s="29"/>
      <c r="E385" s="29"/>
      <c r="F385" s="29"/>
      <c r="G385" s="29"/>
      <c r="H385" s="29"/>
    </row>
    <row r="386" spans="1:8" x14ac:dyDescent="0.25">
      <c r="A386" s="29"/>
      <c r="B386" s="29"/>
      <c r="C386" s="29"/>
      <c r="D386" s="29"/>
      <c r="E386" s="29"/>
      <c r="F386" s="29"/>
      <c r="G386" s="29"/>
      <c r="H386" s="29"/>
    </row>
    <row r="387" spans="1:8" x14ac:dyDescent="0.25">
      <c r="A387" s="29"/>
      <c r="B387" s="29"/>
      <c r="C387" s="29"/>
      <c r="D387" s="29"/>
      <c r="E387" s="29"/>
      <c r="F387" s="29"/>
      <c r="G387" s="29"/>
      <c r="H387" s="29"/>
    </row>
    <row r="388" spans="1:8" x14ac:dyDescent="0.25">
      <c r="A388" s="29"/>
      <c r="B388" s="29"/>
      <c r="C388" s="29"/>
      <c r="D388" s="29"/>
      <c r="E388" s="29"/>
      <c r="F388" s="29"/>
      <c r="G388" s="29"/>
      <c r="H388" s="29"/>
    </row>
    <row r="389" spans="1:8" x14ac:dyDescent="0.25">
      <c r="A389" s="29"/>
      <c r="B389" s="29"/>
      <c r="C389" s="29"/>
      <c r="D389" s="29"/>
      <c r="E389" s="29"/>
      <c r="F389" s="29"/>
      <c r="G389" s="29"/>
      <c r="H389" s="29"/>
    </row>
    <row r="390" spans="1:8" x14ac:dyDescent="0.25">
      <c r="A390" s="29"/>
      <c r="B390" s="29"/>
      <c r="C390" s="29"/>
      <c r="D390" s="29"/>
      <c r="E390" s="29"/>
      <c r="F390" s="29"/>
      <c r="G390" s="29"/>
      <c r="H390" s="29"/>
    </row>
    <row r="391" spans="1:8" x14ac:dyDescent="0.25">
      <c r="A391" s="29"/>
      <c r="B391" s="29"/>
      <c r="C391" s="29"/>
      <c r="D391" s="29"/>
      <c r="E391" s="29"/>
      <c r="F391" s="29"/>
      <c r="G391" s="29"/>
      <c r="H391" s="29"/>
    </row>
    <row r="392" spans="1:8" x14ac:dyDescent="0.25">
      <c r="A392" s="29"/>
      <c r="B392" s="29"/>
      <c r="C392" s="29"/>
      <c r="D392" s="29"/>
      <c r="E392" s="29"/>
      <c r="F392" s="29"/>
      <c r="G392" s="29"/>
      <c r="H392" s="29"/>
    </row>
    <row r="393" spans="1:8" x14ac:dyDescent="0.25">
      <c r="A393" s="29"/>
      <c r="B393" s="29"/>
      <c r="C393" s="29"/>
      <c r="D393" s="29"/>
      <c r="E393" s="29"/>
      <c r="F393" s="29"/>
      <c r="G393" s="29"/>
      <c r="H393" s="29"/>
    </row>
    <row r="394" spans="1:8" x14ac:dyDescent="0.25">
      <c r="A394" s="29"/>
      <c r="B394" s="29"/>
      <c r="C394" s="29"/>
      <c r="D394" s="29"/>
      <c r="E394" s="29"/>
      <c r="F394" s="29"/>
      <c r="G394" s="29"/>
      <c r="H394" s="29"/>
    </row>
    <row r="395" spans="1:8" x14ac:dyDescent="0.25">
      <c r="A395" s="29"/>
      <c r="B395" s="29"/>
      <c r="C395" s="29"/>
      <c r="D395" s="29"/>
      <c r="E395" s="29"/>
      <c r="F395" s="29"/>
      <c r="G395" s="29"/>
      <c r="H395" s="29"/>
    </row>
    <row r="396" spans="1:8" x14ac:dyDescent="0.25">
      <c r="A396" s="29"/>
      <c r="B396" s="29"/>
      <c r="C396" s="29"/>
      <c r="D396" s="29"/>
      <c r="E396" s="29"/>
      <c r="F396" s="29"/>
      <c r="G396" s="29"/>
      <c r="H396" s="29"/>
    </row>
    <row r="397" spans="1:8" x14ac:dyDescent="0.25">
      <c r="A397" s="29"/>
      <c r="B397" s="29"/>
      <c r="C397" s="29"/>
      <c r="D397" s="29"/>
      <c r="E397" s="29"/>
      <c r="F397" s="29"/>
      <c r="G397" s="29"/>
      <c r="H397" s="29"/>
    </row>
    <row r="398" spans="1:8" x14ac:dyDescent="0.25">
      <c r="A398" s="29"/>
      <c r="B398" s="29"/>
      <c r="C398" s="29"/>
      <c r="D398" s="29"/>
      <c r="E398" s="29"/>
      <c r="F398" s="29"/>
      <c r="G398" s="29"/>
      <c r="H398" s="29"/>
    </row>
    <row r="399" spans="1:8" x14ac:dyDescent="0.25">
      <c r="A399" s="29"/>
      <c r="B399" s="29"/>
      <c r="C399" s="29"/>
      <c r="D399" s="29"/>
      <c r="E399" s="29"/>
      <c r="F399" s="29"/>
      <c r="G399" s="29"/>
      <c r="H399" s="29"/>
    </row>
    <row r="400" spans="1:8" x14ac:dyDescent="0.25">
      <c r="A400" s="29"/>
      <c r="B400" s="29"/>
      <c r="C400" s="29"/>
      <c r="D400" s="29"/>
      <c r="E400" s="29"/>
      <c r="F400" s="29"/>
      <c r="G400" s="29"/>
      <c r="H400" s="29"/>
    </row>
    <row r="401" spans="1:8" x14ac:dyDescent="0.25">
      <c r="A401" s="29"/>
      <c r="B401" s="29"/>
      <c r="C401" s="29"/>
      <c r="D401" s="29"/>
      <c r="E401" s="29"/>
      <c r="F401" s="29"/>
      <c r="G401" s="29"/>
      <c r="H401" s="29"/>
    </row>
    <row r="402" spans="1:8" x14ac:dyDescent="0.25">
      <c r="A402" s="29"/>
      <c r="B402" s="29"/>
      <c r="C402" s="29"/>
      <c r="D402" s="29"/>
      <c r="E402" s="29"/>
      <c r="F402" s="29"/>
      <c r="G402" s="29"/>
      <c r="H402" s="29"/>
    </row>
    <row r="403" spans="1:8" x14ac:dyDescent="0.25">
      <c r="A403" s="29"/>
      <c r="B403" s="29"/>
      <c r="C403" s="29"/>
      <c r="D403" s="29"/>
      <c r="E403" s="29"/>
      <c r="F403" s="29"/>
      <c r="G403" s="29"/>
      <c r="H403" s="29"/>
    </row>
    <row r="404" spans="1:8" x14ac:dyDescent="0.25">
      <c r="A404" s="29"/>
      <c r="B404" s="29"/>
      <c r="C404" s="29"/>
      <c r="D404" s="29"/>
      <c r="E404" s="29"/>
      <c r="F404" s="29"/>
      <c r="G404" s="29"/>
      <c r="H404" s="29"/>
    </row>
    <row r="405" spans="1:8" x14ac:dyDescent="0.25">
      <c r="A405" s="29"/>
      <c r="B405" s="29"/>
      <c r="C405" s="29"/>
      <c r="D405" s="29"/>
      <c r="E405" s="29"/>
      <c r="F405" s="29"/>
      <c r="G405" s="29"/>
      <c r="H405" s="29"/>
    </row>
    <row r="406" spans="1:8" x14ac:dyDescent="0.25">
      <c r="A406" s="29"/>
      <c r="B406" s="29"/>
      <c r="C406" s="29"/>
      <c r="D406" s="29"/>
      <c r="E406" s="29"/>
      <c r="F406" s="29"/>
      <c r="G406" s="29"/>
      <c r="H406" s="29"/>
    </row>
    <row r="407" spans="1:8" x14ac:dyDescent="0.25">
      <c r="A407" s="29"/>
      <c r="B407" s="29"/>
      <c r="C407" s="29"/>
      <c r="D407" s="29"/>
      <c r="E407" s="29"/>
      <c r="F407" s="29"/>
      <c r="G407" s="29"/>
      <c r="H407" s="29"/>
    </row>
  </sheetData>
  <autoFilter ref="A1:H308" xr:uid="{00000000-0009-0000-0000-00001A000000}">
    <filterColumn colId="3">
      <filters>
        <filter val="ES SUSU COKLAT"/>
        <filter val="ES SUSU MELON"/>
        <filter val="ES SUSU ORI"/>
        <filter val="ES SUSU RASA2"/>
        <filter val="ESSUSU ORI"/>
        <filter val="PEMILU"/>
        <filter val="SUSU ORI"/>
      </filters>
    </filterColumn>
  </autoFilter>
  <mergeCells count="23">
    <mergeCell ref="A308:D308"/>
    <mergeCell ref="A207:D207"/>
    <mergeCell ref="A222:D222"/>
    <mergeCell ref="A193:D193"/>
    <mergeCell ref="A175:D175"/>
    <mergeCell ref="A166:D166"/>
    <mergeCell ref="A296:D296"/>
    <mergeCell ref="A132:D132"/>
    <mergeCell ref="A263:D263"/>
    <mergeCell ref="A150:D150"/>
    <mergeCell ref="A236:D236"/>
    <mergeCell ref="A250:D250"/>
    <mergeCell ref="A279:D279"/>
    <mergeCell ref="A18:D18"/>
    <mergeCell ref="A39:D39"/>
    <mergeCell ref="A48:D48"/>
    <mergeCell ref="A105:D105"/>
    <mergeCell ref="A120:D120"/>
    <mergeCell ref="A93:D93"/>
    <mergeCell ref="A81:D81"/>
    <mergeCell ref="A69:D69"/>
    <mergeCell ref="A35:D35"/>
    <mergeCell ref="A25:D2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03"/>
  <sheetViews>
    <sheetView workbookViewId="0">
      <selection activeCell="A12" sqref="A12"/>
    </sheetView>
  </sheetViews>
  <sheetFormatPr defaultRowHeight="15" x14ac:dyDescent="0.25"/>
  <cols>
    <col min="2" max="2" width="10.710937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8</v>
      </c>
      <c r="B2" s="3">
        <v>45231</v>
      </c>
      <c r="C2" t="s">
        <v>338</v>
      </c>
      <c r="D2" t="s">
        <v>11</v>
      </c>
      <c r="E2">
        <v>70</v>
      </c>
      <c r="F2" s="79">
        <f>E2*1800</f>
        <v>126000</v>
      </c>
      <c r="G2" s="79">
        <f>E2*500</f>
        <v>35000</v>
      </c>
      <c r="H2" s="79">
        <f>E2*1300</f>
        <v>91000</v>
      </c>
    </row>
    <row r="3" spans="1:8" x14ac:dyDescent="0.25">
      <c r="C3" t="s">
        <v>306</v>
      </c>
      <c r="D3" t="s">
        <v>11</v>
      </c>
      <c r="E3">
        <v>20</v>
      </c>
      <c r="F3" s="79">
        <f>E3*1700</f>
        <v>34000</v>
      </c>
      <c r="G3" s="79">
        <f>E3*500</f>
        <v>10000</v>
      </c>
      <c r="H3" s="79">
        <f>E3*1200</f>
        <v>24000</v>
      </c>
    </row>
    <row r="4" spans="1:8" x14ac:dyDescent="0.25">
      <c r="C4" t="s">
        <v>571</v>
      </c>
      <c r="D4" t="s">
        <v>11</v>
      </c>
      <c r="E4">
        <v>50</v>
      </c>
      <c r="F4" s="79">
        <f>E4*1700</f>
        <v>85000</v>
      </c>
      <c r="G4" s="79">
        <f>E4*500</f>
        <v>25000</v>
      </c>
      <c r="H4" s="79">
        <f>E4*1200</f>
        <v>60000</v>
      </c>
    </row>
    <row r="5" spans="1:8" x14ac:dyDescent="0.25">
      <c r="C5" t="s">
        <v>16</v>
      </c>
      <c r="D5" t="s">
        <v>11</v>
      </c>
      <c r="E5">
        <v>52</v>
      </c>
      <c r="F5" s="79">
        <f>E5*1500</f>
        <v>78000</v>
      </c>
      <c r="G5" s="79">
        <f>E5*500</f>
        <v>26000</v>
      </c>
      <c r="H5" s="79">
        <f>E5*1000</f>
        <v>52000</v>
      </c>
    </row>
    <row r="6" spans="1:8" x14ac:dyDescent="0.25">
      <c r="D6" t="s">
        <v>12</v>
      </c>
      <c r="E6">
        <v>3</v>
      </c>
      <c r="F6" s="79">
        <f>E6*3000</f>
        <v>9000</v>
      </c>
      <c r="G6" s="81">
        <v>6000</v>
      </c>
      <c r="H6" s="79">
        <v>3000</v>
      </c>
    </row>
    <row r="7" spans="1:8" x14ac:dyDescent="0.25">
      <c r="D7" t="s">
        <v>13</v>
      </c>
      <c r="E7">
        <v>1</v>
      </c>
      <c r="F7" s="79">
        <v>6500</v>
      </c>
      <c r="G7" s="79">
        <v>4500</v>
      </c>
      <c r="H7" s="79">
        <v>2000</v>
      </c>
    </row>
    <row r="8" spans="1:8" x14ac:dyDescent="0.25">
      <c r="A8" s="112" t="s">
        <v>17</v>
      </c>
      <c r="B8" s="112"/>
      <c r="C8" s="112"/>
      <c r="D8" s="112"/>
      <c r="E8" s="78">
        <f>SUM(E2:E7)</f>
        <v>196</v>
      </c>
      <c r="F8" s="78">
        <f t="shared" ref="F8:H8" si="0">SUM(F2:F7)</f>
        <v>338500</v>
      </c>
      <c r="G8" s="78">
        <f t="shared" si="0"/>
        <v>106500</v>
      </c>
      <c r="H8" s="78">
        <f t="shared" si="0"/>
        <v>232000</v>
      </c>
    </row>
    <row r="9" spans="1:8" x14ac:dyDescent="0.25">
      <c r="A9" t="s">
        <v>18</v>
      </c>
      <c r="B9" s="3">
        <v>45232</v>
      </c>
      <c r="C9" t="s">
        <v>338</v>
      </c>
      <c r="D9" t="s">
        <v>11</v>
      </c>
      <c r="E9">
        <v>70</v>
      </c>
      <c r="F9">
        <f>E9*1800</f>
        <v>126000</v>
      </c>
      <c r="G9">
        <f>E9*500</f>
        <v>35000</v>
      </c>
      <c r="H9">
        <f>E9*1300</f>
        <v>91000</v>
      </c>
    </row>
    <row r="10" spans="1:8" x14ac:dyDescent="0.25">
      <c r="C10" t="s">
        <v>306</v>
      </c>
      <c r="D10" t="s">
        <v>11</v>
      </c>
      <c r="E10">
        <v>20</v>
      </c>
      <c r="F10">
        <f>E10*1700</f>
        <v>34000</v>
      </c>
      <c r="G10">
        <f>E10*500</f>
        <v>10000</v>
      </c>
      <c r="H10">
        <f>E10*1200</f>
        <v>24000</v>
      </c>
    </row>
    <row r="11" spans="1:8" x14ac:dyDescent="0.25">
      <c r="C11" t="s">
        <v>571</v>
      </c>
      <c r="D11" t="s">
        <v>11</v>
      </c>
      <c r="E11">
        <v>50</v>
      </c>
      <c r="F11">
        <f>E11*1700</f>
        <v>85000</v>
      </c>
      <c r="G11">
        <f>E11*500</f>
        <v>25000</v>
      </c>
      <c r="H11">
        <f>E11*1200</f>
        <v>60000</v>
      </c>
    </row>
    <row r="12" spans="1:8" x14ac:dyDescent="0.25">
      <c r="C12" t="s">
        <v>572</v>
      </c>
      <c r="D12" t="s">
        <v>11</v>
      </c>
      <c r="E12">
        <v>47</v>
      </c>
      <c r="F12">
        <f>E12*1700</f>
        <v>79900</v>
      </c>
      <c r="G12">
        <f>E12*500</f>
        <v>23500</v>
      </c>
      <c r="H12">
        <f>E12*1200</f>
        <v>56400</v>
      </c>
    </row>
    <row r="13" spans="1:8" x14ac:dyDescent="0.25">
      <c r="C13" t="s">
        <v>209</v>
      </c>
      <c r="D13" t="s">
        <v>11</v>
      </c>
      <c r="E13">
        <v>30</v>
      </c>
      <c r="F13">
        <f>E13*1500</f>
        <v>45000</v>
      </c>
      <c r="G13">
        <f>E13*500</f>
        <v>15000</v>
      </c>
      <c r="H13">
        <f>E13*1000</f>
        <v>30000</v>
      </c>
    </row>
    <row r="14" spans="1:8" x14ac:dyDescent="0.25">
      <c r="C14" t="s">
        <v>16</v>
      </c>
      <c r="D14" t="s">
        <v>11</v>
      </c>
      <c r="E14">
        <v>50</v>
      </c>
      <c r="F14">
        <f t="shared" ref="F14" si="1">E14*1500</f>
        <v>75000</v>
      </c>
      <c r="G14">
        <f t="shared" ref="G14" si="2">E14*500</f>
        <v>25000</v>
      </c>
      <c r="H14">
        <f t="shared" ref="H14" si="3">E14*1000</f>
        <v>50000</v>
      </c>
    </row>
    <row r="15" spans="1:8" x14ac:dyDescent="0.25">
      <c r="D15" t="s">
        <v>12</v>
      </c>
      <c r="E15">
        <v>2</v>
      </c>
      <c r="F15">
        <v>6000</v>
      </c>
      <c r="G15">
        <v>4000</v>
      </c>
      <c r="H15">
        <v>2000</v>
      </c>
    </row>
    <row r="16" spans="1:8" x14ac:dyDescent="0.25">
      <c r="C16" t="s">
        <v>127</v>
      </c>
      <c r="D16" t="s">
        <v>21</v>
      </c>
      <c r="E16">
        <v>5</v>
      </c>
      <c r="F16">
        <f>E16*15000</f>
        <v>75000</v>
      </c>
      <c r="G16">
        <v>50000</v>
      </c>
      <c r="H16">
        <v>25000</v>
      </c>
    </row>
    <row r="17" spans="1:9" x14ac:dyDescent="0.25">
      <c r="D17" t="s">
        <v>243</v>
      </c>
      <c r="E17">
        <v>1</v>
      </c>
      <c r="F17">
        <v>13000</v>
      </c>
      <c r="G17">
        <v>10000</v>
      </c>
      <c r="H17">
        <v>3000</v>
      </c>
    </row>
    <row r="18" spans="1:9" x14ac:dyDescent="0.25">
      <c r="A18" s="112" t="s">
        <v>17</v>
      </c>
      <c r="B18" s="112"/>
      <c r="C18" s="112"/>
      <c r="D18" s="112"/>
      <c r="E18" s="78">
        <f>SUM(E9:E17)</f>
        <v>275</v>
      </c>
      <c r="F18" s="78">
        <f t="shared" ref="F18:H18" si="4">SUM(F9:F17)</f>
        <v>538900</v>
      </c>
      <c r="G18" s="78">
        <f t="shared" si="4"/>
        <v>197500</v>
      </c>
      <c r="H18" s="78">
        <f t="shared" si="4"/>
        <v>341400</v>
      </c>
    </row>
    <row r="19" spans="1:9" x14ac:dyDescent="0.25">
      <c r="A19" t="s">
        <v>22</v>
      </c>
      <c r="B19" s="3">
        <v>45233</v>
      </c>
      <c r="C19" t="s">
        <v>338</v>
      </c>
      <c r="D19" t="s">
        <v>11</v>
      </c>
      <c r="E19">
        <v>70</v>
      </c>
      <c r="F19" s="79">
        <f>E19*1800</f>
        <v>126000</v>
      </c>
      <c r="G19" s="79">
        <f t="shared" ref="G19:G25" si="5">E19*500</f>
        <v>35000</v>
      </c>
      <c r="H19" s="79">
        <f>E19*1300</f>
        <v>91000</v>
      </c>
      <c r="I19" s="79"/>
    </row>
    <row r="20" spans="1:9" x14ac:dyDescent="0.25">
      <c r="C20" t="s">
        <v>306</v>
      </c>
      <c r="D20" t="s">
        <v>11</v>
      </c>
      <c r="E20">
        <v>14</v>
      </c>
      <c r="F20" s="79">
        <f>E20*1800</f>
        <v>25200</v>
      </c>
      <c r="G20" s="79">
        <f t="shared" si="5"/>
        <v>7000</v>
      </c>
      <c r="H20" s="79">
        <f>E20*1300</f>
        <v>18200</v>
      </c>
      <c r="I20" s="79"/>
    </row>
    <row r="21" spans="1:9" x14ac:dyDescent="0.25">
      <c r="C21" t="s">
        <v>703</v>
      </c>
      <c r="E21">
        <v>50</v>
      </c>
      <c r="F21" s="79">
        <f>E21*1700</f>
        <v>85000</v>
      </c>
      <c r="G21" s="79">
        <f t="shared" si="5"/>
        <v>25000</v>
      </c>
      <c r="H21" s="79">
        <f>E21*1200</f>
        <v>60000</v>
      </c>
      <c r="I21" s="79"/>
    </row>
    <row r="22" spans="1:9" x14ac:dyDescent="0.25">
      <c r="C22" t="s">
        <v>572</v>
      </c>
      <c r="E22">
        <v>18</v>
      </c>
      <c r="F22" s="79">
        <f>E22*1700</f>
        <v>30600</v>
      </c>
      <c r="G22" s="79">
        <f t="shared" si="5"/>
        <v>9000</v>
      </c>
      <c r="H22" s="79">
        <f>E22*1700</f>
        <v>30600</v>
      </c>
      <c r="I22" s="79"/>
    </row>
    <row r="23" spans="1:9" x14ac:dyDescent="0.25">
      <c r="C23" t="s">
        <v>209</v>
      </c>
      <c r="E23">
        <v>25</v>
      </c>
      <c r="F23" s="79">
        <f>E23*1500</f>
        <v>37500</v>
      </c>
      <c r="G23" s="79">
        <f t="shared" si="5"/>
        <v>12500</v>
      </c>
      <c r="H23" s="79">
        <v>25000</v>
      </c>
      <c r="I23" s="79"/>
    </row>
    <row r="24" spans="1:9" x14ac:dyDescent="0.25">
      <c r="C24" t="s">
        <v>646</v>
      </c>
      <c r="E24">
        <v>100</v>
      </c>
      <c r="F24" s="79">
        <f>E24*1500</f>
        <v>150000</v>
      </c>
      <c r="G24" s="79">
        <f t="shared" si="5"/>
        <v>50000</v>
      </c>
      <c r="H24" s="79">
        <v>100000</v>
      </c>
      <c r="I24" s="79"/>
    </row>
    <row r="25" spans="1:9" x14ac:dyDescent="0.25">
      <c r="C25" t="s">
        <v>16</v>
      </c>
      <c r="E25">
        <v>53</v>
      </c>
      <c r="F25" s="79">
        <f>E25*1500</f>
        <v>79500</v>
      </c>
      <c r="G25" s="79">
        <f t="shared" si="5"/>
        <v>26500</v>
      </c>
      <c r="H25" s="79">
        <v>53000</v>
      </c>
      <c r="I25" s="79"/>
    </row>
    <row r="26" spans="1:9" x14ac:dyDescent="0.25">
      <c r="A26" s="111" t="s">
        <v>17</v>
      </c>
      <c r="B26" s="111"/>
      <c r="C26" s="111"/>
      <c r="D26" s="111"/>
      <c r="E26" s="78">
        <f>SUM(E19:E25)</f>
        <v>330</v>
      </c>
      <c r="F26" s="78">
        <f t="shared" ref="F26:G26" si="6">SUM(F19:F25)</f>
        <v>533800</v>
      </c>
      <c r="G26" s="78">
        <f t="shared" si="6"/>
        <v>165000</v>
      </c>
      <c r="H26" s="78">
        <f>SUM(H19:H25)</f>
        <v>377800</v>
      </c>
    </row>
    <row r="27" spans="1:9" x14ac:dyDescent="0.25">
      <c r="A27" t="s">
        <v>26</v>
      </c>
      <c r="B27" s="3">
        <v>45234</v>
      </c>
      <c r="C27" t="s">
        <v>581</v>
      </c>
      <c r="D27" t="s">
        <v>11</v>
      </c>
      <c r="E27">
        <f>29+26+16+30+19+45+33+48+37+19+27</f>
        <v>329</v>
      </c>
      <c r="F27">
        <f>E27*1500</f>
        <v>493500</v>
      </c>
      <c r="G27" s="79">
        <f>E27*500</f>
        <v>164500</v>
      </c>
      <c r="H27">
        <f>E27*1000</f>
        <v>329000</v>
      </c>
    </row>
    <row r="28" spans="1:9" x14ac:dyDescent="0.25">
      <c r="C28" t="s">
        <v>646</v>
      </c>
      <c r="D28" t="s">
        <v>11</v>
      </c>
      <c r="E28">
        <v>50</v>
      </c>
      <c r="F28" s="79">
        <f>E28*1500</f>
        <v>75000</v>
      </c>
      <c r="G28" s="79">
        <f>E28*500</f>
        <v>25000</v>
      </c>
      <c r="H28" s="79">
        <v>50000</v>
      </c>
    </row>
    <row r="29" spans="1:9" x14ac:dyDescent="0.25">
      <c r="C29" t="s">
        <v>104</v>
      </c>
      <c r="D29" t="s">
        <v>11</v>
      </c>
      <c r="E29">
        <v>16</v>
      </c>
      <c r="F29" s="79">
        <f>E29*1700</f>
        <v>27200</v>
      </c>
      <c r="G29" s="79">
        <f>E29*500</f>
        <v>8000</v>
      </c>
      <c r="H29">
        <f>E29*1200</f>
        <v>19200</v>
      </c>
    </row>
    <row r="30" spans="1:9" x14ac:dyDescent="0.25">
      <c r="A30" s="111" t="s">
        <v>17</v>
      </c>
      <c r="B30" s="111"/>
      <c r="C30" s="111"/>
      <c r="D30" s="111"/>
      <c r="E30" s="78">
        <f>SUM(E27:E29)</f>
        <v>395</v>
      </c>
      <c r="F30" s="78">
        <f t="shared" ref="F30:H30" si="7">SUM(F27:F29)</f>
        <v>595700</v>
      </c>
      <c r="G30" s="78">
        <f t="shared" si="7"/>
        <v>197500</v>
      </c>
      <c r="H30" s="78">
        <f t="shared" si="7"/>
        <v>398200</v>
      </c>
    </row>
    <row r="31" spans="1:9" x14ac:dyDescent="0.25">
      <c r="A31" t="s">
        <v>28</v>
      </c>
      <c r="B31" s="3">
        <v>45235</v>
      </c>
      <c r="C31" t="s">
        <v>704</v>
      </c>
      <c r="D31" t="s">
        <v>11</v>
      </c>
      <c r="E31">
        <v>5</v>
      </c>
      <c r="F31" s="79">
        <f>E31*2000</f>
        <v>10000</v>
      </c>
      <c r="G31" s="79">
        <f>E31*500</f>
        <v>2500</v>
      </c>
      <c r="H31" s="79">
        <f>E31*1500</f>
        <v>7500</v>
      </c>
    </row>
    <row r="32" spans="1:9" x14ac:dyDescent="0.25">
      <c r="D32" t="s">
        <v>13</v>
      </c>
      <c r="E32">
        <v>16</v>
      </c>
      <c r="F32" s="79">
        <f>E32*7000</f>
        <v>112000</v>
      </c>
      <c r="G32" s="79">
        <f>E32*4500</f>
        <v>72000</v>
      </c>
      <c r="H32" s="79">
        <f>E32*2500</f>
        <v>40000</v>
      </c>
    </row>
    <row r="33" spans="1:9" x14ac:dyDescent="0.25">
      <c r="D33" t="s">
        <v>14</v>
      </c>
      <c r="E33">
        <v>6</v>
      </c>
      <c r="F33" s="79">
        <f>E33*13000</f>
        <v>78000</v>
      </c>
      <c r="G33" s="79">
        <f>E33*5500</f>
        <v>33000</v>
      </c>
      <c r="H33" s="79">
        <f>E33*7500</f>
        <v>45000</v>
      </c>
    </row>
    <row r="34" spans="1:9" x14ac:dyDescent="0.25">
      <c r="D34" t="s">
        <v>404</v>
      </c>
      <c r="E34">
        <v>6</v>
      </c>
      <c r="F34" s="79">
        <f>E34*3000</f>
        <v>18000</v>
      </c>
      <c r="G34" s="79">
        <v>9000</v>
      </c>
      <c r="H34" s="79">
        <v>9000</v>
      </c>
    </row>
    <row r="35" spans="1:9" x14ac:dyDescent="0.25">
      <c r="D35" t="s">
        <v>420</v>
      </c>
      <c r="E35">
        <v>1</v>
      </c>
      <c r="F35" s="79">
        <v>5000</v>
      </c>
      <c r="G35" s="79">
        <v>2500</v>
      </c>
      <c r="H35" s="79">
        <v>2500</v>
      </c>
    </row>
    <row r="36" spans="1:9" x14ac:dyDescent="0.25">
      <c r="C36" t="s">
        <v>705</v>
      </c>
      <c r="D36" t="s">
        <v>13</v>
      </c>
      <c r="E36">
        <v>23</v>
      </c>
      <c r="F36" s="79">
        <f>E36*7000</f>
        <v>161000</v>
      </c>
      <c r="G36" s="79">
        <f>E36*4500</f>
        <v>103500</v>
      </c>
      <c r="H36" s="79">
        <f>E36*2500</f>
        <v>57500</v>
      </c>
    </row>
    <row r="37" spans="1:9" x14ac:dyDescent="0.25">
      <c r="D37" t="s">
        <v>14</v>
      </c>
      <c r="E37">
        <v>19</v>
      </c>
      <c r="F37" s="79">
        <f>E37*10000</f>
        <v>190000</v>
      </c>
      <c r="G37" s="79">
        <f>E37*5500</f>
        <v>104500</v>
      </c>
      <c r="H37" s="79">
        <f>E37*4500</f>
        <v>85500</v>
      </c>
    </row>
    <row r="38" spans="1:9" x14ac:dyDescent="0.25">
      <c r="D38" t="s">
        <v>243</v>
      </c>
      <c r="E38">
        <v>1</v>
      </c>
      <c r="F38" s="79">
        <v>13000</v>
      </c>
      <c r="G38" s="79">
        <v>10000</v>
      </c>
      <c r="H38" s="79">
        <v>3000</v>
      </c>
    </row>
    <row r="39" spans="1:9" x14ac:dyDescent="0.25">
      <c r="C39" t="s">
        <v>217</v>
      </c>
      <c r="D39" t="s">
        <v>11</v>
      </c>
      <c r="E39">
        <v>5</v>
      </c>
      <c r="F39" s="79">
        <f>E39*1500</f>
        <v>7500</v>
      </c>
      <c r="G39" s="79">
        <f>E39*500</f>
        <v>2500</v>
      </c>
      <c r="H39" s="79">
        <v>5000</v>
      </c>
    </row>
    <row r="40" spans="1:9" x14ac:dyDescent="0.25">
      <c r="D40" t="s">
        <v>13</v>
      </c>
      <c r="E40">
        <v>15</v>
      </c>
      <c r="F40" s="79">
        <f>E40*6500</f>
        <v>97500</v>
      </c>
      <c r="G40" s="79">
        <f>E40*4500</f>
        <v>67500</v>
      </c>
      <c r="H40" s="79">
        <f>E40*2000</f>
        <v>30000</v>
      </c>
    </row>
    <row r="41" spans="1:9" x14ac:dyDescent="0.25">
      <c r="D41" t="s">
        <v>14</v>
      </c>
      <c r="E41">
        <v>10</v>
      </c>
      <c r="F41" s="79">
        <f>E41*10000</f>
        <v>100000</v>
      </c>
      <c r="G41" s="79">
        <f>E41*5500</f>
        <v>55000</v>
      </c>
      <c r="H41" s="79">
        <f>E41*4500</f>
        <v>45000</v>
      </c>
    </row>
    <row r="42" spans="1:9" x14ac:dyDescent="0.25">
      <c r="C42" t="s">
        <v>24</v>
      </c>
      <c r="D42" t="s">
        <v>243</v>
      </c>
      <c r="E42">
        <v>5</v>
      </c>
      <c r="F42" s="79">
        <f>E42*15000</f>
        <v>75000</v>
      </c>
      <c r="G42" s="79">
        <f>E42*10000</f>
        <v>50000</v>
      </c>
      <c r="H42" s="79">
        <f>E42*5000</f>
        <v>25000</v>
      </c>
    </row>
    <row r="43" spans="1:9" x14ac:dyDescent="0.25">
      <c r="C43" t="s">
        <v>16</v>
      </c>
      <c r="D43" t="s">
        <v>11</v>
      </c>
      <c r="E43">
        <v>42</v>
      </c>
      <c r="F43" s="79">
        <f>E43*1500</f>
        <v>63000</v>
      </c>
      <c r="G43" s="79">
        <f>E43*500</f>
        <v>21000</v>
      </c>
      <c r="H43" s="79">
        <f>E43*1000</f>
        <v>42000</v>
      </c>
    </row>
    <row r="44" spans="1:9" x14ac:dyDescent="0.25">
      <c r="D44" t="s">
        <v>12</v>
      </c>
      <c r="E44">
        <v>4</v>
      </c>
      <c r="F44" s="79">
        <f>E44*3000</f>
        <v>12000</v>
      </c>
      <c r="G44" s="79">
        <v>8000</v>
      </c>
      <c r="H44" s="79">
        <v>4000</v>
      </c>
    </row>
    <row r="45" spans="1:9" x14ac:dyDescent="0.25">
      <c r="D45" t="s">
        <v>13</v>
      </c>
      <c r="E45">
        <v>1</v>
      </c>
      <c r="F45" s="79">
        <v>6500</v>
      </c>
      <c r="G45" s="79">
        <v>4500</v>
      </c>
      <c r="H45" s="79">
        <v>2000</v>
      </c>
    </row>
    <row r="46" spans="1:9" x14ac:dyDescent="0.25">
      <c r="A46" s="112" t="s">
        <v>17</v>
      </c>
      <c r="B46" s="112"/>
      <c r="C46" s="112"/>
      <c r="D46" s="112"/>
      <c r="E46" s="78">
        <f>SUM(E31:E45)</f>
        <v>159</v>
      </c>
      <c r="F46" s="78">
        <f t="shared" ref="F46:H46" si="8">SUM(F31:F45)</f>
        <v>948500</v>
      </c>
      <c r="G46" s="78">
        <f t="shared" si="8"/>
        <v>545500</v>
      </c>
      <c r="H46" s="78">
        <f t="shared" si="8"/>
        <v>403000</v>
      </c>
      <c r="I46" s="78"/>
    </row>
    <row r="47" spans="1:9" x14ac:dyDescent="0.25">
      <c r="A47" t="s">
        <v>30</v>
      </c>
      <c r="B47" s="3">
        <v>45236</v>
      </c>
      <c r="C47" t="s">
        <v>338</v>
      </c>
      <c r="D47" t="s">
        <v>11</v>
      </c>
      <c r="E47">
        <v>70</v>
      </c>
      <c r="F47" s="79">
        <f>E47*1800</f>
        <v>126000</v>
      </c>
      <c r="G47" s="79">
        <f>E47*500</f>
        <v>35000</v>
      </c>
      <c r="H47" s="79">
        <f>E47*1300</f>
        <v>91000</v>
      </c>
    </row>
    <row r="48" spans="1:9" x14ac:dyDescent="0.25">
      <c r="C48" t="s">
        <v>571</v>
      </c>
      <c r="D48" t="s">
        <v>11</v>
      </c>
      <c r="E48">
        <v>50</v>
      </c>
      <c r="F48" s="79">
        <f>E48*1700</f>
        <v>85000</v>
      </c>
      <c r="G48" s="79">
        <f>E48*500</f>
        <v>25000</v>
      </c>
      <c r="H48" s="79">
        <f>E48*1200</f>
        <v>60000</v>
      </c>
    </row>
    <row r="49" spans="1:8" x14ac:dyDescent="0.25">
      <c r="C49" t="s">
        <v>209</v>
      </c>
      <c r="D49" t="s">
        <v>11</v>
      </c>
      <c r="E49">
        <v>19</v>
      </c>
      <c r="F49" s="79">
        <f>E49*1500</f>
        <v>28500</v>
      </c>
      <c r="G49" s="79">
        <f>E49*500</f>
        <v>9500</v>
      </c>
      <c r="H49" s="79">
        <f>E49*1000</f>
        <v>19000</v>
      </c>
    </row>
    <row r="50" spans="1:8" x14ac:dyDescent="0.25">
      <c r="C50" t="s">
        <v>104</v>
      </c>
      <c r="D50" t="s">
        <v>11</v>
      </c>
      <c r="E50">
        <v>16</v>
      </c>
      <c r="F50" s="79">
        <f>E50*1700</f>
        <v>27200</v>
      </c>
      <c r="G50" s="79">
        <f>E50*500</f>
        <v>8000</v>
      </c>
      <c r="H50" s="79">
        <f>E50*1200</f>
        <v>19200</v>
      </c>
    </row>
    <row r="51" spans="1:8" x14ac:dyDescent="0.25">
      <c r="C51" t="s">
        <v>217</v>
      </c>
      <c r="D51" t="s">
        <v>11</v>
      </c>
      <c r="E51">
        <v>20</v>
      </c>
      <c r="F51" s="79">
        <f>E51*1500</f>
        <v>30000</v>
      </c>
      <c r="G51" s="79">
        <f>E51*500</f>
        <v>10000</v>
      </c>
      <c r="H51" s="79">
        <f>E51*1000</f>
        <v>20000</v>
      </c>
    </row>
    <row r="52" spans="1:8" x14ac:dyDescent="0.25">
      <c r="D52" t="s">
        <v>14</v>
      </c>
      <c r="E52">
        <v>1</v>
      </c>
      <c r="F52" s="79">
        <v>10000</v>
      </c>
      <c r="G52" s="79">
        <v>5500</v>
      </c>
      <c r="H52" s="79">
        <v>4500</v>
      </c>
    </row>
    <row r="53" spans="1:8" x14ac:dyDescent="0.25">
      <c r="D53" t="s">
        <v>404</v>
      </c>
      <c r="E53">
        <v>4</v>
      </c>
      <c r="F53" s="79">
        <f>E53*2000</f>
        <v>8000</v>
      </c>
      <c r="G53" s="79">
        <v>4000</v>
      </c>
      <c r="H53" s="79">
        <v>4000</v>
      </c>
    </row>
    <row r="54" spans="1:8" x14ac:dyDescent="0.25">
      <c r="D54" t="s">
        <v>436</v>
      </c>
      <c r="E54">
        <v>1</v>
      </c>
      <c r="F54" s="79">
        <v>3000</v>
      </c>
      <c r="G54" s="79">
        <v>1500</v>
      </c>
      <c r="H54" s="79">
        <v>1500</v>
      </c>
    </row>
    <row r="55" spans="1:8" x14ac:dyDescent="0.25">
      <c r="A55" s="112" t="s">
        <v>17</v>
      </c>
      <c r="B55" s="112"/>
      <c r="C55" s="112"/>
      <c r="D55" s="112"/>
      <c r="E55" s="78">
        <f>SUM(E47:E54)</f>
        <v>181</v>
      </c>
      <c r="F55" s="78">
        <f t="shared" ref="F55:H55" si="9">SUM(F47:F54)</f>
        <v>317700</v>
      </c>
      <c r="G55" s="78">
        <f>SUM(G47:G54)</f>
        <v>98500</v>
      </c>
      <c r="H55" s="78">
        <f t="shared" si="9"/>
        <v>219200</v>
      </c>
    </row>
    <row r="56" spans="1:8" x14ac:dyDescent="0.25">
      <c r="A56" t="s">
        <v>32</v>
      </c>
      <c r="B56" s="3">
        <v>45237</v>
      </c>
      <c r="C56" t="s">
        <v>338</v>
      </c>
      <c r="D56" t="s">
        <v>11</v>
      </c>
      <c r="E56">
        <v>75</v>
      </c>
      <c r="F56" s="79">
        <f>E56*1800</f>
        <v>135000</v>
      </c>
      <c r="G56" s="79">
        <f>E56*500</f>
        <v>37500</v>
      </c>
      <c r="H56" s="79">
        <f>E56*1300</f>
        <v>97500</v>
      </c>
    </row>
    <row r="57" spans="1:8" x14ac:dyDescent="0.25">
      <c r="C57" t="s">
        <v>306</v>
      </c>
      <c r="D57" t="s">
        <v>11</v>
      </c>
      <c r="E57">
        <v>37</v>
      </c>
      <c r="F57" s="79">
        <f>E57*1800</f>
        <v>66600</v>
      </c>
      <c r="G57" s="79">
        <f>E57*500</f>
        <v>18500</v>
      </c>
      <c r="H57" s="79">
        <f>E57*1300</f>
        <v>48100</v>
      </c>
    </row>
    <row r="58" spans="1:8" x14ac:dyDescent="0.25">
      <c r="C58" t="s">
        <v>104</v>
      </c>
      <c r="D58" t="s">
        <v>11</v>
      </c>
      <c r="E58">
        <v>26</v>
      </c>
      <c r="F58" s="79">
        <f>E58*1700</f>
        <v>44200</v>
      </c>
      <c r="G58" s="79">
        <f>E58*500</f>
        <v>13000</v>
      </c>
      <c r="H58" s="79">
        <f>E58*1200</f>
        <v>31200</v>
      </c>
    </row>
    <row r="59" spans="1:8" x14ac:dyDescent="0.25">
      <c r="C59" t="s">
        <v>571</v>
      </c>
      <c r="D59" t="s">
        <v>11</v>
      </c>
      <c r="E59">
        <v>100</v>
      </c>
      <c r="F59" s="79">
        <f>E59*1700</f>
        <v>170000</v>
      </c>
      <c r="G59" s="79">
        <f>E59*500</f>
        <v>50000</v>
      </c>
      <c r="H59" s="79">
        <f>E59*1200</f>
        <v>120000</v>
      </c>
    </row>
    <row r="60" spans="1:8" x14ac:dyDescent="0.25">
      <c r="C60" t="s">
        <v>217</v>
      </c>
      <c r="D60" t="s">
        <v>11</v>
      </c>
      <c r="E60">
        <v>36</v>
      </c>
      <c r="F60" s="79">
        <f>E60*1500</f>
        <v>54000</v>
      </c>
      <c r="G60" s="79">
        <f>E60*500</f>
        <v>18000</v>
      </c>
      <c r="H60" s="79">
        <f>E60*1000</f>
        <v>36000</v>
      </c>
    </row>
    <row r="61" spans="1:8" x14ac:dyDescent="0.25">
      <c r="D61" t="s">
        <v>13</v>
      </c>
      <c r="E61">
        <v>1</v>
      </c>
      <c r="F61" s="79">
        <v>6500</v>
      </c>
      <c r="G61" s="79">
        <v>4500</v>
      </c>
      <c r="H61" s="79">
        <v>2000</v>
      </c>
    </row>
    <row r="62" spans="1:8" x14ac:dyDescent="0.25">
      <c r="D62" t="s">
        <v>14</v>
      </c>
      <c r="E62">
        <v>0</v>
      </c>
      <c r="F62" s="79">
        <v>0</v>
      </c>
      <c r="G62" s="79">
        <v>0</v>
      </c>
      <c r="H62" s="79">
        <v>0</v>
      </c>
    </row>
    <row r="63" spans="1:8" x14ac:dyDescent="0.25">
      <c r="D63" t="s">
        <v>404</v>
      </c>
      <c r="E63">
        <v>7</v>
      </c>
      <c r="F63" s="79">
        <f>E63*2000</f>
        <v>14000</v>
      </c>
      <c r="G63" s="79">
        <v>7000</v>
      </c>
      <c r="H63" s="79">
        <v>7000</v>
      </c>
    </row>
    <row r="64" spans="1:8" x14ac:dyDescent="0.25">
      <c r="D64" t="s">
        <v>415</v>
      </c>
      <c r="E64">
        <v>1</v>
      </c>
      <c r="F64" s="79">
        <v>5000</v>
      </c>
      <c r="G64" s="79">
        <v>2500</v>
      </c>
      <c r="H64" s="79">
        <v>2500</v>
      </c>
    </row>
    <row r="65" spans="1:8" x14ac:dyDescent="0.25">
      <c r="A65" s="143" t="s">
        <v>17</v>
      </c>
      <c r="B65" s="143"/>
      <c r="C65" s="143"/>
      <c r="D65" s="143"/>
      <c r="E65" s="78">
        <f>SUM(E56:E64)</f>
        <v>283</v>
      </c>
      <c r="F65" s="78">
        <f t="shared" ref="F65:H65" si="10">SUM(F56:F64)</f>
        <v>495300</v>
      </c>
      <c r="G65" s="78">
        <f t="shared" si="10"/>
        <v>151000</v>
      </c>
      <c r="H65" s="78">
        <f t="shared" si="10"/>
        <v>344300</v>
      </c>
    </row>
    <row r="66" spans="1:8" x14ac:dyDescent="0.25">
      <c r="A66" t="s">
        <v>8</v>
      </c>
      <c r="B66" s="3">
        <v>45238</v>
      </c>
      <c r="C66" t="s">
        <v>338</v>
      </c>
      <c r="D66" t="s">
        <v>11</v>
      </c>
      <c r="E66">
        <v>75</v>
      </c>
      <c r="F66" s="79">
        <f>E66*1800</f>
        <v>135000</v>
      </c>
      <c r="G66" s="79">
        <f>E66*500</f>
        <v>37500</v>
      </c>
      <c r="H66" s="79">
        <f>E66*1300</f>
        <v>97500</v>
      </c>
    </row>
    <row r="67" spans="1:8" x14ac:dyDescent="0.25">
      <c r="C67" t="s">
        <v>306</v>
      </c>
      <c r="D67" t="s">
        <v>11</v>
      </c>
      <c r="E67">
        <v>24</v>
      </c>
      <c r="F67" s="79">
        <f>E67*1800</f>
        <v>43200</v>
      </c>
      <c r="G67" s="79">
        <f>E67*500</f>
        <v>12000</v>
      </c>
      <c r="H67" s="79">
        <f>E67*1300</f>
        <v>31200</v>
      </c>
    </row>
    <row r="68" spans="1:8" x14ac:dyDescent="0.25">
      <c r="C68" t="s">
        <v>209</v>
      </c>
      <c r="D68" t="s">
        <v>11</v>
      </c>
      <c r="E68">
        <v>20</v>
      </c>
      <c r="F68" s="79">
        <f>E68*1500</f>
        <v>30000</v>
      </c>
      <c r="G68" s="79">
        <f>E68*500</f>
        <v>10000</v>
      </c>
      <c r="H68" s="79">
        <v>20000</v>
      </c>
    </row>
    <row r="69" spans="1:8" x14ac:dyDescent="0.25">
      <c r="C69" t="s">
        <v>217</v>
      </c>
      <c r="D69" t="s">
        <v>11</v>
      </c>
      <c r="E69">
        <v>19</v>
      </c>
      <c r="F69" s="79">
        <f>E69*1500</f>
        <v>28500</v>
      </c>
      <c r="G69" s="79">
        <f>E69*500</f>
        <v>9500</v>
      </c>
      <c r="H69" s="79">
        <v>19000</v>
      </c>
    </row>
    <row r="70" spans="1:8" x14ac:dyDescent="0.25">
      <c r="D70" t="s">
        <v>13</v>
      </c>
      <c r="E70">
        <v>2</v>
      </c>
      <c r="F70" s="79">
        <f>E70*6500</f>
        <v>13000</v>
      </c>
      <c r="G70" s="79">
        <f>E70*4500</f>
        <v>9000</v>
      </c>
      <c r="H70" s="79">
        <v>4000</v>
      </c>
    </row>
    <row r="71" spans="1:8" x14ac:dyDescent="0.25">
      <c r="D71" t="s">
        <v>404</v>
      </c>
      <c r="E71">
        <v>9</v>
      </c>
      <c r="F71" s="79">
        <f>E71*2000</f>
        <v>18000</v>
      </c>
      <c r="G71" s="79">
        <v>9000</v>
      </c>
      <c r="H71" s="79">
        <v>9000</v>
      </c>
    </row>
    <row r="72" spans="1:8" x14ac:dyDescent="0.25">
      <c r="D72" t="s">
        <v>415</v>
      </c>
      <c r="E72">
        <v>1</v>
      </c>
      <c r="F72" s="79">
        <v>5000</v>
      </c>
      <c r="G72" s="79">
        <v>2500</v>
      </c>
      <c r="H72" s="79">
        <v>2500</v>
      </c>
    </row>
    <row r="73" spans="1:8" x14ac:dyDescent="0.25">
      <c r="C73" t="s">
        <v>127</v>
      </c>
      <c r="D73" t="s">
        <v>21</v>
      </c>
      <c r="E73">
        <v>5</v>
      </c>
      <c r="F73" s="79">
        <f>E73*15000</f>
        <v>75000</v>
      </c>
      <c r="G73" s="79">
        <v>50000</v>
      </c>
      <c r="H73" s="79">
        <v>25000</v>
      </c>
    </row>
    <row r="74" spans="1:8" x14ac:dyDescent="0.25">
      <c r="D74" t="s">
        <v>243</v>
      </c>
      <c r="E74">
        <v>1</v>
      </c>
      <c r="F74" s="79">
        <v>13000</v>
      </c>
      <c r="G74" s="79">
        <v>10000</v>
      </c>
      <c r="H74" s="79">
        <v>3000</v>
      </c>
    </row>
    <row r="75" spans="1:8" x14ac:dyDescent="0.25">
      <c r="A75" s="111" t="s">
        <v>17</v>
      </c>
      <c r="B75" s="111"/>
      <c r="C75" s="111"/>
      <c r="D75" s="111"/>
      <c r="E75" s="1">
        <f>SUM(E66:E74)</f>
        <v>156</v>
      </c>
      <c r="F75" s="78">
        <f t="shared" ref="F75:H75" si="11">SUM(F66:F74)</f>
        <v>360700</v>
      </c>
      <c r="G75" s="78">
        <f t="shared" si="11"/>
        <v>149500</v>
      </c>
      <c r="H75" s="78">
        <f t="shared" si="11"/>
        <v>211200</v>
      </c>
    </row>
    <row r="76" spans="1:8" x14ac:dyDescent="0.25">
      <c r="A76" t="s">
        <v>18</v>
      </c>
      <c r="B76" s="3">
        <v>45239</v>
      </c>
      <c r="C76" t="s">
        <v>572</v>
      </c>
      <c r="D76" t="s">
        <v>11</v>
      </c>
      <c r="E76">
        <f>22+25+28+24</f>
        <v>99</v>
      </c>
      <c r="F76" s="79">
        <f>E76*1700</f>
        <v>168300</v>
      </c>
      <c r="G76" s="79">
        <f>E76*500</f>
        <v>49500</v>
      </c>
      <c r="H76" s="79">
        <f>E76*1200</f>
        <v>118800</v>
      </c>
    </row>
    <row r="77" spans="1:8" x14ac:dyDescent="0.25">
      <c r="C77" t="s">
        <v>209</v>
      </c>
      <c r="D77" t="s">
        <v>11</v>
      </c>
      <c r="E77">
        <v>12</v>
      </c>
      <c r="F77" s="79">
        <f>E77*1500</f>
        <v>18000</v>
      </c>
      <c r="G77" s="79">
        <f>E77*500</f>
        <v>6000</v>
      </c>
      <c r="H77" s="79">
        <f>E77*1000</f>
        <v>12000</v>
      </c>
    </row>
    <row r="78" spans="1:8" x14ac:dyDescent="0.25">
      <c r="C78" t="s">
        <v>646</v>
      </c>
      <c r="D78" t="s">
        <v>11</v>
      </c>
      <c r="E78">
        <f>50+40+40+46</f>
        <v>176</v>
      </c>
      <c r="F78" s="79">
        <f>E78*1500</f>
        <v>264000</v>
      </c>
      <c r="G78" s="79">
        <f>E78*500</f>
        <v>88000</v>
      </c>
      <c r="H78" s="79">
        <v>176000</v>
      </c>
    </row>
    <row r="79" spans="1:8" x14ac:dyDescent="0.25">
      <c r="C79" t="s">
        <v>217</v>
      </c>
      <c r="D79" t="s">
        <v>11</v>
      </c>
      <c r="E79">
        <v>27</v>
      </c>
      <c r="F79" s="79">
        <f>E79*1500</f>
        <v>40500</v>
      </c>
      <c r="G79" s="79">
        <f>E79*500</f>
        <v>13500</v>
      </c>
      <c r="H79" s="79">
        <f>E79*1000</f>
        <v>27000</v>
      </c>
    </row>
    <row r="80" spans="1:8" x14ac:dyDescent="0.25">
      <c r="D80" t="s">
        <v>14</v>
      </c>
      <c r="E80">
        <v>2</v>
      </c>
      <c r="F80" s="79">
        <f>E80*10000</f>
        <v>20000</v>
      </c>
      <c r="G80" s="79">
        <f>E80*5500</f>
        <v>11000</v>
      </c>
      <c r="H80" s="79">
        <f>E80*4500</f>
        <v>9000</v>
      </c>
    </row>
    <row r="81" spans="1:8" x14ac:dyDescent="0.25">
      <c r="D81" t="s">
        <v>404</v>
      </c>
      <c r="E81">
        <v>6</v>
      </c>
      <c r="F81" s="79">
        <f>E81*2000</f>
        <v>12000</v>
      </c>
      <c r="G81" s="79">
        <v>6000</v>
      </c>
      <c r="H81" s="79">
        <v>6000</v>
      </c>
    </row>
    <row r="82" spans="1:8" x14ac:dyDescent="0.25">
      <c r="A82" s="112" t="s">
        <v>17</v>
      </c>
      <c r="B82" s="112"/>
      <c r="C82" s="112"/>
      <c r="D82" s="112"/>
      <c r="E82" s="78">
        <f>SUM(E76:E81)</f>
        <v>322</v>
      </c>
      <c r="F82" s="78">
        <f t="shared" ref="F82:H82" si="12">SUM(F76:F81)</f>
        <v>522800</v>
      </c>
      <c r="G82" s="78">
        <f t="shared" si="12"/>
        <v>174000</v>
      </c>
      <c r="H82" s="78">
        <f t="shared" si="12"/>
        <v>348800</v>
      </c>
    </row>
    <row r="83" spans="1:8" x14ac:dyDescent="0.25">
      <c r="A83" t="s">
        <v>22</v>
      </c>
      <c r="B83" s="3">
        <v>45240</v>
      </c>
      <c r="C83" t="s">
        <v>338</v>
      </c>
      <c r="D83" t="s">
        <v>11</v>
      </c>
      <c r="E83">
        <v>150</v>
      </c>
      <c r="F83" s="79">
        <f>E83*1800</f>
        <v>270000</v>
      </c>
      <c r="G83" s="79">
        <f>E83*500</f>
        <v>75000</v>
      </c>
      <c r="H83" s="79">
        <f>E83*1300</f>
        <v>195000</v>
      </c>
    </row>
    <row r="84" spans="1:8" x14ac:dyDescent="0.25">
      <c r="C84" t="s">
        <v>706</v>
      </c>
      <c r="D84" t="s">
        <v>11</v>
      </c>
      <c r="E84">
        <v>150</v>
      </c>
      <c r="F84" s="79">
        <f>E84*1700</f>
        <v>255000</v>
      </c>
      <c r="G84" s="79">
        <f>E84*500</f>
        <v>75000</v>
      </c>
      <c r="H84" s="79">
        <f>E84*1200</f>
        <v>180000</v>
      </c>
    </row>
    <row r="85" spans="1:8" x14ac:dyDescent="0.25">
      <c r="A85" s="112" t="s">
        <v>17</v>
      </c>
      <c r="B85" s="112"/>
      <c r="C85" s="112"/>
      <c r="D85" s="112"/>
      <c r="E85" s="78">
        <f>SUM(E83:E84)</f>
        <v>300</v>
      </c>
      <c r="F85" s="78">
        <f t="shared" ref="F85:H85" si="13">SUM(F83:F84)</f>
        <v>525000</v>
      </c>
      <c r="G85" s="78">
        <f t="shared" si="13"/>
        <v>150000</v>
      </c>
      <c r="H85" s="78">
        <f t="shared" si="13"/>
        <v>375000</v>
      </c>
    </row>
    <row r="86" spans="1:8" x14ac:dyDescent="0.25">
      <c r="A86" t="s">
        <v>26</v>
      </c>
      <c r="B86" s="3">
        <v>45241</v>
      </c>
      <c r="C86" t="s">
        <v>338</v>
      </c>
      <c r="D86" t="s">
        <v>11</v>
      </c>
      <c r="E86">
        <v>75</v>
      </c>
      <c r="F86" s="79">
        <f>E86*1800</f>
        <v>135000</v>
      </c>
      <c r="G86" s="79">
        <f>E86*500</f>
        <v>37500</v>
      </c>
      <c r="H86" s="79">
        <f>E86*1300</f>
        <v>97500</v>
      </c>
    </row>
    <row r="87" spans="1:8" x14ac:dyDescent="0.25">
      <c r="C87" t="s">
        <v>646</v>
      </c>
      <c r="D87" t="s">
        <v>11</v>
      </c>
      <c r="E87">
        <v>30</v>
      </c>
      <c r="F87" s="79">
        <f>E87*1500</f>
        <v>45000</v>
      </c>
      <c r="G87" s="79">
        <f>E87*500</f>
        <v>15000</v>
      </c>
      <c r="H87" s="79">
        <v>30000</v>
      </c>
    </row>
    <row r="88" spans="1:8" x14ac:dyDescent="0.25">
      <c r="C88" t="s">
        <v>209</v>
      </c>
      <c r="D88" t="s">
        <v>11</v>
      </c>
      <c r="E88">
        <v>26</v>
      </c>
      <c r="F88" s="79">
        <f>E88*1500</f>
        <v>39000</v>
      </c>
      <c r="G88" s="79">
        <f>E88*500</f>
        <v>13000</v>
      </c>
      <c r="H88" s="79">
        <v>26000</v>
      </c>
    </row>
    <row r="89" spans="1:8" x14ac:dyDescent="0.25">
      <c r="C89" t="s">
        <v>693</v>
      </c>
      <c r="D89" t="s">
        <v>11</v>
      </c>
      <c r="E89">
        <v>5</v>
      </c>
      <c r="F89" s="79">
        <f>E89*1500</f>
        <v>7500</v>
      </c>
      <c r="G89" s="79">
        <f>E89*500</f>
        <v>2500</v>
      </c>
      <c r="H89" s="79">
        <v>5000</v>
      </c>
    </row>
    <row r="90" spans="1:8" x14ac:dyDescent="0.25">
      <c r="D90" t="s">
        <v>13</v>
      </c>
      <c r="E90">
        <v>4</v>
      </c>
      <c r="F90" s="79">
        <f>E90*7000</f>
        <v>28000</v>
      </c>
      <c r="G90" s="79">
        <f>E90*4500</f>
        <v>18000</v>
      </c>
      <c r="H90" s="79">
        <f>E90*2500</f>
        <v>10000</v>
      </c>
    </row>
    <row r="91" spans="1:8" x14ac:dyDescent="0.25">
      <c r="D91" t="s">
        <v>14</v>
      </c>
      <c r="E91">
        <v>1</v>
      </c>
      <c r="F91" s="79">
        <v>10000</v>
      </c>
      <c r="G91" s="79">
        <v>5500</v>
      </c>
      <c r="H91" s="79">
        <v>4500</v>
      </c>
    </row>
    <row r="92" spans="1:8" x14ac:dyDescent="0.25">
      <c r="D92" t="s">
        <v>404</v>
      </c>
      <c r="E92">
        <v>2</v>
      </c>
      <c r="F92" s="79">
        <v>4000</v>
      </c>
      <c r="G92" s="79">
        <v>2000</v>
      </c>
      <c r="H92" s="79">
        <v>2000</v>
      </c>
    </row>
    <row r="93" spans="1:8" x14ac:dyDescent="0.25">
      <c r="D93" t="s">
        <v>415</v>
      </c>
      <c r="E93">
        <v>2</v>
      </c>
      <c r="F93" s="79">
        <v>5000</v>
      </c>
      <c r="G93" s="79">
        <v>2500</v>
      </c>
      <c r="H93" s="79">
        <v>2500</v>
      </c>
    </row>
    <row r="94" spans="1:8" x14ac:dyDescent="0.25">
      <c r="A94" s="112" t="s">
        <v>17</v>
      </c>
      <c r="B94" s="112"/>
      <c r="C94" s="112"/>
      <c r="D94" s="112"/>
      <c r="E94" s="78">
        <f>SUM(E86:E93)</f>
        <v>145</v>
      </c>
      <c r="F94" s="78">
        <f t="shared" ref="F94:H94" si="14">SUM(F86:F93)</f>
        <v>273500</v>
      </c>
      <c r="G94" s="78">
        <f t="shared" si="14"/>
        <v>96000</v>
      </c>
      <c r="H94" s="78">
        <f t="shared" si="14"/>
        <v>177500</v>
      </c>
    </row>
    <row r="95" spans="1:8" x14ac:dyDescent="0.25">
      <c r="A95" t="s">
        <v>28</v>
      </c>
      <c r="B95" s="3">
        <v>45242</v>
      </c>
      <c r="C95" t="s">
        <v>693</v>
      </c>
      <c r="D95" t="s">
        <v>13</v>
      </c>
      <c r="E95">
        <v>27</v>
      </c>
      <c r="F95">
        <f>E95*7000</f>
        <v>189000</v>
      </c>
      <c r="G95">
        <f>E95*4500</f>
        <v>121500</v>
      </c>
      <c r="H95">
        <f>E95*2500</f>
        <v>67500</v>
      </c>
    </row>
    <row r="96" spans="1:8" x14ac:dyDescent="0.25">
      <c r="D96" t="s">
        <v>14</v>
      </c>
      <c r="E96">
        <v>6</v>
      </c>
      <c r="F96">
        <f>E96*10000</f>
        <v>60000</v>
      </c>
      <c r="G96">
        <f>E96*5500</f>
        <v>33000</v>
      </c>
      <c r="H96">
        <f>E96*4500</f>
        <v>27000</v>
      </c>
    </row>
    <row r="97" spans="1:8" x14ac:dyDescent="0.25">
      <c r="C97" t="s">
        <v>217</v>
      </c>
      <c r="D97" t="s">
        <v>11</v>
      </c>
      <c r="E97">
        <f>16+12</f>
        <v>28</v>
      </c>
      <c r="F97">
        <f>E97*1500</f>
        <v>42000</v>
      </c>
      <c r="G97">
        <f>E97*500</f>
        <v>14000</v>
      </c>
      <c r="H97">
        <f>E97*1000</f>
        <v>28000</v>
      </c>
    </row>
    <row r="98" spans="1:8" x14ac:dyDescent="0.25">
      <c r="D98" t="s">
        <v>13</v>
      </c>
      <c r="E98">
        <v>12</v>
      </c>
      <c r="F98">
        <f>E98*7000</f>
        <v>84000</v>
      </c>
      <c r="G98">
        <f>E98*4500</f>
        <v>54000</v>
      </c>
      <c r="H98">
        <f>E98*2500</f>
        <v>30000</v>
      </c>
    </row>
    <row r="99" spans="1:8" x14ac:dyDescent="0.25">
      <c r="D99" t="s">
        <v>14</v>
      </c>
      <c r="E99">
        <v>16</v>
      </c>
      <c r="F99">
        <f>E99*10000</f>
        <v>160000</v>
      </c>
      <c r="G99">
        <f>E99*5500</f>
        <v>88000</v>
      </c>
      <c r="H99">
        <f>E99*4500</f>
        <v>72000</v>
      </c>
    </row>
    <row r="100" spans="1:8" x14ac:dyDescent="0.25">
      <c r="D100" t="s">
        <v>404</v>
      </c>
      <c r="E100">
        <v>2</v>
      </c>
      <c r="F100">
        <v>4000</v>
      </c>
      <c r="G100">
        <v>2000</v>
      </c>
      <c r="H100">
        <v>2000</v>
      </c>
    </row>
    <row r="101" spans="1:8" x14ac:dyDescent="0.25">
      <c r="D101" t="s">
        <v>420</v>
      </c>
      <c r="E101">
        <v>3</v>
      </c>
      <c r="F101">
        <f>E101*3000</f>
        <v>9000</v>
      </c>
      <c r="G101">
        <v>4500</v>
      </c>
      <c r="H101">
        <v>4500</v>
      </c>
    </row>
    <row r="102" spans="1:8" x14ac:dyDescent="0.25">
      <c r="D102" t="s">
        <v>437</v>
      </c>
      <c r="E102">
        <v>6</v>
      </c>
      <c r="F102">
        <v>30000</v>
      </c>
      <c r="G102">
        <v>15000</v>
      </c>
      <c r="H102">
        <v>15000</v>
      </c>
    </row>
    <row r="103" spans="1:8" x14ac:dyDescent="0.25">
      <c r="A103" s="112" t="s">
        <v>17</v>
      </c>
      <c r="B103" s="112"/>
      <c r="C103" s="112"/>
      <c r="D103" s="112"/>
      <c r="E103" s="78">
        <f>SUM(E95:E102)</f>
        <v>100</v>
      </c>
      <c r="F103" s="78">
        <f t="shared" ref="F103:H103" si="15">SUM(F95:F102)</f>
        <v>578000</v>
      </c>
      <c r="G103" s="78">
        <f t="shared" si="15"/>
        <v>332000</v>
      </c>
      <c r="H103" s="78">
        <f t="shared" si="15"/>
        <v>246000</v>
      </c>
    </row>
  </sheetData>
  <mergeCells count="12">
    <mergeCell ref="A103:D103"/>
    <mergeCell ref="A8:D8"/>
    <mergeCell ref="A18:D18"/>
    <mergeCell ref="A26:D26"/>
    <mergeCell ref="A30:D30"/>
    <mergeCell ref="A46:D46"/>
    <mergeCell ref="A55:D55"/>
    <mergeCell ref="A65:D65"/>
    <mergeCell ref="A75:D75"/>
    <mergeCell ref="A82:D82"/>
    <mergeCell ref="A85:D85"/>
    <mergeCell ref="A94:D9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H227"/>
  <sheetViews>
    <sheetView workbookViewId="0">
      <selection activeCell="K210" sqref="K210"/>
    </sheetView>
  </sheetViews>
  <sheetFormatPr defaultRowHeight="15" x14ac:dyDescent="0.25"/>
  <cols>
    <col min="2" max="2" width="9.7109375" bestFit="1" customWidth="1"/>
    <col min="5" max="5" width="9.42578125" bestFit="1" customWidth="1"/>
    <col min="6" max="6" width="11.7109375" bestFit="1" customWidth="1"/>
    <col min="7" max="7" width="14.28515625" bestFit="1" customWidth="1"/>
    <col min="8" max="8" width="11.710937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22</v>
      </c>
      <c r="B2" s="3">
        <v>45294</v>
      </c>
      <c r="C2" t="s">
        <v>338</v>
      </c>
      <c r="D2" t="s">
        <v>11</v>
      </c>
      <c r="E2">
        <v>75</v>
      </c>
      <c r="F2">
        <f>E2*1800</f>
        <v>135000</v>
      </c>
      <c r="G2">
        <f t="shared" ref="G2:G7" si="0">E2*500</f>
        <v>37500</v>
      </c>
      <c r="H2">
        <f>E2*1300</f>
        <v>97500</v>
      </c>
    </row>
    <row r="3" spans="1:8" hidden="1" x14ac:dyDescent="0.25">
      <c r="C3" t="s">
        <v>646</v>
      </c>
      <c r="D3" t="s">
        <v>11</v>
      </c>
      <c r="E3">
        <v>12</v>
      </c>
      <c r="F3">
        <f>E3*1500</f>
        <v>18000</v>
      </c>
      <c r="G3">
        <f t="shared" si="0"/>
        <v>6000</v>
      </c>
      <c r="H3">
        <f>E3*1000</f>
        <v>12000</v>
      </c>
    </row>
    <row r="4" spans="1:8" hidden="1" x14ac:dyDescent="0.25">
      <c r="C4" t="s">
        <v>209</v>
      </c>
      <c r="D4" t="s">
        <v>11</v>
      </c>
      <c r="E4">
        <v>17</v>
      </c>
      <c r="F4">
        <f>E4*1500</f>
        <v>25500</v>
      </c>
      <c r="G4">
        <f t="shared" si="0"/>
        <v>8500</v>
      </c>
      <c r="H4">
        <f>E4*1000</f>
        <v>17000</v>
      </c>
    </row>
    <row r="5" spans="1:8" hidden="1" x14ac:dyDescent="0.25">
      <c r="C5" t="s">
        <v>571</v>
      </c>
      <c r="D5" t="s">
        <v>11</v>
      </c>
      <c r="E5">
        <v>22</v>
      </c>
      <c r="F5">
        <f>E5*1700</f>
        <v>37400</v>
      </c>
      <c r="G5">
        <f t="shared" si="0"/>
        <v>11000</v>
      </c>
      <c r="H5">
        <f>E5*1200</f>
        <v>26400</v>
      </c>
    </row>
    <row r="6" spans="1:8" hidden="1" x14ac:dyDescent="0.25">
      <c r="C6" t="s">
        <v>497</v>
      </c>
      <c r="D6" t="s">
        <v>11</v>
      </c>
      <c r="E6">
        <v>82</v>
      </c>
      <c r="F6">
        <f>E6*1700</f>
        <v>139400</v>
      </c>
      <c r="G6">
        <f t="shared" si="0"/>
        <v>41000</v>
      </c>
      <c r="H6">
        <f>E6*1200</f>
        <v>98400</v>
      </c>
    </row>
    <row r="7" spans="1:8" hidden="1" x14ac:dyDescent="0.25">
      <c r="C7" t="s">
        <v>16</v>
      </c>
      <c r="D7" t="s">
        <v>11</v>
      </c>
      <c r="E7">
        <v>23</v>
      </c>
      <c r="F7">
        <f>E7*1500</f>
        <v>34500</v>
      </c>
      <c r="G7">
        <f t="shared" si="0"/>
        <v>11500</v>
      </c>
      <c r="H7">
        <v>23000</v>
      </c>
    </row>
    <row r="8" spans="1:8" hidden="1" x14ac:dyDescent="0.25">
      <c r="D8" t="s">
        <v>12</v>
      </c>
      <c r="E8">
        <v>1</v>
      </c>
      <c r="F8">
        <v>3000</v>
      </c>
      <c r="G8">
        <v>2000</v>
      </c>
      <c r="H8">
        <v>1000</v>
      </c>
    </row>
    <row r="9" spans="1:8" hidden="1" x14ac:dyDescent="0.25">
      <c r="D9" t="s">
        <v>13</v>
      </c>
      <c r="E9">
        <v>1</v>
      </c>
      <c r="F9">
        <v>6500</v>
      </c>
      <c r="G9">
        <v>4500</v>
      </c>
      <c r="H9">
        <v>2000</v>
      </c>
    </row>
    <row r="10" spans="1:8" hidden="1" x14ac:dyDescent="0.25">
      <c r="D10" t="s">
        <v>243</v>
      </c>
      <c r="E10">
        <v>1</v>
      </c>
      <c r="F10">
        <v>13000</v>
      </c>
      <c r="G10">
        <v>10000</v>
      </c>
      <c r="H10">
        <v>3000</v>
      </c>
    </row>
    <row r="11" spans="1:8" hidden="1" x14ac:dyDescent="0.25">
      <c r="A11" s="111" t="s">
        <v>17</v>
      </c>
      <c r="B11" s="111"/>
      <c r="C11" s="111"/>
      <c r="D11" s="111"/>
      <c r="E11" s="13">
        <f>SUM(E2:E10)</f>
        <v>234</v>
      </c>
      <c r="F11" s="13">
        <f t="shared" ref="F11:H11" si="1">SUM(F2:F10)</f>
        <v>412300</v>
      </c>
      <c r="G11" s="13">
        <f t="shared" si="1"/>
        <v>132000</v>
      </c>
      <c r="H11" s="13">
        <f t="shared" si="1"/>
        <v>280300</v>
      </c>
    </row>
    <row r="12" spans="1:8" hidden="1" x14ac:dyDescent="0.25">
      <c r="A12" t="s">
        <v>26</v>
      </c>
      <c r="B12" s="3">
        <v>45325</v>
      </c>
      <c r="C12" t="s">
        <v>338</v>
      </c>
      <c r="D12" t="s">
        <v>11</v>
      </c>
      <c r="E12">
        <v>120</v>
      </c>
      <c r="F12">
        <f>E12*1800</f>
        <v>216000</v>
      </c>
      <c r="G12">
        <f>E12*500</f>
        <v>60000</v>
      </c>
      <c r="H12">
        <f>E12*1300</f>
        <v>156000</v>
      </c>
    </row>
    <row r="13" spans="1:8" hidden="1" x14ac:dyDescent="0.25">
      <c r="C13" t="s">
        <v>646</v>
      </c>
      <c r="D13" t="s">
        <v>11</v>
      </c>
      <c r="E13">
        <v>20</v>
      </c>
      <c r="F13">
        <f>E13*1500</f>
        <v>30000</v>
      </c>
      <c r="G13">
        <f>E13*500</f>
        <v>10000</v>
      </c>
      <c r="H13">
        <v>20000</v>
      </c>
    </row>
    <row r="14" spans="1:8" hidden="1" x14ac:dyDescent="0.25">
      <c r="C14" t="s">
        <v>16</v>
      </c>
      <c r="D14" t="s">
        <v>11</v>
      </c>
      <c r="E14">
        <v>43</v>
      </c>
      <c r="F14">
        <f>E14*1500</f>
        <v>64500</v>
      </c>
      <c r="G14">
        <f>E14*500</f>
        <v>21500</v>
      </c>
      <c r="H14">
        <v>43000</v>
      </c>
    </row>
    <row r="15" spans="1:8" hidden="1" x14ac:dyDescent="0.25">
      <c r="C15" t="s">
        <v>20</v>
      </c>
      <c r="D15" t="s">
        <v>11</v>
      </c>
      <c r="E15">
        <v>4</v>
      </c>
      <c r="F15">
        <f>E15*1500</f>
        <v>6000</v>
      </c>
      <c r="G15">
        <f>E15*500</f>
        <v>2000</v>
      </c>
      <c r="H15">
        <v>4000</v>
      </c>
    </row>
    <row r="16" spans="1:8" hidden="1" x14ac:dyDescent="0.25">
      <c r="D16" t="s">
        <v>13</v>
      </c>
      <c r="E16">
        <v>4</v>
      </c>
      <c r="F16">
        <f>E16*6500</f>
        <v>26000</v>
      </c>
      <c r="G16">
        <f>E16*4500</f>
        <v>18000</v>
      </c>
      <c r="H16">
        <f>E16*2000</f>
        <v>8000</v>
      </c>
    </row>
    <row r="17" spans="1:8" hidden="1" x14ac:dyDescent="0.25">
      <c r="C17" t="s">
        <v>581</v>
      </c>
      <c r="D17" t="s">
        <v>11</v>
      </c>
      <c r="E17">
        <f>17+21+34+35+E1428+29+19+30+34+31+33+31+26</f>
        <v>340</v>
      </c>
      <c r="F17">
        <f>E17*1500</f>
        <v>510000</v>
      </c>
      <c r="G17">
        <f>E17*500</f>
        <v>170000</v>
      </c>
      <c r="H17">
        <f>E17*1000</f>
        <v>340000</v>
      </c>
    </row>
    <row r="18" spans="1:8" hidden="1" x14ac:dyDescent="0.25">
      <c r="A18" s="142" t="s">
        <v>17</v>
      </c>
      <c r="B18" s="142"/>
      <c r="C18" s="142"/>
      <c r="D18" s="142"/>
      <c r="E18" s="13">
        <f>SUM(E12:E17)</f>
        <v>531</v>
      </c>
      <c r="F18" s="13">
        <f t="shared" ref="F18:H18" si="2">SUM(F12:F17)</f>
        <v>852500</v>
      </c>
      <c r="G18" s="13">
        <f t="shared" si="2"/>
        <v>281500</v>
      </c>
      <c r="H18" s="13">
        <f t="shared" si="2"/>
        <v>571000</v>
      </c>
    </row>
    <row r="19" spans="1:8" hidden="1" x14ac:dyDescent="0.25">
      <c r="A19" t="s">
        <v>28</v>
      </c>
      <c r="B19" s="3">
        <v>45354</v>
      </c>
      <c r="C19" t="s">
        <v>734</v>
      </c>
      <c r="D19" t="s">
        <v>11</v>
      </c>
      <c r="E19">
        <v>9</v>
      </c>
      <c r="F19">
        <f>E19*1500</f>
        <v>13500</v>
      </c>
      <c r="G19">
        <f>E19*500</f>
        <v>4500</v>
      </c>
      <c r="H19">
        <v>9000</v>
      </c>
    </row>
    <row r="20" spans="1:8" hidden="1" x14ac:dyDescent="0.25">
      <c r="D20" t="s">
        <v>13</v>
      </c>
      <c r="E20">
        <v>37</v>
      </c>
      <c r="F20">
        <f>E20*7000</f>
        <v>259000</v>
      </c>
      <c r="G20">
        <f>E20*4500</f>
        <v>166500</v>
      </c>
      <c r="H20">
        <f>E20*2500</f>
        <v>92500</v>
      </c>
    </row>
    <row r="21" spans="1:8" hidden="1" x14ac:dyDescent="0.25">
      <c r="D21" t="s">
        <v>14</v>
      </c>
      <c r="E21">
        <v>32</v>
      </c>
      <c r="F21">
        <f>E21*10000</f>
        <v>320000</v>
      </c>
      <c r="G21">
        <f>E21*5500</f>
        <v>176000</v>
      </c>
      <c r="H21">
        <f>E21*4500</f>
        <v>144000</v>
      </c>
    </row>
    <row r="22" spans="1:8" hidden="1" x14ac:dyDescent="0.25">
      <c r="D22" t="s">
        <v>420</v>
      </c>
      <c r="E22">
        <v>2</v>
      </c>
      <c r="F22">
        <v>10000</v>
      </c>
      <c r="G22">
        <v>5000</v>
      </c>
      <c r="H22">
        <v>5000</v>
      </c>
    </row>
    <row r="23" spans="1:8" hidden="1" x14ac:dyDescent="0.25">
      <c r="C23" t="s">
        <v>16</v>
      </c>
      <c r="D23" t="s">
        <v>11</v>
      </c>
      <c r="E23">
        <v>33</v>
      </c>
      <c r="F23">
        <f>E23*1500</f>
        <v>49500</v>
      </c>
      <c r="G23">
        <f>E23*500</f>
        <v>16500</v>
      </c>
      <c r="H23">
        <f>E23*1000</f>
        <v>33000</v>
      </c>
    </row>
    <row r="24" spans="1:8" hidden="1" x14ac:dyDescent="0.25">
      <c r="D24" t="s">
        <v>12</v>
      </c>
      <c r="E24">
        <v>3</v>
      </c>
      <c r="F24">
        <v>9000</v>
      </c>
      <c r="G24">
        <v>6000</v>
      </c>
      <c r="H24">
        <v>3000</v>
      </c>
    </row>
    <row r="25" spans="1:8" hidden="1" x14ac:dyDescent="0.25">
      <c r="D25" t="s">
        <v>13</v>
      </c>
      <c r="E25">
        <v>0</v>
      </c>
    </row>
    <row r="26" spans="1:8" hidden="1" x14ac:dyDescent="0.25">
      <c r="D26" t="s">
        <v>14</v>
      </c>
      <c r="E26">
        <v>0</v>
      </c>
    </row>
    <row r="27" spans="1:8" hidden="1" x14ac:dyDescent="0.25">
      <c r="D27" t="s">
        <v>243</v>
      </c>
      <c r="E27">
        <v>0</v>
      </c>
    </row>
    <row r="28" spans="1:8" hidden="1" x14ac:dyDescent="0.25">
      <c r="A28" s="142" t="s">
        <v>735</v>
      </c>
      <c r="B28" s="142"/>
      <c r="C28" s="142"/>
      <c r="D28" s="142"/>
      <c r="E28" s="13">
        <f>SUM(E19:E27)</f>
        <v>116</v>
      </c>
      <c r="F28" s="13">
        <f t="shared" ref="F28:H28" si="3">SUM(F19:F27)</f>
        <v>661000</v>
      </c>
      <c r="G28" s="13">
        <f t="shared" si="3"/>
        <v>374500</v>
      </c>
      <c r="H28" s="13">
        <f t="shared" si="3"/>
        <v>286500</v>
      </c>
    </row>
    <row r="29" spans="1:8" hidden="1" x14ac:dyDescent="0.25">
      <c r="A29" t="s">
        <v>30</v>
      </c>
      <c r="B29" s="3">
        <v>45385</v>
      </c>
      <c r="C29" t="s">
        <v>646</v>
      </c>
      <c r="D29" t="s">
        <v>11</v>
      </c>
      <c r="E29">
        <v>20</v>
      </c>
      <c r="F29">
        <f>E29*1500</f>
        <v>30000</v>
      </c>
      <c r="G29">
        <f>E29*500</f>
        <v>10000</v>
      </c>
      <c r="H29">
        <f>E29*1000</f>
        <v>20000</v>
      </c>
    </row>
    <row r="30" spans="1:8" hidden="1" x14ac:dyDescent="0.25">
      <c r="C30" t="s">
        <v>209</v>
      </c>
      <c r="D30" t="s">
        <v>11</v>
      </c>
      <c r="E30">
        <v>30</v>
      </c>
      <c r="F30">
        <f>E30*1500</f>
        <v>45000</v>
      </c>
      <c r="G30">
        <f>E30*500</f>
        <v>15000</v>
      </c>
      <c r="H30">
        <f>E30*1000</f>
        <v>30000</v>
      </c>
    </row>
    <row r="31" spans="1:8" hidden="1" x14ac:dyDescent="0.25">
      <c r="C31" t="s">
        <v>306</v>
      </c>
      <c r="D31" t="s">
        <v>11</v>
      </c>
      <c r="E31">
        <v>22</v>
      </c>
      <c r="F31">
        <f>E31*1800</f>
        <v>39600</v>
      </c>
      <c r="G31">
        <f>E31*500</f>
        <v>11000</v>
      </c>
      <c r="H31">
        <f>E31*1300</f>
        <v>28600</v>
      </c>
    </row>
    <row r="32" spans="1:8" hidden="1" x14ac:dyDescent="0.25">
      <c r="C32" t="s">
        <v>571</v>
      </c>
      <c r="D32" t="s">
        <v>11</v>
      </c>
      <c r="E32">
        <v>22</v>
      </c>
      <c r="F32">
        <f>E32*1700</f>
        <v>37400</v>
      </c>
      <c r="G32">
        <f>E32*500</f>
        <v>11000</v>
      </c>
      <c r="H32">
        <f>E32*1000</f>
        <v>22000</v>
      </c>
    </row>
    <row r="33" spans="1:8" hidden="1" x14ac:dyDescent="0.25">
      <c r="C33" t="s">
        <v>16</v>
      </c>
      <c r="D33" t="s">
        <v>11</v>
      </c>
      <c r="E33">
        <v>42</v>
      </c>
      <c r="F33">
        <f>E33*1500</f>
        <v>63000</v>
      </c>
      <c r="G33">
        <f>E33*500</f>
        <v>21000</v>
      </c>
      <c r="H33">
        <f>E33*1000</f>
        <v>42000</v>
      </c>
    </row>
    <row r="34" spans="1:8" hidden="1" x14ac:dyDescent="0.25">
      <c r="D34" t="s">
        <v>12</v>
      </c>
      <c r="E34">
        <v>4</v>
      </c>
      <c r="F34">
        <f>E34*3000</f>
        <v>12000</v>
      </c>
      <c r="G34">
        <v>8000</v>
      </c>
      <c r="H34">
        <v>4000</v>
      </c>
    </row>
    <row r="35" spans="1:8" hidden="1" x14ac:dyDescent="0.25">
      <c r="D35" t="s">
        <v>14</v>
      </c>
      <c r="E35">
        <v>1</v>
      </c>
      <c r="F35">
        <v>10000</v>
      </c>
      <c r="G35">
        <v>5500</v>
      </c>
      <c r="H35">
        <v>4500</v>
      </c>
    </row>
    <row r="36" spans="1:8" hidden="1" x14ac:dyDescent="0.25">
      <c r="D36" t="s">
        <v>243</v>
      </c>
      <c r="E36">
        <v>2</v>
      </c>
      <c r="F36">
        <v>26000</v>
      </c>
      <c r="G36">
        <v>20000</v>
      </c>
      <c r="H36">
        <v>6000</v>
      </c>
    </row>
    <row r="37" spans="1:8" hidden="1" x14ac:dyDescent="0.25">
      <c r="C37" t="s">
        <v>217</v>
      </c>
      <c r="D37" t="s">
        <v>11</v>
      </c>
      <c r="E37">
        <v>22</v>
      </c>
      <c r="F37">
        <f>E37*1500</f>
        <v>33000</v>
      </c>
      <c r="G37">
        <f>E37*500</f>
        <v>11000</v>
      </c>
      <c r="H37">
        <v>22000</v>
      </c>
    </row>
    <row r="38" spans="1:8" hidden="1" x14ac:dyDescent="0.25">
      <c r="D38" t="s">
        <v>13</v>
      </c>
      <c r="E38">
        <v>7</v>
      </c>
      <c r="F38">
        <f>E38*6500</f>
        <v>45500</v>
      </c>
      <c r="G38">
        <f>E38*4500</f>
        <v>31500</v>
      </c>
      <c r="H38">
        <f>E38*2000</f>
        <v>14000</v>
      </c>
    </row>
    <row r="39" spans="1:8" hidden="1" x14ac:dyDescent="0.25">
      <c r="D39" t="s">
        <v>14</v>
      </c>
      <c r="E39">
        <v>7</v>
      </c>
      <c r="F39">
        <f>E39*10000</f>
        <v>70000</v>
      </c>
      <c r="G39">
        <f>E39*5500</f>
        <v>38500</v>
      </c>
      <c r="H39">
        <f>E39*4500</f>
        <v>31500</v>
      </c>
    </row>
    <row r="40" spans="1:8" x14ac:dyDescent="0.25">
      <c r="D40" t="s">
        <v>415</v>
      </c>
      <c r="E40">
        <v>3</v>
      </c>
      <c r="F40">
        <f>E40*5000</f>
        <v>15000</v>
      </c>
      <c r="G40">
        <v>7500</v>
      </c>
      <c r="H40">
        <v>7500</v>
      </c>
    </row>
    <row r="41" spans="1:8" hidden="1" x14ac:dyDescent="0.25">
      <c r="D41" t="s">
        <v>441</v>
      </c>
      <c r="E41">
        <v>1</v>
      </c>
      <c r="F41">
        <v>3000</v>
      </c>
      <c r="G41">
        <v>1500</v>
      </c>
      <c r="H41">
        <v>1500</v>
      </c>
    </row>
    <row r="42" spans="1:8" hidden="1" x14ac:dyDescent="0.25">
      <c r="C42" t="s">
        <v>24</v>
      </c>
      <c r="D42" t="s">
        <v>243</v>
      </c>
      <c r="E42">
        <v>1</v>
      </c>
      <c r="F42">
        <v>15000</v>
      </c>
      <c r="G42">
        <v>10000</v>
      </c>
      <c r="H42">
        <v>5000</v>
      </c>
    </row>
    <row r="43" spans="1:8" hidden="1" x14ac:dyDescent="0.25">
      <c r="A43" s="142" t="s">
        <v>17</v>
      </c>
      <c r="B43" s="142"/>
      <c r="C43" s="142"/>
      <c r="D43" s="142"/>
      <c r="E43" s="13">
        <f>SUM(E29:E42)</f>
        <v>184</v>
      </c>
      <c r="F43" s="13">
        <f t="shared" ref="F43:H43" si="4">SUM(F29:F42)</f>
        <v>444500</v>
      </c>
      <c r="G43" s="13">
        <f t="shared" si="4"/>
        <v>201500</v>
      </c>
      <c r="H43" s="13">
        <f t="shared" si="4"/>
        <v>238600</v>
      </c>
    </row>
    <row r="44" spans="1:8" hidden="1" x14ac:dyDescent="0.25">
      <c r="A44" t="s">
        <v>32</v>
      </c>
      <c r="B44" s="3">
        <v>45415</v>
      </c>
      <c r="C44" t="s">
        <v>338</v>
      </c>
      <c r="D44" t="s">
        <v>11</v>
      </c>
      <c r="E44">
        <v>74</v>
      </c>
      <c r="F44" s="4">
        <f>E44*1800</f>
        <v>133200</v>
      </c>
      <c r="G44" s="4">
        <f>E44*500</f>
        <v>37000</v>
      </c>
      <c r="H44" s="4">
        <f>E44*1300</f>
        <v>96200</v>
      </c>
    </row>
    <row r="45" spans="1:8" hidden="1" x14ac:dyDescent="0.25">
      <c r="C45" t="s">
        <v>646</v>
      </c>
      <c r="D45" t="s">
        <v>11</v>
      </c>
      <c r="E45">
        <v>25</v>
      </c>
      <c r="F45" s="4">
        <f>E45*1500</f>
        <v>37500</v>
      </c>
      <c r="G45" s="4">
        <f>E45*500</f>
        <v>12500</v>
      </c>
      <c r="H45" s="4">
        <v>25000</v>
      </c>
    </row>
    <row r="46" spans="1:8" hidden="1" x14ac:dyDescent="0.25">
      <c r="C46" t="s">
        <v>571</v>
      </c>
      <c r="D46" t="s">
        <v>11</v>
      </c>
      <c r="E46">
        <v>15</v>
      </c>
      <c r="F46" s="4">
        <f>E46*1700</f>
        <v>25500</v>
      </c>
      <c r="G46" s="4">
        <f>E46*500</f>
        <v>7500</v>
      </c>
      <c r="H46" s="4">
        <f>E46*1200</f>
        <v>18000</v>
      </c>
    </row>
    <row r="47" spans="1:8" hidden="1" x14ac:dyDescent="0.25">
      <c r="C47" t="s">
        <v>16</v>
      </c>
      <c r="D47" t="s">
        <v>11</v>
      </c>
      <c r="E47">
        <v>37</v>
      </c>
      <c r="F47" s="4">
        <f>E47*1500</f>
        <v>55500</v>
      </c>
      <c r="G47" s="4">
        <f>E47*500</f>
        <v>18500</v>
      </c>
      <c r="H47" s="4">
        <v>37000</v>
      </c>
    </row>
    <row r="48" spans="1:8" hidden="1" x14ac:dyDescent="0.25">
      <c r="D48" t="s">
        <v>12</v>
      </c>
      <c r="E48">
        <v>6</v>
      </c>
      <c r="F48" s="4">
        <f>E48*3000</f>
        <v>18000</v>
      </c>
      <c r="G48" s="4">
        <v>12000</v>
      </c>
      <c r="H48" s="4">
        <v>6000</v>
      </c>
    </row>
    <row r="49" spans="1:8" hidden="1" x14ac:dyDescent="0.25">
      <c r="D49" t="s">
        <v>13</v>
      </c>
      <c r="E49">
        <v>1</v>
      </c>
      <c r="F49" s="4">
        <v>6500</v>
      </c>
      <c r="G49" s="4">
        <v>4500</v>
      </c>
      <c r="H49" s="4">
        <v>2000</v>
      </c>
    </row>
    <row r="50" spans="1:8" hidden="1" x14ac:dyDescent="0.25">
      <c r="C50" t="s">
        <v>104</v>
      </c>
      <c r="D50" t="s">
        <v>11</v>
      </c>
      <c r="E50">
        <v>20</v>
      </c>
      <c r="F50" s="4">
        <f>E50*1500</f>
        <v>30000</v>
      </c>
      <c r="G50" s="4">
        <f>E50*500</f>
        <v>10000</v>
      </c>
      <c r="H50" s="4">
        <f>E50*1200</f>
        <v>24000</v>
      </c>
    </row>
    <row r="51" spans="1:8" hidden="1" x14ac:dyDescent="0.25">
      <c r="A51" s="111" t="s">
        <v>17</v>
      </c>
      <c r="B51" s="111"/>
      <c r="C51" s="111"/>
      <c r="D51" s="111"/>
      <c r="E51" s="1">
        <f>SUM(E44:E50)</f>
        <v>178</v>
      </c>
      <c r="F51" s="13">
        <f t="shared" ref="F51:H51" si="5">SUM(F44:F50)</f>
        <v>306200</v>
      </c>
      <c r="G51" s="13">
        <f t="shared" si="5"/>
        <v>102000</v>
      </c>
      <c r="H51" s="13">
        <f t="shared" si="5"/>
        <v>208200</v>
      </c>
    </row>
    <row r="52" spans="1:8" hidden="1" x14ac:dyDescent="0.25">
      <c r="A52" t="s">
        <v>8</v>
      </c>
      <c r="B52" s="3">
        <v>45446</v>
      </c>
      <c r="C52" t="s">
        <v>338</v>
      </c>
      <c r="D52" t="s">
        <v>11</v>
      </c>
      <c r="E52">
        <v>72</v>
      </c>
      <c r="F52" s="4">
        <f>E52*1800</f>
        <v>129600</v>
      </c>
      <c r="G52" s="4">
        <f>E52*500</f>
        <v>36000</v>
      </c>
      <c r="H52" s="4">
        <f>E52*1300</f>
        <v>93600</v>
      </c>
    </row>
    <row r="53" spans="1:8" hidden="1" x14ac:dyDescent="0.25">
      <c r="C53" t="s">
        <v>646</v>
      </c>
      <c r="D53" t="s">
        <v>11</v>
      </c>
      <c r="E53">
        <v>30</v>
      </c>
      <c r="F53">
        <f>E53*1500</f>
        <v>45000</v>
      </c>
      <c r="G53">
        <f>E53*500</f>
        <v>15000</v>
      </c>
      <c r="H53">
        <v>30000</v>
      </c>
    </row>
    <row r="54" spans="1:8" hidden="1" x14ac:dyDescent="0.25">
      <c r="C54" t="s">
        <v>209</v>
      </c>
      <c r="D54" t="s">
        <v>11</v>
      </c>
      <c r="E54">
        <v>46</v>
      </c>
      <c r="F54">
        <f>E54*1500</f>
        <v>69000</v>
      </c>
      <c r="G54">
        <f>E54*500</f>
        <v>23000</v>
      </c>
      <c r="H54">
        <f>E54*1000</f>
        <v>46000</v>
      </c>
    </row>
    <row r="55" spans="1:8" hidden="1" x14ac:dyDescent="0.25">
      <c r="C55" t="s">
        <v>571</v>
      </c>
      <c r="D55" t="s">
        <v>11</v>
      </c>
      <c r="E55">
        <v>16</v>
      </c>
      <c r="F55">
        <f>E55*1700</f>
        <v>27200</v>
      </c>
      <c r="G55">
        <f>E55*500</f>
        <v>8000</v>
      </c>
      <c r="H55">
        <f>E55*1200</f>
        <v>19200</v>
      </c>
    </row>
    <row r="56" spans="1:8" hidden="1" x14ac:dyDescent="0.25">
      <c r="C56" t="s">
        <v>572</v>
      </c>
      <c r="D56" t="s">
        <v>11</v>
      </c>
      <c r="E56">
        <v>45</v>
      </c>
      <c r="F56">
        <f>E56*1700</f>
        <v>76500</v>
      </c>
      <c r="G56">
        <f>E56*500</f>
        <v>22500</v>
      </c>
      <c r="H56">
        <f>E56*1000</f>
        <v>45000</v>
      </c>
    </row>
    <row r="57" spans="1:8" hidden="1" x14ac:dyDescent="0.25">
      <c r="C57" t="s">
        <v>127</v>
      </c>
      <c r="D57" t="s">
        <v>243</v>
      </c>
      <c r="E57">
        <v>1</v>
      </c>
      <c r="F57">
        <v>12000</v>
      </c>
      <c r="G57">
        <v>10000</v>
      </c>
      <c r="H57">
        <v>2000</v>
      </c>
    </row>
    <row r="58" spans="1:8" hidden="1" x14ac:dyDescent="0.25">
      <c r="D58" t="s">
        <v>21</v>
      </c>
      <c r="E58">
        <v>5</v>
      </c>
      <c r="F58">
        <f>E58*13000</f>
        <v>65000</v>
      </c>
      <c r="G58">
        <v>50000</v>
      </c>
      <c r="H58">
        <v>15000</v>
      </c>
    </row>
    <row r="59" spans="1:8" hidden="1" x14ac:dyDescent="0.25">
      <c r="C59" t="s">
        <v>16</v>
      </c>
      <c r="D59" t="s">
        <v>11</v>
      </c>
      <c r="E59">
        <v>39</v>
      </c>
      <c r="F59">
        <f>E59*1500</f>
        <v>58500</v>
      </c>
      <c r="G59">
        <f>E59*500</f>
        <v>19500</v>
      </c>
      <c r="H59">
        <f>E59*1000</f>
        <v>39000</v>
      </c>
    </row>
    <row r="60" spans="1:8" hidden="1" x14ac:dyDescent="0.25">
      <c r="D60" t="s">
        <v>14</v>
      </c>
      <c r="E60">
        <v>1</v>
      </c>
      <c r="F60">
        <v>10000</v>
      </c>
      <c r="G60">
        <v>5500</v>
      </c>
      <c r="H60">
        <v>4500</v>
      </c>
    </row>
    <row r="61" spans="1:8" hidden="1" x14ac:dyDescent="0.25">
      <c r="D61" t="s">
        <v>243</v>
      </c>
      <c r="E61">
        <v>1</v>
      </c>
      <c r="F61">
        <v>13000</v>
      </c>
      <c r="G61">
        <v>10000</v>
      </c>
      <c r="H61">
        <v>3000</v>
      </c>
    </row>
    <row r="62" spans="1:8" hidden="1" x14ac:dyDescent="0.25">
      <c r="A62" s="142" t="s">
        <v>17</v>
      </c>
      <c r="B62" s="142"/>
      <c r="C62" s="142"/>
      <c r="D62" s="142"/>
      <c r="E62" s="13">
        <f>SUM(E52:E61)</f>
        <v>256</v>
      </c>
      <c r="F62" s="13">
        <f t="shared" ref="F62:H62" si="6">SUM(F52:F61)</f>
        <v>505800</v>
      </c>
      <c r="G62" s="13">
        <f t="shared" si="6"/>
        <v>199500</v>
      </c>
      <c r="H62" s="13">
        <f t="shared" si="6"/>
        <v>297300</v>
      </c>
    </row>
    <row r="63" spans="1:8" hidden="1" x14ac:dyDescent="0.25">
      <c r="A63" t="s">
        <v>18</v>
      </c>
      <c r="B63" s="3">
        <v>45476</v>
      </c>
      <c r="C63" t="s">
        <v>338</v>
      </c>
      <c r="D63" t="s">
        <v>11</v>
      </c>
      <c r="E63">
        <v>73</v>
      </c>
      <c r="F63" s="4">
        <f>E63*1800</f>
        <v>131400</v>
      </c>
      <c r="G63" s="4">
        <f>E63*500</f>
        <v>36500</v>
      </c>
      <c r="H63" s="4">
        <f>E63*1300</f>
        <v>94900</v>
      </c>
    </row>
    <row r="64" spans="1:8" hidden="1" x14ac:dyDescent="0.25">
      <c r="C64" t="s">
        <v>646</v>
      </c>
      <c r="D64" t="s">
        <v>11</v>
      </c>
      <c r="E64">
        <v>30</v>
      </c>
      <c r="F64" s="4">
        <f>E64*1500</f>
        <v>45000</v>
      </c>
      <c r="G64" s="4">
        <f>E64*500</f>
        <v>15000</v>
      </c>
      <c r="H64" s="4">
        <f>E64*1000</f>
        <v>30000</v>
      </c>
    </row>
    <row r="65" spans="1:8" hidden="1" x14ac:dyDescent="0.25">
      <c r="C65" t="s">
        <v>209</v>
      </c>
      <c r="D65" t="s">
        <v>11</v>
      </c>
      <c r="E65">
        <v>26</v>
      </c>
      <c r="F65" s="4">
        <f>E65*1500</f>
        <v>39000</v>
      </c>
      <c r="G65" s="4">
        <f>E65*500</f>
        <v>13000</v>
      </c>
      <c r="H65" s="4">
        <f>E65*1000</f>
        <v>26000</v>
      </c>
    </row>
    <row r="66" spans="1:8" hidden="1" x14ac:dyDescent="0.25">
      <c r="C66" t="s">
        <v>104</v>
      </c>
      <c r="D66" t="s">
        <v>11</v>
      </c>
      <c r="E66">
        <v>11</v>
      </c>
      <c r="F66" s="4">
        <f>E66*1700</f>
        <v>18700</v>
      </c>
      <c r="G66" s="4">
        <f>E66*500</f>
        <v>5500</v>
      </c>
      <c r="H66" s="4">
        <f>E66*1200</f>
        <v>13200</v>
      </c>
    </row>
    <row r="67" spans="1:8" hidden="1" x14ac:dyDescent="0.25">
      <c r="C67" t="s">
        <v>16</v>
      </c>
      <c r="D67" t="s">
        <v>11</v>
      </c>
      <c r="E67">
        <v>26</v>
      </c>
      <c r="F67" s="4">
        <f>E67*1500</f>
        <v>39000</v>
      </c>
      <c r="G67" s="4">
        <f>E67*500</f>
        <v>13000</v>
      </c>
      <c r="H67" s="4">
        <v>26000</v>
      </c>
    </row>
    <row r="68" spans="1:8" hidden="1" x14ac:dyDescent="0.25">
      <c r="D68" t="s">
        <v>12</v>
      </c>
      <c r="E68">
        <v>2</v>
      </c>
      <c r="F68" s="4">
        <v>6000</v>
      </c>
      <c r="G68" s="4">
        <v>4000</v>
      </c>
      <c r="H68" s="4">
        <v>2000</v>
      </c>
    </row>
    <row r="69" spans="1:8" hidden="1" x14ac:dyDescent="0.25">
      <c r="A69" s="142" t="s">
        <v>17</v>
      </c>
      <c r="B69" s="142"/>
      <c r="C69" s="142"/>
      <c r="D69" s="142"/>
      <c r="E69" s="13">
        <f>SUM(E63:E68)</f>
        <v>168</v>
      </c>
      <c r="F69" s="13">
        <f t="shared" ref="F69:H69" si="7">SUM(F63:F68)</f>
        <v>279100</v>
      </c>
      <c r="G69" s="13">
        <f t="shared" si="7"/>
        <v>87000</v>
      </c>
      <c r="H69" s="13">
        <f t="shared" si="7"/>
        <v>192100</v>
      </c>
    </row>
    <row r="70" spans="1:8" hidden="1" x14ac:dyDescent="0.25">
      <c r="A70" t="s">
        <v>22</v>
      </c>
      <c r="B70" s="3">
        <v>45872</v>
      </c>
      <c r="C70" t="s">
        <v>338</v>
      </c>
      <c r="D70" t="s">
        <v>11</v>
      </c>
      <c r="E70">
        <v>75</v>
      </c>
      <c r="F70" s="4">
        <f>E70*1800</f>
        <v>135000</v>
      </c>
      <c r="G70" s="4">
        <f>E70*500</f>
        <v>37500</v>
      </c>
      <c r="H70" s="4">
        <f>E70*1300</f>
        <v>97500</v>
      </c>
    </row>
    <row r="71" spans="1:8" hidden="1" x14ac:dyDescent="0.25">
      <c r="C71" t="s">
        <v>646</v>
      </c>
      <c r="D71" t="s">
        <v>11</v>
      </c>
      <c r="E71">
        <v>30</v>
      </c>
      <c r="F71" s="4">
        <f>E71*1500</f>
        <v>45000</v>
      </c>
      <c r="G71" s="4">
        <f>E71*500</f>
        <v>15000</v>
      </c>
      <c r="H71" s="4">
        <f>E71*1000</f>
        <v>30000</v>
      </c>
    </row>
    <row r="72" spans="1:8" hidden="1" x14ac:dyDescent="0.25">
      <c r="C72" t="s">
        <v>209</v>
      </c>
      <c r="D72" t="s">
        <v>11</v>
      </c>
      <c r="E72">
        <v>25</v>
      </c>
      <c r="F72" s="4">
        <f>E72*1500</f>
        <v>37500</v>
      </c>
      <c r="G72" s="4">
        <f>E72*500</f>
        <v>12500</v>
      </c>
      <c r="H72" s="4">
        <f>E72*1000</f>
        <v>25000</v>
      </c>
    </row>
    <row r="73" spans="1:8" hidden="1" x14ac:dyDescent="0.25">
      <c r="C73" t="s">
        <v>217</v>
      </c>
      <c r="D73" t="s">
        <v>11</v>
      </c>
      <c r="E73">
        <v>30</v>
      </c>
      <c r="F73" s="4">
        <f>E73*1500</f>
        <v>45000</v>
      </c>
      <c r="G73" s="4">
        <f>E73*500</f>
        <v>15000</v>
      </c>
      <c r="H73" s="4">
        <f>E73*1000</f>
        <v>30000</v>
      </c>
    </row>
    <row r="74" spans="1:8" hidden="1" x14ac:dyDescent="0.25">
      <c r="D74" t="s">
        <v>13</v>
      </c>
      <c r="E74">
        <v>8</v>
      </c>
      <c r="F74" s="4">
        <f>E74*6500</f>
        <v>52000</v>
      </c>
      <c r="G74" s="4">
        <f>E74*4500</f>
        <v>36000</v>
      </c>
      <c r="H74" s="4">
        <f>E74*2000</f>
        <v>16000</v>
      </c>
    </row>
    <row r="75" spans="1:8" hidden="1" x14ac:dyDescent="0.25">
      <c r="D75" t="s">
        <v>14</v>
      </c>
      <c r="E75">
        <v>3</v>
      </c>
      <c r="F75" s="4">
        <f>E75*10000</f>
        <v>30000</v>
      </c>
      <c r="G75" s="4">
        <f>E75*5500</f>
        <v>16500</v>
      </c>
      <c r="H75" s="4">
        <f>E75*4500</f>
        <v>13500</v>
      </c>
    </row>
    <row r="76" spans="1:8" x14ac:dyDescent="0.25">
      <c r="D76" t="s">
        <v>630</v>
      </c>
      <c r="E76">
        <v>6</v>
      </c>
      <c r="F76" s="4">
        <f>E76*2000</f>
        <v>12000</v>
      </c>
      <c r="G76" s="4">
        <v>6000</v>
      </c>
      <c r="H76" s="4">
        <v>6000</v>
      </c>
    </row>
    <row r="77" spans="1:8" x14ac:dyDescent="0.25">
      <c r="D77" t="s">
        <v>415</v>
      </c>
      <c r="E77">
        <v>2</v>
      </c>
      <c r="F77" s="4">
        <v>10000</v>
      </c>
      <c r="G77" s="4">
        <v>5000</v>
      </c>
      <c r="H77" s="4">
        <v>5000</v>
      </c>
    </row>
    <row r="78" spans="1:8" hidden="1" x14ac:dyDescent="0.25">
      <c r="D78" t="s">
        <v>441</v>
      </c>
      <c r="E78">
        <v>1</v>
      </c>
      <c r="F78" s="4">
        <v>5000</v>
      </c>
      <c r="G78" s="4">
        <v>2500</v>
      </c>
      <c r="H78" s="4">
        <v>2500</v>
      </c>
    </row>
    <row r="79" spans="1:8" hidden="1" x14ac:dyDescent="0.25">
      <c r="C79" t="s">
        <v>16</v>
      </c>
      <c r="D79" t="s">
        <v>11</v>
      </c>
      <c r="E79">
        <v>63</v>
      </c>
      <c r="F79" s="4">
        <f>E79*1500</f>
        <v>94500</v>
      </c>
      <c r="G79" s="4">
        <f>E79*500</f>
        <v>31500</v>
      </c>
      <c r="H79" s="4">
        <v>63000</v>
      </c>
    </row>
    <row r="80" spans="1:8" hidden="1" x14ac:dyDescent="0.25">
      <c r="D80" t="s">
        <v>12</v>
      </c>
      <c r="E80">
        <v>1</v>
      </c>
      <c r="F80" s="4">
        <v>3000</v>
      </c>
      <c r="G80" s="4">
        <v>2000</v>
      </c>
      <c r="H80" s="4">
        <v>1000</v>
      </c>
    </row>
    <row r="81" spans="1:8" hidden="1" x14ac:dyDescent="0.25">
      <c r="D81" t="s">
        <v>243</v>
      </c>
      <c r="E81">
        <v>2</v>
      </c>
      <c r="F81" s="4">
        <v>26000</v>
      </c>
      <c r="G81" s="4">
        <v>20000</v>
      </c>
      <c r="H81" s="4">
        <v>6000</v>
      </c>
    </row>
    <row r="82" spans="1:8" hidden="1" x14ac:dyDescent="0.25">
      <c r="A82" s="111" t="s">
        <v>17</v>
      </c>
      <c r="B82" s="111"/>
      <c r="C82" s="111"/>
      <c r="D82" s="111"/>
      <c r="E82" s="1">
        <f>SUM(E70:E81)</f>
        <v>246</v>
      </c>
      <c r="F82" s="13">
        <f t="shared" ref="F82:H82" si="8">SUM(F70:F81)</f>
        <v>495000</v>
      </c>
      <c r="G82" s="13">
        <f t="shared" si="8"/>
        <v>199500</v>
      </c>
      <c r="H82" s="13">
        <f t="shared" si="8"/>
        <v>295500</v>
      </c>
    </row>
    <row r="83" spans="1:8" hidden="1" x14ac:dyDescent="0.25">
      <c r="A83" t="s">
        <v>26</v>
      </c>
      <c r="B83" s="3">
        <v>45538</v>
      </c>
      <c r="C83" t="s">
        <v>726</v>
      </c>
      <c r="D83" t="s">
        <v>11</v>
      </c>
      <c r="E83">
        <v>75</v>
      </c>
      <c r="F83">
        <f>E83*1800</f>
        <v>135000</v>
      </c>
      <c r="G83">
        <f>E83*500</f>
        <v>37500</v>
      </c>
      <c r="H83">
        <f>E83*1300</f>
        <v>97500</v>
      </c>
    </row>
    <row r="84" spans="1:8" hidden="1" x14ac:dyDescent="0.25">
      <c r="C84" t="s">
        <v>217</v>
      </c>
      <c r="D84" t="s">
        <v>14</v>
      </c>
      <c r="E84">
        <v>7</v>
      </c>
      <c r="F84">
        <f>E84*10000</f>
        <v>70000</v>
      </c>
      <c r="G84">
        <f>E84*5500</f>
        <v>38500</v>
      </c>
      <c r="H84">
        <f>E84*4500</f>
        <v>31500</v>
      </c>
    </row>
    <row r="85" spans="1:8" x14ac:dyDescent="0.25">
      <c r="D85" t="s">
        <v>404</v>
      </c>
      <c r="E85">
        <v>3</v>
      </c>
      <c r="F85">
        <f>E85*2000</f>
        <v>6000</v>
      </c>
      <c r="G85">
        <v>3000</v>
      </c>
      <c r="H85">
        <v>3000</v>
      </c>
    </row>
    <row r="86" spans="1:8" hidden="1" x14ac:dyDescent="0.25">
      <c r="C86" t="s">
        <v>16</v>
      </c>
      <c r="D86" t="s">
        <v>11</v>
      </c>
      <c r="E86">
        <v>25</v>
      </c>
      <c r="F86">
        <f>E86*1500</f>
        <v>37500</v>
      </c>
      <c r="G86">
        <f>E86*500</f>
        <v>12500</v>
      </c>
      <c r="H86">
        <f>E86*1000</f>
        <v>25000</v>
      </c>
    </row>
    <row r="87" spans="1:8" hidden="1" x14ac:dyDescent="0.25">
      <c r="D87" t="s">
        <v>12</v>
      </c>
      <c r="E87">
        <v>2</v>
      </c>
      <c r="F87">
        <f>E87*3000</f>
        <v>6000</v>
      </c>
      <c r="G87">
        <v>4000</v>
      </c>
      <c r="H87">
        <v>3000</v>
      </c>
    </row>
    <row r="88" spans="1:8" hidden="1" x14ac:dyDescent="0.25">
      <c r="D88" t="s">
        <v>14</v>
      </c>
      <c r="E88">
        <v>2</v>
      </c>
      <c r="F88">
        <v>20000</v>
      </c>
      <c r="G88">
        <f>E88*5500</f>
        <v>11000</v>
      </c>
      <c r="H88">
        <f>E88*4500</f>
        <v>9000</v>
      </c>
    </row>
    <row r="89" spans="1:8" hidden="1" x14ac:dyDescent="0.25">
      <c r="A89" s="142" t="s">
        <v>167</v>
      </c>
      <c r="B89" s="142"/>
      <c r="C89" s="142"/>
      <c r="D89" s="142"/>
      <c r="E89" s="13">
        <f>SUM(E83:E88)</f>
        <v>114</v>
      </c>
      <c r="F89" s="13">
        <f t="shared" ref="F89:H89" si="9">SUM(F83:F88)</f>
        <v>274500</v>
      </c>
      <c r="G89" s="13">
        <f t="shared" si="9"/>
        <v>106500</v>
      </c>
      <c r="H89" s="13">
        <f t="shared" si="9"/>
        <v>169000</v>
      </c>
    </row>
    <row r="90" spans="1:8" hidden="1" x14ac:dyDescent="0.25">
      <c r="A90" t="s">
        <v>28</v>
      </c>
      <c r="B90" s="3">
        <v>45568</v>
      </c>
      <c r="C90" t="s">
        <v>734</v>
      </c>
      <c r="D90" t="s">
        <v>11</v>
      </c>
      <c r="E90">
        <v>5</v>
      </c>
      <c r="F90">
        <f>E90*1500</f>
        <v>7500</v>
      </c>
      <c r="G90">
        <f>E90*500</f>
        <v>2500</v>
      </c>
      <c r="H90">
        <f>E90*1000</f>
        <v>5000</v>
      </c>
    </row>
    <row r="91" spans="1:8" hidden="1" x14ac:dyDescent="0.25">
      <c r="D91" t="s">
        <v>13</v>
      </c>
      <c r="E91">
        <v>43</v>
      </c>
      <c r="F91">
        <f>E91*6500</f>
        <v>279500</v>
      </c>
      <c r="G91">
        <f>E91*4500</f>
        <v>193500</v>
      </c>
      <c r="H91">
        <f>E91*2000</f>
        <v>86000</v>
      </c>
    </row>
    <row r="92" spans="1:8" hidden="1" x14ac:dyDescent="0.25">
      <c r="D92" t="s">
        <v>14</v>
      </c>
      <c r="E92">
        <v>31</v>
      </c>
      <c r="F92">
        <f>E92*10000</f>
        <v>310000</v>
      </c>
      <c r="G92">
        <f>E92*5500</f>
        <v>170500</v>
      </c>
      <c r="H92">
        <f>E92*4500</f>
        <v>139500</v>
      </c>
    </row>
    <row r="93" spans="1:8" hidden="1" x14ac:dyDescent="0.25">
      <c r="D93" t="s">
        <v>243</v>
      </c>
      <c r="E93">
        <v>3</v>
      </c>
      <c r="F93">
        <f>E93*3000</f>
        <v>9000</v>
      </c>
      <c r="G93">
        <v>4500</v>
      </c>
      <c r="H93">
        <v>4500</v>
      </c>
    </row>
    <row r="94" spans="1:8" hidden="1" x14ac:dyDescent="0.25">
      <c r="C94" t="s">
        <v>217</v>
      </c>
      <c r="D94" t="s">
        <v>11</v>
      </c>
      <c r="E94">
        <v>9</v>
      </c>
      <c r="F94">
        <f>E94*1500</f>
        <v>13500</v>
      </c>
      <c r="G94">
        <f>E94*500</f>
        <v>4500</v>
      </c>
      <c r="H94">
        <v>9000</v>
      </c>
    </row>
    <row r="95" spans="1:8" hidden="1" x14ac:dyDescent="0.25">
      <c r="D95" t="s">
        <v>13</v>
      </c>
      <c r="E95">
        <v>12</v>
      </c>
      <c r="F95">
        <f>E95*6500</f>
        <v>78000</v>
      </c>
      <c r="G95">
        <f>E95*4500</f>
        <v>54000</v>
      </c>
      <c r="H95">
        <f>E95*2000</f>
        <v>24000</v>
      </c>
    </row>
    <row r="96" spans="1:8" hidden="1" x14ac:dyDescent="0.25">
      <c r="D96" t="s">
        <v>14</v>
      </c>
      <c r="E96">
        <v>9</v>
      </c>
      <c r="F96">
        <f>E96*10000</f>
        <v>90000</v>
      </c>
      <c r="G96">
        <f>E96*5500</f>
        <v>49500</v>
      </c>
      <c r="H96">
        <f>E96*4500</f>
        <v>40500</v>
      </c>
    </row>
    <row r="97" spans="1:8" hidden="1" x14ac:dyDescent="0.25">
      <c r="D97" t="s">
        <v>436</v>
      </c>
      <c r="E97">
        <v>2</v>
      </c>
      <c r="F97">
        <v>6000</v>
      </c>
      <c r="G97">
        <v>3000</v>
      </c>
      <c r="H97">
        <v>3000</v>
      </c>
    </row>
    <row r="98" spans="1:8" x14ac:dyDescent="0.25">
      <c r="D98" t="s">
        <v>686</v>
      </c>
      <c r="E98">
        <v>2</v>
      </c>
      <c r="F98">
        <v>6000</v>
      </c>
      <c r="G98">
        <v>3000</v>
      </c>
      <c r="H98">
        <v>3000</v>
      </c>
    </row>
    <row r="99" spans="1:8" hidden="1" x14ac:dyDescent="0.25">
      <c r="A99" s="142" t="s">
        <v>17</v>
      </c>
      <c r="B99" s="142"/>
      <c r="C99" s="142"/>
      <c r="D99" s="142"/>
      <c r="E99" s="13">
        <f>SUM(E90:E98)</f>
        <v>116</v>
      </c>
      <c r="F99" s="13">
        <f t="shared" ref="F99:H99" si="10">SUM(F90:F98)</f>
        <v>799500</v>
      </c>
      <c r="G99" s="13">
        <f t="shared" si="10"/>
        <v>485000</v>
      </c>
      <c r="H99" s="13">
        <f t="shared" si="10"/>
        <v>314500</v>
      </c>
    </row>
    <row r="100" spans="1:8" hidden="1" x14ac:dyDescent="0.25">
      <c r="A100" t="s">
        <v>30</v>
      </c>
      <c r="B100" s="3">
        <v>45599</v>
      </c>
      <c r="C100" t="s">
        <v>16</v>
      </c>
      <c r="D100" t="s">
        <v>11</v>
      </c>
      <c r="E100">
        <v>30</v>
      </c>
      <c r="F100">
        <f>E100*1500</f>
        <v>45000</v>
      </c>
      <c r="G100">
        <f>E100*500</f>
        <v>15000</v>
      </c>
      <c r="H100">
        <v>30000</v>
      </c>
    </row>
    <row r="101" spans="1:8" hidden="1" x14ac:dyDescent="0.25">
      <c r="D101" t="s">
        <v>12</v>
      </c>
      <c r="E101">
        <v>2</v>
      </c>
      <c r="F101">
        <f>E101*3000</f>
        <v>6000</v>
      </c>
      <c r="G101">
        <v>4000</v>
      </c>
      <c r="H101">
        <v>2000</v>
      </c>
    </row>
    <row r="102" spans="1:8" hidden="1" x14ac:dyDescent="0.25">
      <c r="D102" t="s">
        <v>13</v>
      </c>
      <c r="E102">
        <v>1</v>
      </c>
      <c r="F102">
        <v>6500</v>
      </c>
      <c r="G102">
        <v>4500</v>
      </c>
      <c r="H102">
        <v>2000</v>
      </c>
    </row>
    <row r="103" spans="1:8" hidden="1" x14ac:dyDescent="0.25">
      <c r="A103" s="142" t="s">
        <v>17</v>
      </c>
      <c r="B103" s="142"/>
      <c r="C103" s="142"/>
      <c r="D103" s="142"/>
      <c r="E103" s="13">
        <f>SUM(E100:E102)</f>
        <v>33</v>
      </c>
      <c r="F103" s="13">
        <f t="shared" ref="F103:H103" si="11">SUM(F100:F102)</f>
        <v>57500</v>
      </c>
      <c r="G103" s="13">
        <f t="shared" si="11"/>
        <v>23500</v>
      </c>
      <c r="H103" s="13">
        <f t="shared" si="11"/>
        <v>34000</v>
      </c>
    </row>
    <row r="104" spans="1:8" hidden="1" x14ac:dyDescent="0.25">
      <c r="A104" t="s">
        <v>32</v>
      </c>
      <c r="B104" s="3">
        <v>45629</v>
      </c>
      <c r="C104" t="s">
        <v>734</v>
      </c>
      <c r="D104" t="s">
        <v>13</v>
      </c>
      <c r="E104">
        <v>13</v>
      </c>
      <c r="F104">
        <f>E104*7000</f>
        <v>91000</v>
      </c>
      <c r="G104">
        <f>E104*4500</f>
        <v>58500</v>
      </c>
      <c r="H104">
        <f>E104*2500</f>
        <v>32500</v>
      </c>
    </row>
    <row r="105" spans="1:8" hidden="1" x14ac:dyDescent="0.25">
      <c r="D105" t="s">
        <v>736</v>
      </c>
      <c r="E105">
        <v>2</v>
      </c>
      <c r="F105">
        <v>20000</v>
      </c>
      <c r="G105">
        <f>E105*6500</f>
        <v>13000</v>
      </c>
      <c r="H105">
        <f>E105*3500</f>
        <v>7000</v>
      </c>
    </row>
    <row r="106" spans="1:8" hidden="1" x14ac:dyDescent="0.25">
      <c r="C106" t="s">
        <v>217</v>
      </c>
      <c r="D106" t="s">
        <v>13</v>
      </c>
      <c r="E106">
        <v>18</v>
      </c>
      <c r="F106">
        <f>E106*6500</f>
        <v>117000</v>
      </c>
      <c r="G106">
        <f>E106*4500</f>
        <v>81000</v>
      </c>
      <c r="H106">
        <f>E106*2000</f>
        <v>36000</v>
      </c>
    </row>
    <row r="107" spans="1:8" hidden="1" x14ac:dyDescent="0.25">
      <c r="D107" t="s">
        <v>14</v>
      </c>
      <c r="E107">
        <v>15</v>
      </c>
      <c r="F107">
        <f>E107*10000</f>
        <v>150000</v>
      </c>
      <c r="G107">
        <f>E107*5500</f>
        <v>82500</v>
      </c>
      <c r="H107">
        <f>E107*4500</f>
        <v>67500</v>
      </c>
    </row>
    <row r="108" spans="1:8" hidden="1" x14ac:dyDescent="0.25">
      <c r="D108" t="s">
        <v>736</v>
      </c>
      <c r="E108">
        <v>4</v>
      </c>
      <c r="F108">
        <f>E108*10000</f>
        <v>40000</v>
      </c>
      <c r="G108">
        <f>E108*6500</f>
        <v>26000</v>
      </c>
      <c r="H108">
        <f>E108*3500</f>
        <v>14000</v>
      </c>
    </row>
    <row r="109" spans="1:8" hidden="1" x14ac:dyDescent="0.25">
      <c r="A109" s="142" t="s">
        <v>17</v>
      </c>
      <c r="B109" s="142"/>
      <c r="C109" s="142"/>
      <c r="D109" s="142"/>
      <c r="E109" s="13">
        <f>SUM(E104:E108)</f>
        <v>52</v>
      </c>
      <c r="F109" s="13">
        <f t="shared" ref="F109:H109" si="12">SUM(F104:F108)</f>
        <v>418000</v>
      </c>
      <c r="G109" s="13">
        <f t="shared" si="12"/>
        <v>261000</v>
      </c>
      <c r="H109" s="13">
        <f t="shared" si="12"/>
        <v>157000</v>
      </c>
    </row>
    <row r="110" spans="1:8" hidden="1" x14ac:dyDescent="0.25">
      <c r="A110" t="s">
        <v>8</v>
      </c>
      <c r="B110" t="s">
        <v>737</v>
      </c>
      <c r="C110" t="s">
        <v>734</v>
      </c>
      <c r="D110" t="s">
        <v>11</v>
      </c>
      <c r="E110">
        <v>1</v>
      </c>
      <c r="F110">
        <v>3000</v>
      </c>
      <c r="G110">
        <v>500</v>
      </c>
      <c r="H110">
        <v>1500</v>
      </c>
    </row>
    <row r="111" spans="1:8" hidden="1" x14ac:dyDescent="0.25">
      <c r="D111" t="s">
        <v>13</v>
      </c>
      <c r="E111">
        <v>3</v>
      </c>
      <c r="F111">
        <f>E111*8000</f>
        <v>24000</v>
      </c>
      <c r="G111">
        <f>E111*4500</f>
        <v>13500</v>
      </c>
      <c r="H111">
        <f>E111*3500</f>
        <v>10500</v>
      </c>
    </row>
    <row r="112" spans="1:8" hidden="1" x14ac:dyDescent="0.25">
      <c r="D112" t="s">
        <v>14</v>
      </c>
      <c r="E112">
        <v>4</v>
      </c>
      <c r="F112">
        <f>E112*10000</f>
        <v>40000</v>
      </c>
      <c r="G112">
        <f>E112*5500</f>
        <v>22000</v>
      </c>
      <c r="H112">
        <f>E112*4500</f>
        <v>18000</v>
      </c>
    </row>
    <row r="113" spans="1:8" hidden="1" x14ac:dyDescent="0.25">
      <c r="C113" t="s">
        <v>217</v>
      </c>
      <c r="D113" t="s">
        <v>11</v>
      </c>
      <c r="E113">
        <v>6</v>
      </c>
      <c r="F113">
        <f>E113*1500</f>
        <v>9000</v>
      </c>
      <c r="G113">
        <f>E113*500</f>
        <v>3000</v>
      </c>
      <c r="H113">
        <v>6000</v>
      </c>
    </row>
    <row r="114" spans="1:8" hidden="1" x14ac:dyDescent="0.25">
      <c r="D114" t="s">
        <v>13</v>
      </c>
      <c r="E114">
        <v>6</v>
      </c>
      <c r="F114">
        <f>E114*6500</f>
        <v>39000</v>
      </c>
      <c r="G114">
        <f>E114*4500</f>
        <v>27000</v>
      </c>
      <c r="H114">
        <f>E114*2000</f>
        <v>12000</v>
      </c>
    </row>
    <row r="115" spans="1:8" hidden="1" x14ac:dyDescent="0.25">
      <c r="D115" t="s">
        <v>14</v>
      </c>
      <c r="E115">
        <v>6</v>
      </c>
      <c r="F115">
        <f>E115*10000</f>
        <v>60000</v>
      </c>
      <c r="G115">
        <f>E115*5500</f>
        <v>33000</v>
      </c>
      <c r="H115">
        <f>E115*4500</f>
        <v>27000</v>
      </c>
    </row>
    <row r="116" spans="1:8" x14ac:dyDescent="0.25">
      <c r="D116" t="s">
        <v>404</v>
      </c>
      <c r="E116">
        <v>1</v>
      </c>
      <c r="F116">
        <v>2000</v>
      </c>
      <c r="G116">
        <v>1000</v>
      </c>
      <c r="H116">
        <v>1000</v>
      </c>
    </row>
    <row r="117" spans="1:8" hidden="1" x14ac:dyDescent="0.25">
      <c r="A117" s="142" t="s">
        <v>17</v>
      </c>
      <c r="B117" s="142"/>
      <c r="C117" s="142"/>
      <c r="D117" s="142"/>
      <c r="E117" s="13">
        <f>SUM(E110:E116)</f>
        <v>27</v>
      </c>
      <c r="F117" s="13">
        <f t="shared" ref="F117:H117" si="13">SUM(F110:F116)</f>
        <v>177000</v>
      </c>
      <c r="G117" s="13">
        <f t="shared" si="13"/>
        <v>100000</v>
      </c>
      <c r="H117" s="13">
        <f t="shared" si="13"/>
        <v>76000</v>
      </c>
    </row>
    <row r="118" spans="1:8" hidden="1" x14ac:dyDescent="0.25">
      <c r="A118" t="s">
        <v>738</v>
      </c>
      <c r="B118" t="s">
        <v>739</v>
      </c>
      <c r="C118" t="s">
        <v>217</v>
      </c>
      <c r="D118" t="s">
        <v>11</v>
      </c>
      <c r="E118">
        <v>3</v>
      </c>
      <c r="F118">
        <f>E118*1500</f>
        <v>4500</v>
      </c>
      <c r="G118">
        <f>E118*500</f>
        <v>1500</v>
      </c>
      <c r="H118">
        <f>E118*1000</f>
        <v>3000</v>
      </c>
    </row>
    <row r="119" spans="1:8" hidden="1" x14ac:dyDescent="0.25">
      <c r="D119" t="s">
        <v>13</v>
      </c>
      <c r="E119">
        <v>10</v>
      </c>
      <c r="F119">
        <f>E119*6500</f>
        <v>65000</v>
      </c>
      <c r="G119">
        <f>E119*4500</f>
        <v>45000</v>
      </c>
      <c r="H119">
        <v>20000</v>
      </c>
    </row>
    <row r="120" spans="1:8" hidden="1" x14ac:dyDescent="0.25">
      <c r="D120" t="s">
        <v>14</v>
      </c>
      <c r="E120">
        <v>5</v>
      </c>
      <c r="F120">
        <f>E120*10000</f>
        <v>50000</v>
      </c>
      <c r="G120">
        <f>E120*5500</f>
        <v>27500</v>
      </c>
      <c r="H120">
        <f>E120*4500</f>
        <v>22500</v>
      </c>
    </row>
    <row r="121" spans="1:8" x14ac:dyDescent="0.25">
      <c r="D121" t="s">
        <v>404</v>
      </c>
      <c r="E121">
        <v>2</v>
      </c>
      <c r="F121">
        <v>4000</v>
      </c>
      <c r="G121">
        <v>2000</v>
      </c>
      <c r="H121">
        <v>2000</v>
      </c>
    </row>
    <row r="122" spans="1:8" hidden="1" x14ac:dyDescent="0.25">
      <c r="C122" t="s">
        <v>24</v>
      </c>
      <c r="D122" t="s">
        <v>243</v>
      </c>
      <c r="E122">
        <v>2</v>
      </c>
      <c r="F122">
        <v>30000</v>
      </c>
      <c r="G122">
        <v>20000</v>
      </c>
      <c r="H122">
        <v>10000</v>
      </c>
    </row>
    <row r="123" spans="1:8" hidden="1" x14ac:dyDescent="0.25">
      <c r="A123" s="143" t="s">
        <v>17</v>
      </c>
      <c r="B123" s="143"/>
      <c r="C123" s="143"/>
      <c r="D123" s="143"/>
      <c r="E123">
        <f>SUM(E118:E122)</f>
        <v>22</v>
      </c>
      <c r="F123">
        <f t="shared" ref="F123:H123" si="14">SUM(F118:F122)</f>
        <v>153500</v>
      </c>
      <c r="G123">
        <f t="shared" si="14"/>
        <v>96000</v>
      </c>
      <c r="H123">
        <f t="shared" si="14"/>
        <v>57500</v>
      </c>
    </row>
    <row r="124" spans="1:8" hidden="1" x14ac:dyDescent="0.25">
      <c r="A124" t="s">
        <v>22</v>
      </c>
      <c r="B124" t="s">
        <v>740</v>
      </c>
      <c r="C124" t="s">
        <v>734</v>
      </c>
      <c r="D124" t="s">
        <v>13</v>
      </c>
      <c r="E124">
        <v>8</v>
      </c>
      <c r="F124">
        <f>E124*8000</f>
        <v>64000</v>
      </c>
      <c r="G124">
        <f>E124*4500</f>
        <v>36000</v>
      </c>
      <c r="H124">
        <f>E124*3500</f>
        <v>28000</v>
      </c>
    </row>
    <row r="125" spans="1:8" hidden="1" x14ac:dyDescent="0.25">
      <c r="D125" t="s">
        <v>14</v>
      </c>
      <c r="E125">
        <v>4</v>
      </c>
      <c r="F125">
        <f>E125*12000</f>
        <v>48000</v>
      </c>
      <c r="G125">
        <f>E125*5500</f>
        <v>22000</v>
      </c>
      <c r="H125">
        <f>E125*6500</f>
        <v>26000</v>
      </c>
    </row>
    <row r="126" spans="1:8" hidden="1" x14ac:dyDescent="0.25">
      <c r="C126" t="s">
        <v>217</v>
      </c>
      <c r="D126" t="s">
        <v>11</v>
      </c>
      <c r="E126">
        <v>2</v>
      </c>
      <c r="F126">
        <f>E126*1500</f>
        <v>3000</v>
      </c>
      <c r="G126">
        <f>E126*500</f>
        <v>1000</v>
      </c>
      <c r="H126">
        <v>2000</v>
      </c>
    </row>
    <row r="127" spans="1:8" hidden="1" x14ac:dyDescent="0.25">
      <c r="D127" t="s">
        <v>13</v>
      </c>
      <c r="E127">
        <v>3</v>
      </c>
      <c r="F127">
        <f>E127*6500</f>
        <v>19500</v>
      </c>
      <c r="G127">
        <f>E127*4500</f>
        <v>13500</v>
      </c>
      <c r="H127">
        <f>E127*2000</f>
        <v>6000</v>
      </c>
    </row>
    <row r="128" spans="1:8" hidden="1" x14ac:dyDescent="0.25">
      <c r="D128" t="s">
        <v>14</v>
      </c>
      <c r="E128">
        <v>7</v>
      </c>
      <c r="F128">
        <f>E128*10000</f>
        <v>70000</v>
      </c>
      <c r="G128">
        <f>E128*5500</f>
        <v>38500</v>
      </c>
      <c r="H128">
        <f>E128*4500</f>
        <v>31500</v>
      </c>
    </row>
    <row r="129" spans="1:8" hidden="1" x14ac:dyDescent="0.25">
      <c r="A129" s="111" t="s">
        <v>17</v>
      </c>
      <c r="B129" s="111"/>
      <c r="C129" s="111"/>
      <c r="D129" s="111"/>
      <c r="E129" s="1">
        <f>SUM(E118:E128)</f>
        <v>68</v>
      </c>
      <c r="F129" s="1">
        <f t="shared" ref="F129:H129" si="15">SUM(F118:F128)</f>
        <v>511500</v>
      </c>
      <c r="G129" s="1">
        <f t="shared" si="15"/>
        <v>303000</v>
      </c>
      <c r="H129" s="1">
        <f t="shared" si="15"/>
        <v>208500</v>
      </c>
    </row>
    <row r="130" spans="1:8" hidden="1" x14ac:dyDescent="0.25">
      <c r="A130" t="s">
        <v>26</v>
      </c>
      <c r="B130" t="s">
        <v>741</v>
      </c>
      <c r="C130" t="s">
        <v>734</v>
      </c>
      <c r="D130" t="s">
        <v>13</v>
      </c>
      <c r="E130">
        <v>11</v>
      </c>
      <c r="F130">
        <f>E130*8000</f>
        <v>88000</v>
      </c>
      <c r="G130">
        <f>E130*4500</f>
        <v>49500</v>
      </c>
      <c r="H130">
        <f>E130*3500</f>
        <v>38500</v>
      </c>
    </row>
    <row r="131" spans="1:8" hidden="1" x14ac:dyDescent="0.25">
      <c r="D131" t="s">
        <v>14</v>
      </c>
      <c r="E131">
        <v>9</v>
      </c>
      <c r="F131">
        <f>E131*12000</f>
        <v>108000</v>
      </c>
      <c r="G131">
        <f>E131*5500</f>
        <v>49500</v>
      </c>
      <c r="H131">
        <f>E131*6500</f>
        <v>58500</v>
      </c>
    </row>
    <row r="132" spans="1:8" hidden="1" x14ac:dyDescent="0.25">
      <c r="D132" t="s">
        <v>736</v>
      </c>
      <c r="E132">
        <v>4</v>
      </c>
      <c r="F132">
        <f>E132*12000</f>
        <v>48000</v>
      </c>
      <c r="G132">
        <f>E132*4500</f>
        <v>18000</v>
      </c>
      <c r="H132">
        <f>E132*7500</f>
        <v>30000</v>
      </c>
    </row>
    <row r="133" spans="1:8" x14ac:dyDescent="0.25">
      <c r="D133" t="s">
        <v>404</v>
      </c>
      <c r="E133">
        <v>2</v>
      </c>
      <c r="F133">
        <v>4000</v>
      </c>
      <c r="G133">
        <v>2000</v>
      </c>
      <c r="H133">
        <v>2000</v>
      </c>
    </row>
    <row r="134" spans="1:8" hidden="1" x14ac:dyDescent="0.25">
      <c r="C134" t="s">
        <v>217</v>
      </c>
      <c r="D134" t="s">
        <v>11</v>
      </c>
      <c r="E134">
        <v>10</v>
      </c>
      <c r="F134">
        <f>E134*1500</f>
        <v>15000</v>
      </c>
      <c r="G134">
        <f>E134*500</f>
        <v>5000</v>
      </c>
      <c r="H134">
        <v>10000</v>
      </c>
    </row>
    <row r="135" spans="1:8" hidden="1" x14ac:dyDescent="0.25">
      <c r="D135" t="s">
        <v>13</v>
      </c>
      <c r="E135">
        <v>8</v>
      </c>
      <c r="F135">
        <f>E135*6500</f>
        <v>52000</v>
      </c>
      <c r="G135">
        <f>E135*4500</f>
        <v>36000</v>
      </c>
      <c r="H135">
        <f>E135*2000</f>
        <v>16000</v>
      </c>
    </row>
    <row r="136" spans="1:8" hidden="1" x14ac:dyDescent="0.25">
      <c r="D136" t="s">
        <v>14</v>
      </c>
      <c r="E136">
        <v>8</v>
      </c>
      <c r="F136">
        <f>E136*10000</f>
        <v>80000</v>
      </c>
      <c r="G136">
        <f>E136*5500</f>
        <v>44000</v>
      </c>
      <c r="H136">
        <f>E136*4500</f>
        <v>36000</v>
      </c>
    </row>
    <row r="137" spans="1:8" hidden="1" x14ac:dyDescent="0.25">
      <c r="D137" t="s">
        <v>736</v>
      </c>
      <c r="E137">
        <v>3</v>
      </c>
      <c r="F137">
        <f>E137*10000</f>
        <v>30000</v>
      </c>
      <c r="G137">
        <f>E137*5500</f>
        <v>16500</v>
      </c>
      <c r="H137">
        <f>E137*4500</f>
        <v>13500</v>
      </c>
    </row>
    <row r="138" spans="1:8" x14ac:dyDescent="0.25">
      <c r="D138" t="s">
        <v>404</v>
      </c>
      <c r="E138">
        <v>1</v>
      </c>
      <c r="F138">
        <v>2000</v>
      </c>
      <c r="G138">
        <v>1000</v>
      </c>
      <c r="H138">
        <v>1000</v>
      </c>
    </row>
    <row r="139" spans="1:8" hidden="1" x14ac:dyDescent="0.25">
      <c r="A139" s="144" t="s">
        <v>17</v>
      </c>
      <c r="B139" s="144"/>
      <c r="C139" s="144"/>
      <c r="D139" s="144"/>
      <c r="E139" s="82">
        <f>SUM(E130:E138)</f>
        <v>56</v>
      </c>
      <c r="F139" s="82">
        <f t="shared" ref="F139:H139" si="16">SUM(F130:F138)</f>
        <v>427000</v>
      </c>
      <c r="G139" s="82">
        <f t="shared" si="16"/>
        <v>221500</v>
      </c>
      <c r="H139" s="82">
        <f t="shared" si="16"/>
        <v>205500</v>
      </c>
    </row>
    <row r="140" spans="1:8" hidden="1" x14ac:dyDescent="0.25">
      <c r="A140" t="s">
        <v>28</v>
      </c>
      <c r="B140" t="s">
        <v>742</v>
      </c>
      <c r="C140" t="s">
        <v>734</v>
      </c>
      <c r="D140" t="s">
        <v>13</v>
      </c>
      <c r="E140">
        <v>11</v>
      </c>
      <c r="F140">
        <f>E140*8000</f>
        <v>88000</v>
      </c>
      <c r="G140">
        <f>E140*4500</f>
        <v>49500</v>
      </c>
      <c r="H140">
        <f>E140*3500</f>
        <v>38500</v>
      </c>
    </row>
    <row r="141" spans="1:8" hidden="1" x14ac:dyDescent="0.25">
      <c r="D141" t="s">
        <v>14</v>
      </c>
      <c r="E141">
        <v>9</v>
      </c>
      <c r="F141">
        <f>E141*12000</f>
        <v>108000</v>
      </c>
      <c r="G141">
        <f>E141*5500</f>
        <v>49500</v>
      </c>
      <c r="H141">
        <f>E141*6500</f>
        <v>58500</v>
      </c>
    </row>
    <row r="142" spans="1:8" hidden="1" x14ac:dyDescent="0.25">
      <c r="D142" t="s">
        <v>736</v>
      </c>
      <c r="E142">
        <v>1</v>
      </c>
      <c r="F142">
        <v>12000</v>
      </c>
      <c r="G142">
        <v>4500</v>
      </c>
      <c r="H142">
        <v>7500</v>
      </c>
    </row>
    <row r="143" spans="1:8" hidden="1" x14ac:dyDescent="0.25">
      <c r="C143" t="s">
        <v>217</v>
      </c>
      <c r="D143" t="s">
        <v>11</v>
      </c>
      <c r="E143">
        <v>4</v>
      </c>
      <c r="F143">
        <f>E143*1500</f>
        <v>6000</v>
      </c>
      <c r="G143">
        <f>E143*500</f>
        <v>2000</v>
      </c>
      <c r="H143">
        <f>E143*1000</f>
        <v>4000</v>
      </c>
    </row>
    <row r="144" spans="1:8" hidden="1" x14ac:dyDescent="0.25">
      <c r="D144" t="s">
        <v>13</v>
      </c>
      <c r="E144">
        <v>8</v>
      </c>
      <c r="F144">
        <f>E144*6500</f>
        <v>52000</v>
      </c>
      <c r="G144">
        <f>E144*4500</f>
        <v>36000</v>
      </c>
      <c r="H144">
        <f>E144*2000</f>
        <v>16000</v>
      </c>
    </row>
    <row r="145" spans="1:8" hidden="1" x14ac:dyDescent="0.25">
      <c r="D145" t="s">
        <v>14</v>
      </c>
      <c r="E145">
        <v>3</v>
      </c>
      <c r="F145">
        <f>E145*10000</f>
        <v>30000</v>
      </c>
      <c r="G145">
        <f>E145*5500</f>
        <v>16500</v>
      </c>
      <c r="H145">
        <f>E145*4500</f>
        <v>13500</v>
      </c>
    </row>
    <row r="146" spans="1:8" x14ac:dyDescent="0.25">
      <c r="D146" t="s">
        <v>404</v>
      </c>
      <c r="E146">
        <v>1</v>
      </c>
      <c r="F146">
        <v>2000</v>
      </c>
      <c r="G146">
        <v>1000</v>
      </c>
      <c r="H146">
        <v>1000</v>
      </c>
    </row>
    <row r="147" spans="1:8" hidden="1" x14ac:dyDescent="0.25">
      <c r="A147" s="111" t="s">
        <v>17</v>
      </c>
      <c r="B147" s="111"/>
      <c r="C147" s="111"/>
      <c r="D147" s="111"/>
      <c r="E147" s="1">
        <f>SUM(E140:E146)</f>
        <v>37</v>
      </c>
      <c r="F147" s="1">
        <f t="shared" ref="F147:H147" si="17">SUM(F140:F146)</f>
        <v>298000</v>
      </c>
      <c r="G147" s="1">
        <f t="shared" si="17"/>
        <v>159000</v>
      </c>
      <c r="H147" s="1">
        <f t="shared" si="17"/>
        <v>139000</v>
      </c>
    </row>
    <row r="148" spans="1:8" hidden="1" x14ac:dyDescent="0.25">
      <c r="A148" t="s">
        <v>30</v>
      </c>
      <c r="B148" t="s">
        <v>743</v>
      </c>
      <c r="C148" t="s">
        <v>734</v>
      </c>
      <c r="D148" t="s">
        <v>13</v>
      </c>
      <c r="E148">
        <v>9</v>
      </c>
      <c r="F148">
        <f>E148*8000</f>
        <v>72000</v>
      </c>
      <c r="G148">
        <f>E148*4500</f>
        <v>40500</v>
      </c>
      <c r="H148">
        <f>E148*3500</f>
        <v>31500</v>
      </c>
    </row>
    <row r="149" spans="1:8" hidden="1" x14ac:dyDescent="0.25">
      <c r="D149" t="s">
        <v>736</v>
      </c>
      <c r="E149">
        <v>1</v>
      </c>
      <c r="F149">
        <v>12000</v>
      </c>
      <c r="G149">
        <v>5500</v>
      </c>
      <c r="H149">
        <v>6500</v>
      </c>
    </row>
    <row r="150" spans="1:8" hidden="1" x14ac:dyDescent="0.25">
      <c r="C150" t="s">
        <v>217</v>
      </c>
      <c r="D150" t="s">
        <v>11</v>
      </c>
      <c r="E150">
        <v>1</v>
      </c>
      <c r="F150">
        <v>1500</v>
      </c>
      <c r="G150">
        <v>500</v>
      </c>
      <c r="H150">
        <v>1000</v>
      </c>
    </row>
    <row r="151" spans="1:8" hidden="1" x14ac:dyDescent="0.25">
      <c r="D151" t="s">
        <v>13</v>
      </c>
      <c r="E151">
        <v>8</v>
      </c>
      <c r="F151">
        <f>E151*6500</f>
        <v>52000</v>
      </c>
      <c r="G151">
        <f>E151*4500</f>
        <v>36000</v>
      </c>
      <c r="H151">
        <f>E151*2000</f>
        <v>16000</v>
      </c>
    </row>
    <row r="152" spans="1:8" hidden="1" x14ac:dyDescent="0.25">
      <c r="D152" t="s">
        <v>14</v>
      </c>
      <c r="E152">
        <v>2</v>
      </c>
      <c r="F152">
        <v>20000</v>
      </c>
      <c r="G152">
        <v>11000</v>
      </c>
      <c r="H152">
        <v>9000</v>
      </c>
    </row>
    <row r="153" spans="1:8" hidden="1" x14ac:dyDescent="0.25">
      <c r="A153" s="142" t="s">
        <v>17</v>
      </c>
      <c r="B153" s="142"/>
      <c r="C153" s="142"/>
      <c r="D153" s="142"/>
      <c r="E153" s="13">
        <f>SUM(E148:E152)</f>
        <v>21</v>
      </c>
      <c r="F153" s="13">
        <f t="shared" ref="F153:H153" si="18">SUM(F148:F152)</f>
        <v>157500</v>
      </c>
      <c r="G153" s="13">
        <f t="shared" si="18"/>
        <v>93500</v>
      </c>
      <c r="H153" s="13">
        <f t="shared" si="18"/>
        <v>64000</v>
      </c>
    </row>
    <row r="154" spans="1:8" hidden="1" x14ac:dyDescent="0.25">
      <c r="A154" t="s">
        <v>32</v>
      </c>
      <c r="B154" t="s">
        <v>744</v>
      </c>
      <c r="C154" t="s">
        <v>734</v>
      </c>
      <c r="D154" t="s">
        <v>13</v>
      </c>
      <c r="E154">
        <v>10</v>
      </c>
      <c r="F154">
        <f>E154*8000</f>
        <v>80000</v>
      </c>
      <c r="G154">
        <f>E154*4500</f>
        <v>45000</v>
      </c>
      <c r="H154">
        <f>E154*3500</f>
        <v>35000</v>
      </c>
    </row>
    <row r="155" spans="1:8" hidden="1" x14ac:dyDescent="0.25">
      <c r="D155" t="s">
        <v>736</v>
      </c>
      <c r="E155">
        <v>4</v>
      </c>
      <c r="F155">
        <f>E155*12000</f>
        <v>48000</v>
      </c>
      <c r="G155">
        <f>E155*5500</f>
        <v>22000</v>
      </c>
      <c r="H155">
        <f>E155*6500</f>
        <v>26000</v>
      </c>
    </row>
    <row r="156" spans="1:8" hidden="1" x14ac:dyDescent="0.25">
      <c r="C156" t="s">
        <v>217</v>
      </c>
      <c r="D156" t="s">
        <v>11</v>
      </c>
      <c r="E156">
        <v>5</v>
      </c>
      <c r="F156">
        <f>E156*1500</f>
        <v>7500</v>
      </c>
      <c r="G156">
        <f>E156*500</f>
        <v>2500</v>
      </c>
      <c r="H156">
        <v>5000</v>
      </c>
    </row>
    <row r="157" spans="1:8" hidden="1" x14ac:dyDescent="0.25">
      <c r="D157" t="s">
        <v>13</v>
      </c>
      <c r="E157">
        <v>11</v>
      </c>
      <c r="F157">
        <f>E157*6500</f>
        <v>71500</v>
      </c>
      <c r="G157">
        <f>E157*4500</f>
        <v>49500</v>
      </c>
      <c r="H157">
        <f>E157*2000</f>
        <v>22000</v>
      </c>
    </row>
    <row r="158" spans="1:8" hidden="1" x14ac:dyDescent="0.25">
      <c r="D158" t="s">
        <v>14</v>
      </c>
      <c r="E158">
        <v>1</v>
      </c>
      <c r="F158">
        <v>10000</v>
      </c>
      <c r="G158">
        <v>5500</v>
      </c>
      <c r="H158">
        <v>4500</v>
      </c>
    </row>
    <row r="159" spans="1:8" x14ac:dyDescent="0.25">
      <c r="D159" t="s">
        <v>404</v>
      </c>
      <c r="E159">
        <v>2</v>
      </c>
      <c r="F159">
        <v>4000</v>
      </c>
      <c r="G159">
        <v>2000</v>
      </c>
      <c r="H159">
        <v>2000</v>
      </c>
    </row>
    <row r="160" spans="1:8" hidden="1" x14ac:dyDescent="0.25">
      <c r="A160" s="142" t="s">
        <v>17</v>
      </c>
      <c r="B160" s="142"/>
      <c r="C160" s="142"/>
      <c r="D160" s="142"/>
      <c r="E160" s="13">
        <f>SUM(E154:E159)</f>
        <v>33</v>
      </c>
      <c r="F160" s="13">
        <f t="shared" ref="F160:H160" si="19">SUM(F154:F159)</f>
        <v>221000</v>
      </c>
      <c r="G160" s="13">
        <f t="shared" si="19"/>
        <v>126500</v>
      </c>
      <c r="H160" s="13">
        <f t="shared" si="19"/>
        <v>94500</v>
      </c>
    </row>
    <row r="161" spans="1:8" hidden="1" x14ac:dyDescent="0.25">
      <c r="A161" t="s">
        <v>8</v>
      </c>
      <c r="B161" t="s">
        <v>745</v>
      </c>
      <c r="C161" t="s">
        <v>734</v>
      </c>
      <c r="D161" t="s">
        <v>13</v>
      </c>
      <c r="E161">
        <v>4</v>
      </c>
      <c r="F161">
        <f>E161*8000</f>
        <v>32000</v>
      </c>
      <c r="G161">
        <f>E161*4500</f>
        <v>18000</v>
      </c>
      <c r="H161">
        <f>E161*3500</f>
        <v>14000</v>
      </c>
    </row>
    <row r="162" spans="1:8" hidden="1" x14ac:dyDescent="0.25">
      <c r="C162" t="s">
        <v>217</v>
      </c>
      <c r="D162" t="s">
        <v>13</v>
      </c>
      <c r="E162">
        <v>10</v>
      </c>
      <c r="F162">
        <f>E162*6500</f>
        <v>65000</v>
      </c>
      <c r="G162">
        <f>E162*4500</f>
        <v>45000</v>
      </c>
      <c r="H162">
        <f>E162*20000</f>
        <v>200000</v>
      </c>
    </row>
    <row r="163" spans="1:8" hidden="1" x14ac:dyDescent="0.25">
      <c r="D163" t="s">
        <v>736</v>
      </c>
      <c r="E163">
        <v>1</v>
      </c>
      <c r="F163">
        <v>10000</v>
      </c>
      <c r="G163">
        <v>5500</v>
      </c>
      <c r="H163">
        <v>4500</v>
      </c>
    </row>
    <row r="164" spans="1:8" hidden="1" x14ac:dyDescent="0.25">
      <c r="C164" t="s">
        <v>127</v>
      </c>
      <c r="D164" t="s">
        <v>243</v>
      </c>
      <c r="E164">
        <v>1</v>
      </c>
      <c r="F164">
        <v>12000</v>
      </c>
      <c r="G164">
        <v>10000</v>
      </c>
      <c r="H164">
        <v>20000</v>
      </c>
    </row>
    <row r="165" spans="1:8" hidden="1" x14ac:dyDescent="0.25">
      <c r="D165" t="s">
        <v>21</v>
      </c>
      <c r="E165">
        <v>5</v>
      </c>
      <c r="F165">
        <f>E165*13000</f>
        <v>65000</v>
      </c>
      <c r="G165">
        <f>E165*10000</f>
        <v>50000</v>
      </c>
      <c r="H165">
        <f>E165*3000</f>
        <v>15000</v>
      </c>
    </row>
    <row r="166" spans="1:8" hidden="1" x14ac:dyDescent="0.25">
      <c r="C166" t="s">
        <v>24</v>
      </c>
      <c r="D166" t="s">
        <v>243</v>
      </c>
      <c r="E166">
        <v>1</v>
      </c>
      <c r="F166">
        <v>15000</v>
      </c>
      <c r="G166">
        <v>10000</v>
      </c>
      <c r="H166">
        <v>5000</v>
      </c>
    </row>
    <row r="167" spans="1:8" hidden="1" x14ac:dyDescent="0.25">
      <c r="A167" s="142" t="s">
        <v>17</v>
      </c>
      <c r="B167" s="142"/>
      <c r="C167" s="142"/>
      <c r="D167" s="142"/>
      <c r="E167" s="13">
        <f>SUM(E161:E166)</f>
        <v>22</v>
      </c>
      <c r="F167" s="13">
        <f t="shared" ref="F167:H167" si="20">SUM(F161:F166)</f>
        <v>199000</v>
      </c>
      <c r="G167" s="13">
        <f t="shared" si="20"/>
        <v>138500</v>
      </c>
      <c r="H167" s="13">
        <f t="shared" si="20"/>
        <v>258500</v>
      </c>
    </row>
    <row r="168" spans="1:8" hidden="1" x14ac:dyDescent="0.25">
      <c r="A168" t="s">
        <v>18</v>
      </c>
      <c r="B168" t="s">
        <v>746</v>
      </c>
      <c r="C168" t="s">
        <v>734</v>
      </c>
      <c r="D168" t="s">
        <v>13</v>
      </c>
      <c r="E168">
        <v>2</v>
      </c>
      <c r="F168">
        <f>E168*8000</f>
        <v>16000</v>
      </c>
      <c r="G168">
        <f>E168*4500</f>
        <v>9000</v>
      </c>
      <c r="H168">
        <f>E168*3500</f>
        <v>7000</v>
      </c>
    </row>
    <row r="169" spans="1:8" hidden="1" x14ac:dyDescent="0.25">
      <c r="D169" t="s">
        <v>736</v>
      </c>
      <c r="E169">
        <v>1</v>
      </c>
      <c r="F169">
        <v>12000</v>
      </c>
      <c r="G169">
        <v>5500</v>
      </c>
      <c r="H169">
        <v>6500</v>
      </c>
    </row>
    <row r="170" spans="1:8" hidden="1" x14ac:dyDescent="0.25">
      <c r="C170" t="s">
        <v>217</v>
      </c>
      <c r="D170" t="s">
        <v>13</v>
      </c>
      <c r="E170">
        <v>4</v>
      </c>
      <c r="F170">
        <f>E170*6500</f>
        <v>26000</v>
      </c>
      <c r="G170">
        <f>E170*4500</f>
        <v>18000</v>
      </c>
      <c r="H170">
        <f>E170*2000</f>
        <v>8000</v>
      </c>
    </row>
    <row r="171" spans="1:8" hidden="1" x14ac:dyDescent="0.25">
      <c r="C171" t="s">
        <v>24</v>
      </c>
      <c r="D171" t="s">
        <v>243</v>
      </c>
      <c r="E171">
        <v>2</v>
      </c>
      <c r="F171">
        <v>30000</v>
      </c>
      <c r="G171">
        <v>20000</v>
      </c>
      <c r="H171">
        <v>10000</v>
      </c>
    </row>
    <row r="172" spans="1:8" hidden="1" x14ac:dyDescent="0.25">
      <c r="A172" s="142" t="s">
        <v>17</v>
      </c>
      <c r="B172" s="142"/>
      <c r="C172" s="142"/>
      <c r="D172" s="142"/>
      <c r="E172" s="13">
        <f>SUM(E168:E171)</f>
        <v>9</v>
      </c>
      <c r="F172" s="13">
        <f t="shared" ref="F172:H172" si="21">SUM(F168:F171)</f>
        <v>84000</v>
      </c>
      <c r="G172" s="13">
        <f t="shared" si="21"/>
        <v>52500</v>
      </c>
      <c r="H172" s="13">
        <f t="shared" si="21"/>
        <v>31500</v>
      </c>
    </row>
    <row r="173" spans="1:8" hidden="1" x14ac:dyDescent="0.25">
      <c r="A173" t="s">
        <v>22</v>
      </c>
      <c r="B173" t="s">
        <v>747</v>
      </c>
      <c r="C173" t="s">
        <v>734</v>
      </c>
      <c r="D173" t="s">
        <v>13</v>
      </c>
      <c r="E173">
        <v>15</v>
      </c>
      <c r="F173">
        <f>E173*8000</f>
        <v>120000</v>
      </c>
      <c r="G173">
        <f>E173*4500</f>
        <v>67500</v>
      </c>
      <c r="H173">
        <f>E173*3500</f>
        <v>52500</v>
      </c>
    </row>
    <row r="174" spans="1:8" hidden="1" x14ac:dyDescent="0.25">
      <c r="D174" t="s">
        <v>736</v>
      </c>
      <c r="E174">
        <v>1</v>
      </c>
      <c r="F174">
        <v>12000</v>
      </c>
      <c r="G174">
        <v>5500</v>
      </c>
      <c r="H174">
        <v>6500</v>
      </c>
    </row>
    <row r="175" spans="1:8" hidden="1" x14ac:dyDescent="0.25">
      <c r="C175" t="s">
        <v>217</v>
      </c>
      <c r="D175" t="s">
        <v>13</v>
      </c>
      <c r="E175">
        <v>12</v>
      </c>
      <c r="F175">
        <f>E175*6500</f>
        <v>78000</v>
      </c>
      <c r="G175">
        <f>E175*4500</f>
        <v>54000</v>
      </c>
      <c r="H175">
        <f>E175*2000</f>
        <v>24000</v>
      </c>
    </row>
    <row r="176" spans="1:8" hidden="1" x14ac:dyDescent="0.25">
      <c r="D176" t="s">
        <v>736</v>
      </c>
      <c r="E176">
        <v>1</v>
      </c>
      <c r="F176">
        <v>12000</v>
      </c>
      <c r="G176">
        <v>5500</v>
      </c>
      <c r="H176">
        <v>6500</v>
      </c>
    </row>
    <row r="177" spans="1:8" hidden="1" x14ac:dyDescent="0.25">
      <c r="A177" s="142" t="s">
        <v>17</v>
      </c>
      <c r="B177" s="142"/>
      <c r="C177" s="142"/>
      <c r="D177" s="142"/>
      <c r="E177" s="13">
        <f>SUM(E173:E176)</f>
        <v>29</v>
      </c>
      <c r="F177" s="13">
        <f t="shared" ref="F177:H177" si="22">SUM(F173:F176)</f>
        <v>222000</v>
      </c>
      <c r="G177" s="13">
        <f t="shared" si="22"/>
        <v>132500</v>
      </c>
      <c r="H177" s="13">
        <f t="shared" si="22"/>
        <v>89500</v>
      </c>
    </row>
    <row r="178" spans="1:8" hidden="1" x14ac:dyDescent="0.25">
      <c r="A178" t="s">
        <v>26</v>
      </c>
      <c r="B178" t="s">
        <v>748</v>
      </c>
      <c r="C178" t="s">
        <v>734</v>
      </c>
      <c r="D178" t="s">
        <v>13</v>
      </c>
      <c r="E178">
        <v>8</v>
      </c>
      <c r="F178">
        <f>E178*8000</f>
        <v>64000</v>
      </c>
      <c r="G178">
        <f>E178*4500</f>
        <v>36000</v>
      </c>
      <c r="H178">
        <f>E178*3500</f>
        <v>28000</v>
      </c>
    </row>
    <row r="179" spans="1:8" hidden="1" x14ac:dyDescent="0.25">
      <c r="D179" t="s">
        <v>14</v>
      </c>
      <c r="E179">
        <v>8</v>
      </c>
      <c r="F179">
        <f>E179*10000</f>
        <v>80000</v>
      </c>
      <c r="G179">
        <f>E179*5500</f>
        <v>44000</v>
      </c>
      <c r="H179">
        <f>E179*4500</f>
        <v>36000</v>
      </c>
    </row>
    <row r="180" spans="1:8" hidden="1" x14ac:dyDescent="0.25">
      <c r="D180" t="s">
        <v>736</v>
      </c>
      <c r="E180">
        <v>4</v>
      </c>
      <c r="F180">
        <f>E180*12000</f>
        <v>48000</v>
      </c>
      <c r="G180">
        <f>E180*5500</f>
        <v>22000</v>
      </c>
      <c r="H180">
        <f>E180*6500</f>
        <v>26000</v>
      </c>
    </row>
    <row r="181" spans="1:8" hidden="1" x14ac:dyDescent="0.25">
      <c r="C181" t="s">
        <v>217</v>
      </c>
      <c r="D181" t="s">
        <v>13</v>
      </c>
      <c r="E181">
        <v>3</v>
      </c>
      <c r="F181">
        <f>E181*6500</f>
        <v>19500</v>
      </c>
      <c r="G181">
        <f>E181*4500</f>
        <v>13500</v>
      </c>
      <c r="H181">
        <f>E181*2000</f>
        <v>6000</v>
      </c>
    </row>
    <row r="182" spans="1:8" hidden="1" x14ac:dyDescent="0.25">
      <c r="D182" t="s">
        <v>14</v>
      </c>
      <c r="E182">
        <v>3</v>
      </c>
      <c r="F182">
        <f>E182*10000</f>
        <v>30000</v>
      </c>
      <c r="G182">
        <f>E182*5500</f>
        <v>16500</v>
      </c>
      <c r="H182">
        <f>E182*4500</f>
        <v>13500</v>
      </c>
    </row>
    <row r="183" spans="1:8" hidden="1" x14ac:dyDescent="0.25">
      <c r="C183" t="s">
        <v>24</v>
      </c>
      <c r="D183" t="s">
        <v>243</v>
      </c>
      <c r="E183">
        <v>10</v>
      </c>
      <c r="F183">
        <f>E183*15000</f>
        <v>150000</v>
      </c>
      <c r="G183">
        <f>E183*10000</f>
        <v>100000</v>
      </c>
      <c r="H183">
        <v>50000</v>
      </c>
    </row>
    <row r="184" spans="1:8" hidden="1" x14ac:dyDescent="0.25">
      <c r="A184" s="142" t="s">
        <v>17</v>
      </c>
      <c r="B184" s="142"/>
      <c r="C184" s="142"/>
      <c r="D184" s="142"/>
      <c r="E184" s="13">
        <f>SUM(E178:E183)</f>
        <v>36</v>
      </c>
      <c r="F184" s="13">
        <f t="shared" ref="F184:H184" si="23">SUM(F178:F183)</f>
        <v>391500</v>
      </c>
      <c r="G184" s="13">
        <f t="shared" si="23"/>
        <v>232000</v>
      </c>
      <c r="H184" s="13">
        <f t="shared" si="23"/>
        <v>159500</v>
      </c>
    </row>
    <row r="185" spans="1:8" hidden="1" x14ac:dyDescent="0.25">
      <c r="A185" s="14" t="s">
        <v>28</v>
      </c>
      <c r="B185" s="14" t="s">
        <v>749</v>
      </c>
      <c r="C185" s="14" t="s">
        <v>734</v>
      </c>
      <c r="D185" s="4" t="s">
        <v>13</v>
      </c>
      <c r="E185" s="14">
        <v>16</v>
      </c>
      <c r="F185" s="14">
        <f>E185*8000</f>
        <v>128000</v>
      </c>
      <c r="G185" s="14">
        <f>E185*4500</f>
        <v>72000</v>
      </c>
      <c r="H185" s="14">
        <f>E185*3500</f>
        <v>56000</v>
      </c>
    </row>
    <row r="186" spans="1:8" hidden="1" x14ac:dyDescent="0.25">
      <c r="D186" t="s">
        <v>14</v>
      </c>
      <c r="E186">
        <v>8</v>
      </c>
      <c r="F186">
        <f>E186*12000</f>
        <v>96000</v>
      </c>
      <c r="G186">
        <f>E186*5500</f>
        <v>44000</v>
      </c>
      <c r="H186">
        <f>E186*6500</f>
        <v>52000</v>
      </c>
    </row>
    <row r="187" spans="1:8" hidden="1" x14ac:dyDescent="0.25">
      <c r="D187" t="s">
        <v>736</v>
      </c>
      <c r="E187">
        <v>2</v>
      </c>
      <c r="F187">
        <f>E187*12000</f>
        <v>24000</v>
      </c>
      <c r="G187">
        <f>E187*5500</f>
        <v>11000</v>
      </c>
      <c r="H187">
        <f>E187*6500</f>
        <v>13000</v>
      </c>
    </row>
    <row r="188" spans="1:8" hidden="1" x14ac:dyDescent="0.25">
      <c r="C188" t="s">
        <v>217</v>
      </c>
      <c r="D188" t="s">
        <v>13</v>
      </c>
      <c r="E188">
        <v>7</v>
      </c>
      <c r="F188">
        <f>E188*6500</f>
        <v>45500</v>
      </c>
      <c r="G188">
        <f>E188*4500</f>
        <v>31500</v>
      </c>
      <c r="H188">
        <f>E188*2000</f>
        <v>14000</v>
      </c>
    </row>
    <row r="189" spans="1:8" hidden="1" x14ac:dyDescent="0.25">
      <c r="D189" t="s">
        <v>14</v>
      </c>
      <c r="E189">
        <v>2</v>
      </c>
      <c r="F189">
        <f>E189*10000</f>
        <v>20000</v>
      </c>
      <c r="G189">
        <f>E189*5500</f>
        <v>11000</v>
      </c>
      <c r="H189">
        <f>E189*4500</f>
        <v>9000</v>
      </c>
    </row>
    <row r="190" spans="1:8" x14ac:dyDescent="0.25">
      <c r="D190" t="s">
        <v>404</v>
      </c>
      <c r="E190">
        <v>1</v>
      </c>
      <c r="F190">
        <v>2000</v>
      </c>
      <c r="G190">
        <v>1000</v>
      </c>
      <c r="H190">
        <v>1000</v>
      </c>
    </row>
    <row r="191" spans="1:8" x14ac:dyDescent="0.25">
      <c r="D191" t="s">
        <v>415</v>
      </c>
      <c r="E191">
        <v>1</v>
      </c>
      <c r="F191">
        <v>5000</v>
      </c>
      <c r="G191">
        <v>2500</v>
      </c>
      <c r="H191">
        <v>2500</v>
      </c>
    </row>
    <row r="192" spans="1:8" hidden="1" x14ac:dyDescent="0.25">
      <c r="A192" s="111" t="s">
        <v>17</v>
      </c>
      <c r="B192" s="111"/>
      <c r="C192" s="111"/>
      <c r="D192" s="111"/>
      <c r="E192" s="77">
        <f>SUM(E185:E191)</f>
        <v>37</v>
      </c>
      <c r="F192" s="77">
        <f t="shared" ref="F192:H192" si="24">SUM(F185:F191)</f>
        <v>320500</v>
      </c>
      <c r="G192" s="77">
        <f t="shared" si="24"/>
        <v>173000</v>
      </c>
      <c r="H192" s="77">
        <f t="shared" si="24"/>
        <v>147500</v>
      </c>
    </row>
    <row r="193" spans="1:8" hidden="1" x14ac:dyDescent="0.25">
      <c r="A193" t="s">
        <v>30</v>
      </c>
      <c r="B193" t="s">
        <v>750</v>
      </c>
      <c r="C193" t="s">
        <v>217</v>
      </c>
      <c r="D193" t="s">
        <v>13</v>
      </c>
      <c r="E193">
        <v>16</v>
      </c>
      <c r="F193">
        <f>E193*6500</f>
        <v>104000</v>
      </c>
      <c r="G193">
        <f>E193*4500</f>
        <v>72000</v>
      </c>
      <c r="H193">
        <f>E193*2000</f>
        <v>32000</v>
      </c>
    </row>
    <row r="194" spans="1:8" hidden="1" x14ac:dyDescent="0.25">
      <c r="D194" t="s">
        <v>14</v>
      </c>
      <c r="E194">
        <v>2</v>
      </c>
      <c r="F194">
        <v>20000</v>
      </c>
      <c r="G194">
        <v>11000</v>
      </c>
      <c r="H194">
        <v>9000</v>
      </c>
    </row>
    <row r="195" spans="1:8" hidden="1" x14ac:dyDescent="0.25">
      <c r="A195" s="142" t="s">
        <v>17</v>
      </c>
      <c r="B195" s="142"/>
      <c r="C195" s="142"/>
      <c r="D195" s="142"/>
      <c r="E195" s="13">
        <f>SUM(E193:E194)</f>
        <v>18</v>
      </c>
      <c r="F195" s="13">
        <f t="shared" ref="F195:H195" si="25">SUM(F193:F194)</f>
        <v>124000</v>
      </c>
      <c r="G195" s="13">
        <f t="shared" si="25"/>
        <v>83000</v>
      </c>
      <c r="H195" s="13">
        <f t="shared" si="25"/>
        <v>41000</v>
      </c>
    </row>
    <row r="196" spans="1:8" hidden="1" x14ac:dyDescent="0.25">
      <c r="A196" t="s">
        <v>32</v>
      </c>
      <c r="B196" t="s">
        <v>751</v>
      </c>
      <c r="C196" t="s">
        <v>217</v>
      </c>
      <c r="D196" t="s">
        <v>13</v>
      </c>
      <c r="E196">
        <v>4</v>
      </c>
      <c r="F196" s="4">
        <f>E196*6500</f>
        <v>26000</v>
      </c>
      <c r="G196" s="4">
        <f>E196*4500</f>
        <v>18000</v>
      </c>
      <c r="H196" s="4">
        <f>E196*2000</f>
        <v>8000</v>
      </c>
    </row>
    <row r="197" spans="1:8" hidden="1" x14ac:dyDescent="0.25">
      <c r="D197" t="s">
        <v>14</v>
      </c>
      <c r="E197">
        <v>3</v>
      </c>
      <c r="F197" s="4">
        <f>E197*10000</f>
        <v>30000</v>
      </c>
      <c r="G197" s="4">
        <f>E197*5500</f>
        <v>16500</v>
      </c>
      <c r="H197" s="4">
        <f>E197*4500</f>
        <v>13500</v>
      </c>
    </row>
    <row r="198" spans="1:8" hidden="1" x14ac:dyDescent="0.25">
      <c r="C198" t="s">
        <v>734</v>
      </c>
      <c r="D198" t="s">
        <v>13</v>
      </c>
      <c r="E198">
        <v>1</v>
      </c>
      <c r="F198" s="4">
        <v>8000</v>
      </c>
      <c r="G198" s="4">
        <v>4500</v>
      </c>
      <c r="H198" s="4">
        <v>3500</v>
      </c>
    </row>
    <row r="199" spans="1:8" hidden="1" x14ac:dyDescent="0.25">
      <c r="D199" t="s">
        <v>736</v>
      </c>
      <c r="E199">
        <v>1</v>
      </c>
      <c r="F199" s="4">
        <v>12000</v>
      </c>
      <c r="G199" s="4">
        <v>5500</v>
      </c>
      <c r="H199" s="4">
        <v>6500</v>
      </c>
    </row>
    <row r="200" spans="1:8" hidden="1" x14ac:dyDescent="0.25">
      <c r="A200" s="142" t="s">
        <v>17</v>
      </c>
      <c r="B200" s="142"/>
      <c r="C200" s="142"/>
      <c r="D200" s="142"/>
      <c r="E200" s="13">
        <f>SUM(E196:E199)</f>
        <v>9</v>
      </c>
      <c r="F200" s="13">
        <f t="shared" ref="F200:H200" si="26">SUM(F196:F199)</f>
        <v>76000</v>
      </c>
      <c r="G200" s="13">
        <f t="shared" si="26"/>
        <v>44500</v>
      </c>
      <c r="H200" s="13">
        <f t="shared" si="26"/>
        <v>31500</v>
      </c>
    </row>
    <row r="201" spans="1:8" hidden="1" x14ac:dyDescent="0.25">
      <c r="A201" t="s">
        <v>8</v>
      </c>
      <c r="B201" t="s">
        <v>752</v>
      </c>
      <c r="C201" t="s">
        <v>734</v>
      </c>
      <c r="D201" t="s">
        <v>13</v>
      </c>
      <c r="E201">
        <v>2</v>
      </c>
      <c r="F201">
        <v>16000</v>
      </c>
      <c r="G201">
        <v>9000</v>
      </c>
      <c r="H201">
        <v>7000</v>
      </c>
    </row>
    <row r="202" spans="1:8" hidden="1" x14ac:dyDescent="0.25">
      <c r="C202" t="s">
        <v>217</v>
      </c>
      <c r="D202" t="s">
        <v>13</v>
      </c>
      <c r="E202">
        <v>2</v>
      </c>
      <c r="F202" s="4">
        <v>13000</v>
      </c>
      <c r="G202" s="4">
        <v>9000</v>
      </c>
      <c r="H202" s="4">
        <v>4000</v>
      </c>
    </row>
    <row r="203" spans="1:8" hidden="1" x14ac:dyDescent="0.25">
      <c r="C203" t="s">
        <v>127</v>
      </c>
      <c r="D203" t="s">
        <v>243</v>
      </c>
      <c r="E203">
        <v>1</v>
      </c>
      <c r="F203" s="4">
        <v>12000</v>
      </c>
      <c r="G203" s="4">
        <v>10000</v>
      </c>
      <c r="H203" s="4">
        <v>2000</v>
      </c>
    </row>
    <row r="204" spans="1:8" hidden="1" x14ac:dyDescent="0.25">
      <c r="D204" t="s">
        <v>21</v>
      </c>
      <c r="E204">
        <v>5</v>
      </c>
      <c r="F204">
        <f>E204*13000</f>
        <v>65000</v>
      </c>
      <c r="G204" s="4">
        <v>50000</v>
      </c>
      <c r="H204" s="4">
        <v>15000</v>
      </c>
    </row>
    <row r="205" spans="1:8" hidden="1" x14ac:dyDescent="0.25">
      <c r="A205" s="142" t="s">
        <v>17</v>
      </c>
      <c r="B205" s="142"/>
      <c r="C205" s="142"/>
      <c r="D205" s="142"/>
      <c r="E205" s="13">
        <f>SUM(E201:E204)</f>
        <v>10</v>
      </c>
      <c r="F205" s="13">
        <f t="shared" ref="F205:H205" si="27">SUM(F201:F204)</f>
        <v>106000</v>
      </c>
      <c r="G205" s="13">
        <f t="shared" si="27"/>
        <v>78000</v>
      </c>
      <c r="H205" s="13">
        <f t="shared" si="27"/>
        <v>28000</v>
      </c>
    </row>
    <row r="206" spans="1:8" hidden="1" x14ac:dyDescent="0.25">
      <c r="A206" t="s">
        <v>18</v>
      </c>
      <c r="B206" t="s">
        <v>753</v>
      </c>
      <c r="C206" t="s">
        <v>734</v>
      </c>
      <c r="D206" t="s">
        <v>13</v>
      </c>
      <c r="E206">
        <v>8</v>
      </c>
      <c r="F206">
        <f>E206*8000</f>
        <v>64000</v>
      </c>
      <c r="G206">
        <f>E206*4500</f>
        <v>36000</v>
      </c>
      <c r="H206">
        <f>E206*3500</f>
        <v>28000</v>
      </c>
    </row>
    <row r="207" spans="1:8" hidden="1" x14ac:dyDescent="0.25">
      <c r="D207" t="s">
        <v>14</v>
      </c>
      <c r="E207">
        <v>7</v>
      </c>
      <c r="F207">
        <f>E207*12000</f>
        <v>84000</v>
      </c>
      <c r="G207">
        <f>E207*5500</f>
        <v>38500</v>
      </c>
      <c r="H207">
        <f>E207*6500</f>
        <v>45500</v>
      </c>
    </row>
    <row r="208" spans="1:8" hidden="1" x14ac:dyDescent="0.25">
      <c r="D208" t="s">
        <v>736</v>
      </c>
      <c r="E208">
        <v>1</v>
      </c>
      <c r="F208">
        <v>12000</v>
      </c>
      <c r="G208">
        <v>5500</v>
      </c>
      <c r="H208">
        <v>3500</v>
      </c>
    </row>
    <row r="209" spans="1:8" hidden="1" x14ac:dyDescent="0.25">
      <c r="C209" t="s">
        <v>217</v>
      </c>
      <c r="D209" t="s">
        <v>13</v>
      </c>
      <c r="E209">
        <v>1</v>
      </c>
      <c r="F209">
        <v>6500</v>
      </c>
      <c r="G209">
        <v>4500</v>
      </c>
      <c r="H209">
        <v>2000</v>
      </c>
    </row>
    <row r="210" spans="1:8" x14ac:dyDescent="0.25">
      <c r="D210" t="s">
        <v>404</v>
      </c>
      <c r="E210">
        <v>1</v>
      </c>
      <c r="F210">
        <v>2000</v>
      </c>
      <c r="G210">
        <v>1000</v>
      </c>
      <c r="H210">
        <v>1000</v>
      </c>
    </row>
    <row r="211" spans="1:8" hidden="1" x14ac:dyDescent="0.25">
      <c r="A211" s="142" t="s">
        <v>17</v>
      </c>
      <c r="B211" s="142"/>
      <c r="C211" s="142"/>
      <c r="D211" s="142"/>
      <c r="E211" s="13">
        <f>SUM(E206:E210)</f>
        <v>18</v>
      </c>
      <c r="F211" s="13">
        <f t="shared" ref="F211:H211" si="28">SUM(F206:F210)</f>
        <v>168500</v>
      </c>
      <c r="G211" s="13">
        <f t="shared" si="28"/>
        <v>85500</v>
      </c>
      <c r="H211" s="13">
        <f t="shared" si="28"/>
        <v>80000</v>
      </c>
    </row>
    <row r="212" spans="1:8" hidden="1" x14ac:dyDescent="0.25">
      <c r="A212" t="s">
        <v>22</v>
      </c>
      <c r="B212" t="s">
        <v>754</v>
      </c>
      <c r="C212" t="s">
        <v>734</v>
      </c>
      <c r="D212" t="s">
        <v>13</v>
      </c>
      <c r="E212">
        <v>6</v>
      </c>
      <c r="F212">
        <f>E212*8000</f>
        <v>48000</v>
      </c>
      <c r="G212">
        <f>E212*4500</f>
        <v>27000</v>
      </c>
      <c r="H212">
        <f>E212*3500</f>
        <v>21000</v>
      </c>
    </row>
    <row r="213" spans="1:8" hidden="1" x14ac:dyDescent="0.25">
      <c r="D213" t="s">
        <v>14</v>
      </c>
      <c r="E213">
        <v>1</v>
      </c>
      <c r="F213">
        <v>12000</v>
      </c>
      <c r="G213">
        <v>5500</v>
      </c>
      <c r="H213">
        <v>6500</v>
      </c>
    </row>
    <row r="214" spans="1:8" hidden="1" x14ac:dyDescent="0.25">
      <c r="C214" t="s">
        <v>217</v>
      </c>
      <c r="D214" t="s">
        <v>13</v>
      </c>
      <c r="E214">
        <v>11</v>
      </c>
      <c r="F214">
        <f>E214*6500</f>
        <v>71500</v>
      </c>
      <c r="G214">
        <f>E214*4500</f>
        <v>49500</v>
      </c>
      <c r="H214">
        <f>E214*2000</f>
        <v>22000</v>
      </c>
    </row>
    <row r="215" spans="1:8" hidden="1" x14ac:dyDescent="0.25">
      <c r="D215" t="s">
        <v>14</v>
      </c>
      <c r="E215">
        <v>7</v>
      </c>
      <c r="F215">
        <f>E215*10000</f>
        <v>70000</v>
      </c>
      <c r="G215">
        <f>E215*5500</f>
        <v>38500</v>
      </c>
      <c r="H215">
        <f>E215*4500</f>
        <v>31500</v>
      </c>
    </row>
    <row r="216" spans="1:8" x14ac:dyDescent="0.25">
      <c r="D216" t="s">
        <v>404</v>
      </c>
      <c r="E216">
        <v>1</v>
      </c>
      <c r="F216">
        <v>2000</v>
      </c>
      <c r="G216">
        <v>1000</v>
      </c>
      <c r="H216">
        <v>1000</v>
      </c>
    </row>
    <row r="217" spans="1:8" hidden="1" x14ac:dyDescent="0.25">
      <c r="D217" t="s">
        <v>441</v>
      </c>
      <c r="E217">
        <v>1</v>
      </c>
      <c r="F217">
        <v>3000</v>
      </c>
      <c r="G217">
        <v>1500</v>
      </c>
      <c r="H217">
        <v>1500</v>
      </c>
    </row>
    <row r="218" spans="1:8" hidden="1" x14ac:dyDescent="0.25">
      <c r="A218" s="142" t="s">
        <v>17</v>
      </c>
      <c r="B218" s="142"/>
      <c r="C218" s="142"/>
      <c r="D218" s="142"/>
      <c r="E218" s="13">
        <f>SUM(E212:E217)</f>
        <v>27</v>
      </c>
      <c r="F218" s="13">
        <f t="shared" ref="F218:H218" si="29">SUM(F212:F217)</f>
        <v>206500</v>
      </c>
      <c r="G218" s="13">
        <f t="shared" si="29"/>
        <v>123000</v>
      </c>
      <c r="H218" s="13">
        <f t="shared" si="29"/>
        <v>83500</v>
      </c>
    </row>
    <row r="219" spans="1:8" hidden="1" x14ac:dyDescent="0.25">
      <c r="A219" t="s">
        <v>26</v>
      </c>
      <c r="B219" t="s">
        <v>755</v>
      </c>
      <c r="C219" t="s">
        <v>756</v>
      </c>
      <c r="D219" t="s">
        <v>13</v>
      </c>
      <c r="E219">
        <v>3</v>
      </c>
      <c r="F219">
        <f>E219*1500</f>
        <v>4500</v>
      </c>
      <c r="G219">
        <f>E219*500</f>
        <v>1500</v>
      </c>
      <c r="H219">
        <v>3000</v>
      </c>
    </row>
    <row r="220" spans="1:8" hidden="1" x14ac:dyDescent="0.25">
      <c r="D220" t="s">
        <v>14</v>
      </c>
      <c r="E220">
        <v>1</v>
      </c>
      <c r="F220">
        <v>10000</v>
      </c>
      <c r="G220">
        <v>5500</v>
      </c>
      <c r="H220">
        <v>4500</v>
      </c>
    </row>
    <row r="221" spans="1:8" x14ac:dyDescent="0.25">
      <c r="D221" t="s">
        <v>404</v>
      </c>
      <c r="E221">
        <v>1</v>
      </c>
      <c r="F221">
        <v>2000</v>
      </c>
      <c r="G221">
        <v>1000</v>
      </c>
      <c r="H221">
        <v>1000</v>
      </c>
    </row>
    <row r="222" spans="1:8" hidden="1" x14ac:dyDescent="0.25">
      <c r="D222" t="s">
        <v>436</v>
      </c>
      <c r="E222">
        <v>2</v>
      </c>
      <c r="F222">
        <v>6000</v>
      </c>
      <c r="G222">
        <v>3000</v>
      </c>
      <c r="H222">
        <v>3000</v>
      </c>
    </row>
    <row r="223" spans="1:8" hidden="1" x14ac:dyDescent="0.25">
      <c r="C223" t="s">
        <v>734</v>
      </c>
      <c r="D223" t="s">
        <v>13</v>
      </c>
      <c r="E223">
        <v>6</v>
      </c>
      <c r="F223">
        <f>E223*8000</f>
        <v>48000</v>
      </c>
      <c r="G223">
        <f>E223*4500</f>
        <v>27000</v>
      </c>
      <c r="H223">
        <f>E223*3500</f>
        <v>21000</v>
      </c>
    </row>
    <row r="224" spans="1:8" hidden="1" x14ac:dyDescent="0.25">
      <c r="D224" t="s">
        <v>14</v>
      </c>
      <c r="E224">
        <v>8</v>
      </c>
      <c r="F224">
        <f>E224*10000</f>
        <v>80000</v>
      </c>
      <c r="G224">
        <f>E224*5500</f>
        <v>44000</v>
      </c>
      <c r="H224">
        <f>E224*4500</f>
        <v>36000</v>
      </c>
    </row>
    <row r="225" spans="1:8" hidden="1" x14ac:dyDescent="0.25">
      <c r="D225" t="s">
        <v>736</v>
      </c>
      <c r="E225">
        <v>1</v>
      </c>
      <c r="F225">
        <v>10000</v>
      </c>
      <c r="G225">
        <v>5500</v>
      </c>
      <c r="H225">
        <v>4500</v>
      </c>
    </row>
    <row r="226" spans="1:8" hidden="1" x14ac:dyDescent="0.25">
      <c r="A226" s="142" t="s">
        <v>17</v>
      </c>
      <c r="B226" s="142"/>
      <c r="C226" s="142"/>
      <c r="D226" s="142"/>
      <c r="E226" s="13">
        <f>SUM(E219:E225)</f>
        <v>22</v>
      </c>
      <c r="F226" s="13">
        <f t="shared" ref="F226:H226" si="30">SUM(F219:F225)</f>
        <v>160500</v>
      </c>
      <c r="G226" s="13">
        <f t="shared" si="30"/>
        <v>87500</v>
      </c>
      <c r="H226" s="13">
        <f t="shared" si="30"/>
        <v>73000</v>
      </c>
    </row>
    <row r="227" spans="1:8" hidden="1" x14ac:dyDescent="0.25">
      <c r="A227" t="s">
        <v>28</v>
      </c>
      <c r="B227" t="s">
        <v>757</v>
      </c>
      <c r="C227" t="s">
        <v>75</v>
      </c>
    </row>
  </sheetData>
  <autoFilter ref="A1:H227" xr:uid="{00000000-0009-0000-0000-00001C000000}">
    <filterColumn colId="3">
      <filters>
        <filter val="ES TEA"/>
        <filter val="ES TEA SUSU"/>
        <filter val="ES THE SUSU"/>
      </filters>
    </filterColumn>
  </autoFilter>
  <mergeCells count="30">
    <mergeCell ref="A69:D69"/>
    <mergeCell ref="A99:D99"/>
    <mergeCell ref="A103:D103"/>
    <mergeCell ref="A109:D109"/>
    <mergeCell ref="A167:D167"/>
    <mergeCell ref="A89:D89"/>
    <mergeCell ref="A82:D82"/>
    <mergeCell ref="A160:D160"/>
    <mergeCell ref="A117:D117"/>
    <mergeCell ref="A147:D147"/>
    <mergeCell ref="A153:D153"/>
    <mergeCell ref="A129:D129"/>
    <mergeCell ref="A139:D139"/>
    <mergeCell ref="A123:D123"/>
    <mergeCell ref="A62:D62"/>
    <mergeCell ref="A11:D11"/>
    <mergeCell ref="A18:D18"/>
    <mergeCell ref="A28:D28"/>
    <mergeCell ref="A43:D43"/>
    <mergeCell ref="A51:D51"/>
    <mergeCell ref="A226:D226"/>
    <mergeCell ref="A172:D172"/>
    <mergeCell ref="A177:D177"/>
    <mergeCell ref="A200:D200"/>
    <mergeCell ref="A205:D205"/>
    <mergeCell ref="A195:D195"/>
    <mergeCell ref="A184:D184"/>
    <mergeCell ref="A192:D192"/>
    <mergeCell ref="A218:D218"/>
    <mergeCell ref="A211:D21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N200"/>
  <sheetViews>
    <sheetView workbookViewId="0">
      <selection activeCell="K208" sqref="K208"/>
    </sheetView>
  </sheetViews>
  <sheetFormatPr defaultRowHeight="15" x14ac:dyDescent="0.25"/>
  <cols>
    <col min="2" max="2" width="9.7109375" bestFit="1" customWidth="1"/>
    <col min="5" max="5" width="9.7109375" bestFit="1" customWidth="1"/>
    <col min="6" max="6" width="13.28515625" bestFit="1" customWidth="1"/>
    <col min="7" max="7" width="11.85546875" bestFit="1" customWidth="1"/>
    <col min="8" max="8" width="11.7109375" bestFit="1" customWidth="1"/>
    <col min="12" max="12" width="11.5703125" bestFit="1" customWidth="1"/>
    <col min="14" max="14" width="11.57031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30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 hidden="1" x14ac:dyDescent="0.25">
      <c r="A3" t="s">
        <v>32</v>
      </c>
      <c r="B3" s="3">
        <v>45326</v>
      </c>
      <c r="C3" t="s">
        <v>217</v>
      </c>
      <c r="D3" t="s">
        <v>13</v>
      </c>
      <c r="E3">
        <v>4</v>
      </c>
      <c r="F3">
        <f>E3*6500</f>
        <v>26000</v>
      </c>
      <c r="G3">
        <f>E3*4500</f>
        <v>18000</v>
      </c>
      <c r="H3">
        <f>E3*2000</f>
        <v>8000</v>
      </c>
    </row>
    <row r="4" spans="1:8" hidden="1" x14ac:dyDescent="0.25">
      <c r="D4" t="s">
        <v>14</v>
      </c>
      <c r="E4">
        <v>8</v>
      </c>
      <c r="F4">
        <f>E4*10000</f>
        <v>80000</v>
      </c>
      <c r="G4">
        <f>E4*5500</f>
        <v>44000</v>
      </c>
      <c r="H4">
        <f>E4*4500</f>
        <v>36000</v>
      </c>
    </row>
    <row r="5" spans="1:8" hidden="1" x14ac:dyDescent="0.25">
      <c r="D5" t="s">
        <v>736</v>
      </c>
      <c r="E5">
        <v>1</v>
      </c>
      <c r="F5">
        <v>10000</v>
      </c>
      <c r="G5">
        <v>5500</v>
      </c>
      <c r="H5">
        <v>4500</v>
      </c>
    </row>
    <row r="6" spans="1:8" hidden="1" x14ac:dyDescent="0.25">
      <c r="A6" s="142" t="s">
        <v>17</v>
      </c>
      <c r="B6" s="142"/>
      <c r="C6" s="142"/>
      <c r="D6" s="142"/>
      <c r="E6" s="13">
        <f>SUM(E3:E5)</f>
        <v>13</v>
      </c>
      <c r="F6" s="13">
        <f t="shared" ref="F6:H6" si="0">SUM(F3:F5)</f>
        <v>116000</v>
      </c>
      <c r="G6" s="13">
        <f t="shared" si="0"/>
        <v>67500</v>
      </c>
      <c r="H6" s="13">
        <f t="shared" si="0"/>
        <v>48500</v>
      </c>
    </row>
    <row r="7" spans="1:8" hidden="1" x14ac:dyDescent="0.25">
      <c r="A7" t="s">
        <v>8</v>
      </c>
      <c r="B7" s="3">
        <v>45355</v>
      </c>
      <c r="C7" t="s">
        <v>217</v>
      </c>
      <c r="D7" t="s">
        <v>13</v>
      </c>
      <c r="E7">
        <v>11</v>
      </c>
      <c r="F7">
        <f>E7*6500</f>
        <v>71500</v>
      </c>
      <c r="G7">
        <f>E7*4500</f>
        <v>49500</v>
      </c>
      <c r="H7">
        <f>E7*2000</f>
        <v>22000</v>
      </c>
    </row>
    <row r="8" spans="1:8" hidden="1" x14ac:dyDescent="0.25">
      <c r="D8" t="s">
        <v>14</v>
      </c>
      <c r="E8">
        <v>5</v>
      </c>
      <c r="F8">
        <f>E8*10000</f>
        <v>50000</v>
      </c>
      <c r="G8">
        <f>E8*4500</f>
        <v>22500</v>
      </c>
      <c r="H8">
        <f>E8*4500</f>
        <v>22500</v>
      </c>
    </row>
    <row r="9" spans="1:8" hidden="1" x14ac:dyDescent="0.25">
      <c r="A9" s="142" t="s">
        <v>17</v>
      </c>
      <c r="B9" s="142"/>
      <c r="C9" s="142"/>
      <c r="D9" s="142"/>
      <c r="E9" s="13">
        <f>SUM(E7:E8)</f>
        <v>16</v>
      </c>
      <c r="F9" s="13">
        <f t="shared" ref="F9:H9" si="1">SUM(F7:F8)</f>
        <v>121500</v>
      </c>
      <c r="G9" s="13">
        <f t="shared" si="1"/>
        <v>72000</v>
      </c>
      <c r="H9" s="13">
        <f t="shared" si="1"/>
        <v>44500</v>
      </c>
    </row>
    <row r="10" spans="1:8" hidden="1" x14ac:dyDescent="0.25">
      <c r="A10" t="s">
        <v>18</v>
      </c>
      <c r="B10" s="3">
        <v>45386</v>
      </c>
      <c r="C10" t="s">
        <v>217</v>
      </c>
      <c r="D10" t="s">
        <v>13</v>
      </c>
      <c r="E10">
        <v>4</v>
      </c>
      <c r="F10">
        <f>E10*6500</f>
        <v>26000</v>
      </c>
      <c r="G10">
        <f>E10*4500</f>
        <v>18000</v>
      </c>
      <c r="H10">
        <f>E10*2000</f>
        <v>8000</v>
      </c>
    </row>
    <row r="11" spans="1:8" hidden="1" x14ac:dyDescent="0.25">
      <c r="D11" t="s">
        <v>14</v>
      </c>
      <c r="E11">
        <v>7</v>
      </c>
      <c r="F11">
        <f>E11*10000</f>
        <v>70000</v>
      </c>
      <c r="G11">
        <f>E11*5500</f>
        <v>38500</v>
      </c>
      <c r="H11">
        <f>E11*4500</f>
        <v>31500</v>
      </c>
    </row>
    <row r="12" spans="1:8" hidden="1" x14ac:dyDescent="0.25">
      <c r="D12" t="s">
        <v>736</v>
      </c>
      <c r="E12">
        <v>1</v>
      </c>
      <c r="F12">
        <v>10000</v>
      </c>
      <c r="G12">
        <v>5500</v>
      </c>
      <c r="H12">
        <v>4500</v>
      </c>
    </row>
    <row r="13" spans="1:8" hidden="1" x14ac:dyDescent="0.25">
      <c r="A13" s="111" t="s">
        <v>17</v>
      </c>
      <c r="B13" s="111"/>
      <c r="C13" s="111"/>
      <c r="D13" s="111"/>
      <c r="E13" s="1">
        <f>SUM(E10:E12)</f>
        <v>12</v>
      </c>
      <c r="F13" s="1">
        <f t="shared" ref="F13:G13" si="2">SUM(F10:F12)</f>
        <v>106000</v>
      </c>
      <c r="G13" s="1">
        <f t="shared" si="2"/>
        <v>62000</v>
      </c>
      <c r="H13" s="1">
        <f>SUM(H10:H12)</f>
        <v>44000</v>
      </c>
    </row>
    <row r="14" spans="1:8" hidden="1" x14ac:dyDescent="0.25">
      <c r="A14" t="s">
        <v>22</v>
      </c>
      <c r="B14" s="3">
        <v>45416</v>
      </c>
      <c r="C14" t="s">
        <v>75</v>
      </c>
      <c r="D14" t="s">
        <v>75</v>
      </c>
      <c r="E14" t="s">
        <v>75</v>
      </c>
      <c r="F14" t="s">
        <v>75</v>
      </c>
      <c r="G14" t="s">
        <v>75</v>
      </c>
      <c r="H14" t="s">
        <v>75</v>
      </c>
    </row>
    <row r="15" spans="1:8" hidden="1" x14ac:dyDescent="0.25">
      <c r="A15" t="s">
        <v>26</v>
      </c>
      <c r="B15" s="3">
        <v>45447</v>
      </c>
      <c r="C15" t="s">
        <v>217</v>
      </c>
      <c r="D15" t="s">
        <v>13</v>
      </c>
      <c r="E15">
        <v>8</v>
      </c>
      <c r="F15">
        <f>E15*6500</f>
        <v>52000</v>
      </c>
      <c r="G15">
        <f>E15*4500</f>
        <v>36000</v>
      </c>
      <c r="H15">
        <f>E15*2000</f>
        <v>16000</v>
      </c>
    </row>
    <row r="16" spans="1:8" hidden="1" x14ac:dyDescent="0.25">
      <c r="D16" t="s">
        <v>14</v>
      </c>
      <c r="E16">
        <v>4</v>
      </c>
      <c r="F16">
        <f>E16*10000</f>
        <v>40000</v>
      </c>
      <c r="G16">
        <f>E16*5500</f>
        <v>22000</v>
      </c>
      <c r="H16">
        <f>E16*4500</f>
        <v>18000</v>
      </c>
    </row>
    <row r="17" spans="1:8" hidden="1" x14ac:dyDescent="0.25">
      <c r="D17" t="s">
        <v>404</v>
      </c>
      <c r="E17">
        <v>8</v>
      </c>
      <c r="F17">
        <f>E17*2000</f>
        <v>16000</v>
      </c>
      <c r="G17">
        <v>8000</v>
      </c>
      <c r="H17">
        <v>8000</v>
      </c>
    </row>
    <row r="18" spans="1:8" hidden="1" x14ac:dyDescent="0.25">
      <c r="A18" s="111" t="s">
        <v>17</v>
      </c>
      <c r="B18" s="111"/>
      <c r="C18" s="111"/>
      <c r="D18" s="111"/>
      <c r="E18" s="13">
        <f>SUM(E15:E17)</f>
        <v>20</v>
      </c>
      <c r="F18" s="13">
        <f t="shared" ref="F18:H18" si="3">SUM(F15:F17)</f>
        <v>108000</v>
      </c>
      <c r="G18" s="13">
        <f t="shared" si="3"/>
        <v>66000</v>
      </c>
      <c r="H18" s="13">
        <f t="shared" si="3"/>
        <v>42000</v>
      </c>
    </row>
    <row r="19" spans="1:8" hidden="1" x14ac:dyDescent="0.25">
      <c r="A19" t="s">
        <v>28</v>
      </c>
      <c r="B19" s="3">
        <v>45477</v>
      </c>
      <c r="C19" t="s">
        <v>217</v>
      </c>
      <c r="D19" t="s">
        <v>13</v>
      </c>
      <c r="E19">
        <v>7</v>
      </c>
      <c r="F19">
        <f>E19*6500</f>
        <v>45500</v>
      </c>
      <c r="G19">
        <f>E19*4500</f>
        <v>31500</v>
      </c>
      <c r="H19">
        <f>E19*2000</f>
        <v>14000</v>
      </c>
    </row>
    <row r="20" spans="1:8" hidden="1" x14ac:dyDescent="0.25">
      <c r="D20" t="s">
        <v>736</v>
      </c>
      <c r="E20">
        <v>1</v>
      </c>
      <c r="F20">
        <v>10000</v>
      </c>
      <c r="G20">
        <v>5500</v>
      </c>
      <c r="H20">
        <v>4500</v>
      </c>
    </row>
    <row r="21" spans="1:8" hidden="1" x14ac:dyDescent="0.25">
      <c r="C21" t="s">
        <v>24</v>
      </c>
      <c r="D21" t="s">
        <v>243</v>
      </c>
      <c r="E21">
        <v>8</v>
      </c>
      <c r="F21">
        <f>E21*15000</f>
        <v>120000</v>
      </c>
      <c r="G21">
        <f>E21*10000</f>
        <v>80000</v>
      </c>
      <c r="H21">
        <f>E21*5000</f>
        <v>40000</v>
      </c>
    </row>
    <row r="22" spans="1:8" hidden="1" x14ac:dyDescent="0.25">
      <c r="A22" s="142" t="s">
        <v>17</v>
      </c>
      <c r="B22" s="142"/>
      <c r="C22" s="142"/>
      <c r="D22" s="142"/>
      <c r="E22" s="13">
        <f>SUM(E19:E21)</f>
        <v>16</v>
      </c>
      <c r="F22" s="13">
        <f t="shared" ref="F22:H22" si="4">SUM(F19:F21)</f>
        <v>175500</v>
      </c>
      <c r="G22" s="13">
        <f t="shared" si="4"/>
        <v>117000</v>
      </c>
      <c r="H22" s="13">
        <f t="shared" si="4"/>
        <v>58500</v>
      </c>
    </row>
    <row r="23" spans="1:8" hidden="1" x14ac:dyDescent="0.25">
      <c r="A23" t="s">
        <v>30</v>
      </c>
      <c r="B23" s="3">
        <v>45508</v>
      </c>
      <c r="C23" t="s">
        <v>16</v>
      </c>
      <c r="D23" t="s">
        <v>11</v>
      </c>
      <c r="E23">
        <v>34</v>
      </c>
      <c r="F23" s="4">
        <f>E23*1500</f>
        <v>51000</v>
      </c>
      <c r="G23" s="4">
        <f>E23*500</f>
        <v>17000</v>
      </c>
      <c r="H23" s="4">
        <v>34000</v>
      </c>
    </row>
    <row r="24" spans="1:8" hidden="1" x14ac:dyDescent="0.25">
      <c r="D24" t="s">
        <v>12</v>
      </c>
      <c r="E24">
        <v>6</v>
      </c>
      <c r="F24" s="4">
        <f>E24*3000</f>
        <v>18000</v>
      </c>
      <c r="G24" s="4">
        <f>E24*2000</f>
        <v>12000</v>
      </c>
      <c r="H24" s="4">
        <v>6000</v>
      </c>
    </row>
    <row r="25" spans="1:8" hidden="1" x14ac:dyDescent="0.25">
      <c r="D25" t="s">
        <v>13</v>
      </c>
      <c r="E25">
        <v>2</v>
      </c>
      <c r="F25" s="4">
        <f>E25*6500</f>
        <v>13000</v>
      </c>
      <c r="G25" s="4">
        <f>E25*4500</f>
        <v>9000</v>
      </c>
      <c r="H25" s="4">
        <f>E25*2000</f>
        <v>4000</v>
      </c>
    </row>
    <row r="26" spans="1:8" hidden="1" x14ac:dyDescent="0.25">
      <c r="D26" t="s">
        <v>14</v>
      </c>
      <c r="E26">
        <v>2</v>
      </c>
      <c r="F26" s="4">
        <f>E26*10000</f>
        <v>20000</v>
      </c>
      <c r="G26" s="4">
        <f>E26*5500</f>
        <v>11000</v>
      </c>
      <c r="H26" s="4">
        <f>E26*4500</f>
        <v>9000</v>
      </c>
    </row>
    <row r="27" spans="1:8" hidden="1" x14ac:dyDescent="0.25">
      <c r="A27" s="142" t="s">
        <v>17</v>
      </c>
      <c r="B27" s="142"/>
      <c r="C27" s="142"/>
      <c r="D27" s="142"/>
      <c r="E27" s="13">
        <f>SUM(E23:E26)</f>
        <v>44</v>
      </c>
      <c r="F27" s="13">
        <f t="shared" ref="F27:H27" si="5">SUM(F23:F26)</f>
        <v>102000</v>
      </c>
      <c r="G27" s="13">
        <f t="shared" si="5"/>
        <v>49000</v>
      </c>
      <c r="H27" s="13">
        <f t="shared" si="5"/>
        <v>53000</v>
      </c>
    </row>
    <row r="28" spans="1:8" hidden="1" x14ac:dyDescent="0.25">
      <c r="A28" t="s">
        <v>32</v>
      </c>
      <c r="B28" s="3">
        <v>45539</v>
      </c>
      <c r="C28" t="s">
        <v>16</v>
      </c>
      <c r="D28" t="s">
        <v>11</v>
      </c>
      <c r="E28">
        <v>18</v>
      </c>
      <c r="F28">
        <f>E28*1500</f>
        <v>27000</v>
      </c>
      <c r="G28">
        <f>E28*500</f>
        <v>9000</v>
      </c>
      <c r="H28">
        <v>18000</v>
      </c>
    </row>
    <row r="29" spans="1:8" hidden="1" x14ac:dyDescent="0.25">
      <c r="D29" t="s">
        <v>12</v>
      </c>
      <c r="E29">
        <v>10</v>
      </c>
      <c r="F29">
        <f>E29*3000</f>
        <v>30000</v>
      </c>
      <c r="G29">
        <f>E29*2000</f>
        <v>20000</v>
      </c>
      <c r="H29">
        <v>10000</v>
      </c>
    </row>
    <row r="30" spans="1:8" hidden="1" x14ac:dyDescent="0.25">
      <c r="D30" t="s">
        <v>13</v>
      </c>
      <c r="E30">
        <v>3</v>
      </c>
      <c r="F30">
        <f>E30*6500</f>
        <v>19500</v>
      </c>
      <c r="G30">
        <f>E30*4500</f>
        <v>13500</v>
      </c>
      <c r="H30">
        <f>E30*2000</f>
        <v>6000</v>
      </c>
    </row>
    <row r="31" spans="1:8" hidden="1" x14ac:dyDescent="0.25">
      <c r="D31" t="s">
        <v>14</v>
      </c>
      <c r="E31">
        <v>1</v>
      </c>
      <c r="F31">
        <v>10000</v>
      </c>
      <c r="G31">
        <v>5500</v>
      </c>
      <c r="H31">
        <v>4500</v>
      </c>
    </row>
    <row r="32" spans="1:8" hidden="1" x14ac:dyDescent="0.25">
      <c r="D32" t="s">
        <v>243</v>
      </c>
      <c r="E32">
        <v>1</v>
      </c>
      <c r="F32">
        <v>13000</v>
      </c>
      <c r="G32">
        <v>10000</v>
      </c>
      <c r="H32">
        <v>3000</v>
      </c>
    </row>
    <row r="33" spans="1:14" hidden="1" x14ac:dyDescent="0.25">
      <c r="A33" s="142" t="s">
        <v>17</v>
      </c>
      <c r="B33" s="142"/>
      <c r="C33" s="142"/>
      <c r="D33" s="142"/>
      <c r="E33" s="13">
        <f>SUM(E28:E32)</f>
        <v>33</v>
      </c>
      <c r="F33" s="13">
        <f t="shared" ref="F33:H33" si="6">SUM(F28:F32)</f>
        <v>99500</v>
      </c>
      <c r="G33" s="13">
        <f t="shared" si="6"/>
        <v>58000</v>
      </c>
      <c r="H33" s="13">
        <f t="shared" si="6"/>
        <v>41500</v>
      </c>
    </row>
    <row r="34" spans="1:14" hidden="1" x14ac:dyDescent="0.25">
      <c r="A34" t="s">
        <v>8</v>
      </c>
      <c r="B34" s="1" t="s">
        <v>75</v>
      </c>
      <c r="C34" s="1" t="s">
        <v>75</v>
      </c>
      <c r="D34" s="1" t="s">
        <v>75</v>
      </c>
      <c r="E34" s="1" t="s">
        <v>75</v>
      </c>
      <c r="F34" s="1" t="s">
        <v>75</v>
      </c>
      <c r="G34" s="1" t="s">
        <v>75</v>
      </c>
      <c r="H34" s="1" t="s">
        <v>75</v>
      </c>
    </row>
    <row r="35" spans="1:14" hidden="1" x14ac:dyDescent="0.25">
      <c r="A35" t="s">
        <v>18</v>
      </c>
      <c r="B35" s="3">
        <v>45600</v>
      </c>
      <c r="C35" t="s">
        <v>16</v>
      </c>
      <c r="D35" t="s">
        <v>11</v>
      </c>
      <c r="E35">
        <v>100</v>
      </c>
      <c r="F35" s="4">
        <f>E35*1500</f>
        <v>150000</v>
      </c>
      <c r="G35" s="4">
        <f>E35*500</f>
        <v>50000</v>
      </c>
      <c r="H35" s="4">
        <v>100000</v>
      </c>
    </row>
    <row r="36" spans="1:14" hidden="1" x14ac:dyDescent="0.25">
      <c r="D36" t="s">
        <v>12</v>
      </c>
      <c r="E36">
        <v>20</v>
      </c>
      <c r="F36" s="4">
        <f>E36*3000</f>
        <v>60000</v>
      </c>
      <c r="G36" s="4">
        <f>E36*2000</f>
        <v>40000</v>
      </c>
      <c r="H36" s="4">
        <v>20000</v>
      </c>
    </row>
    <row r="37" spans="1:14" hidden="1" x14ac:dyDescent="0.25">
      <c r="D37" t="s">
        <v>13</v>
      </c>
      <c r="E37">
        <v>5</v>
      </c>
      <c r="F37" s="4">
        <f>E37*6500</f>
        <v>32500</v>
      </c>
      <c r="G37" s="4">
        <f>E37*4500</f>
        <v>22500</v>
      </c>
      <c r="H37" s="4">
        <f>E37*2000</f>
        <v>10000</v>
      </c>
    </row>
    <row r="38" spans="1:14" hidden="1" x14ac:dyDescent="0.25">
      <c r="A38" s="142" t="s">
        <v>17</v>
      </c>
      <c r="B38" s="142"/>
      <c r="C38" s="142"/>
      <c r="D38" s="142"/>
      <c r="E38" s="13">
        <f>SUM(E35:E37)</f>
        <v>125</v>
      </c>
      <c r="F38" s="13">
        <f t="shared" ref="F38:H38" si="7">SUM(F35:F37)</f>
        <v>242500</v>
      </c>
      <c r="G38" s="13">
        <f t="shared" si="7"/>
        <v>112500</v>
      </c>
      <c r="H38" s="13">
        <f t="shared" si="7"/>
        <v>130000</v>
      </c>
    </row>
    <row r="39" spans="1:14" hidden="1" x14ac:dyDescent="0.25">
      <c r="A39" t="s">
        <v>22</v>
      </c>
      <c r="B39" s="3">
        <v>45630</v>
      </c>
      <c r="C39" t="s">
        <v>16</v>
      </c>
      <c r="D39" t="s">
        <v>11</v>
      </c>
      <c r="E39">
        <v>100</v>
      </c>
      <c r="F39">
        <f>E39*1500</f>
        <v>150000</v>
      </c>
      <c r="G39">
        <f>E39*500</f>
        <v>50000</v>
      </c>
      <c r="H39">
        <v>100000</v>
      </c>
    </row>
    <row r="40" spans="1:14" hidden="1" x14ac:dyDescent="0.25">
      <c r="D40" t="s">
        <v>12</v>
      </c>
      <c r="E40">
        <v>15</v>
      </c>
      <c r="F40">
        <f>E40*3000</f>
        <v>45000</v>
      </c>
      <c r="G40">
        <f>E40*2000</f>
        <v>30000</v>
      </c>
      <c r="H40" s="4">
        <v>15000</v>
      </c>
    </row>
    <row r="41" spans="1:14" hidden="1" x14ac:dyDescent="0.25">
      <c r="D41" t="s">
        <v>13</v>
      </c>
      <c r="E41">
        <v>6</v>
      </c>
      <c r="F41">
        <f>E41*6500</f>
        <v>39000</v>
      </c>
      <c r="G41">
        <f>E41*4500</f>
        <v>27000</v>
      </c>
      <c r="H41">
        <f>E41*2000</f>
        <v>12000</v>
      </c>
    </row>
    <row r="42" spans="1:14" hidden="1" x14ac:dyDescent="0.25">
      <c r="D42" t="s">
        <v>243</v>
      </c>
      <c r="E42">
        <v>1</v>
      </c>
      <c r="F42">
        <v>13000</v>
      </c>
      <c r="G42">
        <v>10000</v>
      </c>
      <c r="H42">
        <v>3000</v>
      </c>
    </row>
    <row r="43" spans="1:14" hidden="1" x14ac:dyDescent="0.25">
      <c r="A43" s="142" t="s">
        <v>17</v>
      </c>
      <c r="B43" s="142"/>
      <c r="C43" s="142"/>
      <c r="D43" s="142"/>
      <c r="E43" s="13">
        <f>SUM(E39:E42)</f>
        <v>122</v>
      </c>
      <c r="F43" s="13">
        <f t="shared" ref="F43:H43" si="8">SUM(F39:F42)</f>
        <v>247000</v>
      </c>
      <c r="G43" s="13">
        <f t="shared" si="8"/>
        <v>117000</v>
      </c>
      <c r="H43" s="13">
        <f t="shared" si="8"/>
        <v>130000</v>
      </c>
    </row>
    <row r="44" spans="1:14" hidden="1" x14ac:dyDescent="0.25">
      <c r="A44" t="s">
        <v>26</v>
      </c>
      <c r="B44" t="s">
        <v>758</v>
      </c>
      <c r="C44" t="s">
        <v>16</v>
      </c>
      <c r="D44" t="s">
        <v>11</v>
      </c>
      <c r="E44">
        <v>77</v>
      </c>
      <c r="F44">
        <f>E44*1500</f>
        <v>115500</v>
      </c>
      <c r="G44">
        <f>E44*500</f>
        <v>38500</v>
      </c>
      <c r="H44">
        <v>77000</v>
      </c>
    </row>
    <row r="45" spans="1:14" hidden="1" x14ac:dyDescent="0.25">
      <c r="D45" t="s">
        <v>12</v>
      </c>
      <c r="E45">
        <v>11</v>
      </c>
      <c r="F45">
        <f>E45*3000</f>
        <v>33000</v>
      </c>
      <c r="G45">
        <f>E45*2000</f>
        <v>22000</v>
      </c>
      <c r="H45">
        <v>11000</v>
      </c>
    </row>
    <row r="46" spans="1:14" hidden="1" x14ac:dyDescent="0.25">
      <c r="D46" t="s">
        <v>13</v>
      </c>
      <c r="E46">
        <v>6</v>
      </c>
      <c r="F46">
        <f>E46*6500</f>
        <v>39000</v>
      </c>
      <c r="G46">
        <f>E46*4500</f>
        <v>27000</v>
      </c>
      <c r="H46">
        <f>E46*2000</f>
        <v>12000</v>
      </c>
    </row>
    <row r="47" spans="1:14" hidden="1" x14ac:dyDescent="0.25">
      <c r="D47" t="s">
        <v>243</v>
      </c>
      <c r="E47">
        <v>1</v>
      </c>
      <c r="F47">
        <v>13000</v>
      </c>
      <c r="G47">
        <v>10000</v>
      </c>
      <c r="H47">
        <v>3000</v>
      </c>
    </row>
    <row r="48" spans="1:14" hidden="1" x14ac:dyDescent="0.25">
      <c r="A48" s="142" t="s">
        <v>17</v>
      </c>
      <c r="B48" s="142"/>
      <c r="C48" s="142"/>
      <c r="D48" s="142"/>
      <c r="E48" s="13">
        <f>SUM(E44:E47)</f>
        <v>95</v>
      </c>
      <c r="F48" s="13">
        <f t="shared" ref="F48:H48" si="9">SUM(F44:F47)</f>
        <v>200500</v>
      </c>
      <c r="G48" s="13">
        <f t="shared" si="9"/>
        <v>97500</v>
      </c>
      <c r="H48" s="13">
        <f t="shared" si="9"/>
        <v>103000</v>
      </c>
      <c r="N48" s="83"/>
    </row>
    <row r="49" spans="1:14" hidden="1" x14ac:dyDescent="0.25">
      <c r="A49" t="s">
        <v>28</v>
      </c>
      <c r="B49" t="s">
        <v>759</v>
      </c>
      <c r="C49" t="s">
        <v>16</v>
      </c>
      <c r="D49" t="s">
        <v>11</v>
      </c>
      <c r="E49">
        <v>87</v>
      </c>
      <c r="F49">
        <f>E49*1500</f>
        <v>130500</v>
      </c>
      <c r="G49">
        <f>E49*500</f>
        <v>43500</v>
      </c>
      <c r="H49">
        <v>87000</v>
      </c>
      <c r="N49" s="4"/>
    </row>
    <row r="50" spans="1:14" hidden="1" x14ac:dyDescent="0.25">
      <c r="D50" t="s">
        <v>12</v>
      </c>
      <c r="E50">
        <v>19</v>
      </c>
      <c r="F50">
        <f>E50*3000</f>
        <v>57000</v>
      </c>
      <c r="G50">
        <f>E50*2000</f>
        <v>38000</v>
      </c>
      <c r="H50">
        <v>19000</v>
      </c>
      <c r="N50" s="35"/>
    </row>
    <row r="51" spans="1:14" hidden="1" x14ac:dyDescent="0.25">
      <c r="D51" t="s">
        <v>13</v>
      </c>
      <c r="E51">
        <v>8</v>
      </c>
      <c r="F51">
        <f>E51*6500</f>
        <v>52000</v>
      </c>
      <c r="G51">
        <f>E51*4500</f>
        <v>36000</v>
      </c>
      <c r="H51">
        <f>E51*2000</f>
        <v>16000</v>
      </c>
      <c r="L51" s="84"/>
    </row>
    <row r="52" spans="1:14" hidden="1" x14ac:dyDescent="0.25">
      <c r="A52" s="142" t="s">
        <v>17</v>
      </c>
      <c r="B52" s="142"/>
      <c r="C52" s="142"/>
      <c r="D52" s="142"/>
      <c r="E52" s="13">
        <f>SUM(E49:E51)</f>
        <v>114</v>
      </c>
      <c r="F52" s="13">
        <f t="shared" ref="F52:H52" si="10">SUM(F49:F51)</f>
        <v>239500</v>
      </c>
      <c r="G52" s="13">
        <f t="shared" si="10"/>
        <v>117500</v>
      </c>
      <c r="H52" s="13">
        <f t="shared" si="10"/>
        <v>122000</v>
      </c>
      <c r="L52" s="4"/>
    </row>
    <row r="53" spans="1:14" hidden="1" x14ac:dyDescent="0.25">
      <c r="A53" t="s">
        <v>30</v>
      </c>
      <c r="B53" t="s">
        <v>760</v>
      </c>
      <c r="C53" t="s">
        <v>16</v>
      </c>
      <c r="D53" t="s">
        <v>11</v>
      </c>
      <c r="E53">
        <v>85</v>
      </c>
      <c r="F53">
        <f>E53*1500</f>
        <v>127500</v>
      </c>
      <c r="G53">
        <f>E53*500</f>
        <v>42500</v>
      </c>
      <c r="H53">
        <v>85000</v>
      </c>
      <c r="L53" s="35"/>
      <c r="M53" s="12"/>
    </row>
    <row r="54" spans="1:14" hidden="1" x14ac:dyDescent="0.25">
      <c r="D54" t="s">
        <v>12</v>
      </c>
      <c r="E54">
        <v>7</v>
      </c>
      <c r="F54">
        <f>E54*3000</f>
        <v>21000</v>
      </c>
      <c r="G54">
        <f>E54*2000</f>
        <v>14000</v>
      </c>
      <c r="H54">
        <v>7000</v>
      </c>
    </row>
    <row r="55" spans="1:14" hidden="1" x14ac:dyDescent="0.25">
      <c r="D55" t="s">
        <v>13</v>
      </c>
      <c r="E55">
        <v>8</v>
      </c>
      <c r="F55">
        <f>E55*6500</f>
        <v>52000</v>
      </c>
      <c r="G55">
        <f>E55*4500</f>
        <v>36000</v>
      </c>
      <c r="H55">
        <v>16000</v>
      </c>
    </row>
    <row r="56" spans="1:14" hidden="1" x14ac:dyDescent="0.25">
      <c r="C56" t="s">
        <v>24</v>
      </c>
      <c r="D56" t="s">
        <v>243</v>
      </c>
      <c r="E56">
        <v>4</v>
      </c>
      <c r="F56">
        <f>E56*15000</f>
        <v>60000</v>
      </c>
      <c r="G56">
        <f>E56*10000</f>
        <v>40000</v>
      </c>
      <c r="H56">
        <v>20000</v>
      </c>
    </row>
    <row r="57" spans="1:14" hidden="1" x14ac:dyDescent="0.25">
      <c r="C57" t="s">
        <v>217</v>
      </c>
      <c r="D57" t="s">
        <v>13</v>
      </c>
      <c r="E57">
        <v>6</v>
      </c>
      <c r="F57">
        <f>E57*6500</f>
        <v>39000</v>
      </c>
      <c r="G57">
        <f>E57*4500</f>
        <v>27000</v>
      </c>
      <c r="H57">
        <v>12000</v>
      </c>
      <c r="N57" s="12"/>
    </row>
    <row r="58" spans="1:14" hidden="1" x14ac:dyDescent="0.25">
      <c r="D58" t="s">
        <v>243</v>
      </c>
      <c r="E58">
        <v>1</v>
      </c>
      <c r="F58">
        <v>13000</v>
      </c>
      <c r="G58">
        <v>10000</v>
      </c>
      <c r="H58">
        <v>3000</v>
      </c>
    </row>
    <row r="59" spans="1:14" hidden="1" x14ac:dyDescent="0.25">
      <c r="A59" s="142" t="s">
        <v>17</v>
      </c>
      <c r="B59" s="142"/>
      <c r="C59" s="142"/>
      <c r="D59" s="142"/>
      <c r="E59" s="13">
        <f>SUM(E53:E58)</f>
        <v>111</v>
      </c>
      <c r="F59" s="13">
        <f t="shared" ref="F59:H59" si="11">SUM(F53:F58)</f>
        <v>312500</v>
      </c>
      <c r="G59" s="13">
        <f t="shared" si="11"/>
        <v>169500</v>
      </c>
      <c r="H59" s="13">
        <f t="shared" si="11"/>
        <v>143000</v>
      </c>
    </row>
    <row r="60" spans="1:14" hidden="1" x14ac:dyDescent="0.25">
      <c r="A60" t="s">
        <v>32</v>
      </c>
      <c r="B60" t="s">
        <v>761</v>
      </c>
      <c r="C60" t="s">
        <v>16</v>
      </c>
      <c r="D60" t="s">
        <v>11</v>
      </c>
      <c r="E60">
        <v>49</v>
      </c>
      <c r="F60">
        <f>E60*1500</f>
        <v>73500</v>
      </c>
      <c r="G60">
        <f>E60*500</f>
        <v>24500</v>
      </c>
      <c r="H60">
        <f>E60*1000</f>
        <v>49000</v>
      </c>
    </row>
    <row r="61" spans="1:14" hidden="1" x14ac:dyDescent="0.25">
      <c r="D61" t="s">
        <v>12</v>
      </c>
      <c r="E61">
        <v>7</v>
      </c>
      <c r="F61">
        <f>E61*3000</f>
        <v>21000</v>
      </c>
      <c r="G61">
        <v>14000</v>
      </c>
      <c r="H61">
        <v>7000</v>
      </c>
    </row>
    <row r="62" spans="1:14" hidden="1" x14ac:dyDescent="0.25">
      <c r="D62" t="s">
        <v>13</v>
      </c>
      <c r="E62">
        <v>6</v>
      </c>
      <c r="F62">
        <f>E62*6500</f>
        <v>39000</v>
      </c>
      <c r="G62">
        <f>E62*4500</f>
        <v>27000</v>
      </c>
      <c r="H62">
        <f>E62*2000</f>
        <v>12000</v>
      </c>
    </row>
    <row r="63" spans="1:14" hidden="1" x14ac:dyDescent="0.25">
      <c r="C63" t="s">
        <v>24</v>
      </c>
      <c r="D63" t="s">
        <v>13</v>
      </c>
      <c r="E63">
        <v>3</v>
      </c>
      <c r="F63">
        <f>E63*6500</f>
        <v>19500</v>
      </c>
      <c r="G63">
        <f>E63*4500</f>
        <v>13500</v>
      </c>
      <c r="H63">
        <v>6000</v>
      </c>
    </row>
    <row r="64" spans="1:14" hidden="1" x14ac:dyDescent="0.25">
      <c r="A64" s="142" t="s">
        <v>17</v>
      </c>
      <c r="B64" s="142"/>
      <c r="C64" s="142"/>
      <c r="D64" s="142"/>
      <c r="E64" s="13">
        <f>SUM(E60:E63)</f>
        <v>65</v>
      </c>
      <c r="F64" s="13">
        <f t="shared" ref="F64:H64" si="12">SUM(F60:F63)</f>
        <v>153000</v>
      </c>
      <c r="G64" s="13">
        <f t="shared" si="12"/>
        <v>79000</v>
      </c>
      <c r="H64" s="13">
        <f t="shared" si="12"/>
        <v>74000</v>
      </c>
    </row>
    <row r="65" spans="1:8" hidden="1" x14ac:dyDescent="0.25">
      <c r="A65" t="s">
        <v>8</v>
      </c>
      <c r="B65" t="s">
        <v>762</v>
      </c>
      <c r="C65" t="s">
        <v>16</v>
      </c>
      <c r="D65" t="s">
        <v>11</v>
      </c>
      <c r="E65">
        <v>57</v>
      </c>
      <c r="F65">
        <f>E65*1500</f>
        <v>85500</v>
      </c>
      <c r="G65">
        <f>E65*500</f>
        <v>28500</v>
      </c>
      <c r="H65">
        <v>57000</v>
      </c>
    </row>
    <row r="66" spans="1:8" hidden="1" x14ac:dyDescent="0.25">
      <c r="D66" t="s">
        <v>12</v>
      </c>
      <c r="E66">
        <v>2</v>
      </c>
      <c r="F66">
        <v>6000</v>
      </c>
      <c r="G66">
        <v>4000</v>
      </c>
      <c r="H66">
        <v>2000</v>
      </c>
    </row>
    <row r="67" spans="1:8" hidden="1" x14ac:dyDescent="0.25">
      <c r="D67" t="s">
        <v>13</v>
      </c>
      <c r="E67">
        <v>1</v>
      </c>
      <c r="F67">
        <v>6500</v>
      </c>
      <c r="G67">
        <v>4500</v>
      </c>
      <c r="H67">
        <v>2000</v>
      </c>
    </row>
    <row r="68" spans="1:8" hidden="1" x14ac:dyDescent="0.25">
      <c r="C68" t="s">
        <v>24</v>
      </c>
      <c r="D68" t="s">
        <v>243</v>
      </c>
      <c r="E68">
        <v>1</v>
      </c>
      <c r="F68">
        <v>15000</v>
      </c>
      <c r="G68">
        <v>10000</v>
      </c>
      <c r="H68">
        <v>5000</v>
      </c>
    </row>
    <row r="69" spans="1:8" hidden="1" x14ac:dyDescent="0.25">
      <c r="A69" s="111" t="s">
        <v>17</v>
      </c>
      <c r="B69" s="111"/>
      <c r="C69" s="111"/>
      <c r="D69" s="111"/>
      <c r="E69" s="1">
        <f>SUM(E65:E68)</f>
        <v>61</v>
      </c>
      <c r="F69" s="13">
        <f t="shared" ref="F69:H69" si="13">SUM(F65:F68)</f>
        <v>113000</v>
      </c>
      <c r="G69" s="13">
        <f t="shared" si="13"/>
        <v>47000</v>
      </c>
      <c r="H69" s="13">
        <f t="shared" si="13"/>
        <v>66000</v>
      </c>
    </row>
    <row r="70" spans="1:8" hidden="1" x14ac:dyDescent="0.25">
      <c r="A70" t="s">
        <v>18</v>
      </c>
      <c r="B70" t="s">
        <v>763</v>
      </c>
      <c r="C70" t="s">
        <v>104</v>
      </c>
      <c r="D70" t="s">
        <v>11</v>
      </c>
      <c r="E70">
        <v>39</v>
      </c>
      <c r="F70">
        <f>E70*1700</f>
        <v>66300</v>
      </c>
      <c r="G70">
        <f>E70*500</f>
        <v>19500</v>
      </c>
      <c r="H70">
        <f>E70*1200</f>
        <v>46800</v>
      </c>
    </row>
    <row r="71" spans="1:8" hidden="1" x14ac:dyDescent="0.25">
      <c r="A71" s="142" t="s">
        <v>17</v>
      </c>
      <c r="B71" s="142"/>
      <c r="C71" s="142"/>
      <c r="D71" s="142"/>
      <c r="E71" s="13">
        <v>39</v>
      </c>
      <c r="F71" s="13">
        <f>E71*1700</f>
        <v>66300</v>
      </c>
      <c r="G71" s="13">
        <f>E71*500</f>
        <v>19500</v>
      </c>
      <c r="H71" s="13">
        <f>E71*1200</f>
        <v>46800</v>
      </c>
    </row>
    <row r="72" spans="1:8" hidden="1" x14ac:dyDescent="0.25">
      <c r="A72" t="s">
        <v>22</v>
      </c>
      <c r="B72" t="s">
        <v>764</v>
      </c>
      <c r="C72" t="s">
        <v>16</v>
      </c>
      <c r="D72" t="s">
        <v>11</v>
      </c>
      <c r="E72">
        <v>33</v>
      </c>
      <c r="F72">
        <f>E72*1500</f>
        <v>49500</v>
      </c>
      <c r="G72">
        <f>E72*500</f>
        <v>16500</v>
      </c>
      <c r="H72">
        <f>E72*1000</f>
        <v>33000</v>
      </c>
    </row>
    <row r="73" spans="1:8" hidden="1" x14ac:dyDescent="0.25">
      <c r="D73" t="s">
        <v>12</v>
      </c>
      <c r="E73">
        <v>4</v>
      </c>
      <c r="F73">
        <f>E73*3000</f>
        <v>12000</v>
      </c>
      <c r="G73">
        <v>8000</v>
      </c>
      <c r="H73">
        <v>4000</v>
      </c>
    </row>
    <row r="74" spans="1:8" hidden="1" x14ac:dyDescent="0.25">
      <c r="D74" t="s">
        <v>13</v>
      </c>
      <c r="E74">
        <v>1</v>
      </c>
      <c r="F74">
        <v>6500</v>
      </c>
      <c r="G74">
        <v>4500</v>
      </c>
      <c r="H74">
        <v>2000</v>
      </c>
    </row>
    <row r="75" spans="1:8" hidden="1" x14ac:dyDescent="0.25">
      <c r="C75" t="s">
        <v>338</v>
      </c>
      <c r="D75" t="s">
        <v>11</v>
      </c>
      <c r="E75">
        <v>75</v>
      </c>
      <c r="F75">
        <f>E75*1800</f>
        <v>135000</v>
      </c>
      <c r="G75">
        <f>E75*500</f>
        <v>37500</v>
      </c>
      <c r="H75">
        <f>E75*1300</f>
        <v>97500</v>
      </c>
    </row>
    <row r="76" spans="1:8" hidden="1" x14ac:dyDescent="0.25">
      <c r="C76" t="s">
        <v>104</v>
      </c>
      <c r="D76" t="s">
        <v>11</v>
      </c>
      <c r="E76">
        <v>125</v>
      </c>
      <c r="F76">
        <f>E76*1700</f>
        <v>212500</v>
      </c>
      <c r="G76">
        <f>E76*500</f>
        <v>62500</v>
      </c>
      <c r="H76">
        <f>E76*1200</f>
        <v>150000</v>
      </c>
    </row>
    <row r="77" spans="1:8" hidden="1" x14ac:dyDescent="0.25">
      <c r="A77" s="142" t="s">
        <v>17</v>
      </c>
      <c r="B77" s="142"/>
      <c r="C77" s="142"/>
      <c r="D77" s="142"/>
      <c r="E77" s="13">
        <f>SUM(E72:E76)</f>
        <v>238</v>
      </c>
      <c r="F77" s="13">
        <f t="shared" ref="F77:H77" si="14">SUM(F72:F76)</f>
        <v>415500</v>
      </c>
      <c r="G77" s="13">
        <f t="shared" si="14"/>
        <v>129000</v>
      </c>
      <c r="H77" s="13">
        <f t="shared" si="14"/>
        <v>286500</v>
      </c>
    </row>
    <row r="78" spans="1:8" hidden="1" x14ac:dyDescent="0.25">
      <c r="A78" t="s">
        <v>26</v>
      </c>
      <c r="B78" t="s">
        <v>765</v>
      </c>
      <c r="C78" t="s">
        <v>16</v>
      </c>
      <c r="D78" t="s">
        <v>11</v>
      </c>
      <c r="E78">
        <v>24</v>
      </c>
      <c r="F78">
        <f>E78*1500</f>
        <v>36000</v>
      </c>
      <c r="G78">
        <f>E78*500</f>
        <v>12000</v>
      </c>
      <c r="H78">
        <v>24000</v>
      </c>
    </row>
    <row r="79" spans="1:8" hidden="1" x14ac:dyDescent="0.25">
      <c r="D79" t="s">
        <v>12</v>
      </c>
      <c r="E79">
        <v>5</v>
      </c>
      <c r="F79">
        <f>E79*3000</f>
        <v>15000</v>
      </c>
      <c r="G79">
        <v>10000</v>
      </c>
      <c r="H79">
        <v>5000</v>
      </c>
    </row>
    <row r="80" spans="1:8" hidden="1" x14ac:dyDescent="0.25">
      <c r="D80" t="s">
        <v>13</v>
      </c>
      <c r="E80">
        <v>1</v>
      </c>
      <c r="F80">
        <v>6500</v>
      </c>
      <c r="G80">
        <v>4500</v>
      </c>
      <c r="H80">
        <v>2000</v>
      </c>
    </row>
    <row r="81" spans="1:8" hidden="1" x14ac:dyDescent="0.25">
      <c r="C81" t="s">
        <v>338</v>
      </c>
      <c r="D81" t="s">
        <v>11</v>
      </c>
      <c r="E81">
        <v>75</v>
      </c>
      <c r="F81">
        <f>E81*1800</f>
        <v>135000</v>
      </c>
      <c r="G81">
        <f>E81*500</f>
        <v>37500</v>
      </c>
      <c r="H81">
        <f>E81*1300</f>
        <v>97500</v>
      </c>
    </row>
    <row r="82" spans="1:8" hidden="1" x14ac:dyDescent="0.25">
      <c r="C82" t="s">
        <v>104</v>
      </c>
      <c r="D82" t="s">
        <v>11</v>
      </c>
      <c r="E82">
        <v>50</v>
      </c>
      <c r="F82">
        <f>E82*1700</f>
        <v>85000</v>
      </c>
      <c r="G82">
        <f>E82*500</f>
        <v>25000</v>
      </c>
      <c r="H82">
        <f>E82*1200</f>
        <v>60000</v>
      </c>
    </row>
    <row r="83" spans="1:8" hidden="1" x14ac:dyDescent="0.25">
      <c r="C83" t="s">
        <v>24</v>
      </c>
      <c r="D83" t="s">
        <v>243</v>
      </c>
      <c r="E83">
        <v>2</v>
      </c>
      <c r="F83">
        <v>30000</v>
      </c>
      <c r="G83">
        <v>20000</v>
      </c>
      <c r="H83">
        <v>10000</v>
      </c>
    </row>
    <row r="84" spans="1:8" hidden="1" x14ac:dyDescent="0.25">
      <c r="C84" t="s">
        <v>646</v>
      </c>
      <c r="D84" t="s">
        <v>11</v>
      </c>
      <c r="E84">
        <v>25</v>
      </c>
      <c r="F84">
        <f>E84*1500</f>
        <v>37500</v>
      </c>
      <c r="G84">
        <f>E84*500</f>
        <v>12500</v>
      </c>
      <c r="H84">
        <v>25000</v>
      </c>
    </row>
    <row r="85" spans="1:8" hidden="1" x14ac:dyDescent="0.25">
      <c r="A85" s="142" t="s">
        <v>17</v>
      </c>
      <c r="B85" s="142"/>
      <c r="C85" s="142"/>
      <c r="D85" s="142"/>
      <c r="E85" s="13">
        <f>SUM(E78:E84)</f>
        <v>182</v>
      </c>
      <c r="F85" s="13">
        <f t="shared" ref="F85:H85" si="15">SUM(F78:F84)</f>
        <v>345000</v>
      </c>
      <c r="G85" s="13">
        <f t="shared" si="15"/>
        <v>121500</v>
      </c>
      <c r="H85" s="13">
        <f t="shared" si="15"/>
        <v>223500</v>
      </c>
    </row>
    <row r="86" spans="1:8" hidden="1" x14ac:dyDescent="0.25">
      <c r="A86" t="s">
        <v>28</v>
      </c>
      <c r="B86" t="s">
        <v>766</v>
      </c>
      <c r="C86" t="s">
        <v>693</v>
      </c>
      <c r="D86" t="s">
        <v>11</v>
      </c>
      <c r="E86">
        <v>7</v>
      </c>
      <c r="F86">
        <f>E86*2000</f>
        <v>14000</v>
      </c>
      <c r="G86">
        <f>E86*500</f>
        <v>3500</v>
      </c>
      <c r="H86">
        <f>E86*1500</f>
        <v>10500</v>
      </c>
    </row>
    <row r="87" spans="1:8" hidden="1" x14ac:dyDescent="0.25">
      <c r="D87" t="s">
        <v>13</v>
      </c>
      <c r="E87">
        <v>37</v>
      </c>
      <c r="F87">
        <f>E87*7000</f>
        <v>259000</v>
      </c>
      <c r="G87">
        <f>E87*4500</f>
        <v>166500</v>
      </c>
      <c r="H87">
        <f>E87*2500</f>
        <v>92500</v>
      </c>
    </row>
    <row r="88" spans="1:8" hidden="1" x14ac:dyDescent="0.25">
      <c r="D88" t="s">
        <v>14</v>
      </c>
      <c r="E88">
        <v>26</v>
      </c>
      <c r="F88">
        <f>E88*10000</f>
        <v>260000</v>
      </c>
      <c r="G88">
        <f>E88*5500</f>
        <v>143000</v>
      </c>
      <c r="H88">
        <f>E88*4500</f>
        <v>117000</v>
      </c>
    </row>
    <row r="89" spans="1:8" hidden="1" x14ac:dyDescent="0.25">
      <c r="D89" t="s">
        <v>243</v>
      </c>
      <c r="E89">
        <v>2</v>
      </c>
      <c r="F89">
        <v>26000</v>
      </c>
      <c r="G89">
        <v>20000</v>
      </c>
      <c r="H89">
        <v>6000</v>
      </c>
    </row>
    <row r="90" spans="1:8" hidden="1" x14ac:dyDescent="0.25">
      <c r="C90" t="s">
        <v>24</v>
      </c>
      <c r="D90" t="s">
        <v>243</v>
      </c>
      <c r="E90">
        <v>2</v>
      </c>
      <c r="F90">
        <v>30000</v>
      </c>
      <c r="G90">
        <v>20000</v>
      </c>
      <c r="H90">
        <v>10000</v>
      </c>
    </row>
    <row r="91" spans="1:8" hidden="1" x14ac:dyDescent="0.25">
      <c r="C91" t="s">
        <v>16</v>
      </c>
      <c r="D91" t="s">
        <v>11</v>
      </c>
      <c r="E91">
        <v>39</v>
      </c>
      <c r="F91">
        <f>E91*1500</f>
        <v>58500</v>
      </c>
      <c r="G91">
        <f>E91*500</f>
        <v>19500</v>
      </c>
      <c r="H91">
        <v>39000</v>
      </c>
    </row>
    <row r="92" spans="1:8" hidden="1" x14ac:dyDescent="0.25">
      <c r="D92" t="s">
        <v>12</v>
      </c>
      <c r="E92">
        <v>4</v>
      </c>
      <c r="F92">
        <f>E92*3000</f>
        <v>12000</v>
      </c>
      <c r="G92">
        <v>8000</v>
      </c>
      <c r="H92">
        <v>4000</v>
      </c>
    </row>
    <row r="93" spans="1:8" hidden="1" x14ac:dyDescent="0.25">
      <c r="D93" t="s">
        <v>13</v>
      </c>
      <c r="E93">
        <v>2</v>
      </c>
      <c r="F93">
        <v>13000</v>
      </c>
      <c r="G93">
        <v>9000</v>
      </c>
      <c r="H93">
        <v>4000</v>
      </c>
    </row>
    <row r="94" spans="1:8" hidden="1" x14ac:dyDescent="0.25">
      <c r="D94" t="s">
        <v>14</v>
      </c>
      <c r="E94">
        <v>2</v>
      </c>
      <c r="F94">
        <v>20000</v>
      </c>
      <c r="G94">
        <f>E94*5500</f>
        <v>11000</v>
      </c>
      <c r="H94">
        <v>9000</v>
      </c>
    </row>
    <row r="95" spans="1:8" hidden="1" x14ac:dyDescent="0.25">
      <c r="C95" t="s">
        <v>67</v>
      </c>
      <c r="D95" t="s">
        <v>243</v>
      </c>
      <c r="E95">
        <v>2</v>
      </c>
    </row>
    <row r="96" spans="1:8" hidden="1" x14ac:dyDescent="0.25">
      <c r="A96" s="142" t="s">
        <v>17</v>
      </c>
      <c r="B96" s="142"/>
      <c r="C96" s="142"/>
      <c r="D96" s="142"/>
      <c r="E96" s="13">
        <f>SUM(E86:E95)</f>
        <v>123</v>
      </c>
      <c r="F96" s="13">
        <f t="shared" ref="F96:H96" si="16">SUM(F86:F95)</f>
        <v>692500</v>
      </c>
      <c r="G96" s="13">
        <f t="shared" si="16"/>
        <v>400500</v>
      </c>
      <c r="H96" s="13">
        <f t="shared" si="16"/>
        <v>292000</v>
      </c>
    </row>
    <row r="97" spans="1:8" hidden="1" x14ac:dyDescent="0.25">
      <c r="A97" t="s">
        <v>30</v>
      </c>
      <c r="B97" t="s">
        <v>767</v>
      </c>
      <c r="C97" t="s">
        <v>16</v>
      </c>
      <c r="D97" t="s">
        <v>11</v>
      </c>
      <c r="E97">
        <v>9</v>
      </c>
      <c r="F97">
        <f>E97*1500</f>
        <v>13500</v>
      </c>
      <c r="G97">
        <f>E97*500</f>
        <v>4500</v>
      </c>
      <c r="H97">
        <v>9000</v>
      </c>
    </row>
    <row r="98" spans="1:8" hidden="1" x14ac:dyDescent="0.25">
      <c r="D98" t="s">
        <v>12</v>
      </c>
      <c r="E98">
        <v>1</v>
      </c>
      <c r="F98">
        <v>3000</v>
      </c>
      <c r="G98">
        <v>2000</v>
      </c>
      <c r="H98">
        <v>1000</v>
      </c>
    </row>
    <row r="99" spans="1:8" hidden="1" x14ac:dyDescent="0.25">
      <c r="D99" t="s">
        <v>243</v>
      </c>
      <c r="E99">
        <v>1</v>
      </c>
      <c r="F99">
        <v>13000</v>
      </c>
      <c r="G99">
        <v>10000</v>
      </c>
      <c r="H99">
        <v>3000</v>
      </c>
    </row>
    <row r="100" spans="1:8" hidden="1" x14ac:dyDescent="0.25">
      <c r="C100" t="s">
        <v>338</v>
      </c>
      <c r="D100" t="s">
        <v>11</v>
      </c>
      <c r="E100">
        <v>75</v>
      </c>
      <c r="F100">
        <f>E100*1800</f>
        <v>135000</v>
      </c>
      <c r="G100">
        <f>E100*500</f>
        <v>37500</v>
      </c>
      <c r="H100">
        <f>E100*1300</f>
        <v>97500</v>
      </c>
    </row>
    <row r="101" spans="1:8" hidden="1" x14ac:dyDescent="0.25">
      <c r="C101" t="s">
        <v>571</v>
      </c>
      <c r="D101" t="s">
        <v>11</v>
      </c>
      <c r="E101">
        <f>33+19</f>
        <v>52</v>
      </c>
      <c r="F101">
        <f>E101*1700</f>
        <v>88400</v>
      </c>
      <c r="G101">
        <f>E101*500</f>
        <v>26000</v>
      </c>
      <c r="H101">
        <f>E101*1200</f>
        <v>62400</v>
      </c>
    </row>
    <row r="102" spans="1:8" hidden="1" x14ac:dyDescent="0.25">
      <c r="C102" t="s">
        <v>646</v>
      </c>
      <c r="D102" t="s">
        <v>11</v>
      </c>
      <c r="E102">
        <v>6</v>
      </c>
      <c r="F102">
        <f>E102*1500</f>
        <v>9000</v>
      </c>
      <c r="G102">
        <f>E102*500</f>
        <v>3000</v>
      </c>
      <c r="H102">
        <v>6000</v>
      </c>
    </row>
    <row r="103" spans="1:8" hidden="1" x14ac:dyDescent="0.25">
      <c r="C103" t="s">
        <v>572</v>
      </c>
      <c r="D103" t="s">
        <v>11</v>
      </c>
      <c r="E103">
        <v>20</v>
      </c>
      <c r="F103">
        <f>E103*1700</f>
        <v>34000</v>
      </c>
      <c r="G103">
        <f>E103*500</f>
        <v>10000</v>
      </c>
      <c r="H103">
        <f>E103*1200</f>
        <v>24000</v>
      </c>
    </row>
    <row r="104" spans="1:8" hidden="1" x14ac:dyDescent="0.25">
      <c r="A104" s="111" t="s">
        <v>17</v>
      </c>
      <c r="B104" s="111"/>
      <c r="C104" s="111"/>
      <c r="D104" s="111"/>
      <c r="E104" s="13">
        <f>SUM(E97:E103)</f>
        <v>164</v>
      </c>
      <c r="F104" s="13">
        <f t="shared" ref="F104:H104" si="17">SUM(F97:F103)</f>
        <v>295900</v>
      </c>
      <c r="G104" s="13">
        <f t="shared" si="17"/>
        <v>93000</v>
      </c>
      <c r="H104" s="13">
        <f t="shared" si="17"/>
        <v>202900</v>
      </c>
    </row>
    <row r="105" spans="1:8" hidden="1" x14ac:dyDescent="0.25">
      <c r="A105" t="s">
        <v>32</v>
      </c>
      <c r="B105" t="s">
        <v>768</v>
      </c>
      <c r="C105" t="s">
        <v>338</v>
      </c>
      <c r="D105" t="s">
        <v>11</v>
      </c>
      <c r="E105">
        <v>75</v>
      </c>
      <c r="F105">
        <f>E105*1800</f>
        <v>135000</v>
      </c>
      <c r="G105">
        <f>E105*500</f>
        <v>37500</v>
      </c>
      <c r="H105">
        <f>E105*1300</f>
        <v>97500</v>
      </c>
    </row>
    <row r="106" spans="1:8" hidden="1" x14ac:dyDescent="0.25">
      <c r="C106" t="s">
        <v>104</v>
      </c>
      <c r="D106" t="s">
        <v>11</v>
      </c>
      <c r="E106">
        <f>55+40</f>
        <v>95</v>
      </c>
      <c r="F106">
        <f>E106*1700</f>
        <v>161500</v>
      </c>
      <c r="G106">
        <f>E106*500</f>
        <v>47500</v>
      </c>
      <c r="H106">
        <f>E106*1200</f>
        <v>114000</v>
      </c>
    </row>
    <row r="107" spans="1:8" hidden="1" x14ac:dyDescent="0.25">
      <c r="C107" t="s">
        <v>571</v>
      </c>
      <c r="D107" t="s">
        <v>11</v>
      </c>
      <c r="E107">
        <v>33</v>
      </c>
      <c r="F107">
        <f>E107*1700</f>
        <v>56100</v>
      </c>
      <c r="G107">
        <f>E107*500</f>
        <v>16500</v>
      </c>
      <c r="H107">
        <f>E107*1200</f>
        <v>39600</v>
      </c>
    </row>
    <row r="108" spans="1:8" hidden="1" x14ac:dyDescent="0.25">
      <c r="C108" t="s">
        <v>16</v>
      </c>
      <c r="D108" t="s">
        <v>11</v>
      </c>
      <c r="E108">
        <v>45</v>
      </c>
      <c r="F108">
        <f>E108*1500</f>
        <v>67500</v>
      </c>
      <c r="G108">
        <f>E108*500</f>
        <v>22500</v>
      </c>
      <c r="H108">
        <v>45000</v>
      </c>
    </row>
    <row r="109" spans="1:8" hidden="1" x14ac:dyDescent="0.25">
      <c r="D109" t="s">
        <v>12</v>
      </c>
      <c r="E109">
        <v>3</v>
      </c>
      <c r="F109">
        <v>9000</v>
      </c>
      <c r="G109">
        <v>6000</v>
      </c>
      <c r="H109">
        <v>3000</v>
      </c>
    </row>
    <row r="110" spans="1:8" hidden="1" x14ac:dyDescent="0.25">
      <c r="D110" t="s">
        <v>14</v>
      </c>
      <c r="E110">
        <v>1</v>
      </c>
      <c r="F110">
        <v>10000</v>
      </c>
      <c r="G110">
        <v>5500</v>
      </c>
      <c r="H110">
        <v>4500</v>
      </c>
    </row>
    <row r="111" spans="1:8" hidden="1" x14ac:dyDescent="0.25">
      <c r="C111" t="s">
        <v>217</v>
      </c>
      <c r="D111" t="s">
        <v>11</v>
      </c>
      <c r="E111">
        <v>26</v>
      </c>
      <c r="F111">
        <f>E111*1500</f>
        <v>39000</v>
      </c>
      <c r="G111">
        <f>E111*500</f>
        <v>13000</v>
      </c>
      <c r="H111">
        <v>26000</v>
      </c>
    </row>
    <row r="112" spans="1:8" hidden="1" x14ac:dyDescent="0.25">
      <c r="D112" t="s">
        <v>13</v>
      </c>
      <c r="E112">
        <v>2</v>
      </c>
      <c r="F112">
        <f>E112*6500</f>
        <v>13000</v>
      </c>
      <c r="G112">
        <f>E112*4500</f>
        <v>9000</v>
      </c>
      <c r="H112">
        <v>4000</v>
      </c>
    </row>
    <row r="113" spans="1:8" hidden="1" x14ac:dyDescent="0.25">
      <c r="D113" t="s">
        <v>14</v>
      </c>
      <c r="E113">
        <v>1</v>
      </c>
      <c r="F113">
        <v>10000</v>
      </c>
      <c r="G113">
        <v>5500</v>
      </c>
      <c r="H113">
        <v>4500</v>
      </c>
    </row>
    <row r="114" spans="1:8" hidden="1" x14ac:dyDescent="0.25">
      <c r="D114" t="s">
        <v>404</v>
      </c>
      <c r="E114">
        <v>3</v>
      </c>
      <c r="F114">
        <f>E114*2000</f>
        <v>6000</v>
      </c>
      <c r="G114">
        <v>3000</v>
      </c>
      <c r="H114">
        <v>3000</v>
      </c>
    </row>
    <row r="115" spans="1:8" hidden="1" x14ac:dyDescent="0.25">
      <c r="D115" t="s">
        <v>415</v>
      </c>
      <c r="E115">
        <v>1</v>
      </c>
      <c r="F115">
        <v>5000</v>
      </c>
      <c r="G115">
        <v>2500</v>
      </c>
      <c r="H115">
        <v>2500</v>
      </c>
    </row>
    <row r="116" spans="1:8" hidden="1" x14ac:dyDescent="0.25">
      <c r="C116" t="s">
        <v>24</v>
      </c>
      <c r="D116" t="s">
        <v>243</v>
      </c>
      <c r="E116">
        <v>5</v>
      </c>
      <c r="F116">
        <f>E116*15000</f>
        <v>75000</v>
      </c>
      <c r="G116">
        <v>50000</v>
      </c>
      <c r="H116">
        <v>25000</v>
      </c>
    </row>
    <row r="117" spans="1:8" hidden="1" x14ac:dyDescent="0.25">
      <c r="A117" s="142" t="s">
        <v>17</v>
      </c>
      <c r="B117" s="142"/>
      <c r="C117" s="142"/>
      <c r="D117" s="142"/>
      <c r="E117" s="13">
        <f>SUM(E105:E116)</f>
        <v>290</v>
      </c>
      <c r="F117" s="13">
        <f t="shared" ref="F117:H117" si="18">SUM(F105:F116)</f>
        <v>587100</v>
      </c>
      <c r="G117" s="13">
        <f t="shared" si="18"/>
        <v>218500</v>
      </c>
      <c r="H117" s="13">
        <f t="shared" si="18"/>
        <v>368600</v>
      </c>
    </row>
    <row r="118" spans="1:8" hidden="1" x14ac:dyDescent="0.25">
      <c r="A118" t="s">
        <v>8</v>
      </c>
      <c r="B118" t="s">
        <v>769</v>
      </c>
      <c r="C118" t="s">
        <v>338</v>
      </c>
      <c r="D118" t="s">
        <v>11</v>
      </c>
      <c r="E118">
        <v>75</v>
      </c>
      <c r="F118">
        <f>E118*1800</f>
        <v>135000</v>
      </c>
      <c r="G118">
        <f t="shared" ref="G118:G123" si="19">E118*500</f>
        <v>37500</v>
      </c>
      <c r="H118">
        <f>E118*1300</f>
        <v>97500</v>
      </c>
    </row>
    <row r="119" spans="1:8" hidden="1" x14ac:dyDescent="0.25">
      <c r="C119" t="s">
        <v>571</v>
      </c>
      <c r="D119" t="s">
        <v>11</v>
      </c>
      <c r="E119">
        <v>40</v>
      </c>
      <c r="F119">
        <f>E119*1700</f>
        <v>68000</v>
      </c>
      <c r="G119">
        <f t="shared" si="19"/>
        <v>20000</v>
      </c>
      <c r="H119">
        <f>E119*1200</f>
        <v>48000</v>
      </c>
    </row>
    <row r="120" spans="1:8" hidden="1" x14ac:dyDescent="0.25">
      <c r="C120" t="s">
        <v>572</v>
      </c>
      <c r="D120" t="s">
        <v>11</v>
      </c>
      <c r="E120">
        <v>26</v>
      </c>
      <c r="F120">
        <f>E120*1700</f>
        <v>44200</v>
      </c>
      <c r="G120">
        <f t="shared" si="19"/>
        <v>13000</v>
      </c>
      <c r="H120">
        <f>E120*1200</f>
        <v>31200</v>
      </c>
    </row>
    <row r="121" spans="1:8" hidden="1" x14ac:dyDescent="0.25">
      <c r="C121" t="s">
        <v>209</v>
      </c>
      <c r="D121" t="s">
        <v>11</v>
      </c>
      <c r="E121">
        <v>16</v>
      </c>
      <c r="F121">
        <f>E121*1500</f>
        <v>24000</v>
      </c>
      <c r="G121">
        <f t="shared" si="19"/>
        <v>8000</v>
      </c>
      <c r="H121">
        <v>16000</v>
      </c>
    </row>
    <row r="122" spans="1:8" hidden="1" x14ac:dyDescent="0.25">
      <c r="C122" t="s">
        <v>104</v>
      </c>
      <c r="D122" t="s">
        <v>11</v>
      </c>
      <c r="E122">
        <v>39</v>
      </c>
      <c r="F122">
        <f>E122*1700</f>
        <v>66300</v>
      </c>
      <c r="G122">
        <f t="shared" si="19"/>
        <v>19500</v>
      </c>
      <c r="H122">
        <f>E122*1200</f>
        <v>46800</v>
      </c>
    </row>
    <row r="123" spans="1:8" hidden="1" x14ac:dyDescent="0.25">
      <c r="C123" t="s">
        <v>217</v>
      </c>
      <c r="D123" t="s">
        <v>11</v>
      </c>
      <c r="E123">
        <f>25-7</f>
        <v>18</v>
      </c>
      <c r="F123">
        <f>E123*1500</f>
        <v>27000</v>
      </c>
      <c r="G123">
        <f t="shared" si="19"/>
        <v>9000</v>
      </c>
      <c r="H123">
        <v>18000</v>
      </c>
    </row>
    <row r="124" spans="1:8" hidden="1" x14ac:dyDescent="0.25">
      <c r="D124" t="s">
        <v>13</v>
      </c>
      <c r="E124">
        <v>1</v>
      </c>
      <c r="F124">
        <v>6500</v>
      </c>
      <c r="G124">
        <v>4500</v>
      </c>
      <c r="H124">
        <v>2000</v>
      </c>
    </row>
    <row r="125" spans="1:8" hidden="1" x14ac:dyDescent="0.25">
      <c r="D125" t="s">
        <v>14</v>
      </c>
      <c r="E125">
        <v>4</v>
      </c>
      <c r="F125">
        <f>E125*10000</f>
        <v>40000</v>
      </c>
      <c r="G125">
        <f>E125*5500</f>
        <v>22000</v>
      </c>
      <c r="H125">
        <f>E125*4500</f>
        <v>18000</v>
      </c>
    </row>
    <row r="126" spans="1:8" x14ac:dyDescent="0.25">
      <c r="D126" t="s">
        <v>441</v>
      </c>
      <c r="E126">
        <v>1</v>
      </c>
      <c r="F126">
        <v>3000</v>
      </c>
      <c r="G126">
        <v>2000</v>
      </c>
      <c r="H126">
        <v>1000</v>
      </c>
    </row>
    <row r="127" spans="1:8" hidden="1" x14ac:dyDescent="0.25">
      <c r="C127" t="s">
        <v>16</v>
      </c>
      <c r="D127" t="s">
        <v>11</v>
      </c>
      <c r="E127">
        <v>48</v>
      </c>
      <c r="F127">
        <f>E127*1500</f>
        <v>72000</v>
      </c>
      <c r="G127">
        <f>E127*500</f>
        <v>24000</v>
      </c>
      <c r="H127">
        <f>E127*1000</f>
        <v>48000</v>
      </c>
    </row>
    <row r="128" spans="1:8" hidden="1" x14ac:dyDescent="0.25">
      <c r="D128" t="s">
        <v>12</v>
      </c>
      <c r="E128">
        <v>4</v>
      </c>
      <c r="F128">
        <f>E128*3000</f>
        <v>12000</v>
      </c>
      <c r="G128">
        <v>8000</v>
      </c>
      <c r="H128">
        <v>4000</v>
      </c>
    </row>
    <row r="129" spans="1:8" hidden="1" x14ac:dyDescent="0.25">
      <c r="A129" s="142" t="s">
        <v>17</v>
      </c>
      <c r="B129" s="142"/>
      <c r="C129" s="142"/>
      <c r="D129" s="142"/>
      <c r="E129" s="13">
        <f>SUM(E118:E128)</f>
        <v>272</v>
      </c>
      <c r="F129" s="13">
        <f t="shared" ref="F129:H129" si="20">SUM(F118:F128)</f>
        <v>498000</v>
      </c>
      <c r="G129" s="13">
        <f t="shared" si="20"/>
        <v>167500</v>
      </c>
      <c r="H129" s="13">
        <f t="shared" si="20"/>
        <v>330500</v>
      </c>
    </row>
    <row r="130" spans="1:8" hidden="1" x14ac:dyDescent="0.25">
      <c r="A130" t="s">
        <v>18</v>
      </c>
      <c r="B130" t="s">
        <v>770</v>
      </c>
      <c r="C130" t="s">
        <v>338</v>
      </c>
      <c r="D130" t="s">
        <v>11</v>
      </c>
      <c r="E130">
        <v>75</v>
      </c>
      <c r="F130">
        <f>E130*1800</f>
        <v>135000</v>
      </c>
      <c r="G130">
        <f>E130*500</f>
        <v>37500</v>
      </c>
      <c r="H130">
        <f>E130*1300</f>
        <v>97500</v>
      </c>
    </row>
    <row r="131" spans="1:8" hidden="1" x14ac:dyDescent="0.25">
      <c r="C131" t="s">
        <v>209</v>
      </c>
      <c r="D131" t="s">
        <v>11</v>
      </c>
      <c r="E131">
        <v>13</v>
      </c>
      <c r="F131">
        <f>E131*1500</f>
        <v>19500</v>
      </c>
      <c r="G131">
        <f>E131*500</f>
        <v>6500</v>
      </c>
      <c r="H131">
        <v>13000</v>
      </c>
    </row>
    <row r="132" spans="1:8" hidden="1" x14ac:dyDescent="0.25">
      <c r="C132" t="s">
        <v>306</v>
      </c>
      <c r="D132" t="s">
        <v>11</v>
      </c>
      <c r="E132">
        <v>35</v>
      </c>
      <c r="F132">
        <f>E132*1800</f>
        <v>63000</v>
      </c>
      <c r="G132">
        <f t="shared" ref="G132:G134" si="21">E132*500</f>
        <v>17500</v>
      </c>
      <c r="H132">
        <f>E132*1300</f>
        <v>45500</v>
      </c>
    </row>
    <row r="133" spans="1:8" hidden="1" x14ac:dyDescent="0.25">
      <c r="C133" t="s">
        <v>571</v>
      </c>
      <c r="D133" t="s">
        <v>11</v>
      </c>
      <c r="E133">
        <v>28</v>
      </c>
      <c r="F133">
        <f>E133*1700</f>
        <v>47600</v>
      </c>
      <c r="G133">
        <f t="shared" si="21"/>
        <v>14000</v>
      </c>
      <c r="H133">
        <f>E133*1200</f>
        <v>33600</v>
      </c>
    </row>
    <row r="134" spans="1:8" hidden="1" x14ac:dyDescent="0.25">
      <c r="C134" t="s">
        <v>16</v>
      </c>
      <c r="D134" t="s">
        <v>11</v>
      </c>
      <c r="E134">
        <v>50</v>
      </c>
      <c r="F134">
        <f>E134*1500</f>
        <v>75000</v>
      </c>
      <c r="G134">
        <f t="shared" si="21"/>
        <v>25000</v>
      </c>
      <c r="H134">
        <f>E134*1000</f>
        <v>50000</v>
      </c>
    </row>
    <row r="135" spans="1:8" hidden="1" x14ac:dyDescent="0.25">
      <c r="D135" t="s">
        <v>12</v>
      </c>
      <c r="E135">
        <v>3</v>
      </c>
      <c r="F135">
        <v>9000</v>
      </c>
      <c r="G135">
        <v>6000</v>
      </c>
      <c r="H135">
        <v>3000</v>
      </c>
    </row>
    <row r="136" spans="1:8" hidden="1" x14ac:dyDescent="0.25">
      <c r="A136" s="142" t="s">
        <v>17</v>
      </c>
      <c r="B136" s="142"/>
      <c r="C136" s="142"/>
      <c r="D136" s="142"/>
      <c r="E136" s="13">
        <f>SUM(E130:E135)</f>
        <v>204</v>
      </c>
      <c r="F136" s="13">
        <f t="shared" ref="F136:H136" si="22">SUM(F130:F135)</f>
        <v>349100</v>
      </c>
      <c r="G136" s="13">
        <f t="shared" si="22"/>
        <v>106500</v>
      </c>
      <c r="H136" s="13">
        <f t="shared" si="22"/>
        <v>242600</v>
      </c>
    </row>
    <row r="137" spans="1:8" hidden="1" x14ac:dyDescent="0.25">
      <c r="A137" t="s">
        <v>22</v>
      </c>
      <c r="B137" t="s">
        <v>771</v>
      </c>
      <c r="C137" t="s">
        <v>338</v>
      </c>
      <c r="D137" t="s">
        <v>11</v>
      </c>
      <c r="E137">
        <v>75</v>
      </c>
      <c r="F137">
        <f>E137*1800</f>
        <v>135000</v>
      </c>
      <c r="G137">
        <f>E137*500</f>
        <v>37500</v>
      </c>
      <c r="H137">
        <f>E137*1300</f>
        <v>97500</v>
      </c>
    </row>
    <row r="138" spans="1:8" hidden="1" x14ac:dyDescent="0.25">
      <c r="C138" t="s">
        <v>571</v>
      </c>
      <c r="D138" t="s">
        <v>11</v>
      </c>
      <c r="E138">
        <v>40</v>
      </c>
      <c r="F138">
        <f>E138*1700</f>
        <v>68000</v>
      </c>
      <c r="G138">
        <f>E138*500</f>
        <v>20000</v>
      </c>
      <c r="H138">
        <f>E138*1200</f>
        <v>48000</v>
      </c>
    </row>
    <row r="139" spans="1:8" hidden="1" x14ac:dyDescent="0.25">
      <c r="C139" t="s">
        <v>217</v>
      </c>
      <c r="D139" t="s">
        <v>11</v>
      </c>
      <c r="E139">
        <v>18</v>
      </c>
      <c r="F139">
        <f>E139*1500</f>
        <v>27000</v>
      </c>
      <c r="G139">
        <f>E139*500</f>
        <v>9000</v>
      </c>
      <c r="H139">
        <f>E139*1000</f>
        <v>18000</v>
      </c>
    </row>
    <row r="140" spans="1:8" hidden="1" x14ac:dyDescent="0.25">
      <c r="D140" t="s">
        <v>13</v>
      </c>
      <c r="E140">
        <v>2</v>
      </c>
      <c r="F140">
        <v>13000</v>
      </c>
      <c r="G140">
        <f>E140*4500</f>
        <v>9000</v>
      </c>
      <c r="H140">
        <f>E140*4000</f>
        <v>8000</v>
      </c>
    </row>
    <row r="141" spans="1:8" hidden="1" x14ac:dyDescent="0.25">
      <c r="D141" t="s">
        <v>14</v>
      </c>
      <c r="E141">
        <v>2</v>
      </c>
      <c r="F141">
        <v>20000</v>
      </c>
      <c r="G141">
        <v>11000</v>
      </c>
      <c r="H141">
        <v>9000</v>
      </c>
    </row>
    <row r="142" spans="1:8" hidden="1" x14ac:dyDescent="0.25">
      <c r="D142" t="s">
        <v>404</v>
      </c>
      <c r="E142">
        <v>2</v>
      </c>
      <c r="F142">
        <v>4000</v>
      </c>
      <c r="G142">
        <v>2000</v>
      </c>
      <c r="H142">
        <v>2000</v>
      </c>
    </row>
    <row r="143" spans="1:8" hidden="1" x14ac:dyDescent="0.25">
      <c r="C143" t="s">
        <v>16</v>
      </c>
      <c r="D143" t="s">
        <v>11</v>
      </c>
      <c r="E143">
        <v>15</v>
      </c>
      <c r="F143">
        <f>E143*1500</f>
        <v>22500</v>
      </c>
      <c r="G143">
        <f>E143*500</f>
        <v>7500</v>
      </c>
      <c r="H143">
        <v>15000</v>
      </c>
    </row>
    <row r="144" spans="1:8" hidden="1" x14ac:dyDescent="0.25">
      <c r="D144" t="s">
        <v>12</v>
      </c>
      <c r="E144">
        <v>1</v>
      </c>
      <c r="F144">
        <v>3000</v>
      </c>
      <c r="G144">
        <v>2000</v>
      </c>
      <c r="H144">
        <v>1000</v>
      </c>
    </row>
    <row r="145" spans="1:8" hidden="1" x14ac:dyDescent="0.25">
      <c r="D145" t="s">
        <v>14</v>
      </c>
      <c r="E145">
        <v>1</v>
      </c>
      <c r="F145">
        <v>10000</v>
      </c>
      <c r="G145">
        <v>5500</v>
      </c>
      <c r="H145">
        <v>4500</v>
      </c>
    </row>
    <row r="146" spans="1:8" hidden="1" x14ac:dyDescent="0.25">
      <c r="A146" s="142" t="s">
        <v>17</v>
      </c>
      <c r="B146" s="142"/>
      <c r="C146" s="142"/>
      <c r="D146" s="142"/>
      <c r="E146" s="13">
        <f>SUM(E137:E145)</f>
        <v>156</v>
      </c>
      <c r="F146" s="13">
        <f t="shared" ref="F146:H146" si="23">SUM(F137:F145)</f>
        <v>302500</v>
      </c>
      <c r="G146" s="13">
        <f t="shared" si="23"/>
        <v>103500</v>
      </c>
      <c r="H146" s="13">
        <f t="shared" si="23"/>
        <v>203000</v>
      </c>
    </row>
    <row r="147" spans="1:8" hidden="1" x14ac:dyDescent="0.25">
      <c r="A147" t="s">
        <v>26</v>
      </c>
      <c r="B147" t="s">
        <v>772</v>
      </c>
      <c r="C147" t="s">
        <v>338</v>
      </c>
      <c r="D147" t="s">
        <v>11</v>
      </c>
      <c r="E147">
        <v>75</v>
      </c>
      <c r="F147">
        <f>E147*1800</f>
        <v>135000</v>
      </c>
      <c r="G147">
        <f>E147*500</f>
        <v>37500</v>
      </c>
      <c r="H147">
        <f>E147*1300</f>
        <v>97500</v>
      </c>
    </row>
    <row r="148" spans="1:8" hidden="1" x14ac:dyDescent="0.25">
      <c r="C148" t="s">
        <v>581</v>
      </c>
      <c r="D148" t="s">
        <v>11</v>
      </c>
      <c r="E148">
        <v>395</v>
      </c>
      <c r="F148">
        <f>E148*1500</f>
        <v>592500</v>
      </c>
      <c r="G148">
        <f>E148*500</f>
        <v>197500</v>
      </c>
      <c r="H148">
        <v>395000</v>
      </c>
    </row>
    <row r="149" spans="1:8" hidden="1" x14ac:dyDescent="0.25">
      <c r="C149" t="s">
        <v>209</v>
      </c>
      <c r="D149" t="s">
        <v>11</v>
      </c>
      <c r="E149">
        <v>41</v>
      </c>
      <c r="F149">
        <f>E149*1600</f>
        <v>65600</v>
      </c>
      <c r="G149">
        <f>E149*500</f>
        <v>20500</v>
      </c>
      <c r="H149">
        <f>E149*1100</f>
        <v>45100</v>
      </c>
    </row>
    <row r="150" spans="1:8" hidden="1" x14ac:dyDescent="0.25">
      <c r="C150" t="s">
        <v>104</v>
      </c>
      <c r="D150" t="s">
        <v>11</v>
      </c>
      <c r="E150">
        <v>77</v>
      </c>
      <c r="F150">
        <f>E150*1500</f>
        <v>115500</v>
      </c>
      <c r="G150">
        <f>E150*500</f>
        <v>38500</v>
      </c>
      <c r="H150">
        <f>E150*1200</f>
        <v>92400</v>
      </c>
    </row>
    <row r="151" spans="1:8" hidden="1" x14ac:dyDescent="0.25">
      <c r="C151" t="s">
        <v>20</v>
      </c>
      <c r="D151" t="s">
        <v>11</v>
      </c>
      <c r="E151">
        <v>8</v>
      </c>
      <c r="F151">
        <f>E151*1500</f>
        <v>12000</v>
      </c>
      <c r="G151">
        <f>E151*500</f>
        <v>4000</v>
      </c>
      <c r="H151">
        <v>8000</v>
      </c>
    </row>
    <row r="152" spans="1:8" hidden="1" x14ac:dyDescent="0.25">
      <c r="D152" t="s">
        <v>13</v>
      </c>
      <c r="E152">
        <v>8</v>
      </c>
      <c r="F152">
        <f>E152*6500</f>
        <v>52000</v>
      </c>
      <c r="G152">
        <f>E152*4500</f>
        <v>36000</v>
      </c>
      <c r="H152">
        <f>E152*2000</f>
        <v>16000</v>
      </c>
    </row>
    <row r="153" spans="1:8" hidden="1" x14ac:dyDescent="0.25">
      <c r="D153" t="s">
        <v>14</v>
      </c>
      <c r="E153">
        <v>8</v>
      </c>
      <c r="F153">
        <f>E153*10000</f>
        <v>80000</v>
      </c>
      <c r="G153">
        <f>E153*5500</f>
        <v>44000</v>
      </c>
      <c r="H153">
        <f>E153*4500</f>
        <v>36000</v>
      </c>
    </row>
    <row r="154" spans="1:8" hidden="1" x14ac:dyDescent="0.25">
      <c r="C154" t="s">
        <v>16</v>
      </c>
      <c r="D154" t="s">
        <v>11</v>
      </c>
      <c r="E154">
        <v>29</v>
      </c>
      <c r="F154">
        <f>E154*1500</f>
        <v>43500</v>
      </c>
      <c r="G154">
        <f>E154*500</f>
        <v>14500</v>
      </c>
      <c r="H154">
        <v>29000</v>
      </c>
    </row>
    <row r="155" spans="1:8" hidden="1" x14ac:dyDescent="0.25">
      <c r="D155" t="s">
        <v>12</v>
      </c>
      <c r="E155">
        <v>3</v>
      </c>
      <c r="F155">
        <f>E155*3000</f>
        <v>9000</v>
      </c>
      <c r="G155">
        <v>6000</v>
      </c>
      <c r="H155">
        <v>3000</v>
      </c>
    </row>
    <row r="156" spans="1:8" hidden="1" x14ac:dyDescent="0.25">
      <c r="D156" t="s">
        <v>243</v>
      </c>
      <c r="E156">
        <v>2</v>
      </c>
      <c r="F156">
        <v>26000</v>
      </c>
      <c r="G156">
        <v>20000</v>
      </c>
      <c r="H156">
        <v>6000</v>
      </c>
    </row>
    <row r="157" spans="1:8" hidden="1" x14ac:dyDescent="0.25">
      <c r="C157" t="s">
        <v>217</v>
      </c>
      <c r="D157" t="s">
        <v>11</v>
      </c>
      <c r="E157">
        <v>16</v>
      </c>
      <c r="F157">
        <f>E157*1500</f>
        <v>24000</v>
      </c>
      <c r="G157">
        <f>E157*500</f>
        <v>8000</v>
      </c>
      <c r="H157">
        <v>16000</v>
      </c>
    </row>
    <row r="158" spans="1:8" hidden="1" x14ac:dyDescent="0.25">
      <c r="D158" t="s">
        <v>13</v>
      </c>
      <c r="E158">
        <v>1</v>
      </c>
      <c r="F158">
        <v>6500</v>
      </c>
      <c r="G158">
        <v>4500</v>
      </c>
      <c r="H158">
        <v>2000</v>
      </c>
    </row>
    <row r="159" spans="1:8" hidden="1" x14ac:dyDescent="0.25">
      <c r="D159" t="s">
        <v>404</v>
      </c>
      <c r="E159">
        <v>1</v>
      </c>
      <c r="F159">
        <v>2000</v>
      </c>
      <c r="G159">
        <v>1000</v>
      </c>
      <c r="H159">
        <v>1000</v>
      </c>
    </row>
    <row r="160" spans="1:8" hidden="1" x14ac:dyDescent="0.25">
      <c r="A160" s="145" t="s">
        <v>17</v>
      </c>
      <c r="B160" s="145"/>
      <c r="C160" s="145"/>
      <c r="D160" s="145"/>
      <c r="E160" s="13">
        <f>SUM(E147:E159)</f>
        <v>664</v>
      </c>
      <c r="F160" s="13">
        <f t="shared" ref="F160:H160" si="24">SUM(F147:F159)</f>
        <v>1163600</v>
      </c>
      <c r="G160" s="13">
        <f t="shared" si="24"/>
        <v>432000</v>
      </c>
      <c r="H160" s="13">
        <f t="shared" si="24"/>
        <v>747000</v>
      </c>
    </row>
    <row r="161" spans="1:8" hidden="1" x14ac:dyDescent="0.25">
      <c r="A161" t="s">
        <v>28</v>
      </c>
      <c r="B161" t="s">
        <v>773</v>
      </c>
      <c r="C161" t="s">
        <v>693</v>
      </c>
      <c r="D161" t="s">
        <v>11</v>
      </c>
      <c r="E161">
        <v>4</v>
      </c>
      <c r="F161">
        <f>E161*2000</f>
        <v>8000</v>
      </c>
      <c r="G161">
        <f>E161*500</f>
        <v>2000</v>
      </c>
      <c r="H161">
        <f>E161*1500</f>
        <v>6000</v>
      </c>
    </row>
    <row r="162" spans="1:8" hidden="1" x14ac:dyDescent="0.25">
      <c r="D162" t="s">
        <v>13</v>
      </c>
      <c r="E162">
        <v>22</v>
      </c>
      <c r="F162">
        <f>E162*7000</f>
        <v>154000</v>
      </c>
      <c r="G162">
        <f>E162*4500</f>
        <v>99000</v>
      </c>
      <c r="H162">
        <f>E162*2500</f>
        <v>55000</v>
      </c>
    </row>
    <row r="163" spans="1:8" hidden="1" x14ac:dyDescent="0.25">
      <c r="D163" t="s">
        <v>14</v>
      </c>
      <c r="E163">
        <v>14</v>
      </c>
      <c r="F163">
        <f>E163*10000</f>
        <v>140000</v>
      </c>
      <c r="G163">
        <f>E163*5500</f>
        <v>77000</v>
      </c>
      <c r="H163">
        <f>E163*4500</f>
        <v>63000</v>
      </c>
    </row>
    <row r="164" spans="1:8" hidden="1" x14ac:dyDescent="0.25">
      <c r="D164" t="s">
        <v>492</v>
      </c>
      <c r="E164">
        <v>1</v>
      </c>
      <c r="F164">
        <v>5000</v>
      </c>
      <c r="G164">
        <v>2500</v>
      </c>
      <c r="H164">
        <v>2500</v>
      </c>
    </row>
    <row r="165" spans="1:8" hidden="1" x14ac:dyDescent="0.25">
      <c r="D165" t="s">
        <v>243</v>
      </c>
      <c r="E165">
        <v>1</v>
      </c>
      <c r="F165">
        <v>13000</v>
      </c>
      <c r="G165">
        <v>10000</v>
      </c>
      <c r="H165">
        <v>3000</v>
      </c>
    </row>
    <row r="166" spans="1:8" hidden="1" x14ac:dyDescent="0.25">
      <c r="C166" t="s">
        <v>217</v>
      </c>
      <c r="D166" t="s">
        <v>11</v>
      </c>
      <c r="E166">
        <v>11</v>
      </c>
      <c r="F166">
        <f>E166*1500</f>
        <v>16500</v>
      </c>
      <c r="G166">
        <f>E166*500</f>
        <v>5500</v>
      </c>
      <c r="H166">
        <v>11000</v>
      </c>
    </row>
    <row r="167" spans="1:8" hidden="1" x14ac:dyDescent="0.25">
      <c r="D167" t="s">
        <v>13</v>
      </c>
      <c r="E167">
        <v>11</v>
      </c>
      <c r="F167">
        <f>E167*6500</f>
        <v>71500</v>
      </c>
      <c r="G167">
        <f>E167*4500</f>
        <v>49500</v>
      </c>
      <c r="H167">
        <f>E167*2000</f>
        <v>22000</v>
      </c>
    </row>
    <row r="168" spans="1:8" hidden="1" x14ac:dyDescent="0.25">
      <c r="D168" t="s">
        <v>14</v>
      </c>
      <c r="E168">
        <v>5</v>
      </c>
      <c r="F168">
        <f>E168*10000</f>
        <v>50000</v>
      </c>
      <c r="G168">
        <f>E168*5500</f>
        <v>27500</v>
      </c>
      <c r="H168">
        <f>E168*4500</f>
        <v>22500</v>
      </c>
    </row>
    <row r="169" spans="1:8" hidden="1" x14ac:dyDescent="0.25">
      <c r="D169" t="s">
        <v>415</v>
      </c>
      <c r="E169">
        <v>1</v>
      </c>
      <c r="F169">
        <v>5000</v>
      </c>
      <c r="G169">
        <v>2500</v>
      </c>
      <c r="H169">
        <v>2500</v>
      </c>
    </row>
    <row r="170" spans="1:8" x14ac:dyDescent="0.25">
      <c r="D170" t="s">
        <v>441</v>
      </c>
      <c r="E170">
        <v>1</v>
      </c>
      <c r="F170">
        <v>3000</v>
      </c>
      <c r="G170">
        <v>1500</v>
      </c>
      <c r="H170">
        <v>1500</v>
      </c>
    </row>
    <row r="171" spans="1:8" hidden="1" x14ac:dyDescent="0.25">
      <c r="D171" t="s">
        <v>243</v>
      </c>
      <c r="E171">
        <v>1</v>
      </c>
      <c r="F171">
        <v>13000</v>
      </c>
      <c r="G171">
        <v>10000</v>
      </c>
      <c r="H171">
        <v>3000</v>
      </c>
    </row>
    <row r="172" spans="1:8" hidden="1" x14ac:dyDescent="0.25">
      <c r="C172" t="s">
        <v>16</v>
      </c>
      <c r="D172" t="s">
        <v>11</v>
      </c>
      <c r="E172">
        <v>46</v>
      </c>
      <c r="F172">
        <f>E172*1500</f>
        <v>69000</v>
      </c>
      <c r="G172">
        <f>E172*500</f>
        <v>23000</v>
      </c>
      <c r="H172">
        <v>46000</v>
      </c>
    </row>
    <row r="173" spans="1:8" hidden="1" x14ac:dyDescent="0.25">
      <c r="D173" t="s">
        <v>12</v>
      </c>
      <c r="E173">
        <v>5</v>
      </c>
      <c r="F173">
        <f>E173*3000</f>
        <v>15000</v>
      </c>
      <c r="G173">
        <v>10000</v>
      </c>
      <c r="H173">
        <v>5000</v>
      </c>
    </row>
    <row r="174" spans="1:8" hidden="1" x14ac:dyDescent="0.25">
      <c r="D174" t="s">
        <v>13</v>
      </c>
      <c r="E174">
        <v>1</v>
      </c>
      <c r="F174">
        <v>6500</v>
      </c>
      <c r="G174">
        <v>4500</v>
      </c>
      <c r="H174">
        <v>2000</v>
      </c>
    </row>
    <row r="175" spans="1:8" hidden="1" x14ac:dyDescent="0.25">
      <c r="D175" t="s">
        <v>14</v>
      </c>
    </row>
    <row r="176" spans="1:8" hidden="1" x14ac:dyDescent="0.25">
      <c r="D176" t="s">
        <v>243</v>
      </c>
      <c r="E176">
        <v>1</v>
      </c>
      <c r="F176">
        <v>13000</v>
      </c>
      <c r="G176">
        <v>10000</v>
      </c>
      <c r="H176">
        <v>3000</v>
      </c>
    </row>
    <row r="177" spans="1:8" hidden="1" x14ac:dyDescent="0.25">
      <c r="A177" s="142" t="s">
        <v>17</v>
      </c>
      <c r="B177" s="142"/>
      <c r="C177" s="142"/>
      <c r="D177" s="142"/>
      <c r="E177" s="13">
        <f>SUM(E161:E176)</f>
        <v>125</v>
      </c>
      <c r="F177" s="13">
        <f t="shared" ref="F177:H177" si="25">SUM(F161:F176)</f>
        <v>582500</v>
      </c>
      <c r="G177" s="13">
        <f t="shared" si="25"/>
        <v>334500</v>
      </c>
      <c r="H177" s="13">
        <f t="shared" si="25"/>
        <v>248000</v>
      </c>
    </row>
    <row r="178" spans="1:8" hidden="1" x14ac:dyDescent="0.25">
      <c r="A178" t="s">
        <v>30</v>
      </c>
      <c r="B178" t="s">
        <v>774</v>
      </c>
      <c r="C178" t="s">
        <v>338</v>
      </c>
      <c r="D178" t="s">
        <v>11</v>
      </c>
      <c r="E178">
        <v>75</v>
      </c>
      <c r="F178">
        <f>E178*1800</f>
        <v>135000</v>
      </c>
      <c r="G178">
        <f t="shared" ref="G178:G183" si="26">E178*500</f>
        <v>37500</v>
      </c>
      <c r="H178">
        <f>E178*1300</f>
        <v>97500</v>
      </c>
    </row>
    <row r="179" spans="1:8" hidden="1" x14ac:dyDescent="0.25">
      <c r="C179" t="s">
        <v>104</v>
      </c>
      <c r="D179" t="s">
        <v>11</v>
      </c>
      <c r="E179">
        <v>40</v>
      </c>
      <c r="F179">
        <f>E179*1700</f>
        <v>68000</v>
      </c>
      <c r="G179">
        <f t="shared" si="26"/>
        <v>20000</v>
      </c>
      <c r="H179">
        <f>E179*1200</f>
        <v>48000</v>
      </c>
    </row>
    <row r="180" spans="1:8" hidden="1" x14ac:dyDescent="0.25">
      <c r="C180" t="s">
        <v>209</v>
      </c>
      <c r="D180" t="s">
        <v>11</v>
      </c>
      <c r="E180">
        <v>26</v>
      </c>
      <c r="F180">
        <f>E180*1600</f>
        <v>41600</v>
      </c>
      <c r="G180">
        <f t="shared" si="26"/>
        <v>13000</v>
      </c>
      <c r="H180">
        <f>E180*1100</f>
        <v>28600</v>
      </c>
    </row>
    <row r="181" spans="1:8" hidden="1" x14ac:dyDescent="0.25">
      <c r="C181" t="s">
        <v>571</v>
      </c>
      <c r="D181" t="s">
        <v>11</v>
      </c>
      <c r="E181">
        <v>25</v>
      </c>
      <c r="F181">
        <f>E181*1700</f>
        <v>42500</v>
      </c>
      <c r="G181">
        <f t="shared" si="26"/>
        <v>12500</v>
      </c>
      <c r="H181">
        <f>E181*1200</f>
        <v>30000</v>
      </c>
    </row>
    <row r="182" spans="1:8" hidden="1" x14ac:dyDescent="0.25">
      <c r="C182" t="s">
        <v>306</v>
      </c>
      <c r="D182" t="s">
        <v>11</v>
      </c>
      <c r="E182">
        <v>8</v>
      </c>
      <c r="F182">
        <f>E182*1800</f>
        <v>14400</v>
      </c>
      <c r="G182">
        <f t="shared" si="26"/>
        <v>4000</v>
      </c>
      <c r="H182">
        <f>E182*1300</f>
        <v>10400</v>
      </c>
    </row>
    <row r="183" spans="1:8" hidden="1" x14ac:dyDescent="0.25">
      <c r="C183" t="s">
        <v>217</v>
      </c>
      <c r="D183" t="s">
        <v>11</v>
      </c>
      <c r="E183">
        <v>10</v>
      </c>
      <c r="F183">
        <f>E183*1500</f>
        <v>15000</v>
      </c>
      <c r="G183">
        <f t="shared" si="26"/>
        <v>5000</v>
      </c>
      <c r="H183">
        <v>10000</v>
      </c>
    </row>
    <row r="184" spans="1:8" hidden="1" x14ac:dyDescent="0.25">
      <c r="D184" t="s">
        <v>14</v>
      </c>
      <c r="E184">
        <v>1</v>
      </c>
      <c r="F184">
        <v>8000</v>
      </c>
      <c r="G184">
        <v>5500</v>
      </c>
      <c r="H184">
        <v>2500</v>
      </c>
    </row>
    <row r="185" spans="1:8" hidden="1" x14ac:dyDescent="0.25">
      <c r="D185" t="s">
        <v>404</v>
      </c>
      <c r="E185">
        <v>2</v>
      </c>
      <c r="F185">
        <v>4000</v>
      </c>
      <c r="G185">
        <v>2000</v>
      </c>
      <c r="H185">
        <v>2000</v>
      </c>
    </row>
    <row r="186" spans="1:8" hidden="1" x14ac:dyDescent="0.25">
      <c r="D186" t="s">
        <v>415</v>
      </c>
      <c r="E186">
        <v>1</v>
      </c>
      <c r="F186">
        <v>5000</v>
      </c>
      <c r="G186">
        <v>2500</v>
      </c>
      <c r="H186">
        <v>2500</v>
      </c>
    </row>
    <row r="187" spans="1:8" hidden="1" x14ac:dyDescent="0.25">
      <c r="C187" t="s">
        <v>16</v>
      </c>
      <c r="D187" t="s">
        <v>11</v>
      </c>
      <c r="E187">
        <v>24</v>
      </c>
      <c r="F187">
        <f>E187*1500</f>
        <v>36000</v>
      </c>
      <c r="G187">
        <f>E187*500</f>
        <v>12000</v>
      </c>
      <c r="H187">
        <v>24000</v>
      </c>
    </row>
    <row r="188" spans="1:8" hidden="1" x14ac:dyDescent="0.25">
      <c r="D188" t="s">
        <v>12</v>
      </c>
      <c r="E188">
        <v>1</v>
      </c>
      <c r="F188">
        <v>3000</v>
      </c>
      <c r="G188">
        <v>2000</v>
      </c>
      <c r="H188">
        <v>1000</v>
      </c>
    </row>
    <row r="189" spans="1:8" hidden="1" x14ac:dyDescent="0.25">
      <c r="D189" t="s">
        <v>13</v>
      </c>
      <c r="E189">
        <v>1</v>
      </c>
      <c r="F189">
        <v>6500</v>
      </c>
      <c r="G189">
        <v>4500</v>
      </c>
      <c r="H189">
        <v>2000</v>
      </c>
    </row>
    <row r="190" spans="1:8" hidden="1" x14ac:dyDescent="0.25">
      <c r="C190" t="s">
        <v>24</v>
      </c>
      <c r="D190" t="s">
        <v>13</v>
      </c>
      <c r="E190">
        <v>4</v>
      </c>
      <c r="F190">
        <f>E190*6500</f>
        <v>26000</v>
      </c>
      <c r="G190">
        <f>E190*4500</f>
        <v>18000</v>
      </c>
      <c r="H190">
        <v>8000</v>
      </c>
    </row>
    <row r="191" spans="1:8" hidden="1" x14ac:dyDescent="0.25">
      <c r="C191" t="s">
        <v>67</v>
      </c>
      <c r="D191" t="s">
        <v>11</v>
      </c>
      <c r="E191">
        <v>4</v>
      </c>
    </row>
    <row r="192" spans="1:8" hidden="1" x14ac:dyDescent="0.25">
      <c r="D192" t="s">
        <v>13</v>
      </c>
      <c r="E192">
        <v>4</v>
      </c>
    </row>
    <row r="193" spans="1:8" hidden="1" x14ac:dyDescent="0.25">
      <c r="D193" t="s">
        <v>14</v>
      </c>
      <c r="E193">
        <v>2</v>
      </c>
    </row>
    <row r="194" spans="1:8" hidden="1" x14ac:dyDescent="0.25">
      <c r="D194" t="s">
        <v>415</v>
      </c>
      <c r="E194">
        <v>2</v>
      </c>
    </row>
    <row r="195" spans="1:8" hidden="1" x14ac:dyDescent="0.25">
      <c r="A195" s="111" t="s">
        <v>17</v>
      </c>
      <c r="B195" s="111"/>
      <c r="C195" s="111"/>
      <c r="D195" s="111"/>
      <c r="E195" s="13">
        <f>SUM(E178:E194)</f>
        <v>230</v>
      </c>
      <c r="F195" s="13">
        <f t="shared" ref="F195:H195" si="27">SUM(F178:F194)</f>
        <v>405000</v>
      </c>
      <c r="G195" s="13">
        <f t="shared" si="27"/>
        <v>138500</v>
      </c>
      <c r="H195" s="13">
        <f t="shared" si="27"/>
        <v>266500</v>
      </c>
    </row>
    <row r="196" spans="1:8" hidden="1" x14ac:dyDescent="0.25">
      <c r="A196" t="s">
        <v>32</v>
      </c>
      <c r="B196" t="s">
        <v>775</v>
      </c>
      <c r="C196" t="s">
        <v>338</v>
      </c>
      <c r="D196" t="s">
        <v>11</v>
      </c>
      <c r="E196">
        <v>150</v>
      </c>
      <c r="F196" s="4">
        <f>E196*1800</f>
        <v>270000</v>
      </c>
      <c r="G196" s="4">
        <f>E196*500</f>
        <v>75000</v>
      </c>
      <c r="H196" s="4">
        <f>E196*1300</f>
        <v>195000</v>
      </c>
    </row>
    <row r="197" spans="1:8" hidden="1" x14ac:dyDescent="0.25">
      <c r="C197" t="s">
        <v>104</v>
      </c>
      <c r="D197" t="s">
        <v>11</v>
      </c>
      <c r="E197">
        <f>35+38</f>
        <v>73</v>
      </c>
      <c r="F197" s="4">
        <f>E197*1700</f>
        <v>124100</v>
      </c>
      <c r="G197" s="4">
        <f>E197*500</f>
        <v>36500</v>
      </c>
      <c r="H197" s="4">
        <f>E197*1200</f>
        <v>87600</v>
      </c>
    </row>
    <row r="198" spans="1:8" hidden="1" x14ac:dyDescent="0.25">
      <c r="C198" t="s">
        <v>209</v>
      </c>
      <c r="D198" t="s">
        <v>11</v>
      </c>
      <c r="E198">
        <v>27</v>
      </c>
      <c r="F198" s="4">
        <f>E198*1600</f>
        <v>43200</v>
      </c>
      <c r="G198" s="4">
        <f>E198*500</f>
        <v>13500</v>
      </c>
      <c r="H198" s="4">
        <f>E198*1100</f>
        <v>29700</v>
      </c>
    </row>
    <row r="199" spans="1:8" hidden="1" x14ac:dyDescent="0.25">
      <c r="C199" t="s">
        <v>571</v>
      </c>
      <c r="D199" t="s">
        <v>11</v>
      </c>
      <c r="E199">
        <v>29</v>
      </c>
      <c r="F199" s="4">
        <f>E199*1700</f>
        <v>49300</v>
      </c>
      <c r="G199" s="4">
        <f>E199*500</f>
        <v>14500</v>
      </c>
      <c r="H199" s="4">
        <f>E199*1200</f>
        <v>34800</v>
      </c>
    </row>
    <row r="200" spans="1:8" hidden="1" x14ac:dyDescent="0.25">
      <c r="A200" s="143" t="s">
        <v>17</v>
      </c>
      <c r="B200" s="143"/>
      <c r="C200" s="143"/>
      <c r="D200" s="143"/>
      <c r="E200" s="13">
        <f>SUM(E196:E199)</f>
        <v>279</v>
      </c>
      <c r="F200" s="13">
        <f t="shared" ref="F200:H200" si="28">SUM(F196:F199)</f>
        <v>486600</v>
      </c>
      <c r="G200" s="13">
        <f t="shared" si="28"/>
        <v>139500</v>
      </c>
      <c r="H200" s="13">
        <f t="shared" si="28"/>
        <v>347100</v>
      </c>
    </row>
  </sheetData>
  <autoFilter ref="A1:H200" xr:uid="{00000000-0009-0000-0000-00001D000000}">
    <filterColumn colId="3">
      <filters>
        <filter val="ES SUSU ORI"/>
      </filters>
    </filterColumn>
  </autoFilter>
  <mergeCells count="27">
    <mergeCell ref="A59:D59"/>
    <mergeCell ref="A52:D52"/>
    <mergeCell ref="A195:D195"/>
    <mergeCell ref="A6:D6"/>
    <mergeCell ref="A13:D13"/>
    <mergeCell ref="A18:D18"/>
    <mergeCell ref="A22:D22"/>
    <mergeCell ref="A48:D48"/>
    <mergeCell ref="A43:D43"/>
    <mergeCell ref="A27:D27"/>
    <mergeCell ref="A33:D33"/>
    <mergeCell ref="A38:D38"/>
    <mergeCell ref="A9:D9"/>
    <mergeCell ref="A69:D69"/>
    <mergeCell ref="A64:D64"/>
    <mergeCell ref="A160:D160"/>
    <mergeCell ref="A200:D200"/>
    <mergeCell ref="A71:D71"/>
    <mergeCell ref="A129:D129"/>
    <mergeCell ref="A117:D117"/>
    <mergeCell ref="A136:D136"/>
    <mergeCell ref="A146:D146"/>
    <mergeCell ref="A177:D177"/>
    <mergeCell ref="A104:D104"/>
    <mergeCell ref="A77:D77"/>
    <mergeCell ref="A85:D85"/>
    <mergeCell ref="A96:D96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K301"/>
  <sheetViews>
    <sheetView workbookViewId="0">
      <selection activeCell="E307" sqref="E307"/>
    </sheetView>
  </sheetViews>
  <sheetFormatPr defaultRowHeight="15" x14ac:dyDescent="0.25"/>
  <cols>
    <col min="1" max="1" width="6.7109375" bestFit="1" customWidth="1"/>
    <col min="2" max="2" width="9.7109375" bestFit="1" customWidth="1"/>
    <col min="3" max="3" width="14.42578125" bestFit="1" customWidth="1"/>
    <col min="4" max="4" width="8.5703125" bestFit="1" customWidth="1"/>
    <col min="5" max="5" width="8" bestFit="1" customWidth="1"/>
    <col min="6" max="6" width="13.28515625" bestFit="1" customWidth="1"/>
    <col min="7" max="8" width="11.57031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8</v>
      </c>
      <c r="B2" s="3">
        <v>45296</v>
      </c>
      <c r="C2" t="s">
        <v>16</v>
      </c>
      <c r="D2" t="s">
        <v>11</v>
      </c>
      <c r="E2">
        <v>24</v>
      </c>
      <c r="F2">
        <f>E2*1500</f>
        <v>36000</v>
      </c>
      <c r="G2">
        <f>E2*500</f>
        <v>12000</v>
      </c>
      <c r="H2">
        <v>24000</v>
      </c>
    </row>
    <row r="3" spans="1:8" hidden="1" x14ac:dyDescent="0.25">
      <c r="B3" s="3"/>
      <c r="D3" t="s">
        <v>12</v>
      </c>
      <c r="E3">
        <v>1</v>
      </c>
      <c r="F3">
        <v>3000</v>
      </c>
      <c r="G3">
        <v>2000</v>
      </c>
      <c r="H3">
        <v>1000</v>
      </c>
    </row>
    <row r="4" spans="1:8" hidden="1" x14ac:dyDescent="0.25">
      <c r="D4" t="s">
        <v>13</v>
      </c>
      <c r="E4">
        <v>1</v>
      </c>
      <c r="F4">
        <v>6500</v>
      </c>
      <c r="G4">
        <v>4500</v>
      </c>
      <c r="H4">
        <v>2000</v>
      </c>
    </row>
    <row r="5" spans="1:8" hidden="1" x14ac:dyDescent="0.25">
      <c r="D5" t="s">
        <v>14</v>
      </c>
    </row>
    <row r="6" spans="1:8" hidden="1" x14ac:dyDescent="0.25">
      <c r="D6" t="s">
        <v>243</v>
      </c>
    </row>
    <row r="7" spans="1:8" hidden="1" x14ac:dyDescent="0.25">
      <c r="A7" s="142" t="s">
        <v>17</v>
      </c>
      <c r="B7" s="142"/>
      <c r="C7" s="142"/>
      <c r="D7" s="142"/>
      <c r="E7" s="13">
        <f>SUM(E2:E6)</f>
        <v>26</v>
      </c>
      <c r="F7" s="13">
        <f t="shared" ref="F7:H7" si="0">SUM(F2:F6)</f>
        <v>45500</v>
      </c>
      <c r="G7" s="13">
        <f t="shared" si="0"/>
        <v>18500</v>
      </c>
      <c r="H7" s="13">
        <f t="shared" si="0"/>
        <v>27000</v>
      </c>
    </row>
    <row r="8" spans="1:8" hidden="1" x14ac:dyDescent="0.25">
      <c r="A8" t="s">
        <v>18</v>
      </c>
      <c r="B8" s="3">
        <v>45327</v>
      </c>
      <c r="C8" t="s">
        <v>209</v>
      </c>
      <c r="D8" t="s">
        <v>11</v>
      </c>
      <c r="E8">
        <v>29</v>
      </c>
      <c r="F8" s="4">
        <f>E8*1600</f>
        <v>46400</v>
      </c>
      <c r="G8" s="4">
        <f>E8*500</f>
        <v>14500</v>
      </c>
      <c r="H8" s="4">
        <f>E8*1100</f>
        <v>31900</v>
      </c>
    </row>
    <row r="9" spans="1:8" hidden="1" x14ac:dyDescent="0.25">
      <c r="C9" t="s">
        <v>571</v>
      </c>
      <c r="D9" t="s">
        <v>11</v>
      </c>
      <c r="E9">
        <v>28</v>
      </c>
      <c r="F9" s="4">
        <f>E9*1700</f>
        <v>47600</v>
      </c>
      <c r="G9" s="4">
        <f>E9*500</f>
        <v>14000</v>
      </c>
      <c r="H9" s="4">
        <f>E9*1200</f>
        <v>33600</v>
      </c>
    </row>
    <row r="10" spans="1:8" hidden="1" x14ac:dyDescent="0.25">
      <c r="C10" t="s">
        <v>217</v>
      </c>
      <c r="D10" t="s">
        <v>11</v>
      </c>
      <c r="E10">
        <v>19</v>
      </c>
      <c r="F10" s="4">
        <f>E10*1500</f>
        <v>28500</v>
      </c>
      <c r="G10" s="4">
        <f>E10*500</f>
        <v>9500</v>
      </c>
      <c r="H10" s="4">
        <f>E10*1000</f>
        <v>19000</v>
      </c>
    </row>
    <row r="11" spans="1:8" hidden="1" x14ac:dyDescent="0.25">
      <c r="D11" t="s">
        <v>13</v>
      </c>
      <c r="E11">
        <v>3</v>
      </c>
      <c r="F11" s="4">
        <f>E11*6500</f>
        <v>19500</v>
      </c>
      <c r="G11" s="4">
        <f>E11*500</f>
        <v>1500</v>
      </c>
      <c r="H11" s="4">
        <f>E11*2000</f>
        <v>6000</v>
      </c>
    </row>
    <row r="12" spans="1:8" hidden="1" x14ac:dyDescent="0.25">
      <c r="D12" t="s">
        <v>14</v>
      </c>
      <c r="E12">
        <v>4</v>
      </c>
      <c r="F12" s="4">
        <f>E12*10000</f>
        <v>40000</v>
      </c>
      <c r="G12" s="4">
        <f>E12*5500</f>
        <v>22000</v>
      </c>
      <c r="H12" s="4">
        <f>E12*4500</f>
        <v>18000</v>
      </c>
    </row>
    <row r="13" spans="1:8" hidden="1" x14ac:dyDescent="0.25">
      <c r="C13" t="s">
        <v>16</v>
      </c>
      <c r="D13" t="s">
        <v>11</v>
      </c>
      <c r="E13">
        <v>59</v>
      </c>
      <c r="F13" s="4">
        <f>E13*1500</f>
        <v>88500</v>
      </c>
      <c r="G13" s="4">
        <f>E13*500</f>
        <v>29500</v>
      </c>
      <c r="H13" s="4">
        <f>E13*1000</f>
        <v>59000</v>
      </c>
    </row>
    <row r="14" spans="1:8" hidden="1" x14ac:dyDescent="0.25">
      <c r="D14" t="s">
        <v>12</v>
      </c>
      <c r="E14">
        <v>6</v>
      </c>
      <c r="F14" s="4">
        <f>E14*3000</f>
        <v>18000</v>
      </c>
      <c r="G14" s="4">
        <v>12000</v>
      </c>
      <c r="H14" s="4">
        <v>6000</v>
      </c>
    </row>
    <row r="15" spans="1:8" hidden="1" x14ac:dyDescent="0.25">
      <c r="D15" t="s">
        <v>14</v>
      </c>
      <c r="E15">
        <v>1</v>
      </c>
      <c r="F15" s="4">
        <v>10000</v>
      </c>
      <c r="G15" s="4">
        <v>5500</v>
      </c>
      <c r="H15" s="4">
        <v>4500</v>
      </c>
    </row>
    <row r="16" spans="1:8" hidden="1" x14ac:dyDescent="0.25">
      <c r="C16" t="s">
        <v>24</v>
      </c>
      <c r="D16" t="s">
        <v>243</v>
      </c>
      <c r="E16">
        <v>2</v>
      </c>
      <c r="F16" s="4">
        <v>30000</v>
      </c>
      <c r="G16" s="4">
        <v>20000</v>
      </c>
      <c r="H16" s="4">
        <v>10000</v>
      </c>
    </row>
    <row r="17" spans="1:8" hidden="1" x14ac:dyDescent="0.25">
      <c r="A17" s="142" t="s">
        <v>17</v>
      </c>
      <c r="B17" s="142"/>
      <c r="C17" s="142"/>
      <c r="D17" s="142"/>
      <c r="E17" s="13">
        <f>SUM(E8:E16)</f>
        <v>151</v>
      </c>
      <c r="F17" s="13">
        <f t="shared" ref="F17:H17" si="1">SUM(F8:F16)</f>
        <v>328500</v>
      </c>
      <c r="G17" s="13">
        <f t="shared" si="1"/>
        <v>128500</v>
      </c>
      <c r="H17" s="13">
        <f t="shared" si="1"/>
        <v>188000</v>
      </c>
    </row>
    <row r="18" spans="1:8" hidden="1" x14ac:dyDescent="0.25">
      <c r="A18" t="s">
        <v>22</v>
      </c>
      <c r="B18" s="3">
        <v>45355</v>
      </c>
      <c r="C18" t="s">
        <v>338</v>
      </c>
      <c r="D18" t="s">
        <v>11</v>
      </c>
      <c r="E18">
        <v>75</v>
      </c>
      <c r="F18">
        <f>E18*1800</f>
        <v>135000</v>
      </c>
      <c r="G18">
        <f t="shared" ref="G18:G23" si="2">E18*500</f>
        <v>37500</v>
      </c>
      <c r="H18">
        <f>E18*1300</f>
        <v>97500</v>
      </c>
    </row>
    <row r="19" spans="1:8" hidden="1" x14ac:dyDescent="0.25">
      <c r="C19" t="s">
        <v>571</v>
      </c>
      <c r="D19" t="s">
        <v>11</v>
      </c>
      <c r="E19">
        <v>27</v>
      </c>
      <c r="F19">
        <f>E19*1700</f>
        <v>45900</v>
      </c>
      <c r="G19">
        <f t="shared" si="2"/>
        <v>13500</v>
      </c>
      <c r="H19">
        <f>E19*1200</f>
        <v>32400</v>
      </c>
    </row>
    <row r="20" spans="1:8" hidden="1" x14ac:dyDescent="0.25">
      <c r="C20" t="s">
        <v>209</v>
      </c>
      <c r="D20" t="s">
        <v>11</v>
      </c>
      <c r="E20">
        <v>19</v>
      </c>
      <c r="F20">
        <f>E20*1600</f>
        <v>30400</v>
      </c>
      <c r="G20">
        <f t="shared" si="2"/>
        <v>9500</v>
      </c>
      <c r="H20">
        <f>E20*1100</f>
        <v>20900</v>
      </c>
    </row>
    <row r="21" spans="1:8" hidden="1" x14ac:dyDescent="0.25">
      <c r="C21" t="s">
        <v>104</v>
      </c>
      <c r="D21" t="s">
        <v>11</v>
      </c>
      <c r="E21">
        <v>69</v>
      </c>
      <c r="F21">
        <f>E21*1700</f>
        <v>117300</v>
      </c>
      <c r="G21">
        <f t="shared" si="2"/>
        <v>34500</v>
      </c>
      <c r="H21">
        <f>E21*1200</f>
        <v>82800</v>
      </c>
    </row>
    <row r="22" spans="1:8" hidden="1" x14ac:dyDescent="0.25">
      <c r="C22" t="s">
        <v>776</v>
      </c>
      <c r="D22" t="s">
        <v>11</v>
      </c>
      <c r="E22">
        <v>15</v>
      </c>
      <c r="F22">
        <f>E22*1800</f>
        <v>27000</v>
      </c>
      <c r="G22">
        <f t="shared" si="2"/>
        <v>7500</v>
      </c>
      <c r="H22">
        <f>E22*1300</f>
        <v>19500</v>
      </c>
    </row>
    <row r="23" spans="1:8" hidden="1" x14ac:dyDescent="0.25">
      <c r="C23" t="s">
        <v>217</v>
      </c>
      <c r="D23" t="s">
        <v>11</v>
      </c>
      <c r="E23">
        <v>7</v>
      </c>
      <c r="F23">
        <f>E23*1500</f>
        <v>10500</v>
      </c>
      <c r="G23">
        <f t="shared" si="2"/>
        <v>3500</v>
      </c>
      <c r="H23">
        <v>7000</v>
      </c>
    </row>
    <row r="24" spans="1:8" hidden="1" x14ac:dyDescent="0.25">
      <c r="D24" t="s">
        <v>13</v>
      </c>
      <c r="E24">
        <v>1</v>
      </c>
      <c r="F24">
        <v>6500</v>
      </c>
      <c r="G24">
        <v>4500</v>
      </c>
      <c r="H24">
        <v>2000</v>
      </c>
    </row>
    <row r="25" spans="1:8" hidden="1" x14ac:dyDescent="0.25">
      <c r="D25" t="s">
        <v>404</v>
      </c>
      <c r="E25">
        <v>2</v>
      </c>
      <c r="F25">
        <v>4000</v>
      </c>
      <c r="G25">
        <v>2000</v>
      </c>
      <c r="H25">
        <v>2000</v>
      </c>
    </row>
    <row r="26" spans="1:8" x14ac:dyDescent="0.25">
      <c r="D26" t="s">
        <v>436</v>
      </c>
      <c r="E26">
        <v>1</v>
      </c>
      <c r="F26">
        <v>3000</v>
      </c>
      <c r="G26">
        <v>1500</v>
      </c>
      <c r="H26">
        <v>1500</v>
      </c>
    </row>
    <row r="27" spans="1:8" hidden="1" x14ac:dyDescent="0.25">
      <c r="C27" t="s">
        <v>16</v>
      </c>
      <c r="D27" t="s">
        <v>11</v>
      </c>
      <c r="E27">
        <v>15</v>
      </c>
      <c r="F27">
        <f>E27*1500</f>
        <v>22500</v>
      </c>
      <c r="G27">
        <f>E27*500</f>
        <v>7500</v>
      </c>
      <c r="H27">
        <v>15000</v>
      </c>
    </row>
    <row r="28" spans="1:8" hidden="1" x14ac:dyDescent="0.25">
      <c r="C28" t="s">
        <v>704</v>
      </c>
      <c r="D28" t="s">
        <v>11</v>
      </c>
      <c r="E28">
        <v>15</v>
      </c>
      <c r="F28">
        <f>E28*2000</f>
        <v>30000</v>
      </c>
      <c r="G28">
        <f>E28*500</f>
        <v>7500</v>
      </c>
      <c r="H28">
        <f>E28*1500</f>
        <v>22500</v>
      </c>
    </row>
    <row r="29" spans="1:8" hidden="1" x14ac:dyDescent="0.25">
      <c r="D29" t="s">
        <v>13</v>
      </c>
      <c r="E29">
        <v>40</v>
      </c>
      <c r="F29">
        <f>E29*6500</f>
        <v>260000</v>
      </c>
      <c r="G29">
        <f>E29*4500</f>
        <v>180000</v>
      </c>
      <c r="H29">
        <f>E29*2000</f>
        <v>80000</v>
      </c>
    </row>
    <row r="30" spans="1:8" hidden="1" x14ac:dyDescent="0.25">
      <c r="D30" t="s">
        <v>14</v>
      </c>
      <c r="E30">
        <v>30</v>
      </c>
      <c r="F30">
        <f>E30*10000</f>
        <v>300000</v>
      </c>
      <c r="G30">
        <f>E30*5500</f>
        <v>165000</v>
      </c>
      <c r="H30">
        <f>E30*4500</f>
        <v>135000</v>
      </c>
    </row>
    <row r="31" spans="1:8" hidden="1" x14ac:dyDescent="0.25">
      <c r="D31" t="s">
        <v>404</v>
      </c>
      <c r="E31">
        <v>2</v>
      </c>
      <c r="F31">
        <v>4000</v>
      </c>
      <c r="G31">
        <v>2000</v>
      </c>
      <c r="H31">
        <v>2000</v>
      </c>
    </row>
    <row r="32" spans="1:8" hidden="1" x14ac:dyDescent="0.25">
      <c r="D32" t="s">
        <v>415</v>
      </c>
      <c r="E32">
        <v>2</v>
      </c>
      <c r="F32">
        <v>10000</v>
      </c>
      <c r="G32">
        <v>5000</v>
      </c>
      <c r="H32">
        <v>5000</v>
      </c>
    </row>
    <row r="33" spans="1:8" hidden="1" x14ac:dyDescent="0.25">
      <c r="D33" t="s">
        <v>441</v>
      </c>
      <c r="E33">
        <v>1</v>
      </c>
      <c r="F33">
        <v>3000</v>
      </c>
      <c r="G33">
        <v>1500</v>
      </c>
      <c r="H33">
        <v>1500</v>
      </c>
    </row>
    <row r="34" spans="1:8" hidden="1" x14ac:dyDescent="0.25">
      <c r="A34" s="142" t="s">
        <v>17</v>
      </c>
      <c r="B34" s="142"/>
      <c r="C34" s="142"/>
      <c r="D34" s="142"/>
      <c r="E34" s="13">
        <f>SUM(E18:E33)</f>
        <v>321</v>
      </c>
      <c r="F34" s="13">
        <f t="shared" ref="F34:H34" si="3">SUM(F18:F33)</f>
        <v>1009100</v>
      </c>
      <c r="G34" s="13">
        <f t="shared" si="3"/>
        <v>482500</v>
      </c>
      <c r="H34" s="13">
        <f t="shared" si="3"/>
        <v>526600</v>
      </c>
    </row>
    <row r="35" spans="1:8" hidden="1" x14ac:dyDescent="0.25">
      <c r="A35" t="s">
        <v>26</v>
      </c>
      <c r="B35" s="3">
        <v>45386</v>
      </c>
      <c r="C35" t="s">
        <v>104</v>
      </c>
      <c r="D35" t="s">
        <v>11</v>
      </c>
      <c r="E35">
        <v>35</v>
      </c>
      <c r="F35">
        <f>E35*1700</f>
        <v>59500</v>
      </c>
      <c r="G35">
        <f>E35*500</f>
        <v>17500</v>
      </c>
      <c r="H35">
        <f>E35*12000</f>
        <v>420000</v>
      </c>
    </row>
    <row r="36" spans="1:8" hidden="1" x14ac:dyDescent="0.25">
      <c r="C36" t="s">
        <v>338</v>
      </c>
      <c r="D36" t="s">
        <v>11</v>
      </c>
      <c r="E36">
        <v>75</v>
      </c>
      <c r="F36">
        <f>E36*1800</f>
        <v>135000</v>
      </c>
      <c r="G36">
        <f>E36*500</f>
        <v>37500</v>
      </c>
      <c r="H36">
        <f>E36*1300</f>
        <v>97500</v>
      </c>
    </row>
    <row r="37" spans="1:8" hidden="1" x14ac:dyDescent="0.25">
      <c r="C37" t="s">
        <v>16</v>
      </c>
      <c r="D37" t="s">
        <v>11</v>
      </c>
      <c r="E37">
        <v>43</v>
      </c>
      <c r="F37">
        <f>E37*1500</f>
        <v>64500</v>
      </c>
      <c r="G37">
        <f>E37*500</f>
        <v>21500</v>
      </c>
      <c r="H37">
        <v>43000</v>
      </c>
    </row>
    <row r="38" spans="1:8" hidden="1" x14ac:dyDescent="0.25">
      <c r="D38" t="s">
        <v>12</v>
      </c>
      <c r="E38">
        <v>4</v>
      </c>
      <c r="F38">
        <v>12000</v>
      </c>
      <c r="G38">
        <v>8000</v>
      </c>
      <c r="H38">
        <v>4000</v>
      </c>
    </row>
    <row r="39" spans="1:8" hidden="1" x14ac:dyDescent="0.25">
      <c r="D39" t="s">
        <v>13</v>
      </c>
      <c r="E39">
        <v>0</v>
      </c>
      <c r="F39">
        <v>0</v>
      </c>
      <c r="G39">
        <v>0</v>
      </c>
      <c r="H39">
        <v>0</v>
      </c>
    </row>
    <row r="40" spans="1:8" hidden="1" x14ac:dyDescent="0.25">
      <c r="D40" t="s">
        <v>14</v>
      </c>
      <c r="E40">
        <v>0</v>
      </c>
      <c r="F40">
        <v>0</v>
      </c>
      <c r="G40">
        <v>0</v>
      </c>
      <c r="H40">
        <v>0</v>
      </c>
    </row>
    <row r="41" spans="1:8" hidden="1" x14ac:dyDescent="0.25">
      <c r="D41" t="s">
        <v>243</v>
      </c>
      <c r="E41">
        <v>0</v>
      </c>
      <c r="F41">
        <v>0</v>
      </c>
      <c r="G41">
        <v>0</v>
      </c>
      <c r="H41">
        <v>0</v>
      </c>
    </row>
    <row r="42" spans="1:8" hidden="1" x14ac:dyDescent="0.25">
      <c r="C42" t="s">
        <v>704</v>
      </c>
      <c r="D42" t="s">
        <v>11</v>
      </c>
      <c r="E42">
        <v>17</v>
      </c>
      <c r="F42">
        <f>E42*2000</f>
        <v>34000</v>
      </c>
      <c r="G42">
        <f>E42*500</f>
        <v>8500</v>
      </c>
      <c r="H42">
        <f>E42*1500</f>
        <v>25500</v>
      </c>
    </row>
    <row r="43" spans="1:8" hidden="1" x14ac:dyDescent="0.25">
      <c r="D43" t="s">
        <v>13</v>
      </c>
      <c r="E43">
        <v>27</v>
      </c>
      <c r="F43">
        <f>E43*6500</f>
        <v>175500</v>
      </c>
      <c r="G43">
        <f>E43*4500</f>
        <v>121500</v>
      </c>
      <c r="H43">
        <f>E43*2000</f>
        <v>54000</v>
      </c>
    </row>
    <row r="44" spans="1:8" hidden="1" x14ac:dyDescent="0.25">
      <c r="D44" t="s">
        <v>14</v>
      </c>
      <c r="E44">
        <v>24</v>
      </c>
      <c r="F44">
        <f>E44*10000</f>
        <v>240000</v>
      </c>
      <c r="G44">
        <f>E44*5500</f>
        <v>132000</v>
      </c>
      <c r="H44">
        <f>E44*4500</f>
        <v>108000</v>
      </c>
    </row>
    <row r="45" spans="1:8" hidden="1" x14ac:dyDescent="0.25">
      <c r="D45" t="s">
        <v>441</v>
      </c>
      <c r="E45">
        <v>3</v>
      </c>
      <c r="F45">
        <v>9000</v>
      </c>
      <c r="G45">
        <v>4500</v>
      </c>
      <c r="H45">
        <v>4500</v>
      </c>
    </row>
    <row r="46" spans="1:8" hidden="1" x14ac:dyDescent="0.25">
      <c r="D46" t="s">
        <v>404</v>
      </c>
      <c r="E46">
        <v>3</v>
      </c>
      <c r="F46">
        <v>6000</v>
      </c>
      <c r="G46">
        <v>3000</v>
      </c>
      <c r="H46">
        <v>3000</v>
      </c>
    </row>
    <row r="47" spans="1:8" hidden="1" x14ac:dyDescent="0.25">
      <c r="A47" s="142" t="s">
        <v>17</v>
      </c>
      <c r="B47" s="142"/>
      <c r="C47" s="142"/>
      <c r="D47" s="142"/>
      <c r="E47" s="13">
        <f>SUM(E35:E46)</f>
        <v>231</v>
      </c>
      <c r="F47" s="13">
        <f t="shared" ref="F47:H47" si="4">SUM(F35:F46)</f>
        <v>735500</v>
      </c>
      <c r="G47" s="13">
        <f t="shared" si="4"/>
        <v>354000</v>
      </c>
      <c r="H47" s="13">
        <f t="shared" si="4"/>
        <v>759500</v>
      </c>
    </row>
    <row r="48" spans="1:8" hidden="1" x14ac:dyDescent="0.25">
      <c r="A48" t="s">
        <v>28</v>
      </c>
      <c r="B48" s="3">
        <v>45416</v>
      </c>
      <c r="C48" t="s">
        <v>700</v>
      </c>
      <c r="D48" t="s">
        <v>11</v>
      </c>
      <c r="E48">
        <v>6</v>
      </c>
      <c r="F48">
        <f>E48*1500</f>
        <v>9000</v>
      </c>
      <c r="G48">
        <f>E48*500</f>
        <v>3000</v>
      </c>
      <c r="H48">
        <f>E48*1500</f>
        <v>9000</v>
      </c>
    </row>
    <row r="49" spans="3:8" hidden="1" x14ac:dyDescent="0.25">
      <c r="D49" t="s">
        <v>13</v>
      </c>
      <c r="E49">
        <v>20</v>
      </c>
      <c r="F49">
        <f>E49*7000</f>
        <v>140000</v>
      </c>
      <c r="G49">
        <f>E49*4500</f>
        <v>90000</v>
      </c>
      <c r="H49">
        <f>E49*2500</f>
        <v>50000</v>
      </c>
    </row>
    <row r="50" spans="3:8" hidden="1" x14ac:dyDescent="0.25">
      <c r="D50" t="s">
        <v>14</v>
      </c>
      <c r="E50">
        <v>20</v>
      </c>
      <c r="F50">
        <f>E50*10000</f>
        <v>200000</v>
      </c>
      <c r="G50">
        <f>E50*5500</f>
        <v>110000</v>
      </c>
      <c r="H50">
        <f>E50*4500</f>
        <v>90000</v>
      </c>
    </row>
    <row r="51" spans="3:8" hidden="1" x14ac:dyDescent="0.25">
      <c r="D51" t="s">
        <v>404</v>
      </c>
      <c r="E51">
        <v>3</v>
      </c>
      <c r="F51">
        <f>E51*3000</f>
        <v>9000</v>
      </c>
      <c r="G51">
        <v>4500</v>
      </c>
      <c r="H51">
        <v>4500</v>
      </c>
    </row>
    <row r="52" spans="3:8" hidden="1" x14ac:dyDescent="0.25">
      <c r="C52" t="s">
        <v>777</v>
      </c>
      <c r="D52" t="s">
        <v>13</v>
      </c>
      <c r="E52">
        <v>2</v>
      </c>
    </row>
    <row r="53" spans="3:8" hidden="1" x14ac:dyDescent="0.25">
      <c r="D53" t="s">
        <v>14</v>
      </c>
      <c r="E53">
        <v>10</v>
      </c>
    </row>
    <row r="54" spans="3:8" hidden="1" x14ac:dyDescent="0.25">
      <c r="C54" t="s">
        <v>217</v>
      </c>
      <c r="D54" t="s">
        <v>11</v>
      </c>
      <c r="E54">
        <v>11</v>
      </c>
      <c r="F54">
        <f>E54*1500</f>
        <v>16500</v>
      </c>
      <c r="G54">
        <f>E54*500</f>
        <v>5500</v>
      </c>
      <c r="H54">
        <v>11000</v>
      </c>
    </row>
    <row r="55" spans="3:8" hidden="1" x14ac:dyDescent="0.25">
      <c r="D55" t="s">
        <v>13</v>
      </c>
      <c r="E55">
        <v>9</v>
      </c>
      <c r="F55">
        <f>E55*6500</f>
        <v>58500</v>
      </c>
      <c r="G55">
        <f>E55*4500</f>
        <v>40500</v>
      </c>
      <c r="H55">
        <f>E55*2000</f>
        <v>18000</v>
      </c>
    </row>
    <row r="56" spans="3:8" hidden="1" x14ac:dyDescent="0.25">
      <c r="D56" t="s">
        <v>14</v>
      </c>
      <c r="E56">
        <v>7</v>
      </c>
      <c r="F56">
        <f>E56*10000</f>
        <v>70000</v>
      </c>
      <c r="G56">
        <f>E56*5500</f>
        <v>38500</v>
      </c>
      <c r="H56">
        <f>E56*4500</f>
        <v>31500</v>
      </c>
    </row>
    <row r="57" spans="3:8" hidden="1" x14ac:dyDescent="0.25">
      <c r="D57" t="s">
        <v>778</v>
      </c>
      <c r="E57">
        <v>2</v>
      </c>
      <c r="F57">
        <v>4000</v>
      </c>
      <c r="G57">
        <v>2000</v>
      </c>
      <c r="H57">
        <v>2000</v>
      </c>
    </row>
    <row r="58" spans="3:8" hidden="1" x14ac:dyDescent="0.25">
      <c r="C58" t="s">
        <v>701</v>
      </c>
      <c r="D58" t="s">
        <v>11</v>
      </c>
      <c r="E58">
        <v>11</v>
      </c>
      <c r="F58">
        <f>E58*2000</f>
        <v>22000</v>
      </c>
      <c r="G58">
        <f>E58*500</f>
        <v>5500</v>
      </c>
      <c r="H58">
        <f>E58*1500</f>
        <v>16500</v>
      </c>
    </row>
    <row r="59" spans="3:8" hidden="1" x14ac:dyDescent="0.25">
      <c r="D59" t="s">
        <v>13</v>
      </c>
      <c r="E59">
        <v>12</v>
      </c>
      <c r="F59">
        <f>E59*6500</f>
        <v>78000</v>
      </c>
      <c r="G59">
        <f>E59*4500</f>
        <v>54000</v>
      </c>
      <c r="H59">
        <f>E59*2500</f>
        <v>30000</v>
      </c>
    </row>
    <row r="60" spans="3:8" hidden="1" x14ac:dyDescent="0.25">
      <c r="D60" t="s">
        <v>14</v>
      </c>
      <c r="E60">
        <v>8</v>
      </c>
      <c r="F60">
        <f>E60*10000</f>
        <v>80000</v>
      </c>
      <c r="G60">
        <f>E60*5500</f>
        <v>44000</v>
      </c>
      <c r="H60">
        <f>E60*4500</f>
        <v>36000</v>
      </c>
    </row>
    <row r="61" spans="3:8" hidden="1" x14ac:dyDescent="0.25">
      <c r="C61" t="s">
        <v>16</v>
      </c>
      <c r="D61" t="s">
        <v>11</v>
      </c>
      <c r="E61">
        <v>52</v>
      </c>
      <c r="F61">
        <f>E61*1500</f>
        <v>78000</v>
      </c>
      <c r="G61">
        <f>E61*500</f>
        <v>26000</v>
      </c>
      <c r="H61">
        <v>52000</v>
      </c>
    </row>
    <row r="62" spans="3:8" hidden="1" x14ac:dyDescent="0.25">
      <c r="D62" t="s">
        <v>12</v>
      </c>
      <c r="E62">
        <v>6</v>
      </c>
      <c r="F62">
        <f>E62*3000</f>
        <v>18000</v>
      </c>
      <c r="G62">
        <v>12000</v>
      </c>
      <c r="H62">
        <v>6000</v>
      </c>
    </row>
    <row r="63" spans="3:8" hidden="1" x14ac:dyDescent="0.25">
      <c r="D63" t="s">
        <v>13</v>
      </c>
      <c r="E63">
        <v>2</v>
      </c>
      <c r="F63">
        <v>13000</v>
      </c>
      <c r="G63">
        <v>9000</v>
      </c>
      <c r="H63">
        <v>4000</v>
      </c>
    </row>
    <row r="64" spans="3:8" hidden="1" x14ac:dyDescent="0.25">
      <c r="D64" t="s">
        <v>14</v>
      </c>
      <c r="E64">
        <v>2</v>
      </c>
      <c r="F64">
        <v>20000</v>
      </c>
      <c r="G64">
        <v>11000</v>
      </c>
      <c r="H64">
        <v>9000</v>
      </c>
    </row>
    <row r="65" spans="1:8" hidden="1" x14ac:dyDescent="0.25">
      <c r="A65" s="142" t="s">
        <v>17</v>
      </c>
      <c r="B65" s="142"/>
      <c r="C65" s="142"/>
      <c r="D65" s="142"/>
      <c r="E65" s="13">
        <f>SUM(E48:E64)</f>
        <v>183</v>
      </c>
      <c r="F65" s="13">
        <f t="shared" ref="F65:H65" si="5">SUM(F48:F64)</f>
        <v>816000</v>
      </c>
      <c r="G65" s="13">
        <f t="shared" si="5"/>
        <v>455500</v>
      </c>
      <c r="H65" s="13">
        <f t="shared" si="5"/>
        <v>369500</v>
      </c>
    </row>
    <row r="66" spans="1:8" hidden="1" x14ac:dyDescent="0.25">
      <c r="A66" t="s">
        <v>30</v>
      </c>
      <c r="B66" s="3">
        <v>45447</v>
      </c>
      <c r="C66" t="s">
        <v>338</v>
      </c>
      <c r="D66" t="s">
        <v>11</v>
      </c>
      <c r="E66">
        <v>75</v>
      </c>
      <c r="F66">
        <f>E66*1800</f>
        <v>135000</v>
      </c>
      <c r="G66">
        <f>E66*500</f>
        <v>37500</v>
      </c>
      <c r="H66">
        <f>E66*1300</f>
        <v>97500</v>
      </c>
    </row>
    <row r="67" spans="1:8" hidden="1" x14ac:dyDescent="0.25">
      <c r="C67" t="s">
        <v>209</v>
      </c>
      <c r="D67" t="s">
        <v>11</v>
      </c>
      <c r="E67">
        <v>14</v>
      </c>
      <c r="F67">
        <f>E67*1600</f>
        <v>22400</v>
      </c>
      <c r="G67">
        <f>E67*500</f>
        <v>7000</v>
      </c>
      <c r="H67">
        <f>E67*1100</f>
        <v>15400</v>
      </c>
    </row>
    <row r="68" spans="1:8" hidden="1" x14ac:dyDescent="0.25">
      <c r="C68" t="s">
        <v>217</v>
      </c>
      <c r="D68" t="s">
        <v>11</v>
      </c>
      <c r="E68">
        <v>12</v>
      </c>
      <c r="F68">
        <f>E68*1500</f>
        <v>18000</v>
      </c>
      <c r="G68">
        <f>E68*500</f>
        <v>6000</v>
      </c>
      <c r="H68">
        <v>12000</v>
      </c>
    </row>
    <row r="69" spans="1:8" hidden="1" x14ac:dyDescent="0.25">
      <c r="D69" t="s">
        <v>14</v>
      </c>
      <c r="E69">
        <v>1</v>
      </c>
      <c r="F69">
        <v>10000</v>
      </c>
      <c r="G69">
        <v>5500</v>
      </c>
      <c r="H69">
        <v>4500</v>
      </c>
    </row>
    <row r="70" spans="1:8" x14ac:dyDescent="0.25">
      <c r="D70" t="s">
        <v>436</v>
      </c>
      <c r="E70">
        <v>1</v>
      </c>
      <c r="F70">
        <v>3000</v>
      </c>
      <c r="G70">
        <v>1500</v>
      </c>
      <c r="H70">
        <v>1500</v>
      </c>
    </row>
    <row r="71" spans="1:8" hidden="1" x14ac:dyDescent="0.25">
      <c r="C71" t="s">
        <v>16</v>
      </c>
      <c r="D71" t="s">
        <v>11</v>
      </c>
      <c r="E71">
        <v>60</v>
      </c>
      <c r="F71">
        <f>E71*1500</f>
        <v>90000</v>
      </c>
      <c r="G71">
        <f>E71*500</f>
        <v>30000</v>
      </c>
      <c r="H71">
        <v>60000</v>
      </c>
    </row>
    <row r="72" spans="1:8" hidden="1" x14ac:dyDescent="0.25">
      <c r="D72" t="s">
        <v>12</v>
      </c>
      <c r="E72">
        <v>4</v>
      </c>
      <c r="F72">
        <f>E72*3000</f>
        <v>12000</v>
      </c>
      <c r="G72">
        <v>8000</v>
      </c>
      <c r="H72">
        <v>4000</v>
      </c>
    </row>
    <row r="73" spans="1:8" hidden="1" x14ac:dyDescent="0.25">
      <c r="C73" t="s">
        <v>693</v>
      </c>
      <c r="D73" t="s">
        <v>11</v>
      </c>
      <c r="E73">
        <v>4</v>
      </c>
      <c r="F73">
        <f>E73*2000</f>
        <v>8000</v>
      </c>
      <c r="G73">
        <f>E73*500</f>
        <v>2000</v>
      </c>
      <c r="H73">
        <f>E73*1500</f>
        <v>6000</v>
      </c>
    </row>
    <row r="74" spans="1:8" hidden="1" x14ac:dyDescent="0.25">
      <c r="D74" t="s">
        <v>13</v>
      </c>
      <c r="E74">
        <v>6</v>
      </c>
      <c r="F74">
        <f>E74*7500</f>
        <v>45000</v>
      </c>
      <c r="G74">
        <f>E74*4500</f>
        <v>27000</v>
      </c>
      <c r="H74">
        <f>E74*3000</f>
        <v>18000</v>
      </c>
    </row>
    <row r="75" spans="1:8" hidden="1" x14ac:dyDescent="0.25">
      <c r="D75" t="s">
        <v>14</v>
      </c>
      <c r="E75">
        <v>4</v>
      </c>
      <c r="F75">
        <f>E75*10000</f>
        <v>40000</v>
      </c>
      <c r="G75">
        <f>E75*5500</f>
        <v>22000</v>
      </c>
      <c r="H75">
        <f>E75*4500</f>
        <v>18000</v>
      </c>
    </row>
    <row r="76" spans="1:8" hidden="1" x14ac:dyDescent="0.25">
      <c r="A76" s="111" t="s">
        <v>17</v>
      </c>
      <c r="B76" s="111"/>
      <c r="C76" s="111"/>
      <c r="D76" s="111"/>
      <c r="E76" s="13">
        <f>SUM(E66:E75)</f>
        <v>181</v>
      </c>
      <c r="F76" s="13">
        <f t="shared" ref="F76:H76" si="6">SUM(F66:F75)</f>
        <v>383400</v>
      </c>
      <c r="G76" s="13">
        <f t="shared" si="6"/>
        <v>146500</v>
      </c>
      <c r="H76" s="13">
        <f t="shared" si="6"/>
        <v>236900</v>
      </c>
    </row>
    <row r="77" spans="1:8" hidden="1" x14ac:dyDescent="0.25">
      <c r="A77" t="s">
        <v>32</v>
      </c>
      <c r="B77" s="3">
        <v>45478</v>
      </c>
      <c r="C77" t="s">
        <v>693</v>
      </c>
      <c r="D77" t="s">
        <v>11</v>
      </c>
      <c r="E77">
        <v>20</v>
      </c>
      <c r="F77">
        <f>E77*2000</f>
        <v>40000</v>
      </c>
      <c r="G77">
        <f>E77*500</f>
        <v>10000</v>
      </c>
      <c r="H77">
        <f>E77*1500</f>
        <v>30000</v>
      </c>
    </row>
    <row r="78" spans="1:8" hidden="1" x14ac:dyDescent="0.25">
      <c r="D78" t="s">
        <v>12</v>
      </c>
      <c r="E78">
        <v>5</v>
      </c>
      <c r="F78">
        <f>E78*3000</f>
        <v>15000</v>
      </c>
      <c r="G78">
        <v>10000</v>
      </c>
      <c r="H78">
        <v>5000</v>
      </c>
    </row>
    <row r="79" spans="1:8" hidden="1" x14ac:dyDescent="0.25">
      <c r="D79" t="s">
        <v>13</v>
      </c>
      <c r="E79">
        <v>10</v>
      </c>
      <c r="F79">
        <f>E79*7500</f>
        <v>75000</v>
      </c>
      <c r="G79">
        <f>E79*4500</f>
        <v>45000</v>
      </c>
      <c r="H79">
        <f>E79*3000</f>
        <v>30000</v>
      </c>
    </row>
    <row r="80" spans="1:8" hidden="1" x14ac:dyDescent="0.25">
      <c r="D80" t="s">
        <v>14</v>
      </c>
      <c r="E80">
        <v>10</v>
      </c>
      <c r="F80">
        <f>E80*10000</f>
        <v>100000</v>
      </c>
      <c r="G80">
        <f>E80*5500</f>
        <v>55000</v>
      </c>
      <c r="H80">
        <f>E80*4500</f>
        <v>45000</v>
      </c>
    </row>
    <row r="81" spans="1:8" hidden="1" x14ac:dyDescent="0.25">
      <c r="D81" t="s">
        <v>243</v>
      </c>
      <c r="E81">
        <v>3</v>
      </c>
      <c r="F81">
        <f>E81*13000</f>
        <v>39000</v>
      </c>
      <c r="G81">
        <f>E81*10000</f>
        <v>30000</v>
      </c>
      <c r="H81">
        <v>9000</v>
      </c>
    </row>
    <row r="82" spans="1:8" hidden="1" x14ac:dyDescent="0.25">
      <c r="C82" t="s">
        <v>16</v>
      </c>
      <c r="D82" t="s">
        <v>11</v>
      </c>
      <c r="E82">
        <f>65-29</f>
        <v>36</v>
      </c>
      <c r="F82">
        <f>E82*1500</f>
        <v>54000</v>
      </c>
      <c r="G82">
        <f>E82*500</f>
        <v>18000</v>
      </c>
      <c r="H82">
        <v>36000</v>
      </c>
    </row>
    <row r="83" spans="1:8" hidden="1" x14ac:dyDescent="0.25">
      <c r="D83" t="s">
        <v>13</v>
      </c>
      <c r="E83">
        <v>1</v>
      </c>
      <c r="F83">
        <v>6500</v>
      </c>
      <c r="G83">
        <v>4500</v>
      </c>
      <c r="H83">
        <v>2000</v>
      </c>
    </row>
    <row r="84" spans="1:8" hidden="1" x14ac:dyDescent="0.25">
      <c r="D84" t="s">
        <v>243</v>
      </c>
      <c r="E84">
        <v>1</v>
      </c>
      <c r="F84">
        <v>13000</v>
      </c>
      <c r="G84">
        <v>10000</v>
      </c>
      <c r="H84">
        <v>3000</v>
      </c>
    </row>
    <row r="85" spans="1:8" hidden="1" x14ac:dyDescent="0.25">
      <c r="C85" t="s">
        <v>217</v>
      </c>
      <c r="D85" t="s">
        <v>11</v>
      </c>
      <c r="E85">
        <v>12</v>
      </c>
      <c r="F85">
        <f>E85*1500</f>
        <v>18000</v>
      </c>
      <c r="G85">
        <f>E85*500</f>
        <v>6000</v>
      </c>
      <c r="H85">
        <v>12000</v>
      </c>
    </row>
    <row r="86" spans="1:8" hidden="1" x14ac:dyDescent="0.25">
      <c r="D86" t="s">
        <v>13</v>
      </c>
      <c r="E86">
        <v>1</v>
      </c>
      <c r="F86">
        <v>6500</v>
      </c>
      <c r="G86">
        <v>4500</v>
      </c>
      <c r="H86">
        <v>2000</v>
      </c>
    </row>
    <row r="87" spans="1:8" hidden="1" x14ac:dyDescent="0.25">
      <c r="D87" t="s">
        <v>425</v>
      </c>
      <c r="E87">
        <v>1</v>
      </c>
      <c r="F87">
        <v>2000</v>
      </c>
      <c r="G87">
        <v>1000</v>
      </c>
      <c r="H87">
        <v>1000</v>
      </c>
    </row>
    <row r="88" spans="1:8" hidden="1" x14ac:dyDescent="0.25">
      <c r="D88" t="s">
        <v>441</v>
      </c>
      <c r="E88">
        <v>1</v>
      </c>
      <c r="F88">
        <v>3000</v>
      </c>
      <c r="G88">
        <v>1500</v>
      </c>
      <c r="H88">
        <v>1500</v>
      </c>
    </row>
    <row r="89" spans="1:8" hidden="1" x14ac:dyDescent="0.25">
      <c r="D89" t="s">
        <v>415</v>
      </c>
      <c r="E89">
        <v>1</v>
      </c>
      <c r="F89">
        <v>5000</v>
      </c>
      <c r="G89">
        <v>2500</v>
      </c>
      <c r="H89">
        <v>2500</v>
      </c>
    </row>
    <row r="90" spans="1:8" hidden="1" x14ac:dyDescent="0.25">
      <c r="C90" t="s">
        <v>24</v>
      </c>
      <c r="D90" t="s">
        <v>13</v>
      </c>
      <c r="E90">
        <v>6</v>
      </c>
      <c r="F90">
        <f>E90*6500</f>
        <v>39000</v>
      </c>
      <c r="G90">
        <f>E90*4500</f>
        <v>27000</v>
      </c>
      <c r="H90">
        <f>E90*2000</f>
        <v>12000</v>
      </c>
    </row>
    <row r="91" spans="1:8" hidden="1" x14ac:dyDescent="0.25">
      <c r="D91" t="s">
        <v>14</v>
      </c>
      <c r="E91">
        <v>3</v>
      </c>
      <c r="F91">
        <f>E91*10000</f>
        <v>30000</v>
      </c>
      <c r="G91">
        <f>E91*5500</f>
        <v>16500</v>
      </c>
      <c r="H91">
        <f>E91*4500</f>
        <v>13500</v>
      </c>
    </row>
    <row r="92" spans="1:8" hidden="1" x14ac:dyDescent="0.25">
      <c r="A92" s="142" t="s">
        <v>17</v>
      </c>
      <c r="B92" s="142"/>
      <c r="C92" s="142"/>
      <c r="D92" s="142"/>
      <c r="E92" s="13">
        <f>SUM(E77:E91)</f>
        <v>111</v>
      </c>
      <c r="F92" s="13">
        <f t="shared" ref="F92:H92" si="7">SUM(F77:F91)</f>
        <v>446000</v>
      </c>
      <c r="G92" s="13">
        <f t="shared" si="7"/>
        <v>241500</v>
      </c>
      <c r="H92" s="13">
        <f t="shared" si="7"/>
        <v>204500</v>
      </c>
    </row>
    <row r="93" spans="1:8" hidden="1" x14ac:dyDescent="0.25">
      <c r="A93" t="s">
        <v>8</v>
      </c>
      <c r="B93" s="3">
        <v>45509</v>
      </c>
      <c r="C93" t="s">
        <v>338</v>
      </c>
      <c r="D93" t="s">
        <v>11</v>
      </c>
      <c r="E93">
        <f>140+75</f>
        <v>215</v>
      </c>
      <c r="F93">
        <f>E93*1800</f>
        <v>387000</v>
      </c>
      <c r="G93">
        <f>E93*500</f>
        <v>107500</v>
      </c>
      <c r="H93">
        <f>E93*1300</f>
        <v>279500</v>
      </c>
    </row>
    <row r="94" spans="1:8" hidden="1" x14ac:dyDescent="0.25">
      <c r="C94" t="s">
        <v>571</v>
      </c>
      <c r="D94" t="s">
        <v>11</v>
      </c>
      <c r="E94">
        <v>79</v>
      </c>
      <c r="F94">
        <f>E94*1700</f>
        <v>134300</v>
      </c>
      <c r="G94">
        <f>E94*500</f>
        <v>39500</v>
      </c>
      <c r="H94">
        <f>E94*1200</f>
        <v>94800</v>
      </c>
    </row>
    <row r="95" spans="1:8" hidden="1" x14ac:dyDescent="0.25">
      <c r="C95" t="s">
        <v>217</v>
      </c>
      <c r="D95" t="s">
        <v>11</v>
      </c>
      <c r="E95">
        <v>20</v>
      </c>
      <c r="F95">
        <f>E95*1500</f>
        <v>30000</v>
      </c>
      <c r="G95">
        <f>E95*500</f>
        <v>10000</v>
      </c>
      <c r="H95">
        <f>E95*1000</f>
        <v>20000</v>
      </c>
    </row>
    <row r="96" spans="1:8" hidden="1" x14ac:dyDescent="0.25">
      <c r="D96" t="s">
        <v>14</v>
      </c>
      <c r="E96">
        <v>3</v>
      </c>
      <c r="F96">
        <f>E96*8000</f>
        <v>24000</v>
      </c>
      <c r="G96">
        <f>E96*5500</f>
        <v>16500</v>
      </c>
      <c r="H96">
        <f>E96*2500</f>
        <v>7500</v>
      </c>
    </row>
    <row r="97" spans="1:8" hidden="1" x14ac:dyDescent="0.25">
      <c r="D97" t="s">
        <v>415</v>
      </c>
      <c r="E97">
        <v>1</v>
      </c>
      <c r="F97">
        <v>5000</v>
      </c>
      <c r="G97">
        <v>2500</v>
      </c>
      <c r="H97">
        <v>2500</v>
      </c>
    </row>
    <row r="98" spans="1:8" hidden="1" x14ac:dyDescent="0.25">
      <c r="D98" t="s">
        <v>441</v>
      </c>
      <c r="E98">
        <v>1</v>
      </c>
      <c r="F98">
        <v>3000</v>
      </c>
      <c r="G98">
        <v>1500</v>
      </c>
      <c r="H98">
        <v>1500</v>
      </c>
    </row>
    <row r="99" spans="1:8" hidden="1" x14ac:dyDescent="0.25">
      <c r="C99" t="s">
        <v>16</v>
      </c>
      <c r="D99" t="s">
        <v>11</v>
      </c>
      <c r="E99">
        <v>45</v>
      </c>
      <c r="F99">
        <f>E99*1500</f>
        <v>67500</v>
      </c>
      <c r="G99">
        <f>E99*500</f>
        <v>22500</v>
      </c>
      <c r="H99">
        <v>45000</v>
      </c>
    </row>
    <row r="100" spans="1:8" hidden="1" x14ac:dyDescent="0.25">
      <c r="D100" t="s">
        <v>12</v>
      </c>
      <c r="E100">
        <v>2</v>
      </c>
      <c r="F100">
        <v>6000</v>
      </c>
      <c r="G100">
        <v>4000</v>
      </c>
      <c r="H100">
        <v>2000</v>
      </c>
    </row>
    <row r="101" spans="1:8" hidden="1" x14ac:dyDescent="0.25">
      <c r="D101" t="s">
        <v>13</v>
      </c>
      <c r="E101">
        <v>0</v>
      </c>
      <c r="F101">
        <v>0</v>
      </c>
      <c r="G101">
        <v>0</v>
      </c>
      <c r="H101">
        <v>0</v>
      </c>
    </row>
    <row r="102" spans="1:8" hidden="1" x14ac:dyDescent="0.25">
      <c r="D102" t="s">
        <v>14</v>
      </c>
      <c r="E102">
        <v>1</v>
      </c>
      <c r="F102">
        <v>10000</v>
      </c>
      <c r="G102">
        <v>5500</v>
      </c>
      <c r="H102">
        <v>4500</v>
      </c>
    </row>
    <row r="103" spans="1:8" hidden="1" x14ac:dyDescent="0.25">
      <c r="D103" t="s">
        <v>243</v>
      </c>
      <c r="E103">
        <v>1</v>
      </c>
      <c r="F103">
        <v>13000</v>
      </c>
      <c r="G103">
        <v>10000</v>
      </c>
      <c r="H103">
        <v>3000</v>
      </c>
    </row>
    <row r="104" spans="1:8" hidden="1" x14ac:dyDescent="0.25">
      <c r="A104" s="143" t="s">
        <v>17</v>
      </c>
      <c r="B104" s="143"/>
      <c r="C104" s="143"/>
      <c r="D104" s="143"/>
      <c r="E104" s="13">
        <f>SUM(E93:E103)</f>
        <v>368</v>
      </c>
      <c r="F104" s="13">
        <f t="shared" ref="F104:H104" si="8">SUM(F93:F103)</f>
        <v>679800</v>
      </c>
      <c r="G104" s="13">
        <f t="shared" si="8"/>
        <v>219500</v>
      </c>
      <c r="H104" s="13">
        <f t="shared" si="8"/>
        <v>460300</v>
      </c>
    </row>
    <row r="105" spans="1:8" hidden="1" x14ac:dyDescent="0.25">
      <c r="A105" t="s">
        <v>18</v>
      </c>
      <c r="B105" s="3">
        <v>45540</v>
      </c>
      <c r="C105" t="s">
        <v>16</v>
      </c>
      <c r="D105" t="s">
        <v>11</v>
      </c>
      <c r="E105">
        <v>55</v>
      </c>
      <c r="F105">
        <f>E105*1500</f>
        <v>82500</v>
      </c>
      <c r="G105">
        <f>E105*500</f>
        <v>27500</v>
      </c>
      <c r="H105">
        <v>55000</v>
      </c>
    </row>
    <row r="106" spans="1:8" hidden="1" x14ac:dyDescent="0.25">
      <c r="D106" t="s">
        <v>12</v>
      </c>
      <c r="E106">
        <v>3</v>
      </c>
      <c r="F106">
        <v>9000</v>
      </c>
      <c r="G106">
        <v>6000</v>
      </c>
      <c r="H106">
        <v>3000</v>
      </c>
    </row>
    <row r="107" spans="1:8" hidden="1" x14ac:dyDescent="0.25">
      <c r="D107" t="s">
        <v>13</v>
      </c>
      <c r="E107">
        <v>2</v>
      </c>
      <c r="F107">
        <v>13000</v>
      </c>
      <c r="G107">
        <f>E107*4500</f>
        <v>9000</v>
      </c>
      <c r="H107">
        <f>E107*2000</f>
        <v>4000</v>
      </c>
    </row>
    <row r="108" spans="1:8" hidden="1" x14ac:dyDescent="0.25">
      <c r="D108" t="s">
        <v>14</v>
      </c>
      <c r="E108">
        <v>1</v>
      </c>
      <c r="F108">
        <v>10000</v>
      </c>
      <c r="G108">
        <v>5500</v>
      </c>
      <c r="H108">
        <v>4500</v>
      </c>
    </row>
    <row r="109" spans="1:8" hidden="1" x14ac:dyDescent="0.25">
      <c r="A109" s="111" t="s">
        <v>17</v>
      </c>
      <c r="B109" s="111"/>
      <c r="C109" s="111"/>
      <c r="D109" s="111"/>
      <c r="E109" s="13">
        <f>SUM(E105:E108)</f>
        <v>61</v>
      </c>
      <c r="F109" s="13">
        <f t="shared" ref="F109:H109" si="9">SUM(F105:F108)</f>
        <v>114500</v>
      </c>
      <c r="G109" s="13">
        <f t="shared" si="9"/>
        <v>48000</v>
      </c>
      <c r="H109" s="13">
        <f t="shared" si="9"/>
        <v>66500</v>
      </c>
    </row>
    <row r="110" spans="1:8" hidden="1" x14ac:dyDescent="0.25">
      <c r="A110" t="s">
        <v>22</v>
      </c>
      <c r="B110" s="3">
        <v>45570</v>
      </c>
      <c r="C110" t="s">
        <v>16</v>
      </c>
      <c r="D110" t="s">
        <v>11</v>
      </c>
      <c r="E110">
        <v>33</v>
      </c>
      <c r="F110">
        <f>E110*1500</f>
        <v>49500</v>
      </c>
      <c r="G110">
        <f>E110*500</f>
        <v>16500</v>
      </c>
      <c r="H110">
        <v>33000</v>
      </c>
    </row>
    <row r="111" spans="1:8" hidden="1" x14ac:dyDescent="0.25">
      <c r="D111" t="s">
        <v>12</v>
      </c>
      <c r="E111">
        <v>5</v>
      </c>
      <c r="F111">
        <f>E111*3000</f>
        <v>15000</v>
      </c>
      <c r="G111">
        <v>10000</v>
      </c>
      <c r="H111">
        <v>5000</v>
      </c>
    </row>
    <row r="112" spans="1:8" hidden="1" x14ac:dyDescent="0.25">
      <c r="C112" t="s">
        <v>24</v>
      </c>
      <c r="D112" t="s">
        <v>243</v>
      </c>
      <c r="E112">
        <v>8</v>
      </c>
      <c r="F112">
        <f>E112*13000</f>
        <v>104000</v>
      </c>
      <c r="G112">
        <v>80000</v>
      </c>
      <c r="H112">
        <v>24000</v>
      </c>
    </row>
    <row r="113" spans="1:8" hidden="1" x14ac:dyDescent="0.25">
      <c r="A113" s="142" t="s">
        <v>17</v>
      </c>
      <c r="B113" s="142"/>
      <c r="C113" s="142"/>
      <c r="D113" s="142"/>
      <c r="E113" s="13">
        <f>SUM(E110:E112)</f>
        <v>46</v>
      </c>
      <c r="F113" s="13">
        <f t="shared" ref="F113:H113" si="10">SUM(F110:F112)</f>
        <v>168500</v>
      </c>
      <c r="G113" s="13">
        <f t="shared" si="10"/>
        <v>106500</v>
      </c>
      <c r="H113" s="13">
        <f t="shared" si="10"/>
        <v>62000</v>
      </c>
    </row>
    <row r="114" spans="1:8" hidden="1" x14ac:dyDescent="0.25">
      <c r="A114" t="s">
        <v>26</v>
      </c>
      <c r="B114" s="3">
        <v>45601</v>
      </c>
      <c r="C114" t="s">
        <v>16</v>
      </c>
      <c r="D114" t="s">
        <v>11</v>
      </c>
      <c r="E114">
        <v>38</v>
      </c>
      <c r="F114">
        <f>E114*1500</f>
        <v>57000</v>
      </c>
      <c r="G114">
        <f>E114*500</f>
        <v>19000</v>
      </c>
      <c r="H114">
        <v>38000</v>
      </c>
    </row>
    <row r="115" spans="1:8" hidden="1" x14ac:dyDescent="0.25">
      <c r="D115" t="s">
        <v>12</v>
      </c>
      <c r="E115">
        <v>1</v>
      </c>
      <c r="F115">
        <v>3000</v>
      </c>
      <c r="G115">
        <v>2000</v>
      </c>
      <c r="H115">
        <v>1000</v>
      </c>
    </row>
    <row r="116" spans="1:8" hidden="1" x14ac:dyDescent="0.25">
      <c r="C116" t="s">
        <v>338</v>
      </c>
      <c r="D116" t="s">
        <v>11</v>
      </c>
      <c r="E116">
        <v>75</v>
      </c>
      <c r="F116">
        <f>E116*1800</f>
        <v>135000</v>
      </c>
      <c r="G116">
        <f>E116*500</f>
        <v>37500</v>
      </c>
      <c r="H116">
        <f>E116*1300</f>
        <v>97500</v>
      </c>
    </row>
    <row r="117" spans="1:8" hidden="1" x14ac:dyDescent="0.25">
      <c r="C117" t="s">
        <v>104</v>
      </c>
      <c r="D117" t="s">
        <v>11</v>
      </c>
      <c r="E117">
        <v>97</v>
      </c>
      <c r="F117">
        <f>E117*1700</f>
        <v>164900</v>
      </c>
      <c r="G117">
        <f>E117*500</f>
        <v>48500</v>
      </c>
      <c r="H117">
        <f>E117*1200</f>
        <v>116400</v>
      </c>
    </row>
    <row r="118" spans="1:8" hidden="1" x14ac:dyDescent="0.25">
      <c r="C118" t="s">
        <v>217</v>
      </c>
      <c r="D118" t="s">
        <v>11</v>
      </c>
      <c r="E118">
        <v>11</v>
      </c>
      <c r="F118">
        <f>E118*1500</f>
        <v>16500</v>
      </c>
      <c r="G118">
        <f>E118*500</f>
        <v>5500</v>
      </c>
      <c r="H118">
        <v>11000</v>
      </c>
    </row>
    <row r="119" spans="1:8" hidden="1" x14ac:dyDescent="0.25">
      <c r="D119" t="s">
        <v>441</v>
      </c>
      <c r="E119">
        <v>3</v>
      </c>
      <c r="F119">
        <v>9000</v>
      </c>
      <c r="G119">
        <v>6000</v>
      </c>
      <c r="H119">
        <v>3000</v>
      </c>
    </row>
    <row r="120" spans="1:8" hidden="1" x14ac:dyDescent="0.25">
      <c r="C120" t="s">
        <v>20</v>
      </c>
      <c r="D120" t="s">
        <v>11</v>
      </c>
      <c r="E120">
        <v>13</v>
      </c>
      <c r="F120">
        <f>E120*2000</f>
        <v>26000</v>
      </c>
      <c r="G120">
        <f>E120*500</f>
        <v>6500</v>
      </c>
      <c r="H120">
        <f>E120*1500</f>
        <v>19500</v>
      </c>
    </row>
    <row r="121" spans="1:8" hidden="1" x14ac:dyDescent="0.25">
      <c r="D121" t="s">
        <v>13</v>
      </c>
      <c r="E121">
        <v>4</v>
      </c>
      <c r="F121">
        <f>E121*6500</f>
        <v>26000</v>
      </c>
      <c r="G121">
        <f>E121*4500</f>
        <v>18000</v>
      </c>
      <c r="H121">
        <f>E121*2000</f>
        <v>8000</v>
      </c>
    </row>
    <row r="122" spans="1:8" hidden="1" x14ac:dyDescent="0.25">
      <c r="D122" t="s">
        <v>14</v>
      </c>
      <c r="E122">
        <v>4</v>
      </c>
      <c r="F122">
        <f>E122*10000</f>
        <v>40000</v>
      </c>
      <c r="G122">
        <f>E122*5500</f>
        <v>22000</v>
      </c>
      <c r="H122">
        <f>E122*4500</f>
        <v>18000</v>
      </c>
    </row>
    <row r="123" spans="1:8" hidden="1" x14ac:dyDescent="0.25">
      <c r="A123" s="111" t="s">
        <v>17</v>
      </c>
      <c r="B123" s="111"/>
      <c r="C123" s="111"/>
      <c r="D123" s="111"/>
      <c r="E123" s="1">
        <f>SUM(E114:E122)</f>
        <v>246</v>
      </c>
      <c r="F123" s="13">
        <f t="shared" ref="F123:H123" si="11">SUM(F114:F122)</f>
        <v>477400</v>
      </c>
      <c r="G123" s="13">
        <f t="shared" si="11"/>
        <v>165000</v>
      </c>
      <c r="H123" s="13">
        <f t="shared" si="11"/>
        <v>312400</v>
      </c>
    </row>
    <row r="124" spans="1:8" hidden="1" x14ac:dyDescent="0.25">
      <c r="A124" t="s">
        <v>28</v>
      </c>
      <c r="B124" s="3">
        <v>45631</v>
      </c>
      <c r="C124" t="s">
        <v>217</v>
      </c>
      <c r="D124" t="s">
        <v>11</v>
      </c>
      <c r="E124">
        <v>12</v>
      </c>
      <c r="F124">
        <f>E124*1500</f>
        <v>18000</v>
      </c>
      <c r="G124">
        <f>E124*500</f>
        <v>6000</v>
      </c>
      <c r="H124">
        <v>12000</v>
      </c>
    </row>
    <row r="125" spans="1:8" hidden="1" x14ac:dyDescent="0.25">
      <c r="D125" t="s">
        <v>13</v>
      </c>
      <c r="E125">
        <v>7</v>
      </c>
      <c r="F125">
        <f>E125*6500</f>
        <v>45500</v>
      </c>
      <c r="G125">
        <f>E125*4500</f>
        <v>31500</v>
      </c>
      <c r="H125">
        <f>E125*2000</f>
        <v>14000</v>
      </c>
    </row>
    <row r="126" spans="1:8" hidden="1" x14ac:dyDescent="0.25">
      <c r="D126" t="s">
        <v>14</v>
      </c>
      <c r="E126">
        <v>9</v>
      </c>
      <c r="F126">
        <f>E126*10000</f>
        <v>90000</v>
      </c>
      <c r="G126">
        <f>E126*5500</f>
        <v>49500</v>
      </c>
      <c r="H126">
        <f>E126*4500</f>
        <v>40500</v>
      </c>
    </row>
    <row r="127" spans="1:8" hidden="1" x14ac:dyDescent="0.25">
      <c r="D127" t="s">
        <v>415</v>
      </c>
      <c r="E127">
        <v>1</v>
      </c>
      <c r="F127">
        <f>E127*5000</f>
        <v>5000</v>
      </c>
      <c r="G127">
        <v>2500</v>
      </c>
      <c r="H127">
        <v>2500</v>
      </c>
    </row>
    <row r="128" spans="1:8" hidden="1" x14ac:dyDescent="0.25">
      <c r="D128" t="s">
        <v>243</v>
      </c>
      <c r="E128">
        <v>1</v>
      </c>
      <c r="F128">
        <v>13000</v>
      </c>
      <c r="G128">
        <v>10000</v>
      </c>
      <c r="H128">
        <v>3000</v>
      </c>
    </row>
    <row r="129" spans="1:8" hidden="1" x14ac:dyDescent="0.25">
      <c r="C129" t="s">
        <v>693</v>
      </c>
      <c r="D129" t="s">
        <v>11</v>
      </c>
      <c r="E129">
        <v>10</v>
      </c>
      <c r="F129">
        <f>E129*2000</f>
        <v>20000</v>
      </c>
      <c r="G129">
        <f>E129*500</f>
        <v>5000</v>
      </c>
      <c r="H129">
        <f>E129*1500</f>
        <v>15000</v>
      </c>
    </row>
    <row r="130" spans="1:8" hidden="1" x14ac:dyDescent="0.25">
      <c r="D130" t="s">
        <v>13</v>
      </c>
      <c r="E130">
        <v>30</v>
      </c>
      <c r="F130">
        <f>E130*7000</f>
        <v>210000</v>
      </c>
      <c r="G130">
        <f>E130*4500</f>
        <v>135000</v>
      </c>
      <c r="H130">
        <f>E130*2500</f>
        <v>75000</v>
      </c>
    </row>
    <row r="131" spans="1:8" hidden="1" x14ac:dyDescent="0.25">
      <c r="D131" t="s">
        <v>14</v>
      </c>
      <c r="E131">
        <v>32</v>
      </c>
      <c r="F131">
        <f>E131*10000</f>
        <v>320000</v>
      </c>
      <c r="G131">
        <f>E131*5500</f>
        <v>176000</v>
      </c>
      <c r="H131">
        <f>E131*4500</f>
        <v>144000</v>
      </c>
    </row>
    <row r="132" spans="1:8" hidden="1" x14ac:dyDescent="0.25">
      <c r="D132" t="s">
        <v>243</v>
      </c>
      <c r="E132">
        <v>1</v>
      </c>
      <c r="F132">
        <v>13000</v>
      </c>
      <c r="G132">
        <v>10000</v>
      </c>
      <c r="H132">
        <v>3000</v>
      </c>
    </row>
    <row r="133" spans="1:8" hidden="1" x14ac:dyDescent="0.25">
      <c r="C133" t="s">
        <v>16</v>
      </c>
      <c r="D133" t="s">
        <v>11</v>
      </c>
      <c r="E133">
        <v>38</v>
      </c>
      <c r="F133">
        <f>E133*1500</f>
        <v>57000</v>
      </c>
      <c r="G133">
        <f>E133*500</f>
        <v>19000</v>
      </c>
      <c r="H133">
        <v>38000</v>
      </c>
    </row>
    <row r="134" spans="1:8" hidden="1" x14ac:dyDescent="0.25">
      <c r="D134" t="s">
        <v>12</v>
      </c>
      <c r="E134">
        <v>1</v>
      </c>
      <c r="F134">
        <v>3000</v>
      </c>
      <c r="G134">
        <v>2000</v>
      </c>
      <c r="H134">
        <v>1000</v>
      </c>
    </row>
    <row r="135" spans="1:8" hidden="1" x14ac:dyDescent="0.25">
      <c r="D135" t="s">
        <v>13</v>
      </c>
      <c r="E135">
        <v>0</v>
      </c>
      <c r="F135">
        <v>0</v>
      </c>
      <c r="G135">
        <v>0</v>
      </c>
      <c r="H135">
        <v>0</v>
      </c>
    </row>
    <row r="136" spans="1:8" hidden="1" x14ac:dyDescent="0.25">
      <c r="D136" t="s">
        <v>14</v>
      </c>
      <c r="E136">
        <v>0</v>
      </c>
      <c r="F136">
        <v>0</v>
      </c>
      <c r="G136">
        <v>0</v>
      </c>
      <c r="H136">
        <v>0</v>
      </c>
    </row>
    <row r="137" spans="1:8" hidden="1" x14ac:dyDescent="0.25">
      <c r="D137" t="s">
        <v>243</v>
      </c>
      <c r="E137">
        <v>0</v>
      </c>
      <c r="F137">
        <v>0</v>
      </c>
      <c r="G137">
        <v>0</v>
      </c>
      <c r="H137">
        <v>0</v>
      </c>
    </row>
    <row r="138" spans="1:8" hidden="1" x14ac:dyDescent="0.25">
      <c r="A138" s="142" t="s">
        <v>17</v>
      </c>
      <c r="B138" s="142"/>
      <c r="C138" s="142"/>
      <c r="D138" s="142"/>
      <c r="E138" s="13">
        <f>SUM(E124:E137)</f>
        <v>142</v>
      </c>
      <c r="F138" s="13">
        <f t="shared" ref="F138:H138" si="12">SUM(F124:F137)</f>
        <v>794500</v>
      </c>
      <c r="G138" s="13">
        <f t="shared" si="12"/>
        <v>446500</v>
      </c>
      <c r="H138" s="13">
        <f t="shared" si="12"/>
        <v>348000</v>
      </c>
    </row>
    <row r="139" spans="1:8" hidden="1" x14ac:dyDescent="0.25">
      <c r="A139" t="s">
        <v>30</v>
      </c>
      <c r="B139" t="s">
        <v>779</v>
      </c>
      <c r="C139" t="s">
        <v>209</v>
      </c>
      <c r="D139" t="s">
        <v>11</v>
      </c>
      <c r="E139">
        <v>6</v>
      </c>
      <c r="F139">
        <f>E139*1600</f>
        <v>9600</v>
      </c>
      <c r="G139">
        <f>E139*500</f>
        <v>3000</v>
      </c>
      <c r="H139">
        <f>E139*1100</f>
        <v>6600</v>
      </c>
    </row>
    <row r="140" spans="1:8" hidden="1" x14ac:dyDescent="0.25">
      <c r="C140" t="s">
        <v>571</v>
      </c>
      <c r="D140" t="s">
        <v>11</v>
      </c>
      <c r="E140">
        <v>35</v>
      </c>
      <c r="F140">
        <f>E140*1700</f>
        <v>59500</v>
      </c>
      <c r="G140">
        <f>E140*500</f>
        <v>17500</v>
      </c>
      <c r="H140">
        <f>E140*1200</f>
        <v>42000</v>
      </c>
    </row>
    <row r="141" spans="1:8" hidden="1" x14ac:dyDescent="0.25">
      <c r="C141" t="s">
        <v>16</v>
      </c>
      <c r="D141" t="s">
        <v>11</v>
      </c>
      <c r="E141">
        <v>60</v>
      </c>
      <c r="F141">
        <f>E141*1500</f>
        <v>90000</v>
      </c>
      <c r="G141">
        <f>E141*500</f>
        <v>30000</v>
      </c>
      <c r="H141">
        <v>60000</v>
      </c>
    </row>
    <row r="142" spans="1:8" hidden="1" x14ac:dyDescent="0.25">
      <c r="D142" t="s">
        <v>12</v>
      </c>
      <c r="E142">
        <v>3</v>
      </c>
      <c r="F142">
        <v>9000</v>
      </c>
      <c r="G142">
        <v>6000</v>
      </c>
      <c r="H142">
        <v>3000</v>
      </c>
    </row>
    <row r="143" spans="1:8" hidden="1" x14ac:dyDescent="0.25">
      <c r="D143" t="s">
        <v>243</v>
      </c>
      <c r="E143">
        <v>1</v>
      </c>
      <c r="F143">
        <v>13000</v>
      </c>
      <c r="G143">
        <v>10000</v>
      </c>
      <c r="H143">
        <v>3000</v>
      </c>
    </row>
    <row r="144" spans="1:8" hidden="1" x14ac:dyDescent="0.25">
      <c r="C144" t="s">
        <v>24</v>
      </c>
      <c r="D144" t="s">
        <v>243</v>
      </c>
      <c r="E144">
        <v>5</v>
      </c>
    </row>
    <row r="145" spans="1:8" hidden="1" x14ac:dyDescent="0.25">
      <c r="C145" t="s">
        <v>24</v>
      </c>
      <c r="D145" t="s">
        <v>243</v>
      </c>
      <c r="E145">
        <v>10</v>
      </c>
    </row>
    <row r="146" spans="1:8" hidden="1" x14ac:dyDescent="0.25">
      <c r="C146" t="s">
        <v>554</v>
      </c>
      <c r="D146" t="s">
        <v>11</v>
      </c>
      <c r="E146">
        <v>20</v>
      </c>
    </row>
    <row r="147" spans="1:8" hidden="1" x14ac:dyDescent="0.25">
      <c r="D147" t="s">
        <v>13</v>
      </c>
      <c r="E147">
        <v>4</v>
      </c>
    </row>
    <row r="148" spans="1:8" hidden="1" x14ac:dyDescent="0.25">
      <c r="D148" t="s">
        <v>14</v>
      </c>
      <c r="E148">
        <v>4</v>
      </c>
    </row>
    <row r="149" spans="1:8" hidden="1" x14ac:dyDescent="0.25">
      <c r="D149" t="s">
        <v>243</v>
      </c>
      <c r="E149">
        <v>2</v>
      </c>
    </row>
    <row r="150" spans="1:8" hidden="1" x14ac:dyDescent="0.25">
      <c r="A150" s="111" t="s">
        <v>17</v>
      </c>
      <c r="B150" s="111"/>
      <c r="C150" s="111"/>
      <c r="D150" s="111"/>
      <c r="E150" s="13">
        <f>SUM(E139:E149)</f>
        <v>150</v>
      </c>
      <c r="F150" s="13">
        <f t="shared" ref="F150:H150" si="13">SUM(F139:F149)</f>
        <v>181100</v>
      </c>
      <c r="G150" s="13">
        <f t="shared" si="13"/>
        <v>66500</v>
      </c>
      <c r="H150" s="13">
        <f t="shared" si="13"/>
        <v>114600</v>
      </c>
    </row>
    <row r="151" spans="1:8" hidden="1" x14ac:dyDescent="0.25">
      <c r="A151" t="s">
        <v>32</v>
      </c>
      <c r="B151" t="s">
        <v>780</v>
      </c>
      <c r="C151" t="s">
        <v>338</v>
      </c>
      <c r="D151" t="s">
        <v>11</v>
      </c>
      <c r="E151">
        <v>75</v>
      </c>
      <c r="F151">
        <f>E151*1800</f>
        <v>135000</v>
      </c>
      <c r="G151">
        <f>E151*500</f>
        <v>37500</v>
      </c>
      <c r="H151">
        <f>E151*1300</f>
        <v>97500</v>
      </c>
    </row>
    <row r="152" spans="1:8" hidden="1" x14ac:dyDescent="0.25">
      <c r="C152" t="s">
        <v>209</v>
      </c>
      <c r="D152" t="s">
        <v>11</v>
      </c>
      <c r="E152">
        <v>12</v>
      </c>
      <c r="F152">
        <f>E152*1600</f>
        <v>19200</v>
      </c>
      <c r="G152">
        <f>E152*500</f>
        <v>6000</v>
      </c>
      <c r="H152">
        <f>E152*1100</f>
        <v>13200</v>
      </c>
    </row>
    <row r="153" spans="1:8" hidden="1" x14ac:dyDescent="0.25">
      <c r="C153" t="s">
        <v>571</v>
      </c>
      <c r="D153" t="s">
        <v>11</v>
      </c>
      <c r="E153">
        <v>24</v>
      </c>
      <c r="F153">
        <f>E153*1700</f>
        <v>40800</v>
      </c>
      <c r="G153">
        <f>E153*500</f>
        <v>12000</v>
      </c>
      <c r="H153">
        <f>E153*1200</f>
        <v>28800</v>
      </c>
    </row>
    <row r="154" spans="1:8" hidden="1" x14ac:dyDescent="0.25">
      <c r="C154" t="s">
        <v>16</v>
      </c>
      <c r="D154" t="s">
        <v>11</v>
      </c>
      <c r="E154">
        <v>60</v>
      </c>
      <c r="F154">
        <f>E154*1500</f>
        <v>90000</v>
      </c>
      <c r="G154">
        <f>E154*500</f>
        <v>30000</v>
      </c>
      <c r="H154">
        <v>60000</v>
      </c>
    </row>
    <row r="155" spans="1:8" hidden="1" x14ac:dyDescent="0.25">
      <c r="D155" t="s">
        <v>12</v>
      </c>
      <c r="E155">
        <v>2</v>
      </c>
      <c r="F155">
        <v>6000</v>
      </c>
      <c r="G155">
        <v>4000</v>
      </c>
      <c r="H155">
        <v>2000</v>
      </c>
    </row>
    <row r="156" spans="1:8" hidden="1" x14ac:dyDescent="0.25">
      <c r="D156" t="s">
        <v>13</v>
      </c>
      <c r="E156">
        <v>1</v>
      </c>
      <c r="F156">
        <v>6500</v>
      </c>
      <c r="G156">
        <v>4500</v>
      </c>
      <c r="H156">
        <v>2000</v>
      </c>
    </row>
    <row r="157" spans="1:8" hidden="1" x14ac:dyDescent="0.25">
      <c r="C157" t="s">
        <v>24</v>
      </c>
      <c r="D157" t="s">
        <v>243</v>
      </c>
      <c r="E157">
        <v>5</v>
      </c>
      <c r="F157">
        <f>E157*15000</f>
        <v>75000</v>
      </c>
      <c r="G157">
        <v>50000</v>
      </c>
      <c r="H157">
        <v>25000</v>
      </c>
    </row>
    <row r="158" spans="1:8" hidden="1" x14ac:dyDescent="0.25">
      <c r="A158" s="142" t="s">
        <v>17</v>
      </c>
      <c r="B158" s="142"/>
      <c r="C158" s="142"/>
      <c r="D158" s="142"/>
      <c r="E158" s="13">
        <f>SUM(E151:E157)</f>
        <v>179</v>
      </c>
      <c r="F158" s="13">
        <f t="shared" ref="F158:H158" si="14">SUM(F151:F157)</f>
        <v>372500</v>
      </c>
      <c r="G158" s="13">
        <f t="shared" si="14"/>
        <v>144000</v>
      </c>
      <c r="H158" s="13">
        <f t="shared" si="14"/>
        <v>228500</v>
      </c>
    </row>
    <row r="159" spans="1:8" hidden="1" x14ac:dyDescent="0.25">
      <c r="A159" t="s">
        <v>8</v>
      </c>
      <c r="B159" t="s">
        <v>781</v>
      </c>
      <c r="C159" t="s">
        <v>338</v>
      </c>
      <c r="D159" t="s">
        <v>11</v>
      </c>
      <c r="E159">
        <v>70</v>
      </c>
      <c r="F159">
        <f>E159*1800</f>
        <v>126000</v>
      </c>
      <c r="G159">
        <f>E159*500</f>
        <v>35000</v>
      </c>
      <c r="H159">
        <f>E159*1300</f>
        <v>91000</v>
      </c>
    </row>
    <row r="160" spans="1:8" hidden="1" x14ac:dyDescent="0.25">
      <c r="C160" t="s">
        <v>16</v>
      </c>
      <c r="D160" t="s">
        <v>11</v>
      </c>
      <c r="E160">
        <v>36</v>
      </c>
      <c r="F160">
        <f>E160*1500</f>
        <v>54000</v>
      </c>
      <c r="G160">
        <f>E160*500</f>
        <v>18000</v>
      </c>
      <c r="H160">
        <v>36000</v>
      </c>
    </row>
    <row r="161" spans="1:8" hidden="1" x14ac:dyDescent="0.25">
      <c r="D161" t="s">
        <v>12</v>
      </c>
      <c r="E161">
        <v>1</v>
      </c>
      <c r="F161">
        <v>3000</v>
      </c>
      <c r="G161">
        <v>2000</v>
      </c>
      <c r="H161">
        <v>1000</v>
      </c>
    </row>
    <row r="162" spans="1:8" hidden="1" x14ac:dyDescent="0.25">
      <c r="D162" t="s">
        <v>13</v>
      </c>
      <c r="E162">
        <v>1</v>
      </c>
      <c r="F162">
        <v>6500</v>
      </c>
      <c r="G162">
        <v>4500</v>
      </c>
      <c r="H162">
        <v>2000</v>
      </c>
    </row>
    <row r="163" spans="1:8" hidden="1" x14ac:dyDescent="0.25">
      <c r="C163" t="s">
        <v>693</v>
      </c>
      <c r="D163" t="s">
        <v>11</v>
      </c>
      <c r="E163">
        <v>9</v>
      </c>
      <c r="F163">
        <f>E163*2000</f>
        <v>18000</v>
      </c>
      <c r="G163">
        <f>E163*500</f>
        <v>4500</v>
      </c>
      <c r="H163">
        <f>E163*1500</f>
        <v>13500</v>
      </c>
    </row>
    <row r="164" spans="1:8" hidden="1" x14ac:dyDescent="0.25">
      <c r="D164" t="s">
        <v>13</v>
      </c>
      <c r="E164">
        <v>43</v>
      </c>
      <c r="F164">
        <f>E164*7000</f>
        <v>301000</v>
      </c>
      <c r="G164">
        <f>E164*4500</f>
        <v>193500</v>
      </c>
      <c r="H164">
        <f>E164*2500</f>
        <v>107500</v>
      </c>
    </row>
    <row r="165" spans="1:8" hidden="1" x14ac:dyDescent="0.25">
      <c r="D165" t="s">
        <v>14</v>
      </c>
      <c r="E165">
        <v>7</v>
      </c>
      <c r="F165">
        <f>E165*10000</f>
        <v>70000</v>
      </c>
      <c r="G165">
        <f>E165*5500</f>
        <v>38500</v>
      </c>
      <c r="H165">
        <f>E165*4500</f>
        <v>31500</v>
      </c>
    </row>
    <row r="166" spans="1:8" hidden="1" x14ac:dyDescent="0.25">
      <c r="C166" t="s">
        <v>777</v>
      </c>
      <c r="D166" t="s">
        <v>13</v>
      </c>
      <c r="E166">
        <v>2</v>
      </c>
    </row>
    <row r="167" spans="1:8" hidden="1" x14ac:dyDescent="0.25">
      <c r="D167" t="s">
        <v>14</v>
      </c>
      <c r="E167">
        <v>11</v>
      </c>
    </row>
    <row r="168" spans="1:8" hidden="1" x14ac:dyDescent="0.25">
      <c r="C168" t="s">
        <v>24</v>
      </c>
      <c r="D168" t="s">
        <v>13</v>
      </c>
      <c r="E168">
        <v>2</v>
      </c>
      <c r="F168">
        <f>E168*6500</f>
        <v>13000</v>
      </c>
      <c r="G168">
        <f>E168*4500</f>
        <v>9000</v>
      </c>
      <c r="H168">
        <f>E168*2000</f>
        <v>4000</v>
      </c>
    </row>
    <row r="169" spans="1:8" hidden="1" x14ac:dyDescent="0.25">
      <c r="A169" s="142" t="s">
        <v>17</v>
      </c>
      <c r="B169" s="142"/>
      <c r="C169" s="142"/>
      <c r="D169" s="142"/>
      <c r="E169" s="13">
        <f>SUM(E159:E168)</f>
        <v>182</v>
      </c>
      <c r="F169" s="13">
        <f t="shared" ref="F169:H169" si="15">SUM(F159:F168)</f>
        <v>591500</v>
      </c>
      <c r="G169" s="13">
        <f t="shared" si="15"/>
        <v>305000</v>
      </c>
      <c r="H169" s="13">
        <f t="shared" si="15"/>
        <v>286500</v>
      </c>
    </row>
    <row r="170" spans="1:8" hidden="1" x14ac:dyDescent="0.25">
      <c r="A170" t="s">
        <v>18</v>
      </c>
      <c r="B170" t="s">
        <v>782</v>
      </c>
      <c r="C170" t="s">
        <v>338</v>
      </c>
      <c r="D170" t="s">
        <v>11</v>
      </c>
      <c r="E170">
        <v>58</v>
      </c>
      <c r="F170">
        <f>E170*1800</f>
        <v>104400</v>
      </c>
      <c r="G170">
        <f>E170*500</f>
        <v>29000</v>
      </c>
      <c r="H170">
        <f>E170*1300</f>
        <v>75400</v>
      </c>
    </row>
    <row r="171" spans="1:8" hidden="1" x14ac:dyDescent="0.25">
      <c r="C171" t="s">
        <v>104</v>
      </c>
      <c r="D171" t="s">
        <v>11</v>
      </c>
      <c r="E171">
        <v>105</v>
      </c>
      <c r="F171">
        <f>E171*1700</f>
        <v>178500</v>
      </c>
      <c r="G171">
        <f>E171*500</f>
        <v>52500</v>
      </c>
      <c r="H171">
        <f>E171*1200</f>
        <v>126000</v>
      </c>
    </row>
    <row r="172" spans="1:8" hidden="1" x14ac:dyDescent="0.25">
      <c r="C172" t="s">
        <v>571</v>
      </c>
      <c r="D172" t="s">
        <v>11</v>
      </c>
      <c r="E172">
        <v>15</v>
      </c>
      <c r="F172">
        <f>E172*1700</f>
        <v>25500</v>
      </c>
      <c r="G172">
        <f>E172*500</f>
        <v>7500</v>
      </c>
      <c r="H172">
        <f>E172*1200</f>
        <v>18000</v>
      </c>
    </row>
    <row r="173" spans="1:8" hidden="1" x14ac:dyDescent="0.25">
      <c r="C173" t="s">
        <v>16</v>
      </c>
      <c r="D173" t="s">
        <v>11</v>
      </c>
      <c r="E173">
        <v>37</v>
      </c>
      <c r="F173">
        <f>E173*1500</f>
        <v>55500</v>
      </c>
      <c r="G173">
        <f>E173*500</f>
        <v>18500</v>
      </c>
      <c r="H173">
        <f>E173*1000</f>
        <v>37000</v>
      </c>
    </row>
    <row r="174" spans="1:8" hidden="1" x14ac:dyDescent="0.25">
      <c r="D174" t="s">
        <v>12</v>
      </c>
      <c r="E174">
        <v>4</v>
      </c>
      <c r="F174">
        <f>E174*3000</f>
        <v>12000</v>
      </c>
      <c r="G174">
        <v>8000</v>
      </c>
      <c r="H174">
        <v>4000</v>
      </c>
    </row>
    <row r="175" spans="1:8" hidden="1" x14ac:dyDescent="0.25">
      <c r="D175" t="s">
        <v>13</v>
      </c>
      <c r="E175">
        <v>1</v>
      </c>
      <c r="F175">
        <v>6500</v>
      </c>
      <c r="G175">
        <v>4500</v>
      </c>
      <c r="H175">
        <v>2000</v>
      </c>
    </row>
    <row r="176" spans="1:8" hidden="1" x14ac:dyDescent="0.25">
      <c r="D176" t="s">
        <v>14</v>
      </c>
      <c r="E176">
        <v>2</v>
      </c>
      <c r="F176">
        <f>E176*10000</f>
        <v>20000</v>
      </c>
      <c r="G176">
        <f>E176*5500</f>
        <v>11000</v>
      </c>
      <c r="H176">
        <f>E176*4500</f>
        <v>9000</v>
      </c>
    </row>
    <row r="177" spans="1:8" hidden="1" x14ac:dyDescent="0.25">
      <c r="C177" t="s">
        <v>24</v>
      </c>
      <c r="D177" t="s">
        <v>14</v>
      </c>
      <c r="E177">
        <v>4</v>
      </c>
      <c r="F177">
        <f>E177*10000</f>
        <v>40000</v>
      </c>
      <c r="G177">
        <f>E177*5500</f>
        <v>22000</v>
      </c>
      <c r="H177">
        <f>E177*4500</f>
        <v>18000</v>
      </c>
    </row>
    <row r="178" spans="1:8" hidden="1" x14ac:dyDescent="0.25">
      <c r="A178" s="142" t="s">
        <v>17</v>
      </c>
      <c r="B178" s="142"/>
      <c r="C178" s="142"/>
      <c r="D178" s="142"/>
      <c r="E178" s="13">
        <f>SUM(E170:E177)</f>
        <v>226</v>
      </c>
      <c r="F178" s="13">
        <f t="shared" ref="F178:H178" si="16">SUM(F170:F177)</f>
        <v>442400</v>
      </c>
      <c r="G178" s="13">
        <f t="shared" si="16"/>
        <v>153000</v>
      </c>
      <c r="H178" s="13">
        <f t="shared" si="16"/>
        <v>289400</v>
      </c>
    </row>
    <row r="179" spans="1:8" hidden="1" x14ac:dyDescent="0.25">
      <c r="A179" t="s">
        <v>22</v>
      </c>
      <c r="B179" t="s">
        <v>783</v>
      </c>
      <c r="C179" t="s">
        <v>338</v>
      </c>
      <c r="D179" t="s">
        <v>11</v>
      </c>
      <c r="E179">
        <f>95400/1800</f>
        <v>53</v>
      </c>
      <c r="F179">
        <f>E179*1800</f>
        <v>95400</v>
      </c>
      <c r="G179">
        <f>E179*500</f>
        <v>26500</v>
      </c>
      <c r="H179">
        <f>E179*1300</f>
        <v>68900</v>
      </c>
    </row>
    <row r="180" spans="1:8" hidden="1" x14ac:dyDescent="0.25">
      <c r="C180" t="s">
        <v>209</v>
      </c>
      <c r="D180" t="s">
        <v>11</v>
      </c>
      <c r="E180">
        <v>27</v>
      </c>
      <c r="F180">
        <f>E180*1600</f>
        <v>43200</v>
      </c>
      <c r="G180">
        <f>E180*500</f>
        <v>13500</v>
      </c>
      <c r="H180">
        <f>E180*1100</f>
        <v>29700</v>
      </c>
    </row>
    <row r="181" spans="1:8" hidden="1" x14ac:dyDescent="0.25">
      <c r="C181" t="s">
        <v>571</v>
      </c>
      <c r="D181" t="s">
        <v>11</v>
      </c>
      <c r="E181">
        <v>5</v>
      </c>
      <c r="F181">
        <f>E181*1700</f>
        <v>8500</v>
      </c>
      <c r="G181">
        <f>E181*500</f>
        <v>2500</v>
      </c>
      <c r="H181">
        <f>E181*1200</f>
        <v>6000</v>
      </c>
    </row>
    <row r="182" spans="1:8" hidden="1" x14ac:dyDescent="0.25">
      <c r="C182" t="s">
        <v>16</v>
      </c>
      <c r="D182" t="s">
        <v>11</v>
      </c>
      <c r="E182">
        <v>50</v>
      </c>
      <c r="F182">
        <f>E182*1500</f>
        <v>75000</v>
      </c>
      <c r="G182">
        <f>E182*500</f>
        <v>25000</v>
      </c>
      <c r="H182">
        <v>50000</v>
      </c>
    </row>
    <row r="183" spans="1:8" hidden="1" x14ac:dyDescent="0.25">
      <c r="D183" t="s">
        <v>12</v>
      </c>
      <c r="E183">
        <v>3</v>
      </c>
      <c r="F183">
        <f>E183*3000</f>
        <v>9000</v>
      </c>
      <c r="G183">
        <v>6000</v>
      </c>
      <c r="H183">
        <v>3000</v>
      </c>
    </row>
    <row r="184" spans="1:8" hidden="1" x14ac:dyDescent="0.25">
      <c r="D184" t="s">
        <v>13</v>
      </c>
      <c r="E184">
        <v>1</v>
      </c>
      <c r="F184">
        <v>6500</v>
      </c>
      <c r="G184">
        <v>4500</v>
      </c>
      <c r="H184">
        <v>2000</v>
      </c>
    </row>
    <row r="185" spans="1:8" hidden="1" x14ac:dyDescent="0.25">
      <c r="D185" t="s">
        <v>14</v>
      </c>
      <c r="E185">
        <v>1</v>
      </c>
      <c r="F185">
        <v>10000</v>
      </c>
      <c r="G185">
        <v>5500</v>
      </c>
      <c r="H185">
        <v>4500</v>
      </c>
    </row>
    <row r="186" spans="1:8" hidden="1" x14ac:dyDescent="0.25">
      <c r="A186" s="142" t="s">
        <v>17</v>
      </c>
      <c r="B186" s="142"/>
      <c r="C186" s="142"/>
      <c r="D186" s="142"/>
      <c r="E186" s="13">
        <f>SUM(E179:E185)</f>
        <v>140</v>
      </c>
      <c r="F186" s="13">
        <f t="shared" ref="F186:H186" si="17">SUM(F179:F185)</f>
        <v>247600</v>
      </c>
      <c r="G186" s="13">
        <f t="shared" si="17"/>
        <v>83500</v>
      </c>
      <c r="H186" s="13">
        <f t="shared" si="17"/>
        <v>164100</v>
      </c>
    </row>
    <row r="187" spans="1:8" hidden="1" x14ac:dyDescent="0.25">
      <c r="A187" t="s">
        <v>26</v>
      </c>
      <c r="B187" t="s">
        <v>784</v>
      </c>
      <c r="C187" t="s">
        <v>104</v>
      </c>
      <c r="D187" t="s">
        <v>11</v>
      </c>
      <c r="E187">
        <f>30+40+25</f>
        <v>95</v>
      </c>
      <c r="F187">
        <f>E187*1700</f>
        <v>161500</v>
      </c>
      <c r="G187">
        <f>E187*500</f>
        <v>47500</v>
      </c>
      <c r="H187">
        <f>E187*1200</f>
        <v>114000</v>
      </c>
    </row>
    <row r="188" spans="1:8" hidden="1" x14ac:dyDescent="0.25">
      <c r="C188" t="s">
        <v>24</v>
      </c>
      <c r="D188" t="s">
        <v>13</v>
      </c>
      <c r="E188">
        <v>18</v>
      </c>
      <c r="F188">
        <f>E188*6500</f>
        <v>117000</v>
      </c>
      <c r="G188">
        <f>E188*4500</f>
        <v>81000</v>
      </c>
      <c r="H188">
        <f>E188*2000</f>
        <v>36000</v>
      </c>
    </row>
    <row r="189" spans="1:8" hidden="1" x14ac:dyDescent="0.25">
      <c r="C189" t="s">
        <v>20</v>
      </c>
      <c r="D189" t="s">
        <v>11</v>
      </c>
      <c r="E189">
        <v>8</v>
      </c>
      <c r="F189">
        <f>E189*1500</f>
        <v>12000</v>
      </c>
      <c r="G189">
        <f>E189*500</f>
        <v>4000</v>
      </c>
      <c r="H189">
        <v>8000</v>
      </c>
    </row>
    <row r="190" spans="1:8" hidden="1" x14ac:dyDescent="0.25">
      <c r="D190" t="s">
        <v>13</v>
      </c>
      <c r="E190">
        <v>6</v>
      </c>
      <c r="F190">
        <f>E190*6500</f>
        <v>39000</v>
      </c>
      <c r="G190">
        <f>E190*4500</f>
        <v>27000</v>
      </c>
      <c r="H190">
        <f>E190*2000</f>
        <v>12000</v>
      </c>
    </row>
    <row r="191" spans="1:8" hidden="1" x14ac:dyDescent="0.25">
      <c r="D191" t="s">
        <v>14</v>
      </c>
      <c r="E191">
        <v>4</v>
      </c>
      <c r="F191">
        <f>E191*10000</f>
        <v>40000</v>
      </c>
      <c r="G191">
        <f>E191*5500</f>
        <v>22000</v>
      </c>
      <c r="H191">
        <f>E191*4500</f>
        <v>18000</v>
      </c>
    </row>
    <row r="192" spans="1:8" hidden="1" x14ac:dyDescent="0.25">
      <c r="A192" s="142" t="s">
        <v>17</v>
      </c>
      <c r="B192" s="142"/>
      <c r="C192" s="142"/>
      <c r="D192" s="142"/>
      <c r="E192" s="13">
        <f>SUM(E187:E191)</f>
        <v>131</v>
      </c>
      <c r="F192" s="13">
        <f t="shared" ref="F192:H192" si="18">SUM(F187:F191)</f>
        <v>369500</v>
      </c>
      <c r="G192" s="13">
        <f t="shared" si="18"/>
        <v>181500</v>
      </c>
      <c r="H192" s="13">
        <f t="shared" si="18"/>
        <v>188000</v>
      </c>
    </row>
    <row r="193" spans="1:8" hidden="1" x14ac:dyDescent="0.25">
      <c r="A193" t="s">
        <v>28</v>
      </c>
      <c r="B193" t="s">
        <v>785</v>
      </c>
      <c r="C193" t="s">
        <v>693</v>
      </c>
      <c r="D193" t="s">
        <v>11</v>
      </c>
      <c r="E193">
        <v>14</v>
      </c>
      <c r="F193">
        <f>E193*2000</f>
        <v>28000</v>
      </c>
      <c r="G193">
        <f>E193*500</f>
        <v>7000</v>
      </c>
      <c r="H193">
        <f>E193*1500</f>
        <v>21000</v>
      </c>
    </row>
    <row r="194" spans="1:8" hidden="1" x14ac:dyDescent="0.25">
      <c r="D194" t="s">
        <v>13</v>
      </c>
      <c r="E194">
        <v>43</v>
      </c>
      <c r="F194">
        <f>E194*7000</f>
        <v>301000</v>
      </c>
      <c r="G194">
        <f>E194*4500</f>
        <v>193500</v>
      </c>
      <c r="H194">
        <f>E194*2500</f>
        <v>107500</v>
      </c>
    </row>
    <row r="195" spans="1:8" hidden="1" x14ac:dyDescent="0.25">
      <c r="D195" t="s">
        <v>14</v>
      </c>
      <c r="E195">
        <v>22</v>
      </c>
      <c r="F195">
        <f>E195*10000</f>
        <v>220000</v>
      </c>
      <c r="G195">
        <f>E195*5500</f>
        <v>121000</v>
      </c>
      <c r="H195">
        <f>E195*4500</f>
        <v>99000</v>
      </c>
    </row>
    <row r="196" spans="1:8" hidden="1" x14ac:dyDescent="0.25">
      <c r="C196" t="s">
        <v>217</v>
      </c>
      <c r="D196" t="s">
        <v>11</v>
      </c>
      <c r="E196">
        <v>10</v>
      </c>
      <c r="F196">
        <f>E196*1500</f>
        <v>15000</v>
      </c>
      <c r="G196">
        <f>E196*500</f>
        <v>5000</v>
      </c>
      <c r="H196">
        <v>10000</v>
      </c>
    </row>
    <row r="197" spans="1:8" hidden="1" x14ac:dyDescent="0.25">
      <c r="D197" t="s">
        <v>13</v>
      </c>
      <c r="E197">
        <v>10</v>
      </c>
      <c r="F197">
        <f>E197*6500</f>
        <v>65000</v>
      </c>
      <c r="G197">
        <f>E197*4500</f>
        <v>45000</v>
      </c>
      <c r="H197">
        <f>E197*2000</f>
        <v>20000</v>
      </c>
    </row>
    <row r="198" spans="1:8" hidden="1" x14ac:dyDescent="0.25">
      <c r="D198" t="s">
        <v>14</v>
      </c>
      <c r="E198">
        <v>7</v>
      </c>
      <c r="F198">
        <v>70000</v>
      </c>
      <c r="G198">
        <f>E198*5500</f>
        <v>38500</v>
      </c>
      <c r="H198">
        <f>E198*4500</f>
        <v>31500</v>
      </c>
    </row>
    <row r="199" spans="1:8" hidden="1" x14ac:dyDescent="0.25">
      <c r="D199" t="s">
        <v>786</v>
      </c>
      <c r="E199">
        <v>1</v>
      </c>
      <c r="F199">
        <v>5000</v>
      </c>
      <c r="G199">
        <v>2500</v>
      </c>
      <c r="H199">
        <v>2500</v>
      </c>
    </row>
    <row r="200" spans="1:8" hidden="1" x14ac:dyDescent="0.25">
      <c r="C200" t="s">
        <v>24</v>
      </c>
      <c r="D200" t="s">
        <v>243</v>
      </c>
      <c r="E200">
        <v>8</v>
      </c>
    </row>
    <row r="201" spans="1:8" hidden="1" x14ac:dyDescent="0.25">
      <c r="A201" s="142" t="s">
        <v>17</v>
      </c>
      <c r="B201" s="142"/>
      <c r="C201" s="142"/>
      <c r="D201" s="142"/>
      <c r="E201" s="13">
        <f>SUM(E193:E200)</f>
        <v>115</v>
      </c>
      <c r="F201" s="13">
        <f t="shared" ref="F201:H201" si="19">SUM(F193:F200)</f>
        <v>704000</v>
      </c>
      <c r="G201" s="13">
        <f t="shared" si="19"/>
        <v>412500</v>
      </c>
      <c r="H201" s="13">
        <f t="shared" si="19"/>
        <v>291500</v>
      </c>
    </row>
    <row r="202" spans="1:8" hidden="1" x14ac:dyDescent="0.25">
      <c r="A202" t="s">
        <v>30</v>
      </c>
      <c r="B202" t="s">
        <v>787</v>
      </c>
      <c r="C202" t="s">
        <v>338</v>
      </c>
      <c r="D202" t="s">
        <v>11</v>
      </c>
      <c r="E202">
        <f>55-8</f>
        <v>47</v>
      </c>
      <c r="F202">
        <f>E202*1800</f>
        <v>84600</v>
      </c>
      <c r="G202">
        <f>E202*500</f>
        <v>23500</v>
      </c>
      <c r="H202">
        <f>E202*1300</f>
        <v>61100</v>
      </c>
    </row>
    <row r="203" spans="1:8" hidden="1" x14ac:dyDescent="0.25">
      <c r="C203" t="s">
        <v>209</v>
      </c>
      <c r="D203" t="s">
        <v>11</v>
      </c>
      <c r="E203">
        <v>24</v>
      </c>
      <c r="F203">
        <f>E203*1600</f>
        <v>38400</v>
      </c>
      <c r="G203">
        <f>E203*500</f>
        <v>12000</v>
      </c>
      <c r="H203">
        <f>E203*1100</f>
        <v>26400</v>
      </c>
    </row>
    <row r="204" spans="1:8" hidden="1" x14ac:dyDescent="0.25">
      <c r="C204" t="s">
        <v>571</v>
      </c>
      <c r="D204" t="s">
        <v>11</v>
      </c>
      <c r="E204">
        <v>30</v>
      </c>
      <c r="F204">
        <f>E204*1700</f>
        <v>51000</v>
      </c>
      <c r="G204">
        <f>E204*500</f>
        <v>15000</v>
      </c>
      <c r="H204">
        <f>E204*1200</f>
        <v>36000</v>
      </c>
    </row>
    <row r="205" spans="1:8" hidden="1" x14ac:dyDescent="0.25">
      <c r="C205" t="s">
        <v>16</v>
      </c>
      <c r="D205" t="s">
        <v>11</v>
      </c>
      <c r="E205">
        <v>44</v>
      </c>
      <c r="F205">
        <f>E205*1500</f>
        <v>66000</v>
      </c>
      <c r="G205">
        <f>E205*500</f>
        <v>22000</v>
      </c>
      <c r="H205">
        <f>E205*1000</f>
        <v>44000</v>
      </c>
    </row>
    <row r="206" spans="1:8" hidden="1" x14ac:dyDescent="0.25">
      <c r="D206" t="s">
        <v>12</v>
      </c>
      <c r="E206">
        <v>1</v>
      </c>
      <c r="F206">
        <v>3000</v>
      </c>
      <c r="G206">
        <v>2000</v>
      </c>
      <c r="H206">
        <v>1000</v>
      </c>
    </row>
    <row r="207" spans="1:8" hidden="1" x14ac:dyDescent="0.25">
      <c r="A207" s="111" t="s">
        <v>17</v>
      </c>
      <c r="B207" s="111"/>
      <c r="C207" s="111"/>
      <c r="D207" s="111"/>
      <c r="E207" s="1">
        <f>SUM(E202:E206)</f>
        <v>146</v>
      </c>
      <c r="F207" s="13">
        <f t="shared" ref="F207:H207" si="20">SUM(F202:F206)</f>
        <v>243000</v>
      </c>
      <c r="G207" s="13">
        <f t="shared" si="20"/>
        <v>74500</v>
      </c>
      <c r="H207" s="13">
        <f t="shared" si="20"/>
        <v>168500</v>
      </c>
    </row>
    <row r="208" spans="1:8" hidden="1" x14ac:dyDescent="0.25">
      <c r="A208" t="s">
        <v>32</v>
      </c>
      <c r="B208" t="s">
        <v>788</v>
      </c>
      <c r="C208" t="s">
        <v>338</v>
      </c>
      <c r="D208" t="s">
        <v>11</v>
      </c>
      <c r="E208">
        <f>55-12</f>
        <v>43</v>
      </c>
      <c r="F208">
        <f>E208*1800</f>
        <v>77400</v>
      </c>
      <c r="G208">
        <f t="shared" ref="G208:G214" si="21">E208*500</f>
        <v>21500</v>
      </c>
      <c r="H208">
        <f>E208*1300</f>
        <v>55900</v>
      </c>
    </row>
    <row r="209" spans="1:8" hidden="1" x14ac:dyDescent="0.25">
      <c r="C209" t="s">
        <v>209</v>
      </c>
      <c r="D209" t="s">
        <v>11</v>
      </c>
      <c r="E209">
        <v>28</v>
      </c>
      <c r="F209">
        <f>E209*1600</f>
        <v>44800</v>
      </c>
      <c r="G209">
        <f t="shared" si="21"/>
        <v>14000</v>
      </c>
      <c r="H209">
        <f>E209*1100</f>
        <v>30800</v>
      </c>
    </row>
    <row r="210" spans="1:8" hidden="1" x14ac:dyDescent="0.25">
      <c r="C210" t="s">
        <v>571</v>
      </c>
      <c r="D210" t="s">
        <v>11</v>
      </c>
      <c r="E210">
        <v>23</v>
      </c>
      <c r="F210">
        <f>E210*1700</f>
        <v>39100</v>
      </c>
      <c r="G210">
        <f t="shared" si="21"/>
        <v>11500</v>
      </c>
      <c r="H210">
        <f>E210*1200</f>
        <v>27600</v>
      </c>
    </row>
    <row r="211" spans="1:8" hidden="1" x14ac:dyDescent="0.25">
      <c r="C211" t="s">
        <v>306</v>
      </c>
      <c r="D211" t="s">
        <v>11</v>
      </c>
      <c r="E211">
        <v>14</v>
      </c>
      <c r="F211">
        <f>E211*1800</f>
        <v>25200</v>
      </c>
      <c r="G211">
        <f t="shared" si="21"/>
        <v>7000</v>
      </c>
      <c r="H211">
        <f>E211*1300</f>
        <v>18200</v>
      </c>
    </row>
    <row r="212" spans="1:8" hidden="1" x14ac:dyDescent="0.25">
      <c r="C212" t="s">
        <v>572</v>
      </c>
      <c r="D212" t="s">
        <v>11</v>
      </c>
      <c r="E212">
        <v>85</v>
      </c>
      <c r="F212">
        <f>E212*1700</f>
        <v>144500</v>
      </c>
      <c r="G212">
        <f t="shared" si="21"/>
        <v>42500</v>
      </c>
      <c r="H212">
        <f>E212*1200</f>
        <v>102000</v>
      </c>
    </row>
    <row r="213" spans="1:8" hidden="1" x14ac:dyDescent="0.25">
      <c r="C213" t="s">
        <v>104</v>
      </c>
      <c r="D213" t="s">
        <v>11</v>
      </c>
      <c r="E213">
        <v>128</v>
      </c>
      <c r="F213">
        <f>E213*1700</f>
        <v>217600</v>
      </c>
      <c r="G213">
        <f t="shared" si="21"/>
        <v>64000</v>
      </c>
      <c r="H213">
        <f>E213*1200</f>
        <v>153600</v>
      </c>
    </row>
    <row r="214" spans="1:8" hidden="1" x14ac:dyDescent="0.25">
      <c r="C214" t="s">
        <v>16</v>
      </c>
      <c r="D214" t="s">
        <v>11</v>
      </c>
      <c r="E214">
        <v>60</v>
      </c>
      <c r="F214">
        <f>E214*1500</f>
        <v>90000</v>
      </c>
      <c r="G214">
        <f t="shared" si="21"/>
        <v>30000</v>
      </c>
      <c r="H214">
        <v>60000</v>
      </c>
    </row>
    <row r="215" spans="1:8" hidden="1" x14ac:dyDescent="0.25">
      <c r="D215" t="s">
        <v>12</v>
      </c>
      <c r="E215">
        <v>4</v>
      </c>
      <c r="F215">
        <v>12000</v>
      </c>
      <c r="G215">
        <v>8000</v>
      </c>
      <c r="H215">
        <v>4000</v>
      </c>
    </row>
    <row r="216" spans="1:8" hidden="1" x14ac:dyDescent="0.25">
      <c r="A216" s="142" t="s">
        <v>17</v>
      </c>
      <c r="B216" s="142"/>
      <c r="C216" s="142"/>
      <c r="D216" s="142"/>
      <c r="E216" s="13">
        <f>SUM(E208:E215)</f>
        <v>385</v>
      </c>
      <c r="F216" s="13">
        <f t="shared" ref="F216:H216" si="22">SUM(F208:F215)</f>
        <v>650600</v>
      </c>
      <c r="G216" s="13">
        <f t="shared" si="22"/>
        <v>198500</v>
      </c>
      <c r="H216" s="13">
        <f t="shared" si="22"/>
        <v>452100</v>
      </c>
    </row>
    <row r="217" spans="1:8" hidden="1" x14ac:dyDescent="0.25">
      <c r="A217" t="s">
        <v>8</v>
      </c>
      <c r="B217" t="s">
        <v>789</v>
      </c>
      <c r="C217" t="s">
        <v>217</v>
      </c>
      <c r="D217" t="s">
        <v>13</v>
      </c>
      <c r="E217">
        <v>73</v>
      </c>
      <c r="F217">
        <f>E217*8000</f>
        <v>584000</v>
      </c>
      <c r="G217">
        <f>E217*4500</f>
        <v>328500</v>
      </c>
      <c r="H217">
        <f>E217*3500</f>
        <v>255500</v>
      </c>
    </row>
    <row r="218" spans="1:8" hidden="1" x14ac:dyDescent="0.25">
      <c r="D218" t="s">
        <v>14</v>
      </c>
      <c r="E218">
        <v>3</v>
      </c>
      <c r="F218">
        <f>E218*10000</f>
        <v>30000</v>
      </c>
      <c r="G218">
        <f>E218*5500</f>
        <v>16500</v>
      </c>
      <c r="H218">
        <f>E218*4500</f>
        <v>13500</v>
      </c>
    </row>
    <row r="219" spans="1:8" hidden="1" x14ac:dyDescent="0.25">
      <c r="D219" t="s">
        <v>415</v>
      </c>
      <c r="E219">
        <v>5</v>
      </c>
      <c r="F219">
        <f>E219*5000</f>
        <v>25000</v>
      </c>
      <c r="G219">
        <v>12500</v>
      </c>
      <c r="H219">
        <v>12500</v>
      </c>
    </row>
    <row r="220" spans="1:8" hidden="1" x14ac:dyDescent="0.25">
      <c r="D220" t="s">
        <v>441</v>
      </c>
      <c r="E220">
        <v>1</v>
      </c>
      <c r="F220">
        <v>3000</v>
      </c>
      <c r="G220">
        <v>1500</v>
      </c>
      <c r="H220">
        <v>1500</v>
      </c>
    </row>
    <row r="221" spans="1:8" hidden="1" x14ac:dyDescent="0.25">
      <c r="C221" t="s">
        <v>16</v>
      </c>
      <c r="D221" t="s">
        <v>11</v>
      </c>
      <c r="E221">
        <v>33</v>
      </c>
      <c r="F221">
        <f>E221*1500</f>
        <v>49500</v>
      </c>
      <c r="G221">
        <f>E221*500</f>
        <v>16500</v>
      </c>
      <c r="H221">
        <v>33000</v>
      </c>
    </row>
    <row r="222" spans="1:8" hidden="1" x14ac:dyDescent="0.25">
      <c r="D222" t="s">
        <v>12</v>
      </c>
      <c r="E222">
        <v>0</v>
      </c>
    </row>
    <row r="223" spans="1:8" hidden="1" x14ac:dyDescent="0.25">
      <c r="D223" t="s">
        <v>13</v>
      </c>
      <c r="E223">
        <v>0</v>
      </c>
    </row>
    <row r="224" spans="1:8" hidden="1" x14ac:dyDescent="0.25">
      <c r="D224" t="s">
        <v>14</v>
      </c>
      <c r="E224">
        <v>0</v>
      </c>
    </row>
    <row r="225" spans="1:8" hidden="1" x14ac:dyDescent="0.25">
      <c r="D225" t="s">
        <v>243</v>
      </c>
      <c r="E225">
        <v>0</v>
      </c>
    </row>
    <row r="226" spans="1:8" hidden="1" x14ac:dyDescent="0.25">
      <c r="C226" t="s">
        <v>581</v>
      </c>
      <c r="D226" t="s">
        <v>11</v>
      </c>
      <c r="E226">
        <v>222</v>
      </c>
      <c r="F226">
        <f>E226*1500</f>
        <v>333000</v>
      </c>
      <c r="G226">
        <f>E226*500</f>
        <v>111000</v>
      </c>
      <c r="H226">
        <v>222000</v>
      </c>
    </row>
    <row r="227" spans="1:8" hidden="1" x14ac:dyDescent="0.25">
      <c r="A227" s="142" t="s">
        <v>17</v>
      </c>
      <c r="B227" s="142"/>
      <c r="C227" s="142"/>
      <c r="D227" s="142"/>
      <c r="E227" s="13">
        <f>SUM(E217:E225)</f>
        <v>115</v>
      </c>
      <c r="F227" s="13">
        <f t="shared" ref="F227:H227" si="23">SUM(F217:F225)</f>
        <v>691500</v>
      </c>
      <c r="G227" s="13">
        <f t="shared" si="23"/>
        <v>375500</v>
      </c>
      <c r="H227" s="13">
        <f t="shared" si="23"/>
        <v>316000</v>
      </c>
    </row>
    <row r="228" spans="1:8" hidden="1" x14ac:dyDescent="0.25">
      <c r="A228" t="s">
        <v>18</v>
      </c>
      <c r="B228" t="s">
        <v>790</v>
      </c>
      <c r="C228" t="s">
        <v>16</v>
      </c>
      <c r="D228" t="s">
        <v>11</v>
      </c>
      <c r="E228">
        <v>21</v>
      </c>
      <c r="F228">
        <f>E228*1500</f>
        <v>31500</v>
      </c>
      <c r="G228">
        <f>E228*500</f>
        <v>10500</v>
      </c>
      <c r="H228">
        <v>21000</v>
      </c>
    </row>
    <row r="229" spans="1:8" hidden="1" x14ac:dyDescent="0.25">
      <c r="D229" t="s">
        <v>12</v>
      </c>
      <c r="E229">
        <v>4</v>
      </c>
      <c r="F229">
        <v>12000</v>
      </c>
      <c r="G229">
        <v>8000</v>
      </c>
      <c r="H229">
        <v>4000</v>
      </c>
    </row>
    <row r="230" spans="1:8" hidden="1" x14ac:dyDescent="0.25">
      <c r="A230" s="144" t="s">
        <v>17</v>
      </c>
      <c r="B230" s="144"/>
      <c r="C230" s="144"/>
      <c r="D230" s="144"/>
      <c r="E230" s="82">
        <f>SUM(E228:E229)</f>
        <v>25</v>
      </c>
      <c r="F230" s="82">
        <f t="shared" ref="F230:H230" si="24">SUM(F228:F229)</f>
        <v>43500</v>
      </c>
      <c r="G230" s="82">
        <f t="shared" si="24"/>
        <v>18500</v>
      </c>
      <c r="H230" s="82">
        <f t="shared" si="24"/>
        <v>25000</v>
      </c>
    </row>
    <row r="231" spans="1:8" hidden="1" x14ac:dyDescent="0.25">
      <c r="A231" t="s">
        <v>22</v>
      </c>
      <c r="B231" t="s">
        <v>791</v>
      </c>
      <c r="C231" t="s">
        <v>16</v>
      </c>
      <c r="D231" t="s">
        <v>11</v>
      </c>
      <c r="E231">
        <v>63</v>
      </c>
      <c r="F231">
        <f>E231*1500</f>
        <v>94500</v>
      </c>
      <c r="G231">
        <f>E231*500</f>
        <v>31500</v>
      </c>
      <c r="H231">
        <v>63000</v>
      </c>
    </row>
    <row r="232" spans="1:8" hidden="1" x14ac:dyDescent="0.25">
      <c r="D232" t="s">
        <v>12</v>
      </c>
      <c r="E232">
        <v>3</v>
      </c>
      <c r="F232">
        <v>9000</v>
      </c>
      <c r="G232">
        <v>6000</v>
      </c>
      <c r="H232">
        <v>3000</v>
      </c>
    </row>
    <row r="233" spans="1:8" hidden="1" x14ac:dyDescent="0.25">
      <c r="D233" t="s">
        <v>243</v>
      </c>
      <c r="E233">
        <v>2</v>
      </c>
      <c r="F233">
        <v>26000</v>
      </c>
      <c r="G233">
        <v>20000</v>
      </c>
      <c r="H233">
        <v>6000</v>
      </c>
    </row>
    <row r="234" spans="1:8" hidden="1" x14ac:dyDescent="0.25">
      <c r="A234" s="142" t="s">
        <v>17</v>
      </c>
      <c r="B234" s="142"/>
      <c r="C234" s="142"/>
      <c r="D234" s="142"/>
      <c r="E234" s="13">
        <f>SUM(E231:E233)</f>
        <v>68</v>
      </c>
      <c r="F234" s="13">
        <f t="shared" ref="F234:H234" si="25">SUM(F231:F233)</f>
        <v>129500</v>
      </c>
      <c r="G234" s="13">
        <f t="shared" si="25"/>
        <v>57500</v>
      </c>
      <c r="H234" s="13">
        <f t="shared" si="25"/>
        <v>72000</v>
      </c>
    </row>
    <row r="235" spans="1:8" hidden="1" x14ac:dyDescent="0.25">
      <c r="A235" t="s">
        <v>26</v>
      </c>
      <c r="B235" t="s">
        <v>792</v>
      </c>
      <c r="C235" t="s">
        <v>338</v>
      </c>
      <c r="D235" t="s">
        <v>11</v>
      </c>
      <c r="E235">
        <v>45</v>
      </c>
      <c r="F235">
        <f>E235*1800</f>
        <v>81000</v>
      </c>
      <c r="G235">
        <f>E235*500</f>
        <v>22500</v>
      </c>
      <c r="H235">
        <f>E235*1300</f>
        <v>58500</v>
      </c>
    </row>
    <row r="236" spans="1:8" hidden="1" x14ac:dyDescent="0.25">
      <c r="C236" t="s">
        <v>104</v>
      </c>
      <c r="D236" t="s">
        <v>11</v>
      </c>
      <c r="E236">
        <v>23</v>
      </c>
      <c r="F236">
        <f>E236*1700</f>
        <v>39100</v>
      </c>
      <c r="G236">
        <f>E236*500</f>
        <v>11500</v>
      </c>
      <c r="H236">
        <f>E236*1200</f>
        <v>27600</v>
      </c>
    </row>
    <row r="237" spans="1:8" hidden="1" x14ac:dyDescent="0.25">
      <c r="C237" t="s">
        <v>16</v>
      </c>
      <c r="D237" t="s">
        <v>11</v>
      </c>
      <c r="E237">
        <v>52</v>
      </c>
      <c r="F237">
        <f>E237*1500</f>
        <v>78000</v>
      </c>
      <c r="G237">
        <f>E237*500</f>
        <v>26000</v>
      </c>
      <c r="H237">
        <f>E237*1000</f>
        <v>52000</v>
      </c>
    </row>
    <row r="238" spans="1:8" hidden="1" x14ac:dyDescent="0.25">
      <c r="D238" t="s">
        <v>12</v>
      </c>
      <c r="E238">
        <v>2</v>
      </c>
      <c r="F238">
        <f>E238*3000</f>
        <v>6000</v>
      </c>
      <c r="G238">
        <v>4000</v>
      </c>
      <c r="H238">
        <v>2000</v>
      </c>
    </row>
    <row r="239" spans="1:8" hidden="1" x14ac:dyDescent="0.25">
      <c r="D239" t="s">
        <v>13</v>
      </c>
      <c r="E239">
        <v>1</v>
      </c>
      <c r="F239">
        <v>6500</v>
      </c>
      <c r="G239">
        <v>4500</v>
      </c>
      <c r="H239">
        <v>2000</v>
      </c>
    </row>
    <row r="240" spans="1:8" hidden="1" x14ac:dyDescent="0.25">
      <c r="D240" t="s">
        <v>14</v>
      </c>
      <c r="E240">
        <v>1</v>
      </c>
      <c r="F240">
        <v>10000</v>
      </c>
      <c r="G240">
        <v>5500</v>
      </c>
      <c r="H240">
        <v>4500</v>
      </c>
    </row>
    <row r="241" spans="1:8" hidden="1" x14ac:dyDescent="0.25">
      <c r="A241" s="142" t="s">
        <v>17</v>
      </c>
      <c r="B241" s="142"/>
      <c r="C241" s="142"/>
      <c r="D241" s="142"/>
      <c r="E241" s="13">
        <f>SUM(E235:E240)</f>
        <v>124</v>
      </c>
      <c r="F241" s="13">
        <f t="shared" ref="F241:H241" si="26">SUM(F235:F240)</f>
        <v>220600</v>
      </c>
      <c r="G241" s="13">
        <f t="shared" si="26"/>
        <v>74000</v>
      </c>
      <c r="H241" s="13">
        <f t="shared" si="26"/>
        <v>146600</v>
      </c>
    </row>
    <row r="242" spans="1:8" hidden="1" x14ac:dyDescent="0.25">
      <c r="A242" t="s">
        <v>28</v>
      </c>
      <c r="B242" t="s">
        <v>793</v>
      </c>
      <c r="C242" t="s">
        <v>693</v>
      </c>
      <c r="D242" t="s">
        <v>11</v>
      </c>
      <c r="E242">
        <v>9</v>
      </c>
      <c r="F242">
        <f>E242*2000</f>
        <v>18000</v>
      </c>
      <c r="G242">
        <f>E242*500</f>
        <v>4500</v>
      </c>
      <c r="H242">
        <f>E242*1500</f>
        <v>13500</v>
      </c>
    </row>
    <row r="243" spans="1:8" hidden="1" x14ac:dyDescent="0.25">
      <c r="D243" t="s">
        <v>13</v>
      </c>
      <c r="E243">
        <v>29</v>
      </c>
      <c r="F243">
        <f>E243*7000</f>
        <v>203000</v>
      </c>
      <c r="G243">
        <f>E243*4500</f>
        <v>130500</v>
      </c>
      <c r="H243">
        <f>E243*2500</f>
        <v>72500</v>
      </c>
    </row>
    <row r="244" spans="1:8" hidden="1" x14ac:dyDescent="0.25">
      <c r="D244" t="s">
        <v>14</v>
      </c>
      <c r="E244">
        <v>13</v>
      </c>
      <c r="F244">
        <f>E244*10000</f>
        <v>130000</v>
      </c>
      <c r="G244">
        <f>E244*5500</f>
        <v>71500</v>
      </c>
      <c r="H244">
        <f>E244*4500</f>
        <v>58500</v>
      </c>
    </row>
    <row r="245" spans="1:8" hidden="1" x14ac:dyDescent="0.25">
      <c r="C245" t="s">
        <v>217</v>
      </c>
      <c r="D245" t="s">
        <v>11</v>
      </c>
      <c r="E245">
        <v>11</v>
      </c>
      <c r="F245">
        <f>E245*1500</f>
        <v>16500</v>
      </c>
      <c r="G245">
        <f>E245*500</f>
        <v>5500</v>
      </c>
      <c r="H245">
        <v>11000</v>
      </c>
    </row>
    <row r="246" spans="1:8" hidden="1" x14ac:dyDescent="0.25">
      <c r="D246" t="s">
        <v>13</v>
      </c>
      <c r="E246">
        <v>18</v>
      </c>
      <c r="F246">
        <f>E246*6500</f>
        <v>117000</v>
      </c>
      <c r="G246">
        <f>E246*4500</f>
        <v>81000</v>
      </c>
      <c r="H246">
        <f>E246*2000</f>
        <v>36000</v>
      </c>
    </row>
    <row r="247" spans="1:8" hidden="1" x14ac:dyDescent="0.25">
      <c r="D247" t="s">
        <v>14</v>
      </c>
      <c r="E247">
        <v>8</v>
      </c>
      <c r="F247">
        <v>80000</v>
      </c>
      <c r="G247">
        <f>E247*5500</f>
        <v>44000</v>
      </c>
      <c r="H247">
        <f>E247*4500</f>
        <v>36000</v>
      </c>
    </row>
    <row r="248" spans="1:8" hidden="1" x14ac:dyDescent="0.25">
      <c r="A248" s="142" t="s">
        <v>17</v>
      </c>
      <c r="B248" s="142"/>
      <c r="C248" s="142"/>
      <c r="D248" s="142"/>
      <c r="E248" s="85">
        <f>SUM(E242:E247)</f>
        <v>88</v>
      </c>
      <c r="F248" s="85">
        <f t="shared" ref="F248:H248" si="27">SUM(F242:F247)</f>
        <v>564500</v>
      </c>
      <c r="G248" s="85">
        <f t="shared" si="27"/>
        <v>337000</v>
      </c>
      <c r="H248" s="85">
        <f t="shared" si="27"/>
        <v>227500</v>
      </c>
    </row>
    <row r="249" spans="1:8" hidden="1" x14ac:dyDescent="0.25">
      <c r="A249" t="s">
        <v>30</v>
      </c>
      <c r="B249" t="s">
        <v>794</v>
      </c>
      <c r="C249" t="s">
        <v>16</v>
      </c>
      <c r="D249" t="s">
        <v>11</v>
      </c>
      <c r="E249">
        <v>29</v>
      </c>
      <c r="F249">
        <f>E249*1500</f>
        <v>43500</v>
      </c>
      <c r="G249">
        <f>E249*500</f>
        <v>14500</v>
      </c>
      <c r="H249">
        <v>29000</v>
      </c>
    </row>
    <row r="250" spans="1:8" hidden="1" x14ac:dyDescent="0.25">
      <c r="D250" t="s">
        <v>12</v>
      </c>
      <c r="E250">
        <v>4</v>
      </c>
      <c r="F250">
        <v>12000</v>
      </c>
      <c r="G250">
        <v>8000</v>
      </c>
      <c r="H250">
        <v>4000</v>
      </c>
    </row>
    <row r="251" spans="1:8" hidden="1" x14ac:dyDescent="0.25">
      <c r="C251" t="s">
        <v>338</v>
      </c>
      <c r="D251" t="s">
        <v>11</v>
      </c>
      <c r="E251">
        <v>120</v>
      </c>
      <c r="F251">
        <f>E251*1800</f>
        <v>216000</v>
      </c>
      <c r="G251">
        <f>E251*500</f>
        <v>60000</v>
      </c>
      <c r="H251">
        <f>E251*1300</f>
        <v>156000</v>
      </c>
    </row>
    <row r="252" spans="1:8" hidden="1" x14ac:dyDescent="0.25">
      <c r="C252" t="s">
        <v>209</v>
      </c>
      <c r="D252" t="s">
        <v>11</v>
      </c>
      <c r="E252">
        <v>21</v>
      </c>
      <c r="F252">
        <f>E252*1600</f>
        <v>33600</v>
      </c>
      <c r="G252">
        <f>E252*500</f>
        <v>10500</v>
      </c>
      <c r="H252">
        <f>E252*1100</f>
        <v>23100</v>
      </c>
    </row>
    <row r="253" spans="1:8" hidden="1" x14ac:dyDescent="0.25">
      <c r="C253" t="s">
        <v>571</v>
      </c>
      <c r="D253" t="s">
        <v>11</v>
      </c>
      <c r="E253">
        <v>25</v>
      </c>
      <c r="F253">
        <f>E253*1700</f>
        <v>42500</v>
      </c>
      <c r="G253">
        <f>E253*500</f>
        <v>12500</v>
      </c>
      <c r="H253">
        <f>E253*1200</f>
        <v>30000</v>
      </c>
    </row>
    <row r="254" spans="1:8" hidden="1" x14ac:dyDescent="0.25">
      <c r="C254" t="s">
        <v>306</v>
      </c>
      <c r="D254" t="s">
        <v>11</v>
      </c>
      <c r="E254">
        <v>15</v>
      </c>
      <c r="F254">
        <f>E254*1800</f>
        <v>27000</v>
      </c>
      <c r="G254">
        <f>E254*500</f>
        <v>7500</v>
      </c>
      <c r="H254">
        <f>E254*1300</f>
        <v>19500</v>
      </c>
    </row>
    <row r="255" spans="1:8" hidden="1" x14ac:dyDescent="0.25">
      <c r="C255" t="s">
        <v>24</v>
      </c>
      <c r="D255" t="s">
        <v>243</v>
      </c>
      <c r="E255">
        <v>10</v>
      </c>
      <c r="F255">
        <f>E255*13000</f>
        <v>130000</v>
      </c>
      <c r="G255">
        <f>E255*10000</f>
        <v>100000</v>
      </c>
      <c r="H255">
        <f>E255*3000</f>
        <v>30000</v>
      </c>
    </row>
    <row r="256" spans="1:8" x14ac:dyDescent="0.25">
      <c r="C256" t="s">
        <v>24</v>
      </c>
      <c r="D256" t="s">
        <v>592</v>
      </c>
      <c r="E256">
        <v>3</v>
      </c>
      <c r="F256">
        <f>E256*18000</f>
        <v>54000</v>
      </c>
      <c r="G256">
        <f>E256*12000</f>
        <v>36000</v>
      </c>
      <c r="H256">
        <f>E256*6000</f>
        <v>18000</v>
      </c>
    </row>
    <row r="257" spans="1:8" hidden="1" x14ac:dyDescent="0.25">
      <c r="A257" s="111" t="s">
        <v>17</v>
      </c>
      <c r="B257" s="111"/>
      <c r="C257" s="111"/>
      <c r="D257" s="111"/>
      <c r="E257" s="1">
        <f>SUM(E249:E256)</f>
        <v>227</v>
      </c>
      <c r="F257" s="13">
        <f t="shared" ref="F257:H257" si="28">SUM(F249:F256)</f>
        <v>558600</v>
      </c>
      <c r="G257" s="13">
        <f t="shared" si="28"/>
        <v>249000</v>
      </c>
      <c r="H257" s="13">
        <f t="shared" si="28"/>
        <v>309600</v>
      </c>
    </row>
    <row r="258" spans="1:8" hidden="1" x14ac:dyDescent="0.25">
      <c r="A258" t="s">
        <v>32</v>
      </c>
      <c r="B258" t="s">
        <v>795</v>
      </c>
      <c r="C258" t="s">
        <v>104</v>
      </c>
      <c r="D258" t="s">
        <v>11</v>
      </c>
      <c r="E258">
        <v>107</v>
      </c>
      <c r="F258">
        <f>E258*1700</f>
        <v>181900</v>
      </c>
      <c r="G258">
        <f>E258*500</f>
        <v>53500</v>
      </c>
      <c r="H258">
        <f>E258*1200</f>
        <v>128400</v>
      </c>
    </row>
    <row r="259" spans="1:8" hidden="1" x14ac:dyDescent="0.25">
      <c r="C259" t="s">
        <v>209</v>
      </c>
      <c r="D259" t="s">
        <v>11</v>
      </c>
      <c r="E259">
        <v>14</v>
      </c>
      <c r="F259">
        <f>E259*1600</f>
        <v>22400</v>
      </c>
      <c r="G259">
        <f>E259*500</f>
        <v>7000</v>
      </c>
      <c r="H259">
        <f>E259*1100</f>
        <v>15400</v>
      </c>
    </row>
    <row r="260" spans="1:8" hidden="1" x14ac:dyDescent="0.25">
      <c r="C260" t="s">
        <v>571</v>
      </c>
      <c r="D260" t="s">
        <v>11</v>
      </c>
      <c r="E260">
        <v>25</v>
      </c>
      <c r="F260">
        <f>E260*1700</f>
        <v>42500</v>
      </c>
      <c r="G260">
        <f>E260*500</f>
        <v>12500</v>
      </c>
      <c r="H260">
        <f>E260*1200</f>
        <v>30000</v>
      </c>
    </row>
    <row r="261" spans="1:8" hidden="1" x14ac:dyDescent="0.25">
      <c r="C261" t="s">
        <v>306</v>
      </c>
      <c r="D261" t="s">
        <v>11</v>
      </c>
      <c r="E261">
        <v>5</v>
      </c>
      <c r="F261">
        <f>E261*1800</f>
        <v>9000</v>
      </c>
      <c r="G261">
        <f>E261*500</f>
        <v>2500</v>
      </c>
      <c r="H261">
        <f>E261*1300</f>
        <v>6500</v>
      </c>
    </row>
    <row r="262" spans="1:8" hidden="1" x14ac:dyDescent="0.25">
      <c r="C262" t="s">
        <v>16</v>
      </c>
      <c r="D262" t="s">
        <v>11</v>
      </c>
      <c r="E262">
        <v>27</v>
      </c>
      <c r="F262">
        <f>E262*1500</f>
        <v>40500</v>
      </c>
      <c r="G262">
        <f>E262*500</f>
        <v>13500</v>
      </c>
      <c r="H262">
        <v>27000</v>
      </c>
    </row>
    <row r="263" spans="1:8" hidden="1" x14ac:dyDescent="0.25">
      <c r="D263" t="s">
        <v>12</v>
      </c>
      <c r="E263">
        <v>2</v>
      </c>
      <c r="F263">
        <v>6000</v>
      </c>
      <c r="G263">
        <v>4000</v>
      </c>
      <c r="H263">
        <v>2000</v>
      </c>
    </row>
    <row r="264" spans="1:8" hidden="1" x14ac:dyDescent="0.25">
      <c r="D264" t="s">
        <v>13</v>
      </c>
      <c r="E264">
        <v>2</v>
      </c>
      <c r="F264">
        <v>13000</v>
      </c>
      <c r="G264">
        <v>9000</v>
      </c>
      <c r="H264">
        <v>4000</v>
      </c>
    </row>
    <row r="265" spans="1:8" hidden="1" x14ac:dyDescent="0.25">
      <c r="D265" t="s">
        <v>243</v>
      </c>
      <c r="E265">
        <v>1</v>
      </c>
      <c r="F265">
        <v>13000</v>
      </c>
      <c r="G265">
        <v>10000</v>
      </c>
      <c r="H265">
        <v>3000</v>
      </c>
    </row>
    <row r="266" spans="1:8" hidden="1" x14ac:dyDescent="0.25">
      <c r="A266" s="142" t="s">
        <v>17</v>
      </c>
      <c r="B266" s="142"/>
      <c r="C266" s="142"/>
      <c r="D266" s="142"/>
      <c r="E266" s="13">
        <f>SUM(E258:E265)</f>
        <v>183</v>
      </c>
      <c r="F266" s="13">
        <f t="shared" ref="F266:H266" si="29">SUM(F258:F265)</f>
        <v>328300</v>
      </c>
      <c r="G266" s="13">
        <f t="shared" si="29"/>
        <v>112000</v>
      </c>
      <c r="H266" s="13">
        <f t="shared" si="29"/>
        <v>216300</v>
      </c>
    </row>
    <row r="267" spans="1:8" hidden="1" x14ac:dyDescent="0.25">
      <c r="A267" t="s">
        <v>8</v>
      </c>
      <c r="B267" t="s">
        <v>796</v>
      </c>
      <c r="C267" t="s">
        <v>338</v>
      </c>
      <c r="D267" t="s">
        <v>11</v>
      </c>
      <c r="E267">
        <v>75</v>
      </c>
      <c r="F267">
        <f>E267*1800</f>
        <v>135000</v>
      </c>
      <c r="G267">
        <f>E267*500</f>
        <v>37500</v>
      </c>
      <c r="H267">
        <f>E267*1300</f>
        <v>97500</v>
      </c>
    </row>
    <row r="268" spans="1:8" hidden="1" x14ac:dyDescent="0.25">
      <c r="C268" t="s">
        <v>209</v>
      </c>
      <c r="D268" t="s">
        <v>11</v>
      </c>
      <c r="E268">
        <v>18</v>
      </c>
      <c r="F268">
        <f>E268*1600</f>
        <v>28800</v>
      </c>
      <c r="G268">
        <f>E268*500</f>
        <v>9000</v>
      </c>
      <c r="H268">
        <f>E268*1100</f>
        <v>19800</v>
      </c>
    </row>
    <row r="269" spans="1:8" hidden="1" x14ac:dyDescent="0.25">
      <c r="C269" t="s">
        <v>571</v>
      </c>
      <c r="D269" t="s">
        <v>11</v>
      </c>
      <c r="E269">
        <v>25</v>
      </c>
      <c r="F269">
        <f>E269*1700</f>
        <v>42500</v>
      </c>
      <c r="G269">
        <f>E269*500</f>
        <v>12500</v>
      </c>
      <c r="H269">
        <f>E269*1200</f>
        <v>30000</v>
      </c>
    </row>
    <row r="270" spans="1:8" hidden="1" x14ac:dyDescent="0.25">
      <c r="C270" t="s">
        <v>306</v>
      </c>
      <c r="D270" t="s">
        <v>11</v>
      </c>
      <c r="E270">
        <v>11</v>
      </c>
      <c r="F270">
        <f>E270*1800</f>
        <v>19800</v>
      </c>
      <c r="G270">
        <f>E270*500</f>
        <v>5500</v>
      </c>
      <c r="H270">
        <f>E270*1300</f>
        <v>14300</v>
      </c>
    </row>
    <row r="271" spans="1:8" hidden="1" x14ac:dyDescent="0.25">
      <c r="C271" t="s">
        <v>797</v>
      </c>
      <c r="D271" t="s">
        <v>11</v>
      </c>
      <c r="E271">
        <v>6</v>
      </c>
      <c r="F271">
        <f>E271*2000</f>
        <v>12000</v>
      </c>
      <c r="G271">
        <f>E271*500</f>
        <v>3000</v>
      </c>
      <c r="H271">
        <f>E271*1500</f>
        <v>9000</v>
      </c>
    </row>
    <row r="272" spans="1:8" hidden="1" x14ac:dyDescent="0.25">
      <c r="D272" t="s">
        <v>13</v>
      </c>
      <c r="E272">
        <v>10</v>
      </c>
      <c r="F272">
        <f>E272*7500</f>
        <v>75000</v>
      </c>
      <c r="G272">
        <f>E272*4500</f>
        <v>45000</v>
      </c>
      <c r="H272">
        <f>E272*3000</f>
        <v>30000</v>
      </c>
    </row>
    <row r="273" spans="1:8" hidden="1" x14ac:dyDescent="0.25">
      <c r="D273" t="s">
        <v>14</v>
      </c>
      <c r="E273">
        <v>1</v>
      </c>
      <c r="F273">
        <v>10000</v>
      </c>
      <c r="G273">
        <v>5500</v>
      </c>
      <c r="H273">
        <v>4500</v>
      </c>
    </row>
    <row r="274" spans="1:8" hidden="1" x14ac:dyDescent="0.25">
      <c r="D274" t="s">
        <v>243</v>
      </c>
      <c r="E274">
        <v>3</v>
      </c>
      <c r="F274">
        <f>E274*13000</f>
        <v>39000</v>
      </c>
      <c r="G274">
        <v>30000</v>
      </c>
      <c r="H274">
        <v>9000</v>
      </c>
    </row>
    <row r="275" spans="1:8" hidden="1" x14ac:dyDescent="0.25">
      <c r="C275" t="s">
        <v>16</v>
      </c>
      <c r="D275" t="s">
        <v>11</v>
      </c>
      <c r="E275">
        <v>24</v>
      </c>
      <c r="F275">
        <f>E275*1500</f>
        <v>36000</v>
      </c>
      <c r="G275">
        <f>E275*500</f>
        <v>12000</v>
      </c>
      <c r="H275">
        <f>E275*1000</f>
        <v>24000</v>
      </c>
    </row>
    <row r="276" spans="1:8" hidden="1" x14ac:dyDescent="0.25">
      <c r="D276" t="s">
        <v>13</v>
      </c>
      <c r="E276">
        <v>1</v>
      </c>
      <c r="F276">
        <v>6500</v>
      </c>
      <c r="G276">
        <v>4500</v>
      </c>
      <c r="H276">
        <v>2000</v>
      </c>
    </row>
    <row r="277" spans="1:8" hidden="1" x14ac:dyDescent="0.25">
      <c r="D277" t="s">
        <v>243</v>
      </c>
      <c r="E277">
        <v>2</v>
      </c>
      <c r="F277">
        <v>26000</v>
      </c>
      <c r="G277">
        <v>20000</v>
      </c>
      <c r="H277">
        <v>6000</v>
      </c>
    </row>
    <row r="278" spans="1:8" hidden="1" x14ac:dyDescent="0.25">
      <c r="A278" s="142" t="s">
        <v>17</v>
      </c>
      <c r="B278" s="142"/>
      <c r="C278" s="142"/>
      <c r="D278" s="142"/>
      <c r="E278" s="13">
        <f>SUM(E267:E277)</f>
        <v>176</v>
      </c>
      <c r="F278" s="13">
        <f t="shared" ref="F278:H278" si="30">SUM(F267:F277)</f>
        <v>430600</v>
      </c>
      <c r="G278" s="13">
        <f t="shared" si="30"/>
        <v>184500</v>
      </c>
      <c r="H278" s="13">
        <f t="shared" si="30"/>
        <v>246100</v>
      </c>
    </row>
    <row r="279" spans="1:8" hidden="1" x14ac:dyDescent="0.25">
      <c r="A279" t="s">
        <v>18</v>
      </c>
      <c r="B279" t="s">
        <v>798</v>
      </c>
      <c r="C279" t="s">
        <v>799</v>
      </c>
      <c r="D279" t="s">
        <v>11</v>
      </c>
      <c r="E279">
        <v>10</v>
      </c>
      <c r="F279">
        <f>E279*2000</f>
        <v>20000</v>
      </c>
      <c r="G279">
        <f>E279*500</f>
        <v>5000</v>
      </c>
      <c r="H279">
        <f>E279*1500</f>
        <v>15000</v>
      </c>
    </row>
    <row r="280" spans="1:8" hidden="1" x14ac:dyDescent="0.25">
      <c r="D280" t="s">
        <v>13</v>
      </c>
      <c r="E280">
        <v>12</v>
      </c>
      <c r="F280">
        <f>E280*7500</f>
        <v>90000</v>
      </c>
      <c r="G280">
        <f>E280*500</f>
        <v>6000</v>
      </c>
      <c r="H280">
        <f>E280*3500</f>
        <v>42000</v>
      </c>
    </row>
    <row r="281" spans="1:8" hidden="1" x14ac:dyDescent="0.25">
      <c r="D281" t="s">
        <v>14</v>
      </c>
      <c r="E281">
        <v>1</v>
      </c>
      <c r="F281">
        <v>10000</v>
      </c>
      <c r="G281">
        <v>5500</v>
      </c>
      <c r="H281">
        <v>4500</v>
      </c>
    </row>
    <row r="282" spans="1:8" hidden="1" x14ac:dyDescent="0.25">
      <c r="D282" t="s">
        <v>243</v>
      </c>
      <c r="E282">
        <v>4</v>
      </c>
      <c r="F282">
        <f>E282*13000</f>
        <v>52000</v>
      </c>
      <c r="G282">
        <f>E282*10000</f>
        <v>40000</v>
      </c>
      <c r="H282">
        <v>12000</v>
      </c>
    </row>
    <row r="283" spans="1:8" hidden="1" x14ac:dyDescent="0.25">
      <c r="C283" t="s">
        <v>16</v>
      </c>
      <c r="D283" t="s">
        <v>11</v>
      </c>
      <c r="E283">
        <v>19</v>
      </c>
      <c r="F283">
        <f>E283*1500</f>
        <v>28500</v>
      </c>
      <c r="G283">
        <f>E283*500</f>
        <v>9500</v>
      </c>
      <c r="H283">
        <v>19000</v>
      </c>
    </row>
    <row r="284" spans="1:8" hidden="1" x14ac:dyDescent="0.25">
      <c r="D284" t="s">
        <v>12</v>
      </c>
      <c r="E284">
        <v>2</v>
      </c>
      <c r="F284">
        <v>6000</v>
      </c>
      <c r="G284">
        <v>4000</v>
      </c>
      <c r="H284">
        <v>2000</v>
      </c>
    </row>
    <row r="285" spans="1:8" hidden="1" x14ac:dyDescent="0.25">
      <c r="C285" t="s">
        <v>104</v>
      </c>
      <c r="D285" t="s">
        <v>11</v>
      </c>
      <c r="E285">
        <v>80</v>
      </c>
      <c r="F285">
        <f>E285*1700</f>
        <v>136000</v>
      </c>
      <c r="G285">
        <f>E285*500</f>
        <v>40000</v>
      </c>
      <c r="H285">
        <f>E285*1200</f>
        <v>96000</v>
      </c>
    </row>
    <row r="286" spans="1:8" hidden="1" x14ac:dyDescent="0.25">
      <c r="C286" t="s">
        <v>209</v>
      </c>
      <c r="D286" t="s">
        <v>11</v>
      </c>
      <c r="E286">
        <v>14</v>
      </c>
      <c r="F286">
        <f>E286*1600</f>
        <v>22400</v>
      </c>
      <c r="G286">
        <f>E286*500</f>
        <v>7000</v>
      </c>
      <c r="H286">
        <f>E286*1100</f>
        <v>15400</v>
      </c>
    </row>
    <row r="287" spans="1:8" hidden="1" x14ac:dyDescent="0.25">
      <c r="C287" t="s">
        <v>571</v>
      </c>
      <c r="D287" t="s">
        <v>11</v>
      </c>
      <c r="E287">
        <v>18</v>
      </c>
      <c r="F287">
        <f>E287*1700</f>
        <v>30600</v>
      </c>
      <c r="G287">
        <f>E287*500</f>
        <v>9000</v>
      </c>
      <c r="H287">
        <f>E287*1200</f>
        <v>21600</v>
      </c>
    </row>
    <row r="288" spans="1:8" hidden="1" x14ac:dyDescent="0.25">
      <c r="C288" t="s">
        <v>306</v>
      </c>
      <c r="D288" t="s">
        <v>11</v>
      </c>
      <c r="E288">
        <v>11</v>
      </c>
      <c r="F288">
        <f>E288*1800</f>
        <v>19800</v>
      </c>
      <c r="G288">
        <f>E288*500</f>
        <v>5500</v>
      </c>
      <c r="H288">
        <f>E288*1300</f>
        <v>14300</v>
      </c>
    </row>
    <row r="289" spans="1:11" hidden="1" x14ac:dyDescent="0.25">
      <c r="A289" s="142" t="s">
        <v>17</v>
      </c>
      <c r="B289" s="142"/>
      <c r="C289" s="142"/>
      <c r="D289" s="142"/>
      <c r="E289" s="13">
        <f>SUM(E279:E288)</f>
        <v>171</v>
      </c>
      <c r="F289" s="13">
        <f t="shared" ref="F289:H289" si="31">SUM(F279:F288)</f>
        <v>415300</v>
      </c>
      <c r="G289" s="13">
        <f t="shared" si="31"/>
        <v>131500</v>
      </c>
      <c r="H289" s="13">
        <f t="shared" si="31"/>
        <v>241800</v>
      </c>
    </row>
    <row r="290" spans="1:11" hidden="1" x14ac:dyDescent="0.25">
      <c r="A290" t="s">
        <v>22</v>
      </c>
      <c r="B290" t="s">
        <v>800</v>
      </c>
      <c r="C290" t="s">
        <v>16</v>
      </c>
      <c r="D290" t="s">
        <v>11</v>
      </c>
      <c r="E290">
        <v>60</v>
      </c>
      <c r="F290">
        <f>E290*1500</f>
        <v>90000</v>
      </c>
      <c r="G290">
        <f>E290*500</f>
        <v>30000</v>
      </c>
      <c r="H290">
        <v>60000</v>
      </c>
    </row>
    <row r="291" spans="1:11" hidden="1" x14ac:dyDescent="0.25">
      <c r="D291" t="s">
        <v>12</v>
      </c>
      <c r="E291">
        <v>6</v>
      </c>
      <c r="F291">
        <v>18000</v>
      </c>
      <c r="G291">
        <v>12000</v>
      </c>
      <c r="H291">
        <v>6000</v>
      </c>
    </row>
    <row r="292" spans="1:11" hidden="1" x14ac:dyDescent="0.25">
      <c r="C292" t="s">
        <v>797</v>
      </c>
      <c r="D292" t="s">
        <v>13</v>
      </c>
      <c r="E292">
        <v>12</v>
      </c>
      <c r="F292">
        <f>E292*7500</f>
        <v>90000</v>
      </c>
      <c r="G292">
        <f>E292*4500</f>
        <v>54000</v>
      </c>
      <c r="H292">
        <f>E292*3500</f>
        <v>42000</v>
      </c>
    </row>
    <row r="293" spans="1:11" hidden="1" x14ac:dyDescent="0.25">
      <c r="D293" t="s">
        <v>243</v>
      </c>
      <c r="E293">
        <v>2</v>
      </c>
      <c r="F293">
        <v>26000</v>
      </c>
      <c r="G293">
        <v>20000</v>
      </c>
      <c r="H293">
        <v>6000</v>
      </c>
    </row>
    <row r="294" spans="1:11" hidden="1" x14ac:dyDescent="0.25">
      <c r="C294" t="s">
        <v>554</v>
      </c>
      <c r="D294" t="s">
        <v>13</v>
      </c>
      <c r="E294">
        <v>8</v>
      </c>
    </row>
    <row r="295" spans="1:11" hidden="1" x14ac:dyDescent="0.25">
      <c r="D295" t="s">
        <v>14</v>
      </c>
      <c r="E295">
        <v>8</v>
      </c>
    </row>
    <row r="296" spans="1:11" hidden="1" x14ac:dyDescent="0.25">
      <c r="D296" t="s">
        <v>243</v>
      </c>
      <c r="E296">
        <v>10</v>
      </c>
    </row>
    <row r="297" spans="1:11" hidden="1" x14ac:dyDescent="0.25">
      <c r="A297" s="142" t="s">
        <v>17</v>
      </c>
      <c r="B297" s="142"/>
      <c r="C297" s="142"/>
      <c r="D297" s="142"/>
      <c r="E297" s="13">
        <f>SUM(E290:E296)</f>
        <v>106</v>
      </c>
      <c r="F297" s="13">
        <f t="shared" ref="F297:H297" si="32">SUM(F290:F296)</f>
        <v>224000</v>
      </c>
      <c r="G297" s="13">
        <f t="shared" si="32"/>
        <v>116000</v>
      </c>
      <c r="H297" s="13">
        <f t="shared" si="32"/>
        <v>114000</v>
      </c>
    </row>
    <row r="301" spans="1:11" x14ac:dyDescent="0.25">
      <c r="K301" t="s">
        <v>612</v>
      </c>
    </row>
  </sheetData>
  <autoFilter ref="A1:H297" xr:uid="{00000000-0009-0000-0000-00001E000000}">
    <filterColumn colId="3">
      <filters>
        <filter val="LITER RASA2"/>
        <filter val="SUSU ORI"/>
      </filters>
    </filterColumn>
  </autoFilter>
  <mergeCells count="31">
    <mergeCell ref="A278:D278"/>
    <mergeCell ref="A289:D289"/>
    <mergeCell ref="A297:D297"/>
    <mergeCell ref="A227:D227"/>
    <mergeCell ref="A150:D150"/>
    <mergeCell ref="A257:D257"/>
    <mergeCell ref="A266:D266"/>
    <mergeCell ref="A230:D230"/>
    <mergeCell ref="A234:D234"/>
    <mergeCell ref="A241:D241"/>
    <mergeCell ref="A248:D248"/>
    <mergeCell ref="A123:D123"/>
    <mergeCell ref="A138:D138"/>
    <mergeCell ref="A207:D207"/>
    <mergeCell ref="A216:D216"/>
    <mergeCell ref="A186:D186"/>
    <mergeCell ref="A192:D192"/>
    <mergeCell ref="A201:D201"/>
    <mergeCell ref="A178:D178"/>
    <mergeCell ref="A158:D158"/>
    <mergeCell ref="A169:D169"/>
    <mergeCell ref="A7:D7"/>
    <mergeCell ref="A17:D17"/>
    <mergeCell ref="A34:D34"/>
    <mergeCell ref="A47:D47"/>
    <mergeCell ref="A113:D113"/>
    <mergeCell ref="A109:D109"/>
    <mergeCell ref="A104:D104"/>
    <mergeCell ref="A76:D76"/>
    <mergeCell ref="A92:D92"/>
    <mergeCell ref="A65:D65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L899"/>
  <sheetViews>
    <sheetView workbookViewId="0">
      <selection activeCell="E1" sqref="E1"/>
    </sheetView>
  </sheetViews>
  <sheetFormatPr defaultRowHeight="15" x14ac:dyDescent="0.25"/>
  <cols>
    <col min="2" max="2" width="9.7109375" bestFit="1" customWidth="1"/>
    <col min="5" max="5" width="9.5703125" bestFit="1" customWidth="1"/>
    <col min="6" max="6" width="13.42578125" bestFit="1" customWidth="1"/>
    <col min="7" max="8" width="13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26</v>
      </c>
      <c r="B2" t="s">
        <v>801</v>
      </c>
      <c r="C2" t="s">
        <v>799</v>
      </c>
      <c r="D2" t="s">
        <v>11</v>
      </c>
      <c r="E2">
        <v>12</v>
      </c>
      <c r="F2" s="4">
        <f>E2*2000</f>
        <v>24000</v>
      </c>
      <c r="G2" s="4">
        <f>E2*500</f>
        <v>6000</v>
      </c>
      <c r="H2" s="4">
        <f>E2*1200</f>
        <v>14400</v>
      </c>
    </row>
    <row r="3" spans="1:8" hidden="1" x14ac:dyDescent="0.25">
      <c r="D3" t="s">
        <v>13</v>
      </c>
      <c r="E3">
        <v>21</v>
      </c>
      <c r="F3" s="4">
        <f>E3*7500</f>
        <v>157500</v>
      </c>
      <c r="G3" s="4">
        <f>E3*4500</f>
        <v>94500</v>
      </c>
      <c r="H3" s="4">
        <f>E3*3500</f>
        <v>73500</v>
      </c>
    </row>
    <row r="4" spans="1:8" hidden="1" x14ac:dyDescent="0.25">
      <c r="D4" t="s">
        <v>14</v>
      </c>
      <c r="E4">
        <v>3</v>
      </c>
      <c r="F4" s="4">
        <v>30000</v>
      </c>
      <c r="G4" s="4">
        <f>E4*5500</f>
        <v>16500</v>
      </c>
      <c r="H4" s="4">
        <f>E4*4500</f>
        <v>13500</v>
      </c>
    </row>
    <row r="5" spans="1:8" hidden="1" x14ac:dyDescent="0.25">
      <c r="C5" t="s">
        <v>16</v>
      </c>
      <c r="D5" t="s">
        <v>11</v>
      </c>
      <c r="E5">
        <v>42</v>
      </c>
      <c r="F5" s="4">
        <f>E5*1500</f>
        <v>63000</v>
      </c>
      <c r="G5" s="4">
        <f>E5*500</f>
        <v>21000</v>
      </c>
      <c r="H5" s="4">
        <v>42000</v>
      </c>
    </row>
    <row r="6" spans="1:8" hidden="1" x14ac:dyDescent="0.25">
      <c r="D6" t="s">
        <v>12</v>
      </c>
      <c r="E6">
        <v>1</v>
      </c>
      <c r="F6" s="4">
        <v>3000</v>
      </c>
      <c r="G6" s="4">
        <v>2000</v>
      </c>
      <c r="H6" s="4">
        <v>1000</v>
      </c>
    </row>
    <row r="7" spans="1:8" hidden="1" x14ac:dyDescent="0.25">
      <c r="D7" t="s">
        <v>14</v>
      </c>
      <c r="E7">
        <v>1</v>
      </c>
      <c r="F7" s="4">
        <v>10000</v>
      </c>
      <c r="G7" s="4">
        <v>5500</v>
      </c>
      <c r="H7" s="4">
        <v>4500</v>
      </c>
    </row>
    <row r="8" spans="1:8" hidden="1" x14ac:dyDescent="0.25">
      <c r="C8" t="s">
        <v>24</v>
      </c>
      <c r="D8" t="s">
        <v>13</v>
      </c>
      <c r="E8">
        <v>4</v>
      </c>
      <c r="F8" s="4">
        <f>E8*6500</f>
        <v>26000</v>
      </c>
      <c r="G8" s="4">
        <f>E8*4500</f>
        <v>18000</v>
      </c>
      <c r="H8" s="4">
        <v>8000</v>
      </c>
    </row>
    <row r="9" spans="1:8" hidden="1" x14ac:dyDescent="0.25">
      <c r="D9" t="s">
        <v>14</v>
      </c>
      <c r="E9">
        <v>4</v>
      </c>
      <c r="F9" s="4">
        <v>40000</v>
      </c>
      <c r="G9" s="4">
        <f>E9*5500</f>
        <v>22000</v>
      </c>
      <c r="H9" s="4">
        <f>E9*4500</f>
        <v>18000</v>
      </c>
    </row>
    <row r="10" spans="1:8" hidden="1" x14ac:dyDescent="0.25">
      <c r="D10" t="s">
        <v>243</v>
      </c>
      <c r="E10">
        <v>3</v>
      </c>
      <c r="F10" s="4">
        <f>E10*15000</f>
        <v>45000</v>
      </c>
      <c r="G10" s="4">
        <v>30000</v>
      </c>
      <c r="H10" s="4">
        <v>15000</v>
      </c>
    </row>
    <row r="11" spans="1:8" hidden="1" x14ac:dyDescent="0.25">
      <c r="A11" s="142" t="s">
        <v>17</v>
      </c>
      <c r="B11" s="142"/>
      <c r="C11" s="142"/>
      <c r="D11" s="142"/>
      <c r="E11" s="13">
        <f>SUM(E2:E10)</f>
        <v>91</v>
      </c>
      <c r="F11" s="13">
        <f t="shared" ref="F11:H11" si="0">SUM(F2:F10)</f>
        <v>398500</v>
      </c>
      <c r="G11" s="13">
        <f t="shared" si="0"/>
        <v>215500</v>
      </c>
      <c r="H11" s="13">
        <f t="shared" si="0"/>
        <v>189900</v>
      </c>
    </row>
    <row r="12" spans="1:8" hidden="1" x14ac:dyDescent="0.25">
      <c r="A12" t="s">
        <v>28</v>
      </c>
      <c r="B12" s="3">
        <v>45328</v>
      </c>
      <c r="C12" t="s">
        <v>693</v>
      </c>
      <c r="D12" t="s">
        <v>11</v>
      </c>
      <c r="E12">
        <v>8</v>
      </c>
      <c r="F12" s="4">
        <f>E12*2000</f>
        <v>16000</v>
      </c>
      <c r="G12" s="4">
        <f>E12*500</f>
        <v>4000</v>
      </c>
      <c r="H12" s="4">
        <f>E12*1500</f>
        <v>12000</v>
      </c>
    </row>
    <row r="13" spans="1:8" hidden="1" x14ac:dyDescent="0.25">
      <c r="D13" t="s">
        <v>13</v>
      </c>
      <c r="E13">
        <v>47</v>
      </c>
      <c r="F13" s="4">
        <f>E13*7000</f>
        <v>329000</v>
      </c>
      <c r="G13" s="4">
        <f>E13*4500</f>
        <v>211500</v>
      </c>
      <c r="H13" s="4">
        <f>E13*2500</f>
        <v>117500</v>
      </c>
    </row>
    <row r="14" spans="1:8" hidden="1" x14ac:dyDescent="0.25">
      <c r="D14" t="s">
        <v>14</v>
      </c>
      <c r="E14">
        <v>27</v>
      </c>
      <c r="F14" s="4">
        <f>E14*10000</f>
        <v>270000</v>
      </c>
      <c r="G14" s="4">
        <f>E14*5500</f>
        <v>148500</v>
      </c>
      <c r="H14" s="4">
        <f>E14*4500</f>
        <v>121500</v>
      </c>
    </row>
    <row r="15" spans="1:8" hidden="1" x14ac:dyDescent="0.25">
      <c r="D15" t="s">
        <v>243</v>
      </c>
      <c r="E15">
        <v>1</v>
      </c>
      <c r="F15" s="4">
        <v>13000</v>
      </c>
      <c r="G15" s="4">
        <v>10000</v>
      </c>
      <c r="H15" s="4">
        <v>3000</v>
      </c>
    </row>
    <row r="16" spans="1:8" hidden="1" x14ac:dyDescent="0.25">
      <c r="C16" t="s">
        <v>217</v>
      </c>
      <c r="D16" t="s">
        <v>11</v>
      </c>
      <c r="E16">
        <v>12</v>
      </c>
      <c r="F16" s="4">
        <f>E16*1500</f>
        <v>18000</v>
      </c>
      <c r="G16" s="4">
        <f>E16*500</f>
        <v>6000</v>
      </c>
      <c r="H16" s="4">
        <v>12000</v>
      </c>
    </row>
    <row r="17" spans="1:12" hidden="1" x14ac:dyDescent="0.25">
      <c r="D17" t="s">
        <v>13</v>
      </c>
      <c r="E17">
        <v>14</v>
      </c>
      <c r="F17" s="4">
        <f>E17*6500</f>
        <v>91000</v>
      </c>
      <c r="G17" s="4">
        <f>E17*4500</f>
        <v>63000</v>
      </c>
      <c r="H17" s="4">
        <f>E17*2000</f>
        <v>28000</v>
      </c>
      <c r="L17">
        <f>SUM(E3+E8+E13+E17+E22+E40+E49+E55+E57+E60+E70+E73+E78+E81+E85+E98+E112+E125+E128+E132+E137+E140+E145+E152+E154+E160+E164+E168+E170+E173+E177+E181+E187+E192+E197+E200+E204+E205+E211+E215+E219+E221+E223+E227+E230+E233+E237+E239)</f>
        <v>1349</v>
      </c>
    </row>
    <row r="18" spans="1:12" hidden="1" x14ac:dyDescent="0.25">
      <c r="D18" t="s">
        <v>14</v>
      </c>
      <c r="E18">
        <v>6</v>
      </c>
      <c r="F18" s="4">
        <v>60000</v>
      </c>
      <c r="G18" s="4">
        <f>E18*5500</f>
        <v>33000</v>
      </c>
      <c r="H18" s="4">
        <f>E18*4500</f>
        <v>27000</v>
      </c>
    </row>
    <row r="19" spans="1:12" hidden="1" x14ac:dyDescent="0.25">
      <c r="C19" t="s">
        <v>16</v>
      </c>
      <c r="D19" t="s">
        <v>11</v>
      </c>
      <c r="E19">
        <v>48</v>
      </c>
      <c r="F19" s="4">
        <f>E19*1500</f>
        <v>72000</v>
      </c>
      <c r="G19" s="4">
        <f>E19*500</f>
        <v>24000</v>
      </c>
      <c r="H19" s="4">
        <v>48000</v>
      </c>
    </row>
    <row r="20" spans="1:12" hidden="1" x14ac:dyDescent="0.25">
      <c r="D20" t="s">
        <v>12</v>
      </c>
      <c r="E20">
        <v>7</v>
      </c>
      <c r="F20" s="4">
        <v>21000</v>
      </c>
      <c r="G20" s="4">
        <v>14000</v>
      </c>
      <c r="H20" s="4">
        <v>7000</v>
      </c>
    </row>
    <row r="21" spans="1:12" hidden="1" x14ac:dyDescent="0.25">
      <c r="C21" t="s">
        <v>797</v>
      </c>
      <c r="D21" t="s">
        <v>11</v>
      </c>
      <c r="E21">
        <v>1</v>
      </c>
      <c r="F21" s="4">
        <v>2000</v>
      </c>
      <c r="G21" s="4">
        <v>500</v>
      </c>
      <c r="H21" s="4">
        <v>1500</v>
      </c>
    </row>
    <row r="22" spans="1:12" hidden="1" x14ac:dyDescent="0.25">
      <c r="D22" t="s">
        <v>13</v>
      </c>
      <c r="E22">
        <v>22</v>
      </c>
      <c r="F22" s="4">
        <f>E22*7500</f>
        <v>165000</v>
      </c>
      <c r="G22" s="4">
        <f>E22*4500</f>
        <v>99000</v>
      </c>
      <c r="H22" s="4">
        <f>E22*3500</f>
        <v>77000</v>
      </c>
    </row>
    <row r="23" spans="1:12" hidden="1" x14ac:dyDescent="0.25">
      <c r="D23" t="s">
        <v>14</v>
      </c>
      <c r="E23">
        <v>4</v>
      </c>
      <c r="F23" s="4">
        <v>40000</v>
      </c>
      <c r="G23" s="4">
        <f>E23*5500</f>
        <v>22000</v>
      </c>
      <c r="H23" s="4">
        <f>E23*4500</f>
        <v>18000</v>
      </c>
    </row>
    <row r="24" spans="1:12" hidden="1" x14ac:dyDescent="0.25">
      <c r="D24" t="s">
        <v>243</v>
      </c>
      <c r="E24">
        <v>3</v>
      </c>
      <c r="F24" s="4">
        <f>E24*13000</f>
        <v>39000</v>
      </c>
      <c r="G24" s="4">
        <f>E24*10000</f>
        <v>30000</v>
      </c>
      <c r="H24" s="4">
        <v>9000</v>
      </c>
    </row>
    <row r="25" spans="1:12" hidden="1" x14ac:dyDescent="0.25">
      <c r="C25" t="s">
        <v>24</v>
      </c>
      <c r="D25" t="s">
        <v>243</v>
      </c>
      <c r="E25">
        <v>2</v>
      </c>
      <c r="F25" s="4">
        <v>26000</v>
      </c>
      <c r="G25" s="4">
        <v>20000</v>
      </c>
      <c r="H25" s="4">
        <v>6000</v>
      </c>
      <c r="K25">
        <f>SUM(E10+E15+E24+E25+E26+E34+E56+E72+E75+E100+E107+E116+E122+E133+E138+E147+E153+E155+E166+E179+E201+E209+E228)</f>
        <v>99</v>
      </c>
    </row>
    <row r="26" spans="1:12" hidden="1" x14ac:dyDescent="0.25">
      <c r="C26" t="s">
        <v>802</v>
      </c>
      <c r="D26" t="s">
        <v>243</v>
      </c>
      <c r="E26">
        <v>25</v>
      </c>
      <c r="F26" s="4">
        <v>0</v>
      </c>
      <c r="G26" s="4">
        <v>0</v>
      </c>
      <c r="H26" s="4">
        <v>0</v>
      </c>
    </row>
    <row r="27" spans="1:12" hidden="1" x14ac:dyDescent="0.25">
      <c r="A27" s="142" t="s">
        <v>17</v>
      </c>
      <c r="B27" s="142"/>
      <c r="C27" s="142"/>
      <c r="D27" s="142"/>
      <c r="E27" s="13">
        <f>SUM(E12:E26)</f>
        <v>227</v>
      </c>
      <c r="F27" s="13">
        <f t="shared" ref="F27:H27" si="1">SUM(F12:F26)</f>
        <v>1162000</v>
      </c>
      <c r="G27" s="13">
        <f t="shared" si="1"/>
        <v>685500</v>
      </c>
      <c r="H27" s="13">
        <f t="shared" si="1"/>
        <v>487500</v>
      </c>
    </row>
    <row r="28" spans="1:12" hidden="1" x14ac:dyDescent="0.25">
      <c r="A28" t="s">
        <v>30</v>
      </c>
      <c r="B28" s="3">
        <v>45357</v>
      </c>
      <c r="C28" t="s">
        <v>16</v>
      </c>
      <c r="D28" t="s">
        <v>11</v>
      </c>
      <c r="E28">
        <v>32</v>
      </c>
      <c r="F28" s="4">
        <f>E28*1500</f>
        <v>48000</v>
      </c>
      <c r="G28" s="4">
        <f>E28*500</f>
        <v>16000</v>
      </c>
      <c r="H28" s="4">
        <f>E28*1000</f>
        <v>32000</v>
      </c>
    </row>
    <row r="29" spans="1:12" hidden="1" x14ac:dyDescent="0.25">
      <c r="D29" t="s">
        <v>12</v>
      </c>
      <c r="E29">
        <v>3</v>
      </c>
      <c r="F29" s="4">
        <v>9000</v>
      </c>
      <c r="G29" s="4">
        <v>6000</v>
      </c>
      <c r="H29" s="4">
        <v>3000</v>
      </c>
    </row>
    <row r="30" spans="1:12" hidden="1" x14ac:dyDescent="0.25">
      <c r="C30" t="s">
        <v>338</v>
      </c>
      <c r="D30" t="s">
        <v>11</v>
      </c>
      <c r="E30">
        <v>75</v>
      </c>
      <c r="F30" s="4">
        <f>E30*1800</f>
        <v>135000</v>
      </c>
      <c r="G30" s="4">
        <f>E30*500</f>
        <v>37500</v>
      </c>
      <c r="H30" s="4">
        <f>E30*1300</f>
        <v>97500</v>
      </c>
    </row>
    <row r="31" spans="1:12" hidden="1" x14ac:dyDescent="0.25">
      <c r="C31" t="s">
        <v>104</v>
      </c>
      <c r="D31" t="s">
        <v>11</v>
      </c>
      <c r="E31">
        <v>66</v>
      </c>
      <c r="F31" s="4">
        <f>E31*1700</f>
        <v>112200</v>
      </c>
      <c r="G31" s="4">
        <f>E31*500</f>
        <v>33000</v>
      </c>
      <c r="H31" s="4">
        <f>E31*1200</f>
        <v>79200</v>
      </c>
    </row>
    <row r="32" spans="1:12" hidden="1" x14ac:dyDescent="0.25">
      <c r="C32" t="s">
        <v>209</v>
      </c>
      <c r="D32" t="s">
        <v>11</v>
      </c>
      <c r="E32">
        <v>30</v>
      </c>
      <c r="F32" s="4">
        <f>E32*1600</f>
        <v>48000</v>
      </c>
      <c r="G32" s="4">
        <f>E32*500</f>
        <v>15000</v>
      </c>
      <c r="H32" s="4">
        <f>E32*1100</f>
        <v>33000</v>
      </c>
    </row>
    <row r="33" spans="1:8" hidden="1" x14ac:dyDescent="0.25">
      <c r="C33" t="s">
        <v>571</v>
      </c>
      <c r="D33" t="s">
        <v>11</v>
      </c>
      <c r="E33">
        <v>20</v>
      </c>
      <c r="F33" s="4">
        <f>E33*1700</f>
        <v>34000</v>
      </c>
      <c r="G33" s="4">
        <f>E33*500</f>
        <v>10000</v>
      </c>
      <c r="H33" s="4">
        <v>20000</v>
      </c>
    </row>
    <row r="34" spans="1:8" hidden="1" x14ac:dyDescent="0.25">
      <c r="C34" t="s">
        <v>24</v>
      </c>
      <c r="D34" t="s">
        <v>243</v>
      </c>
      <c r="E34">
        <v>2</v>
      </c>
      <c r="F34" s="4">
        <v>30000</v>
      </c>
      <c r="G34" s="4">
        <v>20000</v>
      </c>
      <c r="H34" s="4">
        <v>10000</v>
      </c>
    </row>
    <row r="35" spans="1:8" hidden="1" x14ac:dyDescent="0.25">
      <c r="A35" s="142" t="s">
        <v>17</v>
      </c>
      <c r="B35" s="142"/>
      <c r="C35" s="142"/>
      <c r="D35" s="142"/>
      <c r="E35" s="13">
        <f>SUM(E28:E34)</f>
        <v>228</v>
      </c>
      <c r="F35" s="13">
        <f t="shared" ref="F35:H35" si="2">SUM(F28:F34)</f>
        <v>416200</v>
      </c>
      <c r="G35" s="13">
        <f t="shared" si="2"/>
        <v>137500</v>
      </c>
      <c r="H35" s="13">
        <f t="shared" si="2"/>
        <v>274700</v>
      </c>
    </row>
    <row r="36" spans="1:8" hidden="1" x14ac:dyDescent="0.25">
      <c r="A36" t="s">
        <v>32</v>
      </c>
      <c r="B36" s="3">
        <v>45388</v>
      </c>
      <c r="C36" t="s">
        <v>726</v>
      </c>
      <c r="D36" t="s">
        <v>11</v>
      </c>
      <c r="E36">
        <v>48</v>
      </c>
      <c r="F36" s="4">
        <f>E36*1800</f>
        <v>86400</v>
      </c>
      <c r="G36" s="4">
        <f>E36*500</f>
        <v>24000</v>
      </c>
      <c r="H36" s="4">
        <f>E36*1300</f>
        <v>62400</v>
      </c>
    </row>
    <row r="37" spans="1:8" hidden="1" x14ac:dyDescent="0.25">
      <c r="C37" t="s">
        <v>16</v>
      </c>
      <c r="D37" t="s">
        <v>11</v>
      </c>
      <c r="E37">
        <v>30</v>
      </c>
      <c r="F37" s="4">
        <f>E37*1500</f>
        <v>45000</v>
      </c>
      <c r="G37" s="4">
        <f>E37*500</f>
        <v>15000</v>
      </c>
      <c r="H37" s="4">
        <v>30000</v>
      </c>
    </row>
    <row r="38" spans="1:8" hidden="1" x14ac:dyDescent="0.25">
      <c r="D38" t="s">
        <v>12</v>
      </c>
      <c r="E38">
        <v>4</v>
      </c>
      <c r="F38" s="4">
        <f>E38*3000</f>
        <v>12000</v>
      </c>
      <c r="G38" s="4">
        <v>8000</v>
      </c>
      <c r="H38" s="4">
        <v>4000</v>
      </c>
    </row>
    <row r="39" spans="1:8" hidden="1" x14ac:dyDescent="0.25">
      <c r="C39" t="s">
        <v>693</v>
      </c>
      <c r="D39" t="s">
        <v>11</v>
      </c>
      <c r="E39">
        <v>10</v>
      </c>
      <c r="F39" s="4">
        <f>E39*2000</f>
        <v>20000</v>
      </c>
      <c r="G39" s="4">
        <f>E39*500</f>
        <v>5000</v>
      </c>
      <c r="H39" s="4">
        <f>E39*1500</f>
        <v>15000</v>
      </c>
    </row>
    <row r="40" spans="1:8" hidden="1" x14ac:dyDescent="0.25">
      <c r="D40" t="s">
        <v>13</v>
      </c>
      <c r="E40">
        <v>11</v>
      </c>
      <c r="F40" s="4">
        <f>E40*8000</f>
        <v>88000</v>
      </c>
      <c r="G40" s="4">
        <f>E40*4500</f>
        <v>49500</v>
      </c>
      <c r="H40" s="4">
        <f>E40*3500</f>
        <v>38500</v>
      </c>
    </row>
    <row r="41" spans="1:8" hidden="1" x14ac:dyDescent="0.25">
      <c r="A41" s="142" t="s">
        <v>17</v>
      </c>
      <c r="B41" s="142"/>
      <c r="C41" s="142"/>
      <c r="D41" s="142"/>
      <c r="E41" s="13">
        <f>SUM(E36:E40)</f>
        <v>103</v>
      </c>
      <c r="F41" s="13">
        <f t="shared" ref="F41:H41" si="3">SUM(F36:F40)</f>
        <v>251400</v>
      </c>
      <c r="G41" s="13">
        <f t="shared" si="3"/>
        <v>101500</v>
      </c>
      <c r="H41" s="13">
        <f t="shared" si="3"/>
        <v>149900</v>
      </c>
    </row>
    <row r="42" spans="1:8" hidden="1" x14ac:dyDescent="0.25">
      <c r="A42" t="s">
        <v>8</v>
      </c>
      <c r="B42" s="3">
        <v>45418</v>
      </c>
      <c r="C42" t="s">
        <v>338</v>
      </c>
      <c r="D42" t="s">
        <v>11</v>
      </c>
      <c r="E42">
        <f>55-7</f>
        <v>48</v>
      </c>
      <c r="F42" s="4">
        <f>E42*1500</f>
        <v>72000</v>
      </c>
      <c r="G42" s="4">
        <f t="shared" ref="G42:G48" si="4">E42*500</f>
        <v>24000</v>
      </c>
      <c r="H42" s="4">
        <v>48000</v>
      </c>
    </row>
    <row r="43" spans="1:8" hidden="1" x14ac:dyDescent="0.25">
      <c r="C43" t="s">
        <v>209</v>
      </c>
      <c r="D43" t="s">
        <v>11</v>
      </c>
      <c r="E43">
        <v>30</v>
      </c>
      <c r="F43" s="4">
        <f>E43*1600</f>
        <v>48000</v>
      </c>
      <c r="G43" s="4">
        <f t="shared" si="4"/>
        <v>15000</v>
      </c>
      <c r="H43" s="4">
        <f>E43*1100</f>
        <v>33000</v>
      </c>
    </row>
    <row r="44" spans="1:8" hidden="1" x14ac:dyDescent="0.25">
      <c r="C44" t="s">
        <v>571</v>
      </c>
      <c r="D44" t="s">
        <v>11</v>
      </c>
      <c r="E44">
        <v>22</v>
      </c>
      <c r="F44" s="4">
        <f>E44*1700</f>
        <v>37400</v>
      </c>
      <c r="G44" s="4">
        <f t="shared" si="4"/>
        <v>11000</v>
      </c>
      <c r="H44" s="4">
        <f>E44*1200</f>
        <v>26400</v>
      </c>
    </row>
    <row r="45" spans="1:8" hidden="1" x14ac:dyDescent="0.25">
      <c r="C45" t="s">
        <v>104</v>
      </c>
      <c r="D45" t="s">
        <v>11</v>
      </c>
      <c r="E45">
        <v>32</v>
      </c>
      <c r="F45" s="4">
        <f>E45*1700</f>
        <v>54400</v>
      </c>
      <c r="G45" s="4">
        <f t="shared" si="4"/>
        <v>16000</v>
      </c>
      <c r="H45" s="4">
        <f>E45*1200</f>
        <v>38400</v>
      </c>
    </row>
    <row r="46" spans="1:8" hidden="1" x14ac:dyDescent="0.25">
      <c r="C46" t="s">
        <v>572</v>
      </c>
      <c r="D46" t="s">
        <v>11</v>
      </c>
      <c r="E46">
        <f>103700/1700</f>
        <v>61</v>
      </c>
      <c r="F46" s="4">
        <f>E46*1700</f>
        <v>103700</v>
      </c>
      <c r="G46" s="4">
        <f t="shared" si="4"/>
        <v>30500</v>
      </c>
      <c r="H46" s="4">
        <f>E46*1200</f>
        <v>73200</v>
      </c>
    </row>
    <row r="47" spans="1:8" hidden="1" x14ac:dyDescent="0.25">
      <c r="C47" t="s">
        <v>16</v>
      </c>
      <c r="D47" t="s">
        <v>11</v>
      </c>
      <c r="E47">
        <v>47</v>
      </c>
      <c r="F47" s="4">
        <f>E47*1500</f>
        <v>70500</v>
      </c>
      <c r="G47" s="4">
        <f t="shared" si="4"/>
        <v>23500</v>
      </c>
      <c r="H47" s="4">
        <v>47000</v>
      </c>
    </row>
    <row r="48" spans="1:8" hidden="1" x14ac:dyDescent="0.25">
      <c r="C48" t="s">
        <v>693</v>
      </c>
      <c r="D48" t="s">
        <v>11</v>
      </c>
      <c r="E48">
        <v>10</v>
      </c>
      <c r="F48" s="4">
        <f>E48*2000</f>
        <v>20000</v>
      </c>
      <c r="G48" s="4">
        <f t="shared" si="4"/>
        <v>5000</v>
      </c>
      <c r="H48" s="4">
        <f>E48*1500</f>
        <v>15000</v>
      </c>
    </row>
    <row r="49" spans="1:8" hidden="1" x14ac:dyDescent="0.25">
      <c r="D49" t="s">
        <v>13</v>
      </c>
      <c r="E49">
        <v>11</v>
      </c>
      <c r="F49" s="4">
        <f>E49*8000</f>
        <v>88000</v>
      </c>
      <c r="G49" s="4">
        <f>E49*4500</f>
        <v>49500</v>
      </c>
      <c r="H49" s="4">
        <f>E49*3500</f>
        <v>38500</v>
      </c>
    </row>
    <row r="50" spans="1:8" hidden="1" x14ac:dyDescent="0.25">
      <c r="A50" s="142" t="s">
        <v>17</v>
      </c>
      <c r="B50" s="142"/>
      <c r="C50" s="142"/>
      <c r="D50" s="142"/>
      <c r="E50" s="13">
        <f>SUM(E42:E49)</f>
        <v>261</v>
      </c>
      <c r="F50" s="13">
        <f t="shared" ref="F50:H50" si="5">SUM(F42:F49)</f>
        <v>494000</v>
      </c>
      <c r="G50" s="13">
        <f t="shared" si="5"/>
        <v>174500</v>
      </c>
      <c r="H50" s="13">
        <f t="shared" si="5"/>
        <v>319500</v>
      </c>
    </row>
    <row r="51" spans="1:8" hidden="1" x14ac:dyDescent="0.25">
      <c r="A51" t="s">
        <v>18</v>
      </c>
      <c r="B51" s="3">
        <v>45449</v>
      </c>
      <c r="C51" t="s">
        <v>338</v>
      </c>
      <c r="D51" t="s">
        <v>11</v>
      </c>
      <c r="E51">
        <f>55-3</f>
        <v>52</v>
      </c>
      <c r="F51" s="4">
        <f>E51*1800</f>
        <v>93600</v>
      </c>
      <c r="G51" s="4">
        <f>E51*500</f>
        <v>26000</v>
      </c>
      <c r="H51" s="4">
        <f>E51*1300</f>
        <v>67600</v>
      </c>
    </row>
    <row r="52" spans="1:8" hidden="1" x14ac:dyDescent="0.25">
      <c r="C52" t="s">
        <v>209</v>
      </c>
      <c r="D52" t="s">
        <v>11</v>
      </c>
      <c r="E52">
        <v>30</v>
      </c>
      <c r="F52" s="4">
        <f>E52*1600</f>
        <v>48000</v>
      </c>
      <c r="G52" s="4">
        <f>E52*500</f>
        <v>15000</v>
      </c>
      <c r="H52" s="4">
        <f>E52*1100</f>
        <v>33000</v>
      </c>
    </row>
    <row r="53" spans="1:8" hidden="1" x14ac:dyDescent="0.25">
      <c r="C53" t="s">
        <v>16</v>
      </c>
      <c r="D53" t="s">
        <v>11</v>
      </c>
      <c r="E53">
        <v>55</v>
      </c>
      <c r="F53" s="4">
        <f>E53*1500</f>
        <v>82500</v>
      </c>
      <c r="G53" s="4">
        <f>E53*500</f>
        <v>27500</v>
      </c>
      <c r="H53" s="4">
        <f>E53*1000</f>
        <v>55000</v>
      </c>
    </row>
    <row r="54" spans="1:8" hidden="1" x14ac:dyDescent="0.25">
      <c r="D54" t="s">
        <v>12</v>
      </c>
      <c r="E54">
        <v>2</v>
      </c>
      <c r="F54" s="4">
        <v>6000</v>
      </c>
      <c r="G54" s="4">
        <v>4000</v>
      </c>
      <c r="H54" s="4">
        <v>2000</v>
      </c>
    </row>
    <row r="55" spans="1:8" hidden="1" x14ac:dyDescent="0.25">
      <c r="D55" t="s">
        <v>13</v>
      </c>
      <c r="E55">
        <v>1</v>
      </c>
      <c r="F55" s="4">
        <v>6500</v>
      </c>
      <c r="G55" s="4">
        <v>4500</v>
      </c>
      <c r="H55" s="4">
        <v>2000</v>
      </c>
    </row>
    <row r="56" spans="1:8" hidden="1" x14ac:dyDescent="0.25">
      <c r="D56" t="s">
        <v>243</v>
      </c>
      <c r="E56">
        <v>1</v>
      </c>
      <c r="F56" s="4">
        <v>13000</v>
      </c>
      <c r="G56" s="4">
        <v>10000</v>
      </c>
      <c r="H56" s="4">
        <v>3000</v>
      </c>
    </row>
    <row r="57" spans="1:8" hidden="1" x14ac:dyDescent="0.25">
      <c r="C57" t="s">
        <v>693</v>
      </c>
      <c r="D57" t="s">
        <v>13</v>
      </c>
      <c r="E57">
        <v>10</v>
      </c>
      <c r="F57" s="4">
        <f>E57*8000</f>
        <v>80000</v>
      </c>
      <c r="G57" s="4">
        <f>E57*4500</f>
        <v>45000</v>
      </c>
      <c r="H57" s="4">
        <f>E57*3500</f>
        <v>35000</v>
      </c>
    </row>
    <row r="58" spans="1:8" hidden="1" x14ac:dyDescent="0.25">
      <c r="A58" s="142" t="s">
        <v>17</v>
      </c>
      <c r="B58" s="142"/>
      <c r="C58" s="142"/>
      <c r="D58" s="142"/>
      <c r="E58" s="13">
        <f>SUM(E51:E57)</f>
        <v>151</v>
      </c>
      <c r="F58" s="13">
        <f t="shared" ref="F58:H58" si="6">SUM(F51:F57)</f>
        <v>329600</v>
      </c>
      <c r="G58" s="13">
        <f t="shared" si="6"/>
        <v>132000</v>
      </c>
      <c r="H58" s="13">
        <f t="shared" si="6"/>
        <v>197600</v>
      </c>
    </row>
    <row r="59" spans="1:8" hidden="1" x14ac:dyDescent="0.25">
      <c r="A59" t="s">
        <v>22</v>
      </c>
      <c r="B59" s="3">
        <v>45479</v>
      </c>
      <c r="C59" t="s">
        <v>693</v>
      </c>
      <c r="D59" t="s">
        <v>11</v>
      </c>
      <c r="E59">
        <v>13</v>
      </c>
      <c r="F59" s="4">
        <f>E59*2000</f>
        <v>26000</v>
      </c>
      <c r="G59" s="4">
        <f>E59*500</f>
        <v>6500</v>
      </c>
      <c r="H59" s="4">
        <f>E59*1500</f>
        <v>19500</v>
      </c>
    </row>
    <row r="60" spans="1:8" hidden="1" x14ac:dyDescent="0.25">
      <c r="D60" t="s">
        <v>13</v>
      </c>
      <c r="E60">
        <v>4</v>
      </c>
      <c r="F60" s="4">
        <f>E60*7000</f>
        <v>28000</v>
      </c>
      <c r="G60" s="4">
        <f>E60*4500</f>
        <v>18000</v>
      </c>
      <c r="H60" s="4">
        <f>E60*2500</f>
        <v>10000</v>
      </c>
    </row>
    <row r="61" spans="1:8" hidden="1" x14ac:dyDescent="0.25">
      <c r="D61" t="s">
        <v>14</v>
      </c>
      <c r="E61">
        <v>2</v>
      </c>
      <c r="F61" s="4">
        <v>20000</v>
      </c>
      <c r="G61" s="4">
        <v>11000</v>
      </c>
      <c r="H61" s="4">
        <v>9000</v>
      </c>
    </row>
    <row r="62" spans="1:8" hidden="1" x14ac:dyDescent="0.25">
      <c r="C62" t="s">
        <v>338</v>
      </c>
      <c r="D62" t="s">
        <v>11</v>
      </c>
      <c r="E62">
        <v>45</v>
      </c>
      <c r="F62" s="4">
        <f>E62*1800</f>
        <v>81000</v>
      </c>
      <c r="G62" s="4">
        <f>E62*500</f>
        <v>22500</v>
      </c>
      <c r="H62" s="4">
        <f>E62*1300</f>
        <v>58500</v>
      </c>
    </row>
    <row r="63" spans="1:8" hidden="1" x14ac:dyDescent="0.25">
      <c r="C63" t="s">
        <v>104</v>
      </c>
      <c r="D63" t="s">
        <v>11</v>
      </c>
      <c r="E63">
        <v>24</v>
      </c>
      <c r="F63" s="4">
        <f>E63*1700</f>
        <v>40800</v>
      </c>
      <c r="G63" s="4">
        <f>E63*500</f>
        <v>12000</v>
      </c>
      <c r="H63" s="4">
        <f>E63*1200</f>
        <v>28800</v>
      </c>
    </row>
    <row r="64" spans="1:8" hidden="1" x14ac:dyDescent="0.25">
      <c r="C64" t="s">
        <v>209</v>
      </c>
      <c r="D64" t="s">
        <v>11</v>
      </c>
      <c r="E64">
        <v>17</v>
      </c>
      <c r="F64" s="4">
        <f>E64*1600</f>
        <v>27200</v>
      </c>
      <c r="G64" s="4">
        <f>E64*500</f>
        <v>8500</v>
      </c>
      <c r="H64" s="4">
        <f>E64*1100</f>
        <v>18700</v>
      </c>
    </row>
    <row r="65" spans="1:12" hidden="1" x14ac:dyDescent="0.25">
      <c r="A65" s="142" t="s">
        <v>17</v>
      </c>
      <c r="B65" s="142"/>
      <c r="C65" s="142"/>
      <c r="D65" s="142"/>
      <c r="E65" s="13">
        <f>SUM(E59:E64)</f>
        <v>105</v>
      </c>
      <c r="F65" s="13">
        <f t="shared" ref="F65:H65" si="7">SUM(F59:F64)</f>
        <v>223000</v>
      </c>
      <c r="G65" s="13">
        <f t="shared" si="7"/>
        <v>78500</v>
      </c>
      <c r="H65" s="13">
        <f t="shared" si="7"/>
        <v>144500</v>
      </c>
    </row>
    <row r="66" spans="1:12" hidden="1" x14ac:dyDescent="0.25">
      <c r="A66" t="s">
        <v>26</v>
      </c>
      <c r="B66" s="3">
        <v>45510</v>
      </c>
      <c r="C66" t="s">
        <v>338</v>
      </c>
      <c r="D66" t="s">
        <v>11</v>
      </c>
      <c r="E66">
        <v>15</v>
      </c>
      <c r="F66" s="4">
        <f>E66*1800</f>
        <v>27000</v>
      </c>
      <c r="G66" s="4">
        <f>E66*500</f>
        <v>7500</v>
      </c>
      <c r="H66" s="4">
        <f>E66*1300</f>
        <v>19500</v>
      </c>
    </row>
    <row r="67" spans="1:12" hidden="1" x14ac:dyDescent="0.25">
      <c r="C67" t="s">
        <v>16</v>
      </c>
      <c r="D67" t="s">
        <v>11</v>
      </c>
      <c r="E67">
        <v>19</v>
      </c>
      <c r="F67" s="4">
        <f>E67*1500</f>
        <v>28500</v>
      </c>
      <c r="G67" s="4">
        <f>E67*500</f>
        <v>9500</v>
      </c>
      <c r="H67" s="4">
        <v>19000</v>
      </c>
    </row>
    <row r="68" spans="1:12" hidden="1" x14ac:dyDescent="0.25">
      <c r="D68" t="s">
        <v>12</v>
      </c>
      <c r="E68">
        <v>1</v>
      </c>
      <c r="F68" s="4">
        <v>3000</v>
      </c>
      <c r="G68" s="4">
        <v>2000</v>
      </c>
      <c r="H68" s="4">
        <v>1000</v>
      </c>
    </row>
    <row r="69" spans="1:12" hidden="1" x14ac:dyDescent="0.25">
      <c r="C69" t="s">
        <v>693</v>
      </c>
      <c r="D69" t="s">
        <v>11</v>
      </c>
      <c r="E69">
        <v>5</v>
      </c>
      <c r="F69" s="4">
        <f>E69*2000</f>
        <v>10000</v>
      </c>
      <c r="G69" s="4">
        <f>E69*500</f>
        <v>2500</v>
      </c>
      <c r="H69" s="4">
        <f>E69*1500</f>
        <v>7500</v>
      </c>
    </row>
    <row r="70" spans="1:12" hidden="1" x14ac:dyDescent="0.25">
      <c r="D70" t="s">
        <v>13</v>
      </c>
      <c r="E70">
        <v>2</v>
      </c>
      <c r="F70" s="4">
        <f>E70*7000</f>
        <v>14000</v>
      </c>
      <c r="G70" s="4">
        <f>E70*4500</f>
        <v>9000</v>
      </c>
      <c r="H70" s="4">
        <f>E70*2500</f>
        <v>5000</v>
      </c>
    </row>
    <row r="71" spans="1:12" hidden="1" x14ac:dyDescent="0.25">
      <c r="D71" t="s">
        <v>14</v>
      </c>
      <c r="E71">
        <v>2</v>
      </c>
      <c r="F71" s="4">
        <v>20000</v>
      </c>
      <c r="G71" s="4">
        <v>11000</v>
      </c>
      <c r="H71" s="4">
        <v>9000</v>
      </c>
    </row>
    <row r="72" spans="1:12" hidden="1" x14ac:dyDescent="0.25">
      <c r="C72" t="s">
        <v>24</v>
      </c>
      <c r="D72" t="s">
        <v>243</v>
      </c>
      <c r="E72">
        <v>4</v>
      </c>
      <c r="F72" s="4">
        <f>E72*15000</f>
        <v>60000</v>
      </c>
      <c r="G72" s="4">
        <v>40000</v>
      </c>
      <c r="H72" s="4">
        <v>20000</v>
      </c>
    </row>
    <row r="73" spans="1:12" hidden="1" x14ac:dyDescent="0.25">
      <c r="C73" t="s">
        <v>554</v>
      </c>
      <c r="D73" t="s">
        <v>13</v>
      </c>
      <c r="E73">
        <v>5</v>
      </c>
      <c r="F73" s="4"/>
      <c r="G73" s="4"/>
      <c r="H73" s="4"/>
    </row>
    <row r="74" spans="1:12" hidden="1" x14ac:dyDescent="0.25">
      <c r="D74" t="s">
        <v>14</v>
      </c>
      <c r="E74">
        <v>5</v>
      </c>
      <c r="F74" s="4"/>
      <c r="G74" s="4"/>
      <c r="H74" s="4"/>
      <c r="L74">
        <f>SUM(E4+E7+E9+E14+E18+E23+E61+E71+E74+E79+E82+E99+E113+E121+E126+E141+E129+E146+E165+E171+E174+E178+E182+E188+E193+E198+E206+E212+E216+E222+E224+E231+E234+E238+E240)</f>
        <v>539</v>
      </c>
    </row>
    <row r="75" spans="1:12" hidden="1" x14ac:dyDescent="0.25">
      <c r="D75" t="s">
        <v>243</v>
      </c>
      <c r="E75">
        <v>6</v>
      </c>
      <c r="F75" s="4"/>
      <c r="G75" s="4"/>
      <c r="H75" s="4"/>
    </row>
    <row r="76" spans="1:12" hidden="1" x14ac:dyDescent="0.25">
      <c r="A76" s="142" t="s">
        <v>17</v>
      </c>
      <c r="B76" s="142"/>
      <c r="C76" s="142"/>
      <c r="D76" s="142"/>
      <c r="E76" s="13">
        <f>SUM(E66:E75)</f>
        <v>64</v>
      </c>
      <c r="F76" s="13">
        <f t="shared" ref="F76:H76" si="8">SUM(F66:F75)</f>
        <v>162500</v>
      </c>
      <c r="G76" s="13">
        <f t="shared" si="8"/>
        <v>81500</v>
      </c>
      <c r="H76" s="13">
        <f t="shared" si="8"/>
        <v>81000</v>
      </c>
    </row>
    <row r="77" spans="1:12" hidden="1" x14ac:dyDescent="0.25">
      <c r="A77" t="s">
        <v>28</v>
      </c>
      <c r="B77" s="3">
        <v>45541</v>
      </c>
      <c r="C77" t="s">
        <v>693</v>
      </c>
      <c r="D77" t="s">
        <v>11</v>
      </c>
      <c r="E77">
        <v>9</v>
      </c>
      <c r="F77" s="4">
        <f>E77*2000</f>
        <v>18000</v>
      </c>
      <c r="G77" s="4">
        <f>E77*500</f>
        <v>4500</v>
      </c>
      <c r="H77" s="4">
        <f>E77*1500</f>
        <v>13500</v>
      </c>
    </row>
    <row r="78" spans="1:12" hidden="1" x14ac:dyDescent="0.25">
      <c r="D78" t="s">
        <v>13</v>
      </c>
      <c r="E78">
        <v>31</v>
      </c>
      <c r="F78" s="4">
        <f>E78*7000</f>
        <v>217000</v>
      </c>
      <c r="G78" s="4">
        <f>E78*4500</f>
        <v>139500</v>
      </c>
      <c r="H78" s="4">
        <f>E78*2500</f>
        <v>77500</v>
      </c>
    </row>
    <row r="79" spans="1:12" hidden="1" x14ac:dyDescent="0.25">
      <c r="D79" t="s">
        <v>14</v>
      </c>
      <c r="E79">
        <v>21</v>
      </c>
      <c r="F79" s="4">
        <f>E79*10000</f>
        <v>210000</v>
      </c>
      <c r="G79" s="4">
        <f>E79*5500</f>
        <v>115500</v>
      </c>
      <c r="H79" s="4">
        <f>E79*4500</f>
        <v>94500</v>
      </c>
    </row>
    <row r="80" spans="1:12" hidden="1" x14ac:dyDescent="0.25">
      <c r="C80" t="s">
        <v>217</v>
      </c>
      <c r="D80" t="s">
        <v>11</v>
      </c>
      <c r="E80">
        <v>13</v>
      </c>
      <c r="F80" s="4">
        <f>E80*1500</f>
        <v>19500</v>
      </c>
      <c r="G80" s="4">
        <f>E80*500</f>
        <v>6500</v>
      </c>
      <c r="H80" s="4">
        <v>13000</v>
      </c>
    </row>
    <row r="81" spans="1:8" hidden="1" x14ac:dyDescent="0.25">
      <c r="D81" t="s">
        <v>13</v>
      </c>
      <c r="E81">
        <v>14</v>
      </c>
      <c r="F81" s="4">
        <f>E81*6500</f>
        <v>91000</v>
      </c>
      <c r="G81" s="4">
        <f>E81*4500</f>
        <v>63000</v>
      </c>
      <c r="H81" s="4">
        <f>E81*2000</f>
        <v>28000</v>
      </c>
    </row>
    <row r="82" spans="1:8" hidden="1" x14ac:dyDescent="0.25">
      <c r="D82" t="s">
        <v>14</v>
      </c>
      <c r="E82">
        <v>12</v>
      </c>
      <c r="F82" s="4">
        <f>E82*10000</f>
        <v>120000</v>
      </c>
      <c r="G82" s="4">
        <f>E82*5500</f>
        <v>66000</v>
      </c>
      <c r="H82" s="4">
        <f>E82*4500</f>
        <v>54000</v>
      </c>
    </row>
    <row r="83" spans="1:8" hidden="1" x14ac:dyDescent="0.25">
      <c r="C83" t="s">
        <v>16</v>
      </c>
      <c r="D83" t="s">
        <v>11</v>
      </c>
      <c r="E83">
        <v>41</v>
      </c>
      <c r="F83" s="4">
        <f>E83*1500</f>
        <v>61500</v>
      </c>
      <c r="G83" s="4">
        <f>E83*500</f>
        <v>20500</v>
      </c>
      <c r="H83" s="4">
        <v>41000</v>
      </c>
    </row>
    <row r="84" spans="1:8" hidden="1" x14ac:dyDescent="0.25">
      <c r="D84" t="s">
        <v>12</v>
      </c>
      <c r="E84">
        <v>4</v>
      </c>
      <c r="F84" s="4">
        <f>E84*3000</f>
        <v>12000</v>
      </c>
      <c r="G84" s="4">
        <v>8000</v>
      </c>
      <c r="H84" s="4">
        <v>4000</v>
      </c>
    </row>
    <row r="85" spans="1:8" hidden="1" x14ac:dyDescent="0.25">
      <c r="D85" t="s">
        <v>13</v>
      </c>
      <c r="E85">
        <v>1</v>
      </c>
      <c r="F85" s="4">
        <v>6500</v>
      </c>
      <c r="G85" s="4">
        <v>4500</v>
      </c>
      <c r="H85" s="4">
        <v>2000</v>
      </c>
    </row>
    <row r="86" spans="1:8" hidden="1" x14ac:dyDescent="0.25">
      <c r="A86" s="142" t="s">
        <v>17</v>
      </c>
      <c r="B86" s="142"/>
      <c r="C86" s="142"/>
      <c r="D86" s="142"/>
      <c r="E86" s="13">
        <f>SUM(E77:E85)</f>
        <v>146</v>
      </c>
      <c r="F86" s="13">
        <f t="shared" ref="F86:H86" si="9">SUM(F77:F85)</f>
        <v>755500</v>
      </c>
      <c r="G86" s="13">
        <f t="shared" si="9"/>
        <v>428000</v>
      </c>
      <c r="H86" s="13">
        <f t="shared" si="9"/>
        <v>327500</v>
      </c>
    </row>
    <row r="87" spans="1:8" hidden="1" x14ac:dyDescent="0.25">
      <c r="A87" t="s">
        <v>30</v>
      </c>
      <c r="B87" s="3">
        <v>45571</v>
      </c>
      <c r="C87" t="s">
        <v>16</v>
      </c>
      <c r="D87" t="s">
        <v>11</v>
      </c>
      <c r="E87">
        <v>32</v>
      </c>
      <c r="F87" s="4">
        <f>E87*1500</f>
        <v>48000</v>
      </c>
      <c r="G87" s="4">
        <f>E87*500</f>
        <v>16000</v>
      </c>
      <c r="H87" s="4">
        <v>32000</v>
      </c>
    </row>
    <row r="88" spans="1:8" hidden="1" x14ac:dyDescent="0.25">
      <c r="D88" t="s">
        <v>12</v>
      </c>
      <c r="E88">
        <v>5</v>
      </c>
      <c r="F88" s="4">
        <v>15000</v>
      </c>
      <c r="G88" s="4">
        <v>10000</v>
      </c>
      <c r="H88" s="4">
        <v>5000</v>
      </c>
    </row>
    <row r="89" spans="1:8" hidden="1" x14ac:dyDescent="0.25">
      <c r="C89" t="s">
        <v>803</v>
      </c>
      <c r="D89" t="s">
        <v>11</v>
      </c>
      <c r="E89">
        <v>20</v>
      </c>
      <c r="F89" s="4">
        <f>E89*1600</f>
        <v>32000</v>
      </c>
      <c r="G89" s="4">
        <f>E89*500</f>
        <v>10000</v>
      </c>
      <c r="H89" s="4">
        <v>20000</v>
      </c>
    </row>
    <row r="90" spans="1:8" hidden="1" x14ac:dyDescent="0.25">
      <c r="C90" t="s">
        <v>571</v>
      </c>
      <c r="D90" t="s">
        <v>11</v>
      </c>
      <c r="E90">
        <v>21</v>
      </c>
      <c r="F90" s="4">
        <f>E90*1700</f>
        <v>35700</v>
      </c>
      <c r="G90" s="4">
        <f>E90*500</f>
        <v>10500</v>
      </c>
      <c r="H90" s="4">
        <f>E90*1200</f>
        <v>25200</v>
      </c>
    </row>
    <row r="91" spans="1:8" hidden="1" x14ac:dyDescent="0.25">
      <c r="A91" s="144" t="s">
        <v>17</v>
      </c>
      <c r="B91" s="144"/>
      <c r="C91" s="144"/>
      <c r="D91" s="144"/>
      <c r="E91" s="82">
        <f>SUM(E87:E90)</f>
        <v>78</v>
      </c>
      <c r="F91" s="82">
        <f t="shared" ref="F91:H91" si="10">SUM(F87:F90)</f>
        <v>130700</v>
      </c>
      <c r="G91" s="82">
        <f t="shared" si="10"/>
        <v>46500</v>
      </c>
      <c r="H91" s="82">
        <f t="shared" si="10"/>
        <v>82200</v>
      </c>
    </row>
    <row r="92" spans="1:8" hidden="1" x14ac:dyDescent="0.25">
      <c r="A92" t="s">
        <v>32</v>
      </c>
      <c r="B92" s="3">
        <v>45602</v>
      </c>
      <c r="C92" t="s">
        <v>338</v>
      </c>
      <c r="D92" t="s">
        <v>11</v>
      </c>
      <c r="E92">
        <v>60</v>
      </c>
      <c r="F92" s="4">
        <f>E92*1800</f>
        <v>108000</v>
      </c>
      <c r="G92" s="4">
        <f>E92*500</f>
        <v>30000</v>
      </c>
      <c r="H92" s="4">
        <f>E92*1300</f>
        <v>78000</v>
      </c>
    </row>
    <row r="93" spans="1:8" hidden="1" x14ac:dyDescent="0.25">
      <c r="C93" t="s">
        <v>209</v>
      </c>
      <c r="D93" t="s">
        <v>11</v>
      </c>
      <c r="E93">
        <v>25</v>
      </c>
      <c r="F93" s="4">
        <f>E93*1600</f>
        <v>40000</v>
      </c>
      <c r="G93" s="4">
        <f>E93*500</f>
        <v>12500</v>
      </c>
      <c r="H93" s="4">
        <f>E93*1100</f>
        <v>27500</v>
      </c>
    </row>
    <row r="94" spans="1:8" hidden="1" x14ac:dyDescent="0.25">
      <c r="C94" t="s">
        <v>571</v>
      </c>
      <c r="D94" t="s">
        <v>11</v>
      </c>
      <c r="E94">
        <v>27</v>
      </c>
      <c r="F94" s="4">
        <f>E94*1700</f>
        <v>45900</v>
      </c>
      <c r="G94" s="4">
        <f>E94*500</f>
        <v>13500</v>
      </c>
      <c r="H94" s="4">
        <f>E94*1200</f>
        <v>32400</v>
      </c>
    </row>
    <row r="95" spans="1:8" hidden="1" x14ac:dyDescent="0.25">
      <c r="C95" t="s">
        <v>16</v>
      </c>
      <c r="D95" t="s">
        <v>11</v>
      </c>
      <c r="E95">
        <v>25</v>
      </c>
      <c r="F95" s="4">
        <f>E95*1500</f>
        <v>37500</v>
      </c>
      <c r="G95" s="4">
        <f>E95*500</f>
        <v>12500</v>
      </c>
      <c r="H95" s="4">
        <v>2500</v>
      </c>
    </row>
    <row r="96" spans="1:8" hidden="1" x14ac:dyDescent="0.25">
      <c r="A96" s="142" t="s">
        <v>17</v>
      </c>
      <c r="B96" s="142"/>
      <c r="C96" s="142"/>
      <c r="D96" s="142"/>
      <c r="E96" s="13">
        <f>SUM(E92:E95)</f>
        <v>137</v>
      </c>
      <c r="F96" s="13">
        <f t="shared" ref="F96:H96" si="11">SUM(F92:F95)</f>
        <v>231400</v>
      </c>
      <c r="G96" s="13">
        <f t="shared" si="11"/>
        <v>68500</v>
      </c>
      <c r="H96" s="13">
        <f t="shared" si="11"/>
        <v>140400</v>
      </c>
    </row>
    <row r="97" spans="1:8" hidden="1" x14ac:dyDescent="0.25">
      <c r="A97" t="s">
        <v>8</v>
      </c>
      <c r="B97" s="3">
        <v>45632</v>
      </c>
      <c r="C97" t="s">
        <v>16</v>
      </c>
      <c r="D97" t="s">
        <v>11</v>
      </c>
      <c r="E97">
        <v>35</v>
      </c>
      <c r="F97" s="4">
        <f>E97*1500</f>
        <v>52500</v>
      </c>
      <c r="G97" s="4">
        <f>E97*500</f>
        <v>17500</v>
      </c>
      <c r="H97" s="4">
        <v>24000</v>
      </c>
    </row>
    <row r="98" spans="1:8" hidden="1" x14ac:dyDescent="0.25">
      <c r="C98" t="s">
        <v>554</v>
      </c>
      <c r="D98" t="s">
        <v>13</v>
      </c>
      <c r="E98">
        <v>5</v>
      </c>
      <c r="F98" s="4"/>
      <c r="G98" s="4"/>
      <c r="H98" s="4"/>
    </row>
    <row r="99" spans="1:8" hidden="1" x14ac:dyDescent="0.25">
      <c r="D99" t="s">
        <v>14</v>
      </c>
      <c r="E99">
        <v>5</v>
      </c>
      <c r="F99" s="4"/>
      <c r="G99" s="4"/>
      <c r="H99" s="4"/>
    </row>
    <row r="100" spans="1:8" hidden="1" x14ac:dyDescent="0.25">
      <c r="D100" t="s">
        <v>243</v>
      </c>
      <c r="E100">
        <v>2</v>
      </c>
      <c r="F100" s="4"/>
      <c r="G100" s="4"/>
      <c r="H100" s="4"/>
    </row>
    <row r="101" spans="1:8" hidden="1" x14ac:dyDescent="0.25">
      <c r="A101" s="143" t="s">
        <v>17</v>
      </c>
      <c r="B101" s="143"/>
      <c r="C101" s="143"/>
      <c r="D101" s="143"/>
      <c r="E101" s="13">
        <f>SUM(E97:E100)</f>
        <v>47</v>
      </c>
      <c r="F101" s="13">
        <f t="shared" ref="F101:H101" si="12">SUM(F97:F100)</f>
        <v>52500</v>
      </c>
      <c r="G101" s="13">
        <f t="shared" si="12"/>
        <v>17500</v>
      </c>
      <c r="H101" s="13">
        <f t="shared" si="12"/>
        <v>24000</v>
      </c>
    </row>
    <row r="102" spans="1:8" hidden="1" x14ac:dyDescent="0.25">
      <c r="A102" t="s">
        <v>18</v>
      </c>
      <c r="B102" t="s">
        <v>804</v>
      </c>
      <c r="C102" t="s">
        <v>338</v>
      </c>
      <c r="D102" t="s">
        <v>11</v>
      </c>
      <c r="E102">
        <v>45</v>
      </c>
      <c r="F102" s="4">
        <f>E102*1800</f>
        <v>81000</v>
      </c>
      <c r="G102" s="4">
        <f>E102*500</f>
        <v>22500</v>
      </c>
      <c r="H102" s="4">
        <f>E102*1300</f>
        <v>58500</v>
      </c>
    </row>
    <row r="103" spans="1:8" hidden="1" x14ac:dyDescent="0.25">
      <c r="C103" t="s">
        <v>209</v>
      </c>
      <c r="D103" t="s">
        <v>11</v>
      </c>
      <c r="E103">
        <v>23</v>
      </c>
      <c r="F103" s="4">
        <f>E103*1600</f>
        <v>36800</v>
      </c>
      <c r="G103" s="4">
        <f>E103*500</f>
        <v>11500</v>
      </c>
      <c r="H103" s="4">
        <f>E103*1100</f>
        <v>25300</v>
      </c>
    </row>
    <row r="104" spans="1:8" hidden="1" x14ac:dyDescent="0.25">
      <c r="C104" t="s">
        <v>571</v>
      </c>
      <c r="D104" t="s">
        <v>11</v>
      </c>
      <c r="E104">
        <v>18</v>
      </c>
      <c r="F104" s="4">
        <f>E104*1700</f>
        <v>30600</v>
      </c>
      <c r="G104" s="4">
        <f>E104*500</f>
        <v>9000</v>
      </c>
      <c r="H104" s="4">
        <f>E104*1200</f>
        <v>21600</v>
      </c>
    </row>
    <row r="105" spans="1:8" hidden="1" x14ac:dyDescent="0.25">
      <c r="C105" t="s">
        <v>16</v>
      </c>
      <c r="D105" t="s">
        <v>11</v>
      </c>
      <c r="E105">
        <v>45</v>
      </c>
      <c r="F105" s="4">
        <f>E105*1500</f>
        <v>67500</v>
      </c>
      <c r="G105" s="4">
        <f>E105*500</f>
        <v>22500</v>
      </c>
      <c r="H105" s="4">
        <v>4500</v>
      </c>
    </row>
    <row r="106" spans="1:8" hidden="1" x14ac:dyDescent="0.25">
      <c r="D106" t="s">
        <v>12</v>
      </c>
      <c r="E106">
        <v>4</v>
      </c>
      <c r="F106" s="4">
        <v>12000</v>
      </c>
      <c r="G106" s="4">
        <v>8000</v>
      </c>
      <c r="H106" s="4">
        <v>4000</v>
      </c>
    </row>
    <row r="107" spans="1:8" hidden="1" x14ac:dyDescent="0.25">
      <c r="C107" t="s">
        <v>24</v>
      </c>
      <c r="D107" t="s">
        <v>243</v>
      </c>
      <c r="E107">
        <v>15</v>
      </c>
      <c r="F107" s="4"/>
      <c r="G107" s="4"/>
      <c r="H107" s="4"/>
    </row>
    <row r="108" spans="1:8" hidden="1" x14ac:dyDescent="0.25">
      <c r="A108" s="142" t="s">
        <v>17</v>
      </c>
      <c r="B108" s="142"/>
      <c r="C108" s="142"/>
      <c r="D108" s="142"/>
      <c r="E108" s="13">
        <f>SUM(E102:E107)</f>
        <v>150</v>
      </c>
      <c r="F108" s="13">
        <f t="shared" ref="F108:H108" si="13">SUM(F102:F107)</f>
        <v>227900</v>
      </c>
      <c r="G108" s="13">
        <f t="shared" si="13"/>
        <v>73500</v>
      </c>
      <c r="H108" s="13">
        <f t="shared" si="13"/>
        <v>113900</v>
      </c>
    </row>
    <row r="109" spans="1:8" hidden="1" x14ac:dyDescent="0.25">
      <c r="A109" t="s">
        <v>22</v>
      </c>
      <c r="B109" t="s">
        <v>805</v>
      </c>
      <c r="C109" t="s">
        <v>16</v>
      </c>
      <c r="D109" t="s">
        <v>11</v>
      </c>
      <c r="E109">
        <v>51</v>
      </c>
      <c r="F109" s="4">
        <f>E109*1500</f>
        <v>76500</v>
      </c>
      <c r="G109" s="4">
        <f>E109*500</f>
        <v>25500</v>
      </c>
      <c r="H109" s="4">
        <f>E109*1000</f>
        <v>51000</v>
      </c>
    </row>
    <row r="110" spans="1:8" hidden="1" x14ac:dyDescent="0.25">
      <c r="C110" t="s">
        <v>338</v>
      </c>
      <c r="D110" t="s">
        <v>11</v>
      </c>
      <c r="E110">
        <v>19</v>
      </c>
      <c r="F110" s="4">
        <f>E110*1800</f>
        <v>34200</v>
      </c>
      <c r="G110" s="4">
        <f>E110*500</f>
        <v>9500</v>
      </c>
      <c r="H110" s="4">
        <f>E110*1300</f>
        <v>24700</v>
      </c>
    </row>
    <row r="111" spans="1:8" hidden="1" x14ac:dyDescent="0.25">
      <c r="C111" t="s">
        <v>806</v>
      </c>
      <c r="D111" t="s">
        <v>11</v>
      </c>
      <c r="E111">
        <v>256</v>
      </c>
      <c r="F111" s="4">
        <f>E111*1500</f>
        <v>384000</v>
      </c>
      <c r="G111" s="4">
        <f>E111*500</f>
        <v>128000</v>
      </c>
      <c r="H111" s="4">
        <f>E111*1000</f>
        <v>256000</v>
      </c>
    </row>
    <row r="112" spans="1:8" hidden="1" x14ac:dyDescent="0.25">
      <c r="C112" t="s">
        <v>466</v>
      </c>
      <c r="D112" t="s">
        <v>13</v>
      </c>
      <c r="E112">
        <v>12</v>
      </c>
      <c r="F112" s="4">
        <f>E112*8000</f>
        <v>96000</v>
      </c>
      <c r="G112" s="4">
        <f>E112*4500</f>
        <v>54000</v>
      </c>
      <c r="H112" s="4">
        <f>E112*2000</f>
        <v>24000</v>
      </c>
    </row>
    <row r="113" spans="1:8" hidden="1" x14ac:dyDescent="0.25">
      <c r="D113" t="s">
        <v>14</v>
      </c>
      <c r="E113">
        <v>8</v>
      </c>
      <c r="F113" s="4">
        <v>80000</v>
      </c>
      <c r="G113" s="4">
        <f>E113*5500</f>
        <v>44000</v>
      </c>
      <c r="H113" s="4">
        <f>E113*4500</f>
        <v>36000</v>
      </c>
    </row>
    <row r="114" spans="1:8" hidden="1" x14ac:dyDescent="0.25">
      <c r="C114" t="s">
        <v>572</v>
      </c>
      <c r="D114" t="s">
        <v>11</v>
      </c>
      <c r="E114">
        <v>25</v>
      </c>
      <c r="F114" s="4">
        <f>E114*1700</f>
        <v>42500</v>
      </c>
      <c r="G114" s="4">
        <f>E114*500</f>
        <v>12500</v>
      </c>
      <c r="H114" s="4">
        <f>E114*1200</f>
        <v>30000</v>
      </c>
    </row>
    <row r="115" spans="1:8" hidden="1" x14ac:dyDescent="0.25">
      <c r="C115" t="s">
        <v>306</v>
      </c>
      <c r="D115" t="s">
        <v>11</v>
      </c>
      <c r="E115">
        <v>18</v>
      </c>
      <c r="F115" s="4">
        <f>E115*1800</f>
        <v>32400</v>
      </c>
      <c r="G115" s="4">
        <f>E115*500</f>
        <v>9000</v>
      </c>
      <c r="H115" s="4">
        <f>E115*1300</f>
        <v>23400</v>
      </c>
    </row>
    <row r="116" spans="1:8" hidden="1" x14ac:dyDescent="0.25">
      <c r="C116" t="s">
        <v>24</v>
      </c>
      <c r="D116" t="s">
        <v>243</v>
      </c>
      <c r="E116">
        <v>2</v>
      </c>
      <c r="F116" s="4">
        <v>30000</v>
      </c>
      <c r="G116" s="4">
        <v>20000</v>
      </c>
      <c r="H116" s="4">
        <v>10000</v>
      </c>
    </row>
    <row r="117" spans="1:8" hidden="1" x14ac:dyDescent="0.25">
      <c r="A117" s="142" t="s">
        <v>17</v>
      </c>
      <c r="B117" s="142"/>
      <c r="C117" s="142"/>
      <c r="D117" s="142"/>
      <c r="E117" s="13">
        <f>SUM(E109:E116)</f>
        <v>391</v>
      </c>
      <c r="F117" s="13">
        <f t="shared" ref="F117:H117" si="14">SUM(F109:F116)</f>
        <v>775600</v>
      </c>
      <c r="G117" s="13">
        <f t="shared" si="14"/>
        <v>302500</v>
      </c>
      <c r="H117" s="13">
        <f t="shared" si="14"/>
        <v>455100</v>
      </c>
    </row>
    <row r="118" spans="1:8" hidden="1" x14ac:dyDescent="0.25">
      <c r="A118" t="s">
        <v>26</v>
      </c>
      <c r="B118" t="s">
        <v>807</v>
      </c>
      <c r="C118" t="s">
        <v>338</v>
      </c>
      <c r="D118" t="s">
        <v>11</v>
      </c>
      <c r="E118">
        <v>57</v>
      </c>
      <c r="F118" s="4">
        <f>E118*1800</f>
        <v>102600</v>
      </c>
      <c r="G118" s="4">
        <f>E118*500</f>
        <v>28500</v>
      </c>
      <c r="H118" s="4">
        <f>E118*1300</f>
        <v>74100</v>
      </c>
    </row>
    <row r="119" spans="1:8" hidden="1" x14ac:dyDescent="0.25">
      <c r="C119" t="s">
        <v>104</v>
      </c>
      <c r="D119" t="s">
        <v>11</v>
      </c>
      <c r="E119">
        <v>103</v>
      </c>
      <c r="F119" s="4">
        <f>E119*1700</f>
        <v>175100</v>
      </c>
      <c r="G119" s="4">
        <f>E119*500</f>
        <v>51500</v>
      </c>
      <c r="H119" s="4">
        <f>E119*1200</f>
        <v>123600</v>
      </c>
    </row>
    <row r="120" spans="1:8" hidden="1" x14ac:dyDescent="0.25">
      <c r="C120" t="s">
        <v>16</v>
      </c>
      <c r="D120" t="s">
        <v>11</v>
      </c>
      <c r="E120">
        <v>41</v>
      </c>
      <c r="F120" s="4">
        <f>E120*1500</f>
        <v>61500</v>
      </c>
      <c r="G120" s="4">
        <f>E120*500</f>
        <v>20500</v>
      </c>
      <c r="H120" s="4">
        <f>E120*1000</f>
        <v>41000</v>
      </c>
    </row>
    <row r="121" spans="1:8" hidden="1" x14ac:dyDescent="0.25">
      <c r="C121" t="s">
        <v>24</v>
      </c>
      <c r="D121" t="s">
        <v>14</v>
      </c>
      <c r="E121">
        <v>4</v>
      </c>
      <c r="F121" s="4">
        <f>E121*10000</f>
        <v>40000</v>
      </c>
      <c r="G121" s="4">
        <f>E121*5500</f>
        <v>22000</v>
      </c>
      <c r="H121" s="4">
        <f>E121*4500</f>
        <v>18000</v>
      </c>
    </row>
    <row r="122" spans="1:8" hidden="1" x14ac:dyDescent="0.25">
      <c r="C122" t="s">
        <v>554</v>
      </c>
      <c r="D122" t="s">
        <v>243</v>
      </c>
      <c r="E122">
        <v>3</v>
      </c>
      <c r="F122" s="4"/>
      <c r="G122" s="4"/>
      <c r="H122" s="4"/>
    </row>
    <row r="123" spans="1:8" hidden="1" x14ac:dyDescent="0.25">
      <c r="A123" s="142" t="s">
        <v>17</v>
      </c>
      <c r="B123" s="142"/>
      <c r="C123" s="142"/>
      <c r="D123" s="142"/>
      <c r="E123" s="13">
        <f>SUM(E118:E122)</f>
        <v>208</v>
      </c>
      <c r="F123" s="13">
        <f t="shared" ref="F123:H123" si="15">SUM(F118:F122)</f>
        <v>379200</v>
      </c>
      <c r="G123" s="13">
        <f t="shared" si="15"/>
        <v>122500</v>
      </c>
      <c r="H123" s="13">
        <f t="shared" si="15"/>
        <v>256700</v>
      </c>
    </row>
    <row r="124" spans="1:8" hidden="1" x14ac:dyDescent="0.25">
      <c r="A124" t="s">
        <v>28</v>
      </c>
      <c r="B124" t="s">
        <v>808</v>
      </c>
      <c r="C124" t="s">
        <v>693</v>
      </c>
      <c r="D124" t="s">
        <v>11</v>
      </c>
      <c r="E124">
        <v>7</v>
      </c>
      <c r="F124" s="4">
        <f>E124*2000</f>
        <v>14000</v>
      </c>
      <c r="G124" s="4">
        <f>E124*500</f>
        <v>3500</v>
      </c>
      <c r="H124" s="4">
        <f>E124*1500</f>
        <v>10500</v>
      </c>
    </row>
    <row r="125" spans="1:8" hidden="1" x14ac:dyDescent="0.25">
      <c r="D125" t="s">
        <v>13</v>
      </c>
      <c r="E125">
        <v>37</v>
      </c>
      <c r="F125" s="4">
        <f>E125*7000</f>
        <v>259000</v>
      </c>
      <c r="G125" s="4">
        <f>E125*4500</f>
        <v>166500</v>
      </c>
      <c r="H125" s="4">
        <f>E125*2500</f>
        <v>92500</v>
      </c>
    </row>
    <row r="126" spans="1:8" hidden="1" x14ac:dyDescent="0.25">
      <c r="D126" t="s">
        <v>14</v>
      </c>
      <c r="E126">
        <v>28</v>
      </c>
      <c r="F126" s="4">
        <f>E126*10000</f>
        <v>280000</v>
      </c>
      <c r="G126" s="4">
        <f>E126*5500</f>
        <v>154000</v>
      </c>
      <c r="H126" s="4">
        <f>E126*4500</f>
        <v>126000</v>
      </c>
    </row>
    <row r="127" spans="1:8" hidden="1" x14ac:dyDescent="0.25">
      <c r="C127" t="s">
        <v>217</v>
      </c>
      <c r="D127" t="s">
        <v>11</v>
      </c>
      <c r="E127">
        <v>9</v>
      </c>
      <c r="F127" s="4">
        <f>E127*1500</f>
        <v>13500</v>
      </c>
      <c r="G127" s="4">
        <f>E127*500</f>
        <v>4500</v>
      </c>
      <c r="H127" s="4">
        <f>E127*1000</f>
        <v>9000</v>
      </c>
    </row>
    <row r="128" spans="1:8" hidden="1" x14ac:dyDescent="0.25">
      <c r="D128" t="s">
        <v>13</v>
      </c>
      <c r="E128">
        <v>10</v>
      </c>
      <c r="F128" s="4">
        <f>E128*6500</f>
        <v>65000</v>
      </c>
      <c r="G128" s="4">
        <f>E128*4500</f>
        <v>45000</v>
      </c>
      <c r="H128" s="4">
        <f>E128*2000</f>
        <v>20000</v>
      </c>
    </row>
    <row r="129" spans="1:8" hidden="1" x14ac:dyDescent="0.25">
      <c r="D129" t="s">
        <v>14</v>
      </c>
      <c r="E129">
        <v>4</v>
      </c>
      <c r="F129" s="4">
        <f>E129*10000</f>
        <v>40000</v>
      </c>
      <c r="G129" s="4">
        <f>E129*5500</f>
        <v>22000</v>
      </c>
      <c r="H129" s="4">
        <f>E129*4500</f>
        <v>18000</v>
      </c>
    </row>
    <row r="130" spans="1:8" hidden="1" x14ac:dyDescent="0.25">
      <c r="C130" t="s">
        <v>16</v>
      </c>
      <c r="D130" t="s">
        <v>11</v>
      </c>
      <c r="E130">
        <v>44</v>
      </c>
      <c r="F130" s="4">
        <f>E130*1500</f>
        <v>66000</v>
      </c>
      <c r="G130" s="4">
        <f>E130*500</f>
        <v>22000</v>
      </c>
      <c r="H130" s="4">
        <f>E130*1000</f>
        <v>44000</v>
      </c>
    </row>
    <row r="131" spans="1:8" hidden="1" x14ac:dyDescent="0.25">
      <c r="D131" t="s">
        <v>12</v>
      </c>
      <c r="E131">
        <v>2</v>
      </c>
      <c r="F131" s="4">
        <v>6000</v>
      </c>
      <c r="G131" s="4">
        <v>4000</v>
      </c>
      <c r="H131" s="4">
        <v>2000</v>
      </c>
    </row>
    <row r="132" spans="1:8" hidden="1" x14ac:dyDescent="0.25">
      <c r="D132" t="s">
        <v>13</v>
      </c>
      <c r="E132">
        <v>1</v>
      </c>
      <c r="F132" s="4">
        <v>6500</v>
      </c>
      <c r="G132" s="4">
        <v>4500</v>
      </c>
      <c r="H132" s="4">
        <v>2000</v>
      </c>
    </row>
    <row r="133" spans="1:8" hidden="1" x14ac:dyDescent="0.25">
      <c r="C133" t="s">
        <v>24</v>
      </c>
      <c r="D133" t="s">
        <v>243</v>
      </c>
      <c r="E133">
        <v>15</v>
      </c>
      <c r="F133" s="4">
        <f>E133*13000</f>
        <v>195000</v>
      </c>
      <c r="G133" s="4">
        <f>E133*10000</f>
        <v>150000</v>
      </c>
      <c r="H133" s="4">
        <f>E133*3000</f>
        <v>45000</v>
      </c>
    </row>
    <row r="134" spans="1:8" hidden="1" x14ac:dyDescent="0.25">
      <c r="A134" s="142" t="s">
        <v>17</v>
      </c>
      <c r="B134" s="142"/>
      <c r="C134" s="142"/>
      <c r="D134" s="142"/>
      <c r="E134" s="13">
        <f>SUM(E124:E133)</f>
        <v>157</v>
      </c>
      <c r="F134" s="13">
        <f t="shared" ref="F134:H134" si="16">SUM(F124:F133)</f>
        <v>945000</v>
      </c>
      <c r="G134" s="13">
        <f t="shared" si="16"/>
        <v>576000</v>
      </c>
      <c r="H134" s="13">
        <f t="shared" si="16"/>
        <v>369000</v>
      </c>
    </row>
    <row r="135" spans="1:8" hidden="1" x14ac:dyDescent="0.25">
      <c r="A135" t="s">
        <v>30</v>
      </c>
      <c r="B135" t="s">
        <v>809</v>
      </c>
      <c r="C135" t="s">
        <v>16</v>
      </c>
      <c r="D135" t="s">
        <v>11</v>
      </c>
      <c r="E135">
        <v>45</v>
      </c>
      <c r="F135" s="4">
        <f>E135*1500</f>
        <v>67500</v>
      </c>
      <c r="G135" s="4">
        <f>E135*500</f>
        <v>22500</v>
      </c>
      <c r="H135" s="4">
        <f>E135*1000</f>
        <v>45000</v>
      </c>
    </row>
    <row r="136" spans="1:8" hidden="1" x14ac:dyDescent="0.25">
      <c r="D136" t="s">
        <v>12</v>
      </c>
      <c r="E136">
        <v>2</v>
      </c>
      <c r="F136" s="4">
        <v>6000</v>
      </c>
      <c r="G136" s="4">
        <v>4000</v>
      </c>
      <c r="H136" s="4">
        <v>2000</v>
      </c>
    </row>
    <row r="137" spans="1:8" hidden="1" x14ac:dyDescent="0.25">
      <c r="D137" t="s">
        <v>13</v>
      </c>
      <c r="E137">
        <v>1</v>
      </c>
      <c r="F137" s="4">
        <v>6500</v>
      </c>
      <c r="G137" s="4">
        <v>4500</v>
      </c>
      <c r="H137" s="4">
        <v>2000</v>
      </c>
    </row>
    <row r="138" spans="1:8" hidden="1" x14ac:dyDescent="0.25">
      <c r="D138" t="s">
        <v>243</v>
      </c>
      <c r="E138">
        <v>1</v>
      </c>
      <c r="F138" s="4">
        <v>13000</v>
      </c>
      <c r="G138" s="4">
        <v>10000</v>
      </c>
      <c r="H138" s="4">
        <v>3000</v>
      </c>
    </row>
    <row r="139" spans="1:8" hidden="1" x14ac:dyDescent="0.25">
      <c r="C139" t="s">
        <v>24</v>
      </c>
      <c r="D139" t="s">
        <v>11</v>
      </c>
      <c r="E139">
        <v>7</v>
      </c>
      <c r="F139" s="4">
        <f>E139*2000</f>
        <v>14000</v>
      </c>
      <c r="G139" s="4">
        <f>E139*500</f>
        <v>3500</v>
      </c>
      <c r="H139" s="4">
        <f>E139*1500</f>
        <v>10500</v>
      </c>
    </row>
    <row r="140" spans="1:8" hidden="1" x14ac:dyDescent="0.25">
      <c r="D140" t="s">
        <v>13</v>
      </c>
      <c r="E140">
        <v>5</v>
      </c>
      <c r="F140" s="4">
        <f>E140*7000</f>
        <v>35000</v>
      </c>
      <c r="G140" s="4">
        <f>E140*4500</f>
        <v>22500</v>
      </c>
      <c r="H140" s="4">
        <f>E140*2500</f>
        <v>12500</v>
      </c>
    </row>
    <row r="141" spans="1:8" hidden="1" x14ac:dyDescent="0.25">
      <c r="D141" t="s">
        <v>14</v>
      </c>
      <c r="E141">
        <v>3</v>
      </c>
      <c r="F141" s="4">
        <f>E141*10000</f>
        <v>30000</v>
      </c>
      <c r="G141" s="4">
        <f>E141*5500</f>
        <v>16500</v>
      </c>
      <c r="H141" s="4">
        <f>E141*4500</f>
        <v>13500</v>
      </c>
    </row>
    <row r="142" spans="1:8" hidden="1" x14ac:dyDescent="0.25">
      <c r="A142" s="142" t="s">
        <v>17</v>
      </c>
      <c r="B142" s="142"/>
      <c r="C142" s="142"/>
      <c r="D142" s="142"/>
      <c r="E142" s="13">
        <f>SUM(E135:E141)</f>
        <v>64</v>
      </c>
      <c r="F142" s="13">
        <f t="shared" ref="F142:H142" si="17">SUM(F135:F141)</f>
        <v>172000</v>
      </c>
      <c r="G142" s="13">
        <f t="shared" si="17"/>
        <v>83500</v>
      </c>
      <c r="H142" s="13">
        <f t="shared" si="17"/>
        <v>88500</v>
      </c>
    </row>
    <row r="143" spans="1:8" hidden="1" x14ac:dyDescent="0.25">
      <c r="A143" t="s">
        <v>32</v>
      </c>
      <c r="B143" t="s">
        <v>810</v>
      </c>
      <c r="C143" t="s">
        <v>16</v>
      </c>
      <c r="D143" t="s">
        <v>11</v>
      </c>
      <c r="E143">
        <v>55</v>
      </c>
      <c r="F143" s="4">
        <f>E143*1500</f>
        <v>82500</v>
      </c>
      <c r="G143" s="4">
        <f>E143*500</f>
        <v>27500</v>
      </c>
      <c r="H143" s="4">
        <f>E143*1000</f>
        <v>55000</v>
      </c>
    </row>
    <row r="144" spans="1:8" hidden="1" x14ac:dyDescent="0.25">
      <c r="D144" t="s">
        <v>12</v>
      </c>
      <c r="E144">
        <v>1</v>
      </c>
      <c r="F144" s="4">
        <v>3000</v>
      </c>
      <c r="G144" s="4">
        <v>2000</v>
      </c>
      <c r="H144" s="4">
        <v>1000</v>
      </c>
    </row>
    <row r="145" spans="1:8" hidden="1" x14ac:dyDescent="0.25">
      <c r="D145" t="s">
        <v>13</v>
      </c>
      <c r="E145">
        <v>1</v>
      </c>
      <c r="F145" s="4">
        <v>6500</v>
      </c>
      <c r="G145" s="4">
        <v>4500</v>
      </c>
      <c r="H145" s="4">
        <v>2000</v>
      </c>
    </row>
    <row r="146" spans="1:8" hidden="1" x14ac:dyDescent="0.25">
      <c r="D146" t="s">
        <v>14</v>
      </c>
      <c r="E146">
        <v>1</v>
      </c>
      <c r="F146" s="4">
        <v>10000</v>
      </c>
      <c r="G146" s="4">
        <v>5500</v>
      </c>
      <c r="H146" s="4">
        <v>4500</v>
      </c>
    </row>
    <row r="147" spans="1:8" hidden="1" x14ac:dyDescent="0.25">
      <c r="D147" t="s">
        <v>243</v>
      </c>
      <c r="E147">
        <v>1</v>
      </c>
      <c r="F147" s="4">
        <v>13000</v>
      </c>
      <c r="G147" s="4">
        <v>10000</v>
      </c>
      <c r="H147" s="4">
        <v>3000</v>
      </c>
    </row>
    <row r="148" spans="1:8" hidden="1" x14ac:dyDescent="0.25">
      <c r="A148" s="142" t="s">
        <v>17</v>
      </c>
      <c r="B148" s="142"/>
      <c r="C148" s="142"/>
      <c r="D148" s="142"/>
      <c r="E148" s="13">
        <f>SUM(E143:E147)</f>
        <v>59</v>
      </c>
      <c r="F148" s="13">
        <f t="shared" ref="F148:H148" si="18">SUM(F143:F147)</f>
        <v>115000</v>
      </c>
      <c r="G148" s="13">
        <f t="shared" si="18"/>
        <v>49500</v>
      </c>
      <c r="H148" s="13">
        <f t="shared" si="18"/>
        <v>65500</v>
      </c>
    </row>
    <row r="149" spans="1:8" hidden="1" x14ac:dyDescent="0.25">
      <c r="A149" t="s">
        <v>8</v>
      </c>
      <c r="B149" t="s">
        <v>811</v>
      </c>
      <c r="C149" t="s">
        <v>338</v>
      </c>
      <c r="D149" t="s">
        <v>11</v>
      </c>
      <c r="E149">
        <v>43</v>
      </c>
      <c r="F149" s="4">
        <f>E149*1800</f>
        <v>77400</v>
      </c>
      <c r="G149" s="4">
        <f>E149*500</f>
        <v>21500</v>
      </c>
      <c r="H149" s="4">
        <f>E149*1300</f>
        <v>55900</v>
      </c>
    </row>
    <row r="150" spans="1:8" hidden="1" x14ac:dyDescent="0.25">
      <c r="C150" t="s">
        <v>104</v>
      </c>
      <c r="D150" t="s">
        <v>11</v>
      </c>
      <c r="E150">
        <v>20</v>
      </c>
      <c r="F150" s="4">
        <f>E150*1700</f>
        <v>34000</v>
      </c>
      <c r="G150" s="4">
        <f>E150*500</f>
        <v>10000</v>
      </c>
      <c r="H150" s="4">
        <f>E150*1200</f>
        <v>24000</v>
      </c>
    </row>
    <row r="151" spans="1:8" hidden="1" x14ac:dyDescent="0.25">
      <c r="C151" t="s">
        <v>16</v>
      </c>
      <c r="D151" t="s">
        <v>11</v>
      </c>
      <c r="E151">
        <v>34</v>
      </c>
      <c r="F151" s="4">
        <f>E151*1500</f>
        <v>51000</v>
      </c>
      <c r="G151" s="4">
        <f>E151*500</f>
        <v>17000</v>
      </c>
      <c r="H151" s="4">
        <v>34000</v>
      </c>
    </row>
    <row r="152" spans="1:8" hidden="1" x14ac:dyDescent="0.25">
      <c r="D152" t="s">
        <v>13</v>
      </c>
      <c r="E152">
        <v>2</v>
      </c>
      <c r="F152" s="4">
        <v>13000</v>
      </c>
      <c r="G152" s="4">
        <f>E152*4500</f>
        <v>9000</v>
      </c>
      <c r="H152" s="4">
        <v>4000</v>
      </c>
    </row>
    <row r="153" spans="1:8" hidden="1" x14ac:dyDescent="0.25">
      <c r="D153" t="s">
        <v>243</v>
      </c>
      <c r="E153">
        <v>2</v>
      </c>
      <c r="F153" s="4">
        <v>26000</v>
      </c>
      <c r="G153" s="4">
        <v>20000</v>
      </c>
      <c r="H153" s="4">
        <v>6000</v>
      </c>
    </row>
    <row r="154" spans="1:8" hidden="1" x14ac:dyDescent="0.25">
      <c r="C154" t="s">
        <v>24</v>
      </c>
      <c r="D154" t="s">
        <v>13</v>
      </c>
      <c r="E154">
        <v>7</v>
      </c>
      <c r="F154" s="4">
        <f>E154*7000</f>
        <v>49000</v>
      </c>
      <c r="G154" s="4">
        <f>E154*4500</f>
        <v>31500</v>
      </c>
      <c r="H154" s="4">
        <f>E154*2500</f>
        <v>17500</v>
      </c>
    </row>
    <row r="155" spans="1:8" hidden="1" x14ac:dyDescent="0.25">
      <c r="C155" t="s">
        <v>24</v>
      </c>
      <c r="D155" t="s">
        <v>243</v>
      </c>
      <c r="E155">
        <v>1</v>
      </c>
      <c r="F155" s="4">
        <v>15000</v>
      </c>
      <c r="G155" s="4">
        <v>10000</v>
      </c>
      <c r="H155" s="4">
        <v>5000</v>
      </c>
    </row>
    <row r="156" spans="1:8" hidden="1" x14ac:dyDescent="0.25">
      <c r="C156" t="s">
        <v>24</v>
      </c>
      <c r="D156" t="s">
        <v>21</v>
      </c>
      <c r="E156">
        <v>2</v>
      </c>
      <c r="F156" s="4">
        <f>E156*17000</f>
        <v>34000</v>
      </c>
      <c r="G156" s="4">
        <f>E156*12000</f>
        <v>24000</v>
      </c>
      <c r="H156" s="4">
        <f>E156*5000</f>
        <v>10000</v>
      </c>
    </row>
    <row r="157" spans="1:8" hidden="1" x14ac:dyDescent="0.25">
      <c r="A157" s="142" t="s">
        <v>17</v>
      </c>
      <c r="B157" s="142"/>
      <c r="C157" s="142"/>
      <c r="D157" s="142"/>
      <c r="E157" s="13">
        <f>SUM(E149:E156)</f>
        <v>111</v>
      </c>
      <c r="F157" s="13">
        <f t="shared" ref="F157:H157" si="19">SUM(F149:F156)</f>
        <v>299400</v>
      </c>
      <c r="G157" s="13">
        <f t="shared" si="19"/>
        <v>143000</v>
      </c>
      <c r="H157" s="13">
        <f t="shared" si="19"/>
        <v>156400</v>
      </c>
    </row>
    <row r="158" spans="1:8" hidden="1" x14ac:dyDescent="0.25">
      <c r="A158" t="s">
        <v>18</v>
      </c>
      <c r="B158" t="s">
        <v>812</v>
      </c>
      <c r="C158" t="s">
        <v>16</v>
      </c>
      <c r="D158" t="s">
        <v>11</v>
      </c>
      <c r="E158">
        <v>38</v>
      </c>
      <c r="F158" s="4">
        <f>E158*1500</f>
        <v>57000</v>
      </c>
      <c r="G158" s="4">
        <f>E158*500</f>
        <v>19000</v>
      </c>
      <c r="H158" s="4">
        <v>38000</v>
      </c>
    </row>
    <row r="159" spans="1:8" hidden="1" x14ac:dyDescent="0.25">
      <c r="D159" t="s">
        <v>12</v>
      </c>
      <c r="E159">
        <v>3</v>
      </c>
      <c r="F159" s="4">
        <v>9000</v>
      </c>
      <c r="G159" s="4">
        <v>6000</v>
      </c>
      <c r="H159" s="4">
        <v>3000</v>
      </c>
    </row>
    <row r="160" spans="1:8" hidden="1" x14ac:dyDescent="0.25">
      <c r="D160" t="s">
        <v>13</v>
      </c>
      <c r="E160">
        <v>2</v>
      </c>
      <c r="F160" s="4">
        <v>13000</v>
      </c>
      <c r="G160" s="4">
        <v>9000</v>
      </c>
      <c r="H160" s="4">
        <v>4000</v>
      </c>
    </row>
    <row r="161" spans="1:8" hidden="1" x14ac:dyDescent="0.25">
      <c r="A161" s="111" t="s">
        <v>17</v>
      </c>
      <c r="B161" s="111"/>
      <c r="C161" s="111"/>
      <c r="D161" s="111"/>
      <c r="E161" s="13">
        <f>SUM(E158:E160)</f>
        <v>43</v>
      </c>
      <c r="F161" s="13">
        <f t="shared" ref="F161:H161" si="20">SUM(F158:F160)</f>
        <v>79000</v>
      </c>
      <c r="G161" s="13">
        <f t="shared" si="20"/>
        <v>34000</v>
      </c>
      <c r="H161" s="13">
        <f t="shared" si="20"/>
        <v>45000</v>
      </c>
    </row>
    <row r="162" spans="1:8" hidden="1" x14ac:dyDescent="0.25">
      <c r="A162" t="s">
        <v>22</v>
      </c>
      <c r="B162" t="s">
        <v>813</v>
      </c>
      <c r="C162" t="s">
        <v>16</v>
      </c>
      <c r="D162" t="s">
        <v>11</v>
      </c>
      <c r="E162">
        <v>9</v>
      </c>
      <c r="F162" s="4">
        <f>E162*1500</f>
        <v>13500</v>
      </c>
      <c r="G162" s="4">
        <f>E162*500</f>
        <v>4500</v>
      </c>
      <c r="H162" s="4">
        <v>9000</v>
      </c>
    </row>
    <row r="163" spans="1:8" hidden="1" x14ac:dyDescent="0.25">
      <c r="C163" t="s">
        <v>217</v>
      </c>
      <c r="D163" t="s">
        <v>11</v>
      </c>
      <c r="E163">
        <v>2</v>
      </c>
      <c r="F163" s="4">
        <v>3000</v>
      </c>
      <c r="G163" s="4">
        <v>1000</v>
      </c>
      <c r="H163" s="4">
        <v>2000</v>
      </c>
    </row>
    <row r="164" spans="1:8" hidden="1" x14ac:dyDescent="0.25">
      <c r="D164" t="s">
        <v>13</v>
      </c>
      <c r="E164">
        <v>1</v>
      </c>
      <c r="F164" s="4">
        <v>6500</v>
      </c>
      <c r="G164" s="4">
        <v>4500</v>
      </c>
      <c r="H164" s="4">
        <v>2000</v>
      </c>
    </row>
    <row r="165" spans="1:8" hidden="1" x14ac:dyDescent="0.25">
      <c r="D165" t="s">
        <v>14</v>
      </c>
      <c r="E165">
        <v>2</v>
      </c>
      <c r="F165" s="4">
        <v>20000</v>
      </c>
      <c r="G165" s="4">
        <v>11000</v>
      </c>
      <c r="H165" s="4">
        <v>9000</v>
      </c>
    </row>
    <row r="166" spans="1:8" hidden="1" x14ac:dyDescent="0.25">
      <c r="C166" t="s">
        <v>24</v>
      </c>
      <c r="D166" t="s">
        <v>243</v>
      </c>
      <c r="E166">
        <v>6</v>
      </c>
      <c r="F166" s="4">
        <f>E166*15000</f>
        <v>90000</v>
      </c>
      <c r="G166" s="4">
        <v>60000</v>
      </c>
      <c r="H166" s="4">
        <v>30000</v>
      </c>
    </row>
    <row r="167" spans="1:8" hidden="1" x14ac:dyDescent="0.25">
      <c r="A167" s="111" t="s">
        <v>17</v>
      </c>
      <c r="B167" s="111"/>
      <c r="C167" s="111"/>
      <c r="D167" s="111"/>
      <c r="E167" s="13">
        <f>SUM(E162:E166)</f>
        <v>20</v>
      </c>
      <c r="F167" s="13">
        <f t="shared" ref="F167:H167" si="21">SUM(F162:F166)</f>
        <v>133000</v>
      </c>
      <c r="G167" s="13">
        <f t="shared" si="21"/>
        <v>81000</v>
      </c>
      <c r="H167" s="13">
        <f t="shared" si="21"/>
        <v>52000</v>
      </c>
    </row>
    <row r="168" spans="1:8" hidden="1" x14ac:dyDescent="0.25">
      <c r="A168" t="s">
        <v>26</v>
      </c>
      <c r="B168" t="s">
        <v>814</v>
      </c>
      <c r="C168" t="s">
        <v>24</v>
      </c>
      <c r="D168" t="s">
        <v>13</v>
      </c>
      <c r="E168">
        <v>12</v>
      </c>
      <c r="F168" s="4">
        <f>E168*8000</f>
        <v>96000</v>
      </c>
      <c r="G168" s="4">
        <f>E168*4500</f>
        <v>54000</v>
      </c>
      <c r="H168" s="4">
        <f>E168*2000</f>
        <v>24000</v>
      </c>
    </row>
    <row r="169" spans="1:8" hidden="1" x14ac:dyDescent="0.25">
      <c r="C169" t="s">
        <v>16</v>
      </c>
      <c r="D169" t="s">
        <v>11</v>
      </c>
      <c r="E169">
        <v>79</v>
      </c>
      <c r="F169" s="4">
        <f>E169*1500</f>
        <v>118500</v>
      </c>
      <c r="G169" s="4">
        <f>E169*500</f>
        <v>39500</v>
      </c>
      <c r="H169" s="4">
        <f>E169*1000</f>
        <v>79000</v>
      </c>
    </row>
    <row r="170" spans="1:8" hidden="1" x14ac:dyDescent="0.25">
      <c r="D170" t="s">
        <v>13</v>
      </c>
      <c r="E170">
        <v>1</v>
      </c>
      <c r="F170" s="4">
        <v>6500</v>
      </c>
      <c r="G170" s="4">
        <v>4500</v>
      </c>
      <c r="H170" s="4">
        <v>2000</v>
      </c>
    </row>
    <row r="171" spans="1:8" hidden="1" x14ac:dyDescent="0.25">
      <c r="D171" t="s">
        <v>14</v>
      </c>
      <c r="E171">
        <v>2</v>
      </c>
      <c r="F171" s="4">
        <v>20000</v>
      </c>
      <c r="G171" s="4">
        <v>11000</v>
      </c>
      <c r="H171" s="4">
        <v>90000</v>
      </c>
    </row>
    <row r="172" spans="1:8" hidden="1" x14ac:dyDescent="0.25">
      <c r="C172" t="s">
        <v>217</v>
      </c>
      <c r="D172" t="s">
        <v>11</v>
      </c>
      <c r="E172">
        <v>12</v>
      </c>
      <c r="F172" s="4">
        <f>E172*1500</f>
        <v>18000</v>
      </c>
      <c r="G172" s="4">
        <f>E172*500</f>
        <v>6000</v>
      </c>
      <c r="H172" s="4">
        <v>12000</v>
      </c>
    </row>
    <row r="173" spans="1:8" hidden="1" x14ac:dyDescent="0.25">
      <c r="D173" t="s">
        <v>13</v>
      </c>
      <c r="E173">
        <v>8</v>
      </c>
      <c r="F173" s="4">
        <f>E173*6500</f>
        <v>52000</v>
      </c>
      <c r="G173" s="4">
        <f>E173*4500</f>
        <v>36000</v>
      </c>
      <c r="H173" s="4">
        <v>16000</v>
      </c>
    </row>
    <row r="174" spans="1:8" hidden="1" x14ac:dyDescent="0.25">
      <c r="D174" t="s">
        <v>14</v>
      </c>
      <c r="E174">
        <v>4</v>
      </c>
      <c r="F174" s="4">
        <v>40000</v>
      </c>
      <c r="G174" s="4">
        <f>E174*5500</f>
        <v>22000</v>
      </c>
      <c r="H174" s="4">
        <f>E174*4500</f>
        <v>18000</v>
      </c>
    </row>
    <row r="175" spans="1:8" hidden="1" x14ac:dyDescent="0.25">
      <c r="A175" s="142" t="s">
        <v>17</v>
      </c>
      <c r="B175" s="142"/>
      <c r="C175" s="142"/>
      <c r="D175" s="142"/>
      <c r="E175" s="13">
        <f>SUM(E168:E174)</f>
        <v>118</v>
      </c>
      <c r="F175" s="13">
        <f t="shared" ref="F175:H175" si="22">SUM(F168:F174)</f>
        <v>351000</v>
      </c>
      <c r="G175" s="13">
        <f t="shared" si="22"/>
        <v>173000</v>
      </c>
      <c r="H175" s="13">
        <f t="shared" si="22"/>
        <v>241000</v>
      </c>
    </row>
    <row r="176" spans="1:8" hidden="1" x14ac:dyDescent="0.25">
      <c r="A176" t="s">
        <v>28</v>
      </c>
      <c r="B176" t="s">
        <v>815</v>
      </c>
      <c r="C176" t="s">
        <v>693</v>
      </c>
      <c r="D176" t="s">
        <v>11</v>
      </c>
      <c r="E176">
        <v>6</v>
      </c>
      <c r="F176" s="4">
        <f>E176*2000</f>
        <v>12000</v>
      </c>
      <c r="G176" s="4">
        <f>E176*500</f>
        <v>3000</v>
      </c>
      <c r="H176" s="4">
        <f>E176*1500</f>
        <v>9000</v>
      </c>
    </row>
    <row r="177" spans="1:8" hidden="1" x14ac:dyDescent="0.25">
      <c r="D177" t="s">
        <v>13</v>
      </c>
      <c r="E177">
        <v>48</v>
      </c>
      <c r="F177" s="4">
        <f>E177*7000</f>
        <v>336000</v>
      </c>
      <c r="G177" s="4">
        <f>E177*4500</f>
        <v>216000</v>
      </c>
      <c r="H177" s="4">
        <f>E177*2500</f>
        <v>120000</v>
      </c>
    </row>
    <row r="178" spans="1:8" hidden="1" x14ac:dyDescent="0.25">
      <c r="D178" t="s">
        <v>14</v>
      </c>
      <c r="E178">
        <v>15</v>
      </c>
      <c r="F178" s="4">
        <f>E178*10000</f>
        <v>150000</v>
      </c>
      <c r="G178" s="4">
        <f>E178*5500</f>
        <v>82500</v>
      </c>
      <c r="H178" s="4">
        <f>E178*4500</f>
        <v>67500</v>
      </c>
    </row>
    <row r="179" spans="1:8" hidden="1" x14ac:dyDescent="0.25">
      <c r="D179" t="s">
        <v>243</v>
      </c>
      <c r="E179">
        <v>1</v>
      </c>
      <c r="F179" s="4">
        <v>13000</v>
      </c>
      <c r="G179" s="4">
        <v>10000</v>
      </c>
      <c r="H179" s="4">
        <v>3000</v>
      </c>
    </row>
    <row r="180" spans="1:8" hidden="1" x14ac:dyDescent="0.25">
      <c r="C180" t="s">
        <v>217</v>
      </c>
      <c r="D180" t="s">
        <v>11</v>
      </c>
      <c r="E180">
        <v>26</v>
      </c>
      <c r="F180" s="4">
        <f>E180*1500</f>
        <v>39000</v>
      </c>
      <c r="G180" s="4">
        <f>E180*500</f>
        <v>13000</v>
      </c>
      <c r="H180" s="4">
        <v>26000</v>
      </c>
    </row>
    <row r="181" spans="1:8" hidden="1" x14ac:dyDescent="0.25">
      <c r="D181" t="s">
        <v>13</v>
      </c>
      <c r="E181">
        <v>20</v>
      </c>
      <c r="F181" s="4">
        <f>E181*6500</f>
        <v>130000</v>
      </c>
      <c r="G181" s="4">
        <f>E181*4500</f>
        <v>90000</v>
      </c>
      <c r="H181" s="4">
        <f>E181*2000</f>
        <v>40000</v>
      </c>
    </row>
    <row r="182" spans="1:8" hidden="1" x14ac:dyDescent="0.25">
      <c r="D182" t="s">
        <v>14</v>
      </c>
      <c r="E182">
        <v>14</v>
      </c>
      <c r="F182" s="4">
        <f>E182*10000</f>
        <v>140000</v>
      </c>
      <c r="G182" s="4">
        <f>E182*5500</f>
        <v>77000</v>
      </c>
      <c r="H182" s="4">
        <f>E182*4500</f>
        <v>63000</v>
      </c>
    </row>
    <row r="183" spans="1:8" x14ac:dyDescent="0.25">
      <c r="D183" t="s">
        <v>441</v>
      </c>
      <c r="E183">
        <v>2</v>
      </c>
      <c r="F183" s="4">
        <f>E183*3000</f>
        <v>6000</v>
      </c>
      <c r="G183" s="4">
        <f>E183*1500</f>
        <v>3000</v>
      </c>
      <c r="H183" s="4">
        <v>3000</v>
      </c>
    </row>
    <row r="184" spans="1:8" hidden="1" x14ac:dyDescent="0.25">
      <c r="C184" t="s">
        <v>16</v>
      </c>
      <c r="D184" t="s">
        <v>11</v>
      </c>
      <c r="E184">
        <v>62</v>
      </c>
      <c r="F184" s="4">
        <f>E184*1500</f>
        <v>93000</v>
      </c>
      <c r="G184" s="4">
        <f>E184*500</f>
        <v>31000</v>
      </c>
      <c r="H184" s="4">
        <v>62000</v>
      </c>
    </row>
    <row r="185" spans="1:8" hidden="1" x14ac:dyDescent="0.25">
      <c r="D185" t="s">
        <v>12</v>
      </c>
      <c r="E185">
        <v>3</v>
      </c>
      <c r="F185" s="4">
        <v>9000</v>
      </c>
      <c r="G185" s="4">
        <v>6000</v>
      </c>
      <c r="H185" s="4">
        <v>3000</v>
      </c>
    </row>
    <row r="186" spans="1:8" hidden="1" x14ac:dyDescent="0.25">
      <c r="C186" t="s">
        <v>24</v>
      </c>
      <c r="D186" t="s">
        <v>11</v>
      </c>
      <c r="E186">
        <v>3</v>
      </c>
      <c r="F186" s="4">
        <f>E186*1500</f>
        <v>4500</v>
      </c>
      <c r="G186" s="4">
        <f>E186*500</f>
        <v>1500</v>
      </c>
      <c r="H186" s="4">
        <v>3000</v>
      </c>
    </row>
    <row r="187" spans="1:8" hidden="1" x14ac:dyDescent="0.25">
      <c r="D187" t="s">
        <v>13</v>
      </c>
      <c r="E187">
        <v>10</v>
      </c>
      <c r="F187" s="4">
        <f>E187*6500</f>
        <v>65000</v>
      </c>
      <c r="G187" s="4">
        <f>E187*4500</f>
        <v>45000</v>
      </c>
      <c r="H187" s="4">
        <f>E187*2000</f>
        <v>20000</v>
      </c>
    </row>
    <row r="188" spans="1:8" hidden="1" x14ac:dyDescent="0.25">
      <c r="D188" t="s">
        <v>14</v>
      </c>
      <c r="E188">
        <v>13</v>
      </c>
      <c r="F188" s="4">
        <f>E188*10000</f>
        <v>130000</v>
      </c>
      <c r="G188" s="4">
        <f>E188*5500</f>
        <v>71500</v>
      </c>
      <c r="H188" s="4">
        <f>E188*4500</f>
        <v>58500</v>
      </c>
    </row>
    <row r="189" spans="1:8" hidden="1" x14ac:dyDescent="0.25">
      <c r="A189" s="142" t="s">
        <v>17</v>
      </c>
      <c r="B189" s="142"/>
      <c r="C189" s="142"/>
      <c r="D189" s="142"/>
      <c r="E189" s="13">
        <f>SUM(E176:E188)</f>
        <v>223</v>
      </c>
      <c r="F189" s="13">
        <f t="shared" ref="F189:H189" si="23">SUM(F176:F188)</f>
        <v>1127500</v>
      </c>
      <c r="G189" s="13">
        <f t="shared" si="23"/>
        <v>649500</v>
      </c>
      <c r="H189" s="13">
        <f t="shared" si="23"/>
        <v>478000</v>
      </c>
    </row>
    <row r="190" spans="1:8" hidden="1" x14ac:dyDescent="0.25">
      <c r="A190" t="s">
        <v>30</v>
      </c>
      <c r="B190" t="s">
        <v>816</v>
      </c>
      <c r="C190" t="s">
        <v>16</v>
      </c>
      <c r="D190" t="s">
        <v>11</v>
      </c>
      <c r="E190">
        <v>38</v>
      </c>
      <c r="F190" s="4">
        <f>E190*1500</f>
        <v>57000</v>
      </c>
      <c r="G190" s="4">
        <f>E190*500</f>
        <v>19000</v>
      </c>
      <c r="H190" s="4">
        <v>38000</v>
      </c>
    </row>
    <row r="191" spans="1:8" hidden="1" x14ac:dyDescent="0.25">
      <c r="D191" t="s">
        <v>12</v>
      </c>
      <c r="E191">
        <v>3</v>
      </c>
      <c r="F191" s="4">
        <v>9000</v>
      </c>
      <c r="G191" s="4">
        <v>6000</v>
      </c>
      <c r="H191" s="4">
        <v>3000</v>
      </c>
    </row>
    <row r="192" spans="1:8" hidden="1" x14ac:dyDescent="0.25">
      <c r="D192" t="s">
        <v>13</v>
      </c>
      <c r="E192">
        <v>1</v>
      </c>
      <c r="F192" s="4">
        <v>6500</v>
      </c>
      <c r="G192" s="4">
        <v>4500</v>
      </c>
      <c r="H192" s="4">
        <v>2000</v>
      </c>
    </row>
    <row r="193" spans="1:8" hidden="1" x14ac:dyDescent="0.25">
      <c r="D193" t="s">
        <v>14</v>
      </c>
      <c r="E193">
        <v>1</v>
      </c>
      <c r="F193" s="4">
        <v>10000</v>
      </c>
      <c r="G193" s="4">
        <v>5500</v>
      </c>
      <c r="H193" s="4">
        <v>4500</v>
      </c>
    </row>
    <row r="194" spans="1:8" hidden="1" x14ac:dyDescent="0.25">
      <c r="A194" s="142" t="s">
        <v>17</v>
      </c>
      <c r="B194" s="142"/>
      <c r="C194" s="142"/>
      <c r="D194" s="142"/>
      <c r="E194" s="13">
        <f>SUM(E190:E193)</f>
        <v>43</v>
      </c>
      <c r="F194" s="13">
        <f t="shared" ref="F194:H194" si="24">SUM(F190:F193)</f>
        <v>82500</v>
      </c>
      <c r="G194" s="13">
        <f t="shared" si="24"/>
        <v>35000</v>
      </c>
      <c r="H194" s="13">
        <f t="shared" si="24"/>
        <v>47500</v>
      </c>
    </row>
    <row r="195" spans="1:8" hidden="1" x14ac:dyDescent="0.25">
      <c r="A195" t="s">
        <v>32</v>
      </c>
      <c r="B195" t="s">
        <v>817</v>
      </c>
      <c r="C195" t="s">
        <v>16</v>
      </c>
      <c r="D195" t="s">
        <v>11</v>
      </c>
      <c r="E195">
        <v>43</v>
      </c>
      <c r="F195" s="4">
        <f>E195*1500</f>
        <v>64500</v>
      </c>
      <c r="G195" s="4">
        <f>E195*500</f>
        <v>21500</v>
      </c>
      <c r="H195" s="4">
        <v>43000</v>
      </c>
    </row>
    <row r="196" spans="1:8" hidden="1" x14ac:dyDescent="0.25">
      <c r="D196" t="s">
        <v>12</v>
      </c>
      <c r="E196">
        <v>3</v>
      </c>
      <c r="F196" s="4">
        <v>9000</v>
      </c>
      <c r="G196" s="4">
        <v>6000</v>
      </c>
      <c r="H196" s="4">
        <v>3000</v>
      </c>
    </row>
    <row r="197" spans="1:8" hidden="1" x14ac:dyDescent="0.25">
      <c r="D197" t="s">
        <v>13</v>
      </c>
      <c r="E197">
        <v>1</v>
      </c>
      <c r="F197" s="4">
        <v>6500</v>
      </c>
      <c r="G197" s="4">
        <v>4500</v>
      </c>
      <c r="H197" s="4">
        <v>2000</v>
      </c>
    </row>
    <row r="198" spans="1:8" hidden="1" x14ac:dyDescent="0.25">
      <c r="D198" t="s">
        <v>14</v>
      </c>
      <c r="E198">
        <v>2</v>
      </c>
      <c r="F198" s="4">
        <v>20000</v>
      </c>
      <c r="G198" s="4">
        <v>9000</v>
      </c>
      <c r="H198" s="4">
        <v>4000</v>
      </c>
    </row>
    <row r="199" spans="1:8" hidden="1" x14ac:dyDescent="0.25">
      <c r="C199" t="s">
        <v>24</v>
      </c>
      <c r="D199" t="s">
        <v>11</v>
      </c>
      <c r="E199">
        <v>3</v>
      </c>
      <c r="F199" s="4">
        <v>4500</v>
      </c>
      <c r="G199" s="4">
        <f>E199*500</f>
        <v>1500</v>
      </c>
      <c r="H199" s="4">
        <v>3000</v>
      </c>
    </row>
    <row r="200" spans="1:8" hidden="1" x14ac:dyDescent="0.25">
      <c r="D200" t="s">
        <v>13</v>
      </c>
      <c r="E200">
        <v>1</v>
      </c>
      <c r="F200" s="4">
        <v>6500</v>
      </c>
      <c r="G200" s="4">
        <v>4500</v>
      </c>
      <c r="H200" s="4">
        <v>2000</v>
      </c>
    </row>
    <row r="201" spans="1:8" hidden="1" x14ac:dyDescent="0.25">
      <c r="D201" t="s">
        <v>243</v>
      </c>
      <c r="E201">
        <v>1</v>
      </c>
      <c r="F201" s="4">
        <v>13000</v>
      </c>
      <c r="G201" s="4">
        <v>10000</v>
      </c>
      <c r="H201" s="4">
        <v>3000</v>
      </c>
    </row>
    <row r="202" spans="1:8" hidden="1" x14ac:dyDescent="0.25">
      <c r="A202" s="142" t="s">
        <v>17</v>
      </c>
      <c r="B202" s="142"/>
      <c r="C202" s="142"/>
      <c r="D202" s="142"/>
      <c r="E202" s="13">
        <f>SUM(E195:E201)</f>
        <v>54</v>
      </c>
      <c r="F202" s="13">
        <f t="shared" ref="F202:H202" si="25">SUM(F195:F201)</f>
        <v>124000</v>
      </c>
      <c r="G202" s="13">
        <f t="shared" si="25"/>
        <v>57000</v>
      </c>
      <c r="H202" s="13">
        <f t="shared" si="25"/>
        <v>60000</v>
      </c>
    </row>
    <row r="203" spans="1:8" hidden="1" x14ac:dyDescent="0.25">
      <c r="A203" t="s">
        <v>8</v>
      </c>
      <c r="B203" t="s">
        <v>818</v>
      </c>
      <c r="C203" t="s">
        <v>819</v>
      </c>
      <c r="D203" t="s">
        <v>12</v>
      </c>
      <c r="E203">
        <v>200</v>
      </c>
      <c r="F203" s="4">
        <f>E203*5000</f>
        <v>1000000</v>
      </c>
      <c r="G203" s="4">
        <f>E203*3000</f>
        <v>600000</v>
      </c>
      <c r="H203" s="4">
        <v>400000</v>
      </c>
    </row>
    <row r="204" spans="1:8" hidden="1" x14ac:dyDescent="0.25">
      <c r="D204" t="s">
        <v>13</v>
      </c>
      <c r="E204">
        <v>100</v>
      </c>
      <c r="F204" s="4">
        <f>E204*7500</f>
        <v>750000</v>
      </c>
      <c r="G204" s="4">
        <f>E204*4500</f>
        <v>450000</v>
      </c>
      <c r="H204" s="4">
        <f>E204*3000</f>
        <v>300000</v>
      </c>
    </row>
    <row r="205" spans="1:8" hidden="1" x14ac:dyDescent="0.25">
      <c r="C205" t="s">
        <v>693</v>
      </c>
      <c r="D205" t="s">
        <v>13</v>
      </c>
      <c r="E205">
        <v>49</v>
      </c>
      <c r="F205" s="4">
        <f>E205*8000</f>
        <v>392000</v>
      </c>
      <c r="G205" s="4">
        <f>E205*4500</f>
        <v>220500</v>
      </c>
      <c r="H205" s="4">
        <f>E205*3500</f>
        <v>171500</v>
      </c>
    </row>
    <row r="206" spans="1:8" hidden="1" x14ac:dyDescent="0.25">
      <c r="D206" t="s">
        <v>14</v>
      </c>
      <c r="E206">
        <v>24</v>
      </c>
      <c r="F206" s="4">
        <f>E206*11000</f>
        <v>264000</v>
      </c>
      <c r="G206" s="4">
        <f>E206*5500</f>
        <v>132000</v>
      </c>
      <c r="H206" s="4">
        <v>132000</v>
      </c>
    </row>
    <row r="207" spans="1:8" hidden="1" x14ac:dyDescent="0.25">
      <c r="C207" t="s">
        <v>16</v>
      </c>
      <c r="D207" t="s">
        <v>11</v>
      </c>
      <c r="E207">
        <v>58</v>
      </c>
      <c r="F207" s="4">
        <f>E207*1500</f>
        <v>87000</v>
      </c>
      <c r="G207" s="4">
        <f>E207*500</f>
        <v>29000</v>
      </c>
      <c r="H207" s="4">
        <v>58000</v>
      </c>
    </row>
    <row r="208" spans="1:8" hidden="1" x14ac:dyDescent="0.25">
      <c r="D208" t="s">
        <v>12</v>
      </c>
      <c r="E208">
        <v>3</v>
      </c>
      <c r="F208" s="4">
        <v>9000</v>
      </c>
      <c r="G208" s="4">
        <v>6000</v>
      </c>
      <c r="H208" s="4">
        <v>3000</v>
      </c>
    </row>
    <row r="209" spans="1:8" hidden="1" x14ac:dyDescent="0.25">
      <c r="D209" t="s">
        <v>243</v>
      </c>
      <c r="E209">
        <v>1</v>
      </c>
      <c r="F209" s="4">
        <v>13000</v>
      </c>
      <c r="G209" s="4">
        <v>10000</v>
      </c>
      <c r="H209" s="4">
        <v>3000</v>
      </c>
    </row>
    <row r="210" spans="1:8" hidden="1" x14ac:dyDescent="0.25">
      <c r="A210" s="142" t="s">
        <v>17</v>
      </c>
      <c r="B210" s="142"/>
      <c r="C210" s="142"/>
      <c r="D210" s="142"/>
      <c r="E210" s="13">
        <f>SUM(E203:E209)</f>
        <v>435</v>
      </c>
      <c r="F210" s="13">
        <f t="shared" ref="F210:H210" si="26">SUM(F203:F209)</f>
        <v>2515000</v>
      </c>
      <c r="G210" s="13">
        <f t="shared" si="26"/>
        <v>1447500</v>
      </c>
      <c r="H210" s="13">
        <f t="shared" si="26"/>
        <v>1067500</v>
      </c>
    </row>
    <row r="211" spans="1:8" hidden="1" x14ac:dyDescent="0.25">
      <c r="A211" t="s">
        <v>18</v>
      </c>
      <c r="B211" t="s">
        <v>820</v>
      </c>
      <c r="C211" t="s">
        <v>693</v>
      </c>
      <c r="D211" t="s">
        <v>13</v>
      </c>
      <c r="E211">
        <v>97</v>
      </c>
      <c r="F211" s="4">
        <f>E211*8000</f>
        <v>776000</v>
      </c>
      <c r="G211" s="4">
        <f>E211*4500</f>
        <v>436500</v>
      </c>
      <c r="H211" s="4">
        <f>E211*3500</f>
        <v>339500</v>
      </c>
    </row>
    <row r="212" spans="1:8" hidden="1" x14ac:dyDescent="0.25">
      <c r="D212" t="s">
        <v>14</v>
      </c>
      <c r="E212">
        <v>47</v>
      </c>
      <c r="F212" s="4">
        <f>E212*12000</f>
        <v>564000</v>
      </c>
      <c r="G212" s="4">
        <f>E212*5500</f>
        <v>258500</v>
      </c>
      <c r="H212" s="4">
        <f>E212*6500</f>
        <v>305500</v>
      </c>
    </row>
    <row r="213" spans="1:8" hidden="1" x14ac:dyDescent="0.25">
      <c r="C213" t="s">
        <v>16</v>
      </c>
      <c r="D213" t="s">
        <v>11</v>
      </c>
      <c r="E213">
        <v>40</v>
      </c>
      <c r="F213" s="4">
        <f>E213*1500</f>
        <v>60000</v>
      </c>
      <c r="G213" s="4">
        <f>E213*500</f>
        <v>20000</v>
      </c>
      <c r="H213" s="4">
        <f>E213*1000</f>
        <v>40000</v>
      </c>
    </row>
    <row r="214" spans="1:8" hidden="1" x14ac:dyDescent="0.25">
      <c r="A214" s="142" t="s">
        <v>17</v>
      </c>
      <c r="B214" s="142"/>
      <c r="C214" s="142"/>
      <c r="D214" s="142"/>
      <c r="E214" s="13">
        <f>SUM(E211:E213)</f>
        <v>184</v>
      </c>
      <c r="F214" s="13">
        <f t="shared" ref="F214:H214" si="27">SUM(F211:F213)</f>
        <v>1400000</v>
      </c>
      <c r="G214" s="13">
        <f t="shared" si="27"/>
        <v>715000</v>
      </c>
      <c r="H214" s="13">
        <f t="shared" si="27"/>
        <v>685000</v>
      </c>
    </row>
    <row r="215" spans="1:8" hidden="1" x14ac:dyDescent="0.25">
      <c r="A215" t="s">
        <v>22</v>
      </c>
      <c r="B215" t="s">
        <v>821</v>
      </c>
      <c r="C215" t="s">
        <v>693</v>
      </c>
      <c r="D215" t="s">
        <v>822</v>
      </c>
      <c r="E215">
        <f>89+47</f>
        <v>136</v>
      </c>
      <c r="F215" s="4">
        <f>E215*8000</f>
        <v>1088000</v>
      </c>
      <c r="G215" s="4">
        <f>E215*4500</f>
        <v>612000</v>
      </c>
      <c r="H215" s="4">
        <f>E215*3500</f>
        <v>476000</v>
      </c>
    </row>
    <row r="216" spans="1:8" hidden="1" x14ac:dyDescent="0.25">
      <c r="D216" t="s">
        <v>14</v>
      </c>
      <c r="E216">
        <f>14+19</f>
        <v>33</v>
      </c>
      <c r="F216" s="4">
        <f>E216*12000</f>
        <v>396000</v>
      </c>
      <c r="G216" s="4">
        <f>E216*5500</f>
        <v>181500</v>
      </c>
      <c r="H216" s="4">
        <f>E216*6500</f>
        <v>214500</v>
      </c>
    </row>
    <row r="217" spans="1:8" hidden="1" x14ac:dyDescent="0.25">
      <c r="C217" t="s">
        <v>16</v>
      </c>
      <c r="D217" t="s">
        <v>11</v>
      </c>
      <c r="E217">
        <v>42</v>
      </c>
      <c r="F217" s="4">
        <f>E217*1500</f>
        <v>63000</v>
      </c>
      <c r="G217" s="4">
        <f>E217*500</f>
        <v>21000</v>
      </c>
      <c r="H217" s="4">
        <v>42000</v>
      </c>
    </row>
    <row r="218" spans="1:8" hidden="1" x14ac:dyDescent="0.25">
      <c r="D218" t="s">
        <v>12</v>
      </c>
      <c r="E218">
        <v>2</v>
      </c>
      <c r="F218" s="4">
        <v>6000</v>
      </c>
      <c r="G218" s="4">
        <v>4000</v>
      </c>
      <c r="H218" s="4">
        <v>2000</v>
      </c>
    </row>
    <row r="219" spans="1:8" hidden="1" x14ac:dyDescent="0.25">
      <c r="D219" t="s">
        <v>13</v>
      </c>
      <c r="E219">
        <v>1</v>
      </c>
      <c r="F219" s="4">
        <v>6500</v>
      </c>
      <c r="G219" s="4">
        <v>4500</v>
      </c>
      <c r="H219" s="4">
        <v>2000</v>
      </c>
    </row>
    <row r="220" spans="1:8" hidden="1" x14ac:dyDescent="0.25">
      <c r="A220" s="142" t="s">
        <v>17</v>
      </c>
      <c r="B220" s="142"/>
      <c r="C220" s="142"/>
      <c r="D220" s="142"/>
      <c r="E220" s="13">
        <f>SUM(E215:E219)</f>
        <v>214</v>
      </c>
      <c r="F220" s="13">
        <f t="shared" ref="F220:H220" si="28">SUM(F215:F219)</f>
        <v>1559500</v>
      </c>
      <c r="G220" s="13">
        <f t="shared" si="28"/>
        <v>823000</v>
      </c>
      <c r="H220" s="13">
        <f t="shared" si="28"/>
        <v>736500</v>
      </c>
    </row>
    <row r="221" spans="1:8" hidden="1" x14ac:dyDescent="0.25">
      <c r="A221" t="s">
        <v>26</v>
      </c>
      <c r="B221" t="s">
        <v>823</v>
      </c>
      <c r="C221" t="s">
        <v>693</v>
      </c>
      <c r="D221" t="s">
        <v>13</v>
      </c>
      <c r="E221">
        <f>126+110+27</f>
        <v>263</v>
      </c>
      <c r="F221" s="4">
        <f>E221*8000</f>
        <v>2104000</v>
      </c>
      <c r="G221" s="4">
        <f>E221*4500</f>
        <v>1183500</v>
      </c>
      <c r="H221" s="4">
        <f>E221*3500</f>
        <v>920500</v>
      </c>
    </row>
    <row r="222" spans="1:8" hidden="1" x14ac:dyDescent="0.25">
      <c r="D222" t="s">
        <v>14</v>
      </c>
      <c r="E222">
        <f>2+10+56</f>
        <v>68</v>
      </c>
      <c r="F222" s="4">
        <f>E222*12000</f>
        <v>816000</v>
      </c>
      <c r="G222" s="4">
        <f>E222*5500</f>
        <v>374000</v>
      </c>
      <c r="H222" s="4">
        <f>E222*6500</f>
        <v>442000</v>
      </c>
    </row>
    <row r="223" spans="1:8" hidden="1" x14ac:dyDescent="0.25">
      <c r="C223" t="s">
        <v>701</v>
      </c>
      <c r="D223" t="s">
        <v>13</v>
      </c>
      <c r="E223">
        <v>32</v>
      </c>
      <c r="F223" s="4">
        <f>E223*8000</f>
        <v>256000</v>
      </c>
      <c r="G223" s="4">
        <f>E223*4500</f>
        <v>144000</v>
      </c>
      <c r="H223" s="4">
        <f>E223*3500</f>
        <v>112000</v>
      </c>
    </row>
    <row r="224" spans="1:8" hidden="1" x14ac:dyDescent="0.25">
      <c r="D224" t="s">
        <v>14</v>
      </c>
      <c r="E224">
        <v>10</v>
      </c>
      <c r="F224" s="4">
        <f>E224*12000</f>
        <v>120000</v>
      </c>
      <c r="G224" s="4">
        <f>E224*5500</f>
        <v>55000</v>
      </c>
      <c r="H224" s="4">
        <f>E224*6500</f>
        <v>65000</v>
      </c>
    </row>
    <row r="225" spans="1:8" hidden="1" x14ac:dyDescent="0.25">
      <c r="C225" t="s">
        <v>16</v>
      </c>
      <c r="D225" t="s">
        <v>11</v>
      </c>
      <c r="E225">
        <v>42</v>
      </c>
      <c r="F225" s="4">
        <f>E225*1500</f>
        <v>63000</v>
      </c>
      <c r="G225" s="4">
        <f>E225*500</f>
        <v>21000</v>
      </c>
      <c r="H225" s="4">
        <v>42000</v>
      </c>
    </row>
    <row r="226" spans="1:8" hidden="1" x14ac:dyDescent="0.25">
      <c r="D226" t="s">
        <v>12</v>
      </c>
      <c r="E226">
        <v>6</v>
      </c>
      <c r="F226" s="4">
        <f>E226*3000</f>
        <v>18000</v>
      </c>
      <c r="G226" s="4">
        <v>12000</v>
      </c>
      <c r="H226" s="4">
        <v>6000</v>
      </c>
    </row>
    <row r="227" spans="1:8" hidden="1" x14ac:dyDescent="0.25">
      <c r="D227" t="s">
        <v>13</v>
      </c>
      <c r="E227">
        <v>1</v>
      </c>
      <c r="F227" s="4">
        <v>6500</v>
      </c>
      <c r="G227" s="4">
        <v>4500</v>
      </c>
      <c r="H227" s="4">
        <v>2000</v>
      </c>
    </row>
    <row r="228" spans="1:8" hidden="1" x14ac:dyDescent="0.25">
      <c r="D228" t="s">
        <v>243</v>
      </c>
      <c r="E228">
        <v>1</v>
      </c>
      <c r="F228" s="4">
        <v>13000</v>
      </c>
      <c r="G228" s="4">
        <v>10000</v>
      </c>
      <c r="H228" s="4">
        <v>3000</v>
      </c>
    </row>
    <row r="229" spans="1:8" hidden="1" x14ac:dyDescent="0.25">
      <c r="A229" s="142" t="s">
        <v>17</v>
      </c>
      <c r="B229" s="142"/>
      <c r="C229" s="142"/>
      <c r="D229" s="142"/>
      <c r="E229" s="13">
        <f>SUM(E221:E228)</f>
        <v>423</v>
      </c>
      <c r="F229" s="13">
        <f t="shared" ref="F229:H229" si="29">SUM(F221:F228)</f>
        <v>3396500</v>
      </c>
      <c r="G229" s="13">
        <f t="shared" si="29"/>
        <v>1804000</v>
      </c>
      <c r="H229" s="13">
        <f t="shared" si="29"/>
        <v>1592500</v>
      </c>
    </row>
    <row r="230" spans="1:8" hidden="1" x14ac:dyDescent="0.25">
      <c r="A230" t="s">
        <v>28</v>
      </c>
      <c r="B230" t="s">
        <v>824</v>
      </c>
      <c r="C230" t="s">
        <v>693</v>
      </c>
      <c r="D230" t="s">
        <v>822</v>
      </c>
      <c r="E230">
        <f>48+65+54+54+18</f>
        <v>239</v>
      </c>
      <c r="F230" s="4">
        <f>E230*8000</f>
        <v>1912000</v>
      </c>
      <c r="G230" s="4">
        <f>E230*4500</f>
        <v>1075500</v>
      </c>
      <c r="H230" s="4">
        <f>E230*3500</f>
        <v>836500</v>
      </c>
    </row>
    <row r="231" spans="1:8" hidden="1" x14ac:dyDescent="0.25">
      <c r="D231" t="s">
        <v>14</v>
      </c>
      <c r="E231">
        <f>30+31+48+32+2</f>
        <v>143</v>
      </c>
      <c r="F231" s="4">
        <f>E231*12000</f>
        <v>1716000</v>
      </c>
      <c r="G231" s="4">
        <f>E231*5500</f>
        <v>786500</v>
      </c>
      <c r="H231" s="4">
        <f>E231*6500</f>
        <v>929500</v>
      </c>
    </row>
    <row r="232" spans="1:8" hidden="1" x14ac:dyDescent="0.25">
      <c r="C232" t="s">
        <v>217</v>
      </c>
      <c r="D232" t="s">
        <v>11</v>
      </c>
      <c r="E232">
        <v>9</v>
      </c>
      <c r="F232" s="4">
        <f>E232*1500</f>
        <v>13500</v>
      </c>
      <c r="G232" s="4">
        <f>E232*500</f>
        <v>4500</v>
      </c>
      <c r="H232" s="4">
        <v>9000</v>
      </c>
    </row>
    <row r="233" spans="1:8" hidden="1" x14ac:dyDescent="0.25">
      <c r="D233" t="s">
        <v>13</v>
      </c>
      <c r="E233">
        <v>18</v>
      </c>
      <c r="F233" s="4">
        <f>E233*6500</f>
        <v>117000</v>
      </c>
      <c r="G233" s="4">
        <f>E233*4500</f>
        <v>81000</v>
      </c>
      <c r="H233" s="4">
        <f>E233*2000</f>
        <v>36000</v>
      </c>
    </row>
    <row r="234" spans="1:8" hidden="1" x14ac:dyDescent="0.25">
      <c r="D234" t="s">
        <v>14</v>
      </c>
      <c r="E234">
        <v>10</v>
      </c>
      <c r="F234" s="4">
        <f>E234*10000</f>
        <v>100000</v>
      </c>
      <c r="G234" s="4">
        <f>E234*5500</f>
        <v>55000</v>
      </c>
      <c r="H234" s="4">
        <f>E234*4500</f>
        <v>45000</v>
      </c>
    </row>
    <row r="235" spans="1:8" hidden="1" x14ac:dyDescent="0.25">
      <c r="C235" t="s">
        <v>16</v>
      </c>
      <c r="D235" t="s">
        <v>11</v>
      </c>
      <c r="E235">
        <v>70</v>
      </c>
      <c r="F235" s="4">
        <f>E235*1500</f>
        <v>105000</v>
      </c>
      <c r="G235" s="4">
        <f>E235*500</f>
        <v>35000</v>
      </c>
      <c r="H235" s="4">
        <v>70000</v>
      </c>
    </row>
    <row r="236" spans="1:8" hidden="1" x14ac:dyDescent="0.25">
      <c r="D236" t="s">
        <v>12</v>
      </c>
      <c r="E236">
        <v>6</v>
      </c>
      <c r="F236" s="4">
        <v>18000</v>
      </c>
      <c r="G236" s="4">
        <v>12000</v>
      </c>
      <c r="H236" s="4">
        <v>6000</v>
      </c>
    </row>
    <row r="237" spans="1:8" hidden="1" x14ac:dyDescent="0.25">
      <c r="D237" t="s">
        <v>13</v>
      </c>
      <c r="E237">
        <v>2</v>
      </c>
      <c r="F237" s="4">
        <v>13000</v>
      </c>
      <c r="G237" s="4">
        <v>9000</v>
      </c>
      <c r="H237" s="4">
        <v>4000</v>
      </c>
    </row>
    <row r="238" spans="1:8" hidden="1" x14ac:dyDescent="0.25">
      <c r="D238" t="s">
        <v>14</v>
      </c>
      <c r="E238">
        <v>2</v>
      </c>
      <c r="F238" s="4">
        <v>20000</v>
      </c>
      <c r="G238" s="4">
        <v>11000</v>
      </c>
      <c r="H238" s="4">
        <f>E238*4500</f>
        <v>9000</v>
      </c>
    </row>
    <row r="239" spans="1:8" hidden="1" x14ac:dyDescent="0.25">
      <c r="C239" t="s">
        <v>701</v>
      </c>
      <c r="D239" t="s">
        <v>13</v>
      </c>
      <c r="E239">
        <v>27</v>
      </c>
      <c r="F239" s="4">
        <f>E239*8000</f>
        <v>216000</v>
      </c>
      <c r="G239" s="4">
        <f>E239*4500</f>
        <v>121500</v>
      </c>
      <c r="H239" s="4">
        <f>E239*3500</f>
        <v>94500</v>
      </c>
    </row>
    <row r="240" spans="1:8" hidden="1" x14ac:dyDescent="0.25">
      <c r="D240" t="s">
        <v>14</v>
      </c>
      <c r="E240">
        <v>9</v>
      </c>
      <c r="F240" s="4">
        <f>E240*12000</f>
        <v>108000</v>
      </c>
      <c r="G240" s="4">
        <f>E240*5500</f>
        <v>49500</v>
      </c>
      <c r="H240" s="4">
        <f>E240*6500</f>
        <v>58500</v>
      </c>
    </row>
    <row r="241" spans="1:8" hidden="1" x14ac:dyDescent="0.25">
      <c r="A241" s="142" t="s">
        <v>17</v>
      </c>
      <c r="B241" s="142"/>
      <c r="C241" s="142"/>
      <c r="D241" s="142"/>
      <c r="E241" s="13">
        <f>SUM(E230:E240)</f>
        <v>535</v>
      </c>
      <c r="F241" s="13">
        <f t="shared" ref="F241:H241" si="30">SUM(F230:F240)</f>
        <v>4338500</v>
      </c>
      <c r="G241" s="13">
        <f t="shared" si="30"/>
        <v>2240500</v>
      </c>
      <c r="H241" s="13">
        <f t="shared" si="30"/>
        <v>2098000</v>
      </c>
    </row>
    <row r="242" spans="1:8" x14ac:dyDescent="0.25">
      <c r="F242" s="4"/>
      <c r="G242" s="4"/>
      <c r="H242" s="4"/>
    </row>
    <row r="243" spans="1:8" x14ac:dyDescent="0.25">
      <c r="F243" s="4"/>
      <c r="G243" s="4"/>
      <c r="H243" s="4"/>
    </row>
    <row r="244" spans="1:8" x14ac:dyDescent="0.25">
      <c r="F244" s="4"/>
      <c r="G244" s="4"/>
      <c r="H244" s="4"/>
    </row>
    <row r="245" spans="1:8" x14ac:dyDescent="0.25">
      <c r="F245" s="4"/>
      <c r="G245" s="4"/>
      <c r="H245" s="4"/>
    </row>
    <row r="246" spans="1:8" x14ac:dyDescent="0.25">
      <c r="F246" s="4"/>
      <c r="G246" s="4"/>
      <c r="H246" s="4"/>
    </row>
    <row r="247" spans="1:8" x14ac:dyDescent="0.25">
      <c r="F247" s="4"/>
      <c r="G247" s="4"/>
      <c r="H247" s="4"/>
    </row>
    <row r="248" spans="1:8" x14ac:dyDescent="0.25">
      <c r="F248" s="4"/>
      <c r="G248" s="4"/>
      <c r="H248" s="4"/>
    </row>
    <row r="249" spans="1:8" x14ac:dyDescent="0.25">
      <c r="F249" s="4"/>
      <c r="G249" s="4"/>
      <c r="H249" s="4"/>
    </row>
    <row r="250" spans="1:8" x14ac:dyDescent="0.25">
      <c r="F250" s="4"/>
      <c r="G250" s="4"/>
      <c r="H250" s="4"/>
    </row>
    <row r="251" spans="1:8" x14ac:dyDescent="0.25">
      <c r="F251" s="4"/>
      <c r="G251" s="4"/>
      <c r="H251" s="4"/>
    </row>
    <row r="252" spans="1:8" x14ac:dyDescent="0.25">
      <c r="F252" s="4"/>
      <c r="G252" s="4"/>
      <c r="H252" s="4"/>
    </row>
    <row r="253" spans="1:8" x14ac:dyDescent="0.25">
      <c r="F253" s="4"/>
      <c r="G253" s="4"/>
      <c r="H253" s="4"/>
    </row>
    <row r="254" spans="1:8" x14ac:dyDescent="0.25">
      <c r="F254" s="4"/>
      <c r="G254" s="4"/>
      <c r="H254" s="4"/>
    </row>
    <row r="255" spans="1:8" x14ac:dyDescent="0.25">
      <c r="F255" s="4"/>
      <c r="G255" s="4"/>
      <c r="H255" s="4"/>
    </row>
    <row r="256" spans="1:8" x14ac:dyDescent="0.25">
      <c r="F256" s="4"/>
      <c r="G256" s="4"/>
      <c r="H256" s="4"/>
    </row>
    <row r="257" spans="6:8" x14ac:dyDescent="0.25">
      <c r="F257" s="4"/>
      <c r="G257" s="4"/>
      <c r="H257" s="4"/>
    </row>
    <row r="258" spans="6:8" x14ac:dyDescent="0.25">
      <c r="F258" s="4"/>
      <c r="G258" s="4"/>
      <c r="H258" s="4"/>
    </row>
    <row r="259" spans="6:8" x14ac:dyDescent="0.25">
      <c r="F259" s="4"/>
      <c r="G259" s="4"/>
      <c r="H259" s="4"/>
    </row>
    <row r="260" spans="6:8" x14ac:dyDescent="0.25">
      <c r="F260" s="4"/>
      <c r="G260" s="4"/>
      <c r="H260" s="4"/>
    </row>
    <row r="261" spans="6:8" x14ac:dyDescent="0.25">
      <c r="F261" s="4"/>
      <c r="G261" s="4"/>
      <c r="H261" s="4"/>
    </row>
    <row r="262" spans="6:8" x14ac:dyDescent="0.25">
      <c r="F262" s="4"/>
      <c r="G262" s="4"/>
      <c r="H262" s="4"/>
    </row>
    <row r="263" spans="6:8" x14ac:dyDescent="0.25">
      <c r="F263" s="4"/>
      <c r="G263" s="4"/>
      <c r="H263" s="4"/>
    </row>
    <row r="264" spans="6:8" x14ac:dyDescent="0.25">
      <c r="F264" s="4"/>
      <c r="G264" s="4"/>
      <c r="H264" s="4"/>
    </row>
    <row r="265" spans="6:8" x14ac:dyDescent="0.25">
      <c r="F265" s="4"/>
      <c r="G265" s="4"/>
      <c r="H265" s="4"/>
    </row>
    <row r="266" spans="6:8" x14ac:dyDescent="0.25">
      <c r="F266" s="4"/>
      <c r="G266" s="4"/>
      <c r="H266" s="4"/>
    </row>
    <row r="267" spans="6:8" x14ac:dyDescent="0.25">
      <c r="F267" s="4"/>
      <c r="G267" s="4"/>
      <c r="H267" s="4"/>
    </row>
    <row r="268" spans="6:8" x14ac:dyDescent="0.25">
      <c r="F268" s="4"/>
      <c r="G268" s="4"/>
      <c r="H268" s="4"/>
    </row>
    <row r="269" spans="6:8" x14ac:dyDescent="0.25">
      <c r="F269" s="4"/>
      <c r="G269" s="4"/>
      <c r="H269" s="4"/>
    </row>
    <row r="270" spans="6:8" x14ac:dyDescent="0.25">
      <c r="F270" s="4"/>
      <c r="G270" s="4"/>
      <c r="H270" s="4"/>
    </row>
    <row r="271" spans="6:8" x14ac:dyDescent="0.25">
      <c r="F271" s="4"/>
      <c r="G271" s="4"/>
      <c r="H271" s="4"/>
    </row>
    <row r="272" spans="6:8" x14ac:dyDescent="0.25">
      <c r="F272" s="4"/>
      <c r="G272" s="4"/>
      <c r="H272" s="4"/>
    </row>
    <row r="273" spans="6:8" x14ac:dyDescent="0.25">
      <c r="F273" s="4"/>
      <c r="G273" s="4"/>
      <c r="H273" s="4"/>
    </row>
    <row r="274" spans="6:8" x14ac:dyDescent="0.25">
      <c r="F274" s="4"/>
      <c r="G274" s="4"/>
      <c r="H274" s="4"/>
    </row>
    <row r="275" spans="6:8" x14ac:dyDescent="0.25">
      <c r="F275" s="4"/>
      <c r="G275" s="4"/>
      <c r="H275" s="4"/>
    </row>
    <row r="276" spans="6:8" x14ac:dyDescent="0.25">
      <c r="F276" s="4"/>
      <c r="G276" s="4"/>
      <c r="H276" s="4"/>
    </row>
    <row r="277" spans="6:8" x14ac:dyDescent="0.25">
      <c r="F277" s="4"/>
      <c r="G277" s="4"/>
      <c r="H277" s="4"/>
    </row>
    <row r="278" spans="6:8" x14ac:dyDescent="0.25">
      <c r="F278" s="4"/>
      <c r="G278" s="4"/>
      <c r="H278" s="4"/>
    </row>
    <row r="279" spans="6:8" x14ac:dyDescent="0.25">
      <c r="F279" s="4"/>
      <c r="G279" s="4"/>
      <c r="H279" s="4"/>
    </row>
    <row r="280" spans="6:8" x14ac:dyDescent="0.25">
      <c r="F280" s="4"/>
      <c r="G280" s="4"/>
      <c r="H280" s="4"/>
    </row>
    <row r="281" spans="6:8" x14ac:dyDescent="0.25">
      <c r="F281" s="4"/>
      <c r="G281" s="4"/>
      <c r="H281" s="4"/>
    </row>
    <row r="282" spans="6:8" x14ac:dyDescent="0.25">
      <c r="F282" s="4"/>
      <c r="G282" s="4"/>
      <c r="H282" s="4"/>
    </row>
    <row r="283" spans="6:8" x14ac:dyDescent="0.25">
      <c r="F283" s="4"/>
      <c r="G283" s="4"/>
      <c r="H283" s="4"/>
    </row>
    <row r="284" spans="6:8" x14ac:dyDescent="0.25">
      <c r="F284" s="4"/>
      <c r="G284" s="4"/>
      <c r="H284" s="4"/>
    </row>
    <row r="285" spans="6:8" x14ac:dyDescent="0.25">
      <c r="F285" s="4"/>
      <c r="G285" s="4"/>
      <c r="H285" s="4"/>
    </row>
    <row r="286" spans="6:8" x14ac:dyDescent="0.25">
      <c r="F286" s="4"/>
      <c r="G286" s="4"/>
      <c r="H286" s="4"/>
    </row>
    <row r="287" spans="6:8" x14ac:dyDescent="0.25">
      <c r="F287" s="4"/>
      <c r="G287" s="4"/>
      <c r="H287" s="4"/>
    </row>
    <row r="288" spans="6:8" x14ac:dyDescent="0.25">
      <c r="F288" s="4"/>
      <c r="G288" s="4"/>
      <c r="H288" s="4"/>
    </row>
    <row r="289" spans="6:8" x14ac:dyDescent="0.25">
      <c r="F289" s="4"/>
      <c r="G289" s="4"/>
      <c r="H289" s="4"/>
    </row>
    <row r="290" spans="6:8" x14ac:dyDescent="0.25">
      <c r="F290" s="4"/>
      <c r="G290" s="4"/>
      <c r="H290" s="4"/>
    </row>
    <row r="291" spans="6:8" x14ac:dyDescent="0.25">
      <c r="F291" s="4"/>
      <c r="G291" s="4"/>
      <c r="H291" s="4"/>
    </row>
    <row r="292" spans="6:8" x14ac:dyDescent="0.25">
      <c r="F292" s="4"/>
      <c r="G292" s="4"/>
      <c r="H292" s="4"/>
    </row>
    <row r="293" spans="6:8" x14ac:dyDescent="0.25">
      <c r="F293" s="4"/>
      <c r="G293" s="4"/>
      <c r="H293" s="4"/>
    </row>
    <row r="294" spans="6:8" x14ac:dyDescent="0.25">
      <c r="F294" s="4"/>
      <c r="G294" s="4"/>
      <c r="H294" s="4"/>
    </row>
    <row r="295" spans="6:8" x14ac:dyDescent="0.25">
      <c r="F295" s="4"/>
      <c r="G295" s="4"/>
      <c r="H295" s="4"/>
    </row>
    <row r="296" spans="6:8" x14ac:dyDescent="0.25">
      <c r="F296" s="4"/>
      <c r="G296" s="4"/>
      <c r="H296" s="4"/>
    </row>
    <row r="297" spans="6:8" x14ac:dyDescent="0.25">
      <c r="F297" s="4"/>
      <c r="G297" s="4"/>
      <c r="H297" s="4"/>
    </row>
    <row r="298" spans="6:8" x14ac:dyDescent="0.25">
      <c r="F298" s="4"/>
      <c r="G298" s="4"/>
      <c r="H298" s="4"/>
    </row>
    <row r="299" spans="6:8" x14ac:dyDescent="0.25">
      <c r="F299" s="4"/>
      <c r="G299" s="4"/>
      <c r="H299" s="4"/>
    </row>
    <row r="300" spans="6:8" x14ac:dyDescent="0.25">
      <c r="F300" s="4"/>
      <c r="G300" s="4"/>
      <c r="H300" s="4"/>
    </row>
    <row r="301" spans="6:8" x14ac:dyDescent="0.25">
      <c r="F301" s="4"/>
      <c r="G301" s="4"/>
      <c r="H301" s="4"/>
    </row>
    <row r="302" spans="6:8" x14ac:dyDescent="0.25">
      <c r="F302" s="4"/>
      <c r="G302" s="4"/>
      <c r="H302" s="4"/>
    </row>
    <row r="303" spans="6:8" x14ac:dyDescent="0.25">
      <c r="F303" s="4"/>
      <c r="G303" s="4"/>
      <c r="H303" s="4"/>
    </row>
    <row r="304" spans="6:8" x14ac:dyDescent="0.25">
      <c r="F304" s="4"/>
      <c r="G304" s="4"/>
      <c r="H304" s="4"/>
    </row>
    <row r="305" spans="6:8" x14ac:dyDescent="0.25">
      <c r="F305" s="4"/>
      <c r="G305" s="4"/>
      <c r="H305" s="4"/>
    </row>
    <row r="306" spans="6:8" x14ac:dyDescent="0.25">
      <c r="F306" s="4"/>
      <c r="G306" s="4"/>
      <c r="H306" s="4"/>
    </row>
    <row r="307" spans="6:8" x14ac:dyDescent="0.25">
      <c r="F307" s="4"/>
      <c r="G307" s="4"/>
      <c r="H307" s="4"/>
    </row>
    <row r="308" spans="6:8" x14ac:dyDescent="0.25">
      <c r="F308" s="4"/>
      <c r="G308" s="4"/>
      <c r="H308" s="4"/>
    </row>
    <row r="309" spans="6:8" x14ac:dyDescent="0.25">
      <c r="F309" s="4"/>
      <c r="G309" s="4"/>
      <c r="H309" s="4"/>
    </row>
    <row r="310" spans="6:8" x14ac:dyDescent="0.25">
      <c r="F310" s="4"/>
      <c r="G310" s="4"/>
      <c r="H310" s="4"/>
    </row>
    <row r="311" spans="6:8" x14ac:dyDescent="0.25">
      <c r="F311" s="4"/>
      <c r="G311" s="4"/>
      <c r="H311" s="4"/>
    </row>
    <row r="312" spans="6:8" x14ac:dyDescent="0.25">
      <c r="F312" s="4"/>
      <c r="G312" s="4"/>
      <c r="H312" s="4"/>
    </row>
    <row r="313" spans="6:8" x14ac:dyDescent="0.25">
      <c r="F313" s="4"/>
      <c r="G313" s="4"/>
      <c r="H313" s="4"/>
    </row>
    <row r="314" spans="6:8" x14ac:dyDescent="0.25">
      <c r="F314" s="4"/>
      <c r="G314" s="4"/>
      <c r="H314" s="4"/>
    </row>
    <row r="315" spans="6:8" x14ac:dyDescent="0.25">
      <c r="F315" s="4"/>
      <c r="G315" s="4"/>
      <c r="H315" s="4"/>
    </row>
    <row r="316" spans="6:8" x14ac:dyDescent="0.25">
      <c r="F316" s="4"/>
      <c r="G316" s="4"/>
      <c r="H316" s="4"/>
    </row>
    <row r="317" spans="6:8" x14ac:dyDescent="0.25">
      <c r="F317" s="4"/>
      <c r="G317" s="4"/>
      <c r="H317" s="4"/>
    </row>
    <row r="318" spans="6:8" x14ac:dyDescent="0.25">
      <c r="F318" s="4"/>
      <c r="G318" s="4"/>
      <c r="H318" s="4"/>
    </row>
    <row r="319" spans="6:8" x14ac:dyDescent="0.25">
      <c r="F319" s="4"/>
      <c r="G319" s="4"/>
      <c r="H319" s="4"/>
    </row>
    <row r="320" spans="6:8" x14ac:dyDescent="0.25">
      <c r="F320" s="4"/>
      <c r="G320" s="4"/>
      <c r="H320" s="4"/>
    </row>
    <row r="321" spans="6:8" x14ac:dyDescent="0.25">
      <c r="F321" s="4"/>
      <c r="G321" s="4"/>
      <c r="H321" s="4"/>
    </row>
    <row r="322" spans="6:8" x14ac:dyDescent="0.25">
      <c r="F322" s="4"/>
      <c r="G322" s="4"/>
      <c r="H322" s="4"/>
    </row>
    <row r="323" spans="6:8" x14ac:dyDescent="0.25">
      <c r="F323" s="4"/>
      <c r="G323" s="4"/>
      <c r="H323" s="4"/>
    </row>
    <row r="324" spans="6:8" x14ac:dyDescent="0.25">
      <c r="F324" s="4"/>
      <c r="G324" s="4"/>
      <c r="H324" s="4"/>
    </row>
    <row r="325" spans="6:8" x14ac:dyDescent="0.25">
      <c r="F325" s="4"/>
      <c r="G325" s="4"/>
      <c r="H325" s="4"/>
    </row>
    <row r="326" spans="6:8" x14ac:dyDescent="0.25">
      <c r="F326" s="4"/>
      <c r="G326" s="4"/>
      <c r="H326" s="4"/>
    </row>
    <row r="327" spans="6:8" x14ac:dyDescent="0.25">
      <c r="F327" s="4"/>
      <c r="G327" s="4"/>
      <c r="H327" s="4"/>
    </row>
    <row r="328" spans="6:8" x14ac:dyDescent="0.25">
      <c r="F328" s="4"/>
      <c r="G328" s="4"/>
      <c r="H328" s="4"/>
    </row>
    <row r="329" spans="6:8" x14ac:dyDescent="0.25">
      <c r="F329" s="4"/>
      <c r="G329" s="4"/>
      <c r="H329" s="4"/>
    </row>
    <row r="330" spans="6:8" x14ac:dyDescent="0.25">
      <c r="F330" s="4"/>
      <c r="G330" s="4"/>
      <c r="H330" s="4"/>
    </row>
    <row r="331" spans="6:8" x14ac:dyDescent="0.25">
      <c r="F331" s="4"/>
      <c r="G331" s="4"/>
      <c r="H331" s="4"/>
    </row>
    <row r="332" spans="6:8" x14ac:dyDescent="0.25">
      <c r="F332" s="4"/>
      <c r="G332" s="4"/>
      <c r="H332" s="4"/>
    </row>
    <row r="333" spans="6:8" x14ac:dyDescent="0.25">
      <c r="F333" s="4"/>
      <c r="G333" s="4"/>
      <c r="H333" s="4"/>
    </row>
    <row r="334" spans="6:8" x14ac:dyDescent="0.25">
      <c r="F334" s="4"/>
      <c r="G334" s="4"/>
      <c r="H334" s="4"/>
    </row>
    <row r="335" spans="6:8" x14ac:dyDescent="0.25">
      <c r="F335" s="4"/>
      <c r="G335" s="4"/>
      <c r="H335" s="4"/>
    </row>
    <row r="336" spans="6:8" x14ac:dyDescent="0.25">
      <c r="F336" s="4"/>
      <c r="G336" s="4"/>
      <c r="H336" s="4"/>
    </row>
    <row r="337" spans="6:8" x14ac:dyDescent="0.25">
      <c r="F337" s="4"/>
      <c r="G337" s="4"/>
      <c r="H337" s="4"/>
    </row>
    <row r="338" spans="6:8" x14ac:dyDescent="0.25">
      <c r="F338" s="4"/>
      <c r="G338" s="4"/>
      <c r="H338" s="4"/>
    </row>
    <row r="339" spans="6:8" x14ac:dyDescent="0.25">
      <c r="F339" s="4"/>
      <c r="G339" s="4"/>
      <c r="H339" s="4"/>
    </row>
    <row r="340" spans="6:8" x14ac:dyDescent="0.25">
      <c r="F340" s="4"/>
      <c r="G340" s="4"/>
      <c r="H340" s="4"/>
    </row>
    <row r="341" spans="6:8" x14ac:dyDescent="0.25">
      <c r="F341" s="4"/>
      <c r="G341" s="4"/>
      <c r="H341" s="4"/>
    </row>
    <row r="342" spans="6:8" x14ac:dyDescent="0.25">
      <c r="F342" s="4"/>
      <c r="G342" s="4"/>
      <c r="H342" s="4"/>
    </row>
    <row r="343" spans="6:8" x14ac:dyDescent="0.25">
      <c r="F343" s="4"/>
      <c r="G343" s="4"/>
      <c r="H343" s="4"/>
    </row>
    <row r="344" spans="6:8" x14ac:dyDescent="0.25">
      <c r="F344" s="4"/>
      <c r="G344" s="4"/>
      <c r="H344" s="4"/>
    </row>
    <row r="345" spans="6:8" x14ac:dyDescent="0.25">
      <c r="F345" s="4"/>
      <c r="G345" s="4"/>
      <c r="H345" s="4"/>
    </row>
    <row r="346" spans="6:8" x14ac:dyDescent="0.25">
      <c r="F346" s="4"/>
      <c r="G346" s="4"/>
      <c r="H346" s="4"/>
    </row>
    <row r="347" spans="6:8" x14ac:dyDescent="0.25">
      <c r="F347" s="4"/>
      <c r="G347" s="4"/>
      <c r="H347" s="4"/>
    </row>
    <row r="348" spans="6:8" x14ac:dyDescent="0.25">
      <c r="F348" s="4"/>
      <c r="G348" s="4"/>
      <c r="H348" s="4"/>
    </row>
    <row r="349" spans="6:8" x14ac:dyDescent="0.25">
      <c r="F349" s="4"/>
      <c r="G349" s="4"/>
      <c r="H349" s="4"/>
    </row>
    <row r="350" spans="6:8" x14ac:dyDescent="0.25">
      <c r="F350" s="4"/>
      <c r="G350" s="4"/>
      <c r="H350" s="4"/>
    </row>
    <row r="351" spans="6:8" x14ac:dyDescent="0.25">
      <c r="F351" s="4"/>
      <c r="G351" s="4"/>
      <c r="H351" s="4"/>
    </row>
    <row r="352" spans="6:8" x14ac:dyDescent="0.25">
      <c r="F352" s="4"/>
      <c r="G352" s="4"/>
      <c r="H352" s="4"/>
    </row>
    <row r="353" spans="6:8" x14ac:dyDescent="0.25">
      <c r="F353" s="4"/>
      <c r="G353" s="4"/>
      <c r="H353" s="4"/>
    </row>
    <row r="354" spans="6:8" x14ac:dyDescent="0.25">
      <c r="F354" s="4"/>
      <c r="G354" s="4"/>
      <c r="H354" s="4"/>
    </row>
    <row r="355" spans="6:8" x14ac:dyDescent="0.25">
      <c r="F355" s="4"/>
      <c r="G355" s="4"/>
      <c r="H355" s="4"/>
    </row>
    <row r="356" spans="6:8" x14ac:dyDescent="0.25">
      <c r="F356" s="4"/>
      <c r="G356" s="4"/>
      <c r="H356" s="4"/>
    </row>
    <row r="357" spans="6:8" x14ac:dyDescent="0.25">
      <c r="F357" s="4"/>
      <c r="G357" s="4"/>
      <c r="H357" s="4"/>
    </row>
    <row r="358" spans="6:8" x14ac:dyDescent="0.25">
      <c r="F358" s="4"/>
      <c r="G358" s="4"/>
      <c r="H358" s="4"/>
    </row>
    <row r="359" spans="6:8" x14ac:dyDescent="0.25">
      <c r="F359" s="4"/>
      <c r="G359" s="4"/>
      <c r="H359" s="4"/>
    </row>
    <row r="360" spans="6:8" x14ac:dyDescent="0.25">
      <c r="F360" s="4"/>
      <c r="G360" s="4"/>
      <c r="H360" s="4"/>
    </row>
    <row r="361" spans="6:8" x14ac:dyDescent="0.25">
      <c r="F361" s="4"/>
      <c r="G361" s="4"/>
      <c r="H361" s="4"/>
    </row>
    <row r="362" spans="6:8" x14ac:dyDescent="0.25">
      <c r="F362" s="4"/>
      <c r="G362" s="4"/>
      <c r="H362" s="4"/>
    </row>
    <row r="363" spans="6:8" x14ac:dyDescent="0.25">
      <c r="F363" s="4"/>
      <c r="G363" s="4"/>
      <c r="H363" s="4"/>
    </row>
    <row r="364" spans="6:8" x14ac:dyDescent="0.25">
      <c r="F364" s="4"/>
      <c r="G364" s="4"/>
      <c r="H364" s="4"/>
    </row>
    <row r="365" spans="6:8" x14ac:dyDescent="0.25">
      <c r="F365" s="4"/>
      <c r="G365" s="4"/>
      <c r="H365" s="4"/>
    </row>
    <row r="366" spans="6:8" x14ac:dyDescent="0.25">
      <c r="F366" s="4"/>
      <c r="G366" s="4"/>
      <c r="H366" s="4"/>
    </row>
    <row r="367" spans="6:8" x14ac:dyDescent="0.25">
      <c r="F367" s="4"/>
      <c r="G367" s="4"/>
      <c r="H367" s="4"/>
    </row>
    <row r="368" spans="6:8" x14ac:dyDescent="0.25">
      <c r="F368" s="4"/>
      <c r="G368" s="4"/>
      <c r="H368" s="4"/>
    </row>
    <row r="369" spans="6:8" x14ac:dyDescent="0.25">
      <c r="F369" s="4"/>
      <c r="G369" s="4"/>
      <c r="H369" s="4"/>
    </row>
    <row r="370" spans="6:8" x14ac:dyDescent="0.25">
      <c r="F370" s="4"/>
      <c r="G370" s="4"/>
      <c r="H370" s="4"/>
    </row>
    <row r="371" spans="6:8" x14ac:dyDescent="0.25">
      <c r="F371" s="4"/>
      <c r="G371" s="4"/>
      <c r="H371" s="4"/>
    </row>
    <row r="372" spans="6:8" x14ac:dyDescent="0.25">
      <c r="F372" s="4"/>
      <c r="G372" s="4"/>
      <c r="H372" s="4"/>
    </row>
    <row r="373" spans="6:8" x14ac:dyDescent="0.25">
      <c r="F373" s="4"/>
      <c r="G373" s="4"/>
      <c r="H373" s="4"/>
    </row>
    <row r="374" spans="6:8" x14ac:dyDescent="0.25">
      <c r="F374" s="4"/>
      <c r="G374" s="4"/>
      <c r="H374" s="4"/>
    </row>
    <row r="375" spans="6:8" x14ac:dyDescent="0.25">
      <c r="F375" s="4"/>
      <c r="G375" s="4"/>
      <c r="H375" s="4"/>
    </row>
    <row r="376" spans="6:8" x14ac:dyDescent="0.25">
      <c r="F376" s="4"/>
      <c r="G376" s="4"/>
      <c r="H376" s="4"/>
    </row>
    <row r="377" spans="6:8" x14ac:dyDescent="0.25">
      <c r="F377" s="4"/>
      <c r="G377" s="4"/>
      <c r="H377" s="4"/>
    </row>
    <row r="378" spans="6:8" x14ac:dyDescent="0.25">
      <c r="F378" s="4"/>
      <c r="G378" s="4"/>
      <c r="H378" s="4"/>
    </row>
    <row r="379" spans="6:8" x14ac:dyDescent="0.25">
      <c r="F379" s="4"/>
      <c r="G379" s="4"/>
      <c r="H379" s="4"/>
    </row>
    <row r="380" spans="6:8" x14ac:dyDescent="0.25">
      <c r="F380" s="4"/>
      <c r="G380" s="4"/>
      <c r="H380" s="4"/>
    </row>
    <row r="381" spans="6:8" x14ac:dyDescent="0.25">
      <c r="F381" s="4"/>
      <c r="G381" s="4"/>
      <c r="H381" s="4"/>
    </row>
    <row r="382" spans="6:8" x14ac:dyDescent="0.25">
      <c r="F382" s="4"/>
      <c r="G382" s="4"/>
      <c r="H382" s="4"/>
    </row>
    <row r="383" spans="6:8" x14ac:dyDescent="0.25">
      <c r="F383" s="4"/>
      <c r="G383" s="4"/>
      <c r="H383" s="4"/>
    </row>
    <row r="384" spans="6:8" x14ac:dyDescent="0.25">
      <c r="F384" s="4"/>
      <c r="G384" s="4"/>
      <c r="H384" s="4"/>
    </row>
    <row r="385" spans="6:8" x14ac:dyDescent="0.25">
      <c r="F385" s="4"/>
      <c r="G385" s="4"/>
      <c r="H385" s="4"/>
    </row>
    <row r="386" spans="6:8" x14ac:dyDescent="0.25">
      <c r="F386" s="4"/>
      <c r="G386" s="4"/>
      <c r="H386" s="4"/>
    </row>
    <row r="387" spans="6:8" x14ac:dyDescent="0.25">
      <c r="F387" s="4"/>
      <c r="G387" s="4"/>
      <c r="H387" s="4"/>
    </row>
    <row r="388" spans="6:8" x14ac:dyDescent="0.25">
      <c r="F388" s="4"/>
      <c r="G388" s="4"/>
      <c r="H388" s="4"/>
    </row>
    <row r="389" spans="6:8" x14ac:dyDescent="0.25">
      <c r="F389" s="4"/>
      <c r="G389" s="4"/>
      <c r="H389" s="4"/>
    </row>
    <row r="390" spans="6:8" x14ac:dyDescent="0.25">
      <c r="F390" s="4"/>
      <c r="G390" s="4"/>
      <c r="H390" s="4"/>
    </row>
    <row r="391" spans="6:8" x14ac:dyDescent="0.25">
      <c r="F391" s="4"/>
      <c r="G391" s="4"/>
      <c r="H391" s="4"/>
    </row>
    <row r="392" spans="6:8" x14ac:dyDescent="0.25">
      <c r="F392" s="4"/>
      <c r="G392" s="4"/>
      <c r="H392" s="4"/>
    </row>
    <row r="393" spans="6:8" x14ac:dyDescent="0.25">
      <c r="F393" s="4"/>
      <c r="G393" s="4"/>
      <c r="H393" s="4"/>
    </row>
    <row r="394" spans="6:8" x14ac:dyDescent="0.25">
      <c r="F394" s="4"/>
      <c r="G394" s="4"/>
      <c r="H394" s="4"/>
    </row>
    <row r="395" spans="6:8" x14ac:dyDescent="0.25">
      <c r="F395" s="4"/>
      <c r="G395" s="4"/>
      <c r="H395" s="4"/>
    </row>
    <row r="396" spans="6:8" x14ac:dyDescent="0.25">
      <c r="F396" s="4"/>
      <c r="G396" s="4"/>
      <c r="H396" s="4"/>
    </row>
    <row r="397" spans="6:8" x14ac:dyDescent="0.25">
      <c r="F397" s="4"/>
      <c r="G397" s="4"/>
      <c r="H397" s="4"/>
    </row>
    <row r="398" spans="6:8" x14ac:dyDescent="0.25">
      <c r="F398" s="4"/>
      <c r="G398" s="4"/>
      <c r="H398" s="4"/>
    </row>
    <row r="399" spans="6:8" x14ac:dyDescent="0.25">
      <c r="F399" s="4"/>
      <c r="G399" s="4"/>
      <c r="H399" s="4"/>
    </row>
    <row r="400" spans="6:8" x14ac:dyDescent="0.25">
      <c r="F400" s="4"/>
      <c r="G400" s="4"/>
      <c r="H400" s="4"/>
    </row>
    <row r="401" spans="6:8" x14ac:dyDescent="0.25">
      <c r="F401" s="4"/>
      <c r="G401" s="4"/>
      <c r="H401" s="4"/>
    </row>
    <row r="402" spans="6:8" x14ac:dyDescent="0.25">
      <c r="F402" s="4"/>
      <c r="G402" s="4"/>
      <c r="H402" s="4"/>
    </row>
    <row r="403" spans="6:8" x14ac:dyDescent="0.25">
      <c r="F403" s="4"/>
      <c r="G403" s="4"/>
      <c r="H403" s="4"/>
    </row>
    <row r="404" spans="6:8" x14ac:dyDescent="0.25">
      <c r="F404" s="4"/>
      <c r="G404" s="4"/>
      <c r="H404" s="4"/>
    </row>
    <row r="405" spans="6:8" x14ac:dyDescent="0.25">
      <c r="F405" s="4"/>
      <c r="G405" s="4"/>
      <c r="H405" s="4"/>
    </row>
    <row r="406" spans="6:8" x14ac:dyDescent="0.25">
      <c r="F406" s="4"/>
      <c r="G406" s="4"/>
      <c r="H406" s="4"/>
    </row>
    <row r="407" spans="6:8" x14ac:dyDescent="0.25">
      <c r="F407" s="4"/>
      <c r="G407" s="4"/>
      <c r="H407" s="4"/>
    </row>
    <row r="408" spans="6:8" x14ac:dyDescent="0.25">
      <c r="F408" s="4"/>
      <c r="G408" s="4"/>
      <c r="H408" s="4"/>
    </row>
    <row r="409" spans="6:8" x14ac:dyDescent="0.25">
      <c r="F409" s="4"/>
      <c r="G409" s="4"/>
      <c r="H409" s="4"/>
    </row>
    <row r="410" spans="6:8" x14ac:dyDescent="0.25">
      <c r="F410" s="4"/>
      <c r="G410" s="4"/>
      <c r="H410" s="4"/>
    </row>
    <row r="411" spans="6:8" x14ac:dyDescent="0.25">
      <c r="F411" s="4"/>
      <c r="G411" s="4"/>
      <c r="H411" s="4"/>
    </row>
    <row r="412" spans="6:8" x14ac:dyDescent="0.25">
      <c r="F412" s="4"/>
      <c r="G412" s="4"/>
      <c r="H412" s="4"/>
    </row>
    <row r="413" spans="6:8" x14ac:dyDescent="0.25">
      <c r="F413" s="4"/>
      <c r="G413" s="4"/>
      <c r="H413" s="4"/>
    </row>
    <row r="414" spans="6:8" x14ac:dyDescent="0.25">
      <c r="F414" s="4"/>
      <c r="G414" s="4"/>
      <c r="H414" s="4"/>
    </row>
    <row r="415" spans="6:8" x14ac:dyDescent="0.25">
      <c r="F415" s="4"/>
      <c r="G415" s="4"/>
      <c r="H415" s="4"/>
    </row>
    <row r="416" spans="6:8" x14ac:dyDescent="0.25">
      <c r="F416" s="4"/>
      <c r="G416" s="4"/>
      <c r="H416" s="4"/>
    </row>
    <row r="417" spans="6:8" x14ac:dyDescent="0.25">
      <c r="F417" s="4"/>
      <c r="G417" s="4"/>
      <c r="H417" s="4"/>
    </row>
    <row r="418" spans="6:8" x14ac:dyDescent="0.25">
      <c r="F418" s="4"/>
      <c r="G418" s="4"/>
      <c r="H418" s="4"/>
    </row>
    <row r="419" spans="6:8" x14ac:dyDescent="0.25">
      <c r="F419" s="4"/>
      <c r="G419" s="4"/>
      <c r="H419" s="4"/>
    </row>
    <row r="420" spans="6:8" x14ac:dyDescent="0.25">
      <c r="F420" s="4"/>
      <c r="G420" s="4"/>
      <c r="H420" s="4"/>
    </row>
    <row r="421" spans="6:8" x14ac:dyDescent="0.25">
      <c r="F421" s="4"/>
      <c r="G421" s="4"/>
      <c r="H421" s="4"/>
    </row>
    <row r="422" spans="6:8" x14ac:dyDescent="0.25">
      <c r="F422" s="4"/>
      <c r="G422" s="4"/>
      <c r="H422" s="4"/>
    </row>
    <row r="423" spans="6:8" x14ac:dyDescent="0.25">
      <c r="F423" s="4"/>
      <c r="G423" s="4"/>
      <c r="H423" s="4"/>
    </row>
    <row r="424" spans="6:8" x14ac:dyDescent="0.25">
      <c r="F424" s="4"/>
      <c r="G424" s="4"/>
      <c r="H424" s="4"/>
    </row>
    <row r="425" spans="6:8" x14ac:dyDescent="0.25">
      <c r="F425" s="4"/>
      <c r="G425" s="4"/>
      <c r="H425" s="4"/>
    </row>
    <row r="426" spans="6:8" x14ac:dyDescent="0.25">
      <c r="F426" s="4"/>
      <c r="G426" s="4"/>
      <c r="H426" s="4"/>
    </row>
    <row r="427" spans="6:8" x14ac:dyDescent="0.25">
      <c r="F427" s="4"/>
      <c r="G427" s="4"/>
      <c r="H427" s="4"/>
    </row>
    <row r="428" spans="6:8" x14ac:dyDescent="0.25">
      <c r="F428" s="4"/>
      <c r="G428" s="4"/>
      <c r="H428" s="4"/>
    </row>
    <row r="429" spans="6:8" x14ac:dyDescent="0.25">
      <c r="F429" s="4"/>
      <c r="G429" s="4"/>
      <c r="H429" s="4"/>
    </row>
    <row r="430" spans="6:8" x14ac:dyDescent="0.25">
      <c r="F430" s="4"/>
      <c r="G430" s="4"/>
      <c r="H430" s="4"/>
    </row>
    <row r="431" spans="6:8" x14ac:dyDescent="0.25">
      <c r="F431" s="4"/>
      <c r="G431" s="4"/>
      <c r="H431" s="4"/>
    </row>
    <row r="432" spans="6:8" x14ac:dyDescent="0.25">
      <c r="F432" s="4"/>
      <c r="G432" s="4"/>
      <c r="H432" s="4"/>
    </row>
    <row r="433" spans="6:8" x14ac:dyDescent="0.25">
      <c r="F433" s="4"/>
      <c r="G433" s="4"/>
      <c r="H433" s="4"/>
    </row>
    <row r="434" spans="6:8" x14ac:dyDescent="0.25">
      <c r="F434" s="4"/>
      <c r="G434" s="4"/>
      <c r="H434" s="4"/>
    </row>
    <row r="435" spans="6:8" x14ac:dyDescent="0.25">
      <c r="F435" s="4"/>
      <c r="G435" s="4"/>
      <c r="H435" s="4"/>
    </row>
    <row r="436" spans="6:8" x14ac:dyDescent="0.25">
      <c r="F436" s="4"/>
      <c r="G436" s="4"/>
      <c r="H436" s="4"/>
    </row>
    <row r="437" spans="6:8" x14ac:dyDescent="0.25">
      <c r="F437" s="4"/>
      <c r="G437" s="4"/>
      <c r="H437" s="4"/>
    </row>
    <row r="438" spans="6:8" x14ac:dyDescent="0.25">
      <c r="F438" s="4"/>
      <c r="G438" s="4"/>
      <c r="H438" s="4"/>
    </row>
    <row r="439" spans="6:8" x14ac:dyDescent="0.25">
      <c r="F439" s="4"/>
      <c r="G439" s="4"/>
      <c r="H439" s="4"/>
    </row>
    <row r="440" spans="6:8" x14ac:dyDescent="0.25">
      <c r="F440" s="4"/>
      <c r="G440" s="4"/>
      <c r="H440" s="4"/>
    </row>
    <row r="441" spans="6:8" x14ac:dyDescent="0.25">
      <c r="F441" s="4"/>
      <c r="G441" s="4"/>
      <c r="H441" s="4"/>
    </row>
    <row r="442" spans="6:8" x14ac:dyDescent="0.25">
      <c r="F442" s="4"/>
      <c r="G442" s="4"/>
      <c r="H442" s="4"/>
    </row>
    <row r="443" spans="6:8" x14ac:dyDescent="0.25">
      <c r="F443" s="4"/>
      <c r="G443" s="4"/>
      <c r="H443" s="4"/>
    </row>
    <row r="444" spans="6:8" x14ac:dyDescent="0.25">
      <c r="F444" s="4"/>
      <c r="G444" s="4"/>
      <c r="H444" s="4"/>
    </row>
    <row r="445" spans="6:8" x14ac:dyDescent="0.25">
      <c r="F445" s="4"/>
      <c r="G445" s="4"/>
      <c r="H445" s="4"/>
    </row>
    <row r="446" spans="6:8" x14ac:dyDescent="0.25">
      <c r="F446" s="4"/>
      <c r="G446" s="4"/>
      <c r="H446" s="4"/>
    </row>
    <row r="447" spans="6:8" x14ac:dyDescent="0.25">
      <c r="F447" s="4"/>
      <c r="G447" s="4"/>
      <c r="H447" s="4"/>
    </row>
    <row r="448" spans="6:8" x14ac:dyDescent="0.25">
      <c r="F448" s="4"/>
      <c r="G448" s="4"/>
      <c r="H448" s="4"/>
    </row>
    <row r="449" spans="6:8" x14ac:dyDescent="0.25">
      <c r="F449" s="4"/>
      <c r="G449" s="4"/>
      <c r="H449" s="4"/>
    </row>
    <row r="450" spans="6:8" x14ac:dyDescent="0.25">
      <c r="F450" s="4"/>
      <c r="G450" s="4"/>
      <c r="H450" s="4"/>
    </row>
    <row r="451" spans="6:8" x14ac:dyDescent="0.25">
      <c r="F451" s="4"/>
      <c r="G451" s="4"/>
      <c r="H451" s="4"/>
    </row>
    <row r="452" spans="6:8" x14ac:dyDescent="0.25">
      <c r="F452" s="4"/>
      <c r="G452" s="4"/>
      <c r="H452" s="4"/>
    </row>
    <row r="453" spans="6:8" x14ac:dyDescent="0.25">
      <c r="F453" s="4"/>
      <c r="G453" s="4"/>
      <c r="H453" s="4"/>
    </row>
    <row r="454" spans="6:8" x14ac:dyDescent="0.25">
      <c r="F454" s="4"/>
      <c r="G454" s="4"/>
      <c r="H454" s="4"/>
    </row>
    <row r="455" spans="6:8" x14ac:dyDescent="0.25">
      <c r="F455" s="4"/>
      <c r="G455" s="4"/>
      <c r="H455" s="4"/>
    </row>
    <row r="456" spans="6:8" x14ac:dyDescent="0.25">
      <c r="F456" s="4"/>
      <c r="G456" s="4"/>
      <c r="H456" s="4"/>
    </row>
    <row r="457" spans="6:8" x14ac:dyDescent="0.25">
      <c r="F457" s="4"/>
      <c r="G457" s="4"/>
      <c r="H457" s="4"/>
    </row>
    <row r="458" spans="6:8" x14ac:dyDescent="0.25">
      <c r="F458" s="4"/>
      <c r="G458" s="4"/>
      <c r="H458" s="4"/>
    </row>
    <row r="459" spans="6:8" x14ac:dyDescent="0.25">
      <c r="F459" s="4"/>
      <c r="G459" s="4"/>
      <c r="H459" s="4"/>
    </row>
    <row r="460" spans="6:8" x14ac:dyDescent="0.25">
      <c r="F460" s="4"/>
      <c r="G460" s="4"/>
      <c r="H460" s="4"/>
    </row>
    <row r="461" spans="6:8" x14ac:dyDescent="0.25">
      <c r="F461" s="4"/>
      <c r="G461" s="4"/>
      <c r="H461" s="4"/>
    </row>
    <row r="462" spans="6:8" x14ac:dyDescent="0.25">
      <c r="F462" s="4"/>
      <c r="G462" s="4"/>
      <c r="H462" s="4"/>
    </row>
    <row r="463" spans="6:8" x14ac:dyDescent="0.25">
      <c r="F463" s="4"/>
      <c r="G463" s="4"/>
      <c r="H463" s="4"/>
    </row>
    <row r="464" spans="6:8" x14ac:dyDescent="0.25">
      <c r="F464" s="4"/>
      <c r="G464" s="4"/>
      <c r="H464" s="4"/>
    </row>
    <row r="465" spans="6:8" x14ac:dyDescent="0.25">
      <c r="F465" s="4"/>
      <c r="G465" s="4"/>
      <c r="H465" s="4"/>
    </row>
    <row r="466" spans="6:8" x14ac:dyDescent="0.25">
      <c r="F466" s="4"/>
      <c r="G466" s="4"/>
      <c r="H466" s="4"/>
    </row>
    <row r="467" spans="6:8" x14ac:dyDescent="0.25">
      <c r="F467" s="4"/>
      <c r="G467" s="4"/>
      <c r="H467" s="4"/>
    </row>
    <row r="468" spans="6:8" x14ac:dyDescent="0.25">
      <c r="F468" s="4"/>
      <c r="G468" s="4"/>
      <c r="H468" s="4"/>
    </row>
    <row r="469" spans="6:8" x14ac:dyDescent="0.25">
      <c r="F469" s="4"/>
      <c r="G469" s="4"/>
      <c r="H469" s="4"/>
    </row>
    <row r="470" spans="6:8" x14ac:dyDescent="0.25">
      <c r="F470" s="4"/>
      <c r="G470" s="4"/>
      <c r="H470" s="4"/>
    </row>
    <row r="471" spans="6:8" x14ac:dyDescent="0.25">
      <c r="F471" s="4"/>
      <c r="G471" s="4"/>
      <c r="H471" s="4"/>
    </row>
    <row r="472" spans="6:8" x14ac:dyDescent="0.25">
      <c r="F472" s="4"/>
      <c r="G472" s="4"/>
      <c r="H472" s="4"/>
    </row>
    <row r="473" spans="6:8" x14ac:dyDescent="0.25">
      <c r="F473" s="4"/>
      <c r="G473" s="4"/>
      <c r="H473" s="4"/>
    </row>
    <row r="474" spans="6:8" x14ac:dyDescent="0.25">
      <c r="F474" s="4"/>
      <c r="G474" s="4"/>
      <c r="H474" s="4"/>
    </row>
    <row r="475" spans="6:8" x14ac:dyDescent="0.25">
      <c r="F475" s="4"/>
      <c r="G475" s="4"/>
      <c r="H475" s="4"/>
    </row>
    <row r="476" spans="6:8" x14ac:dyDescent="0.25">
      <c r="F476" s="4"/>
      <c r="G476" s="4"/>
      <c r="H476" s="4"/>
    </row>
    <row r="477" spans="6:8" x14ac:dyDescent="0.25">
      <c r="F477" s="4"/>
      <c r="G477" s="4"/>
      <c r="H477" s="4"/>
    </row>
    <row r="478" spans="6:8" x14ac:dyDescent="0.25">
      <c r="F478" s="4"/>
      <c r="G478" s="4"/>
      <c r="H478" s="4"/>
    </row>
    <row r="479" spans="6:8" x14ac:dyDescent="0.25">
      <c r="F479" s="4"/>
      <c r="G479" s="4"/>
      <c r="H479" s="4"/>
    </row>
    <row r="480" spans="6:8" x14ac:dyDescent="0.25">
      <c r="F480" s="4"/>
      <c r="G480" s="4"/>
      <c r="H480" s="4"/>
    </row>
    <row r="481" spans="6:8" x14ac:dyDescent="0.25">
      <c r="F481" s="4"/>
      <c r="G481" s="4"/>
      <c r="H481" s="4"/>
    </row>
    <row r="482" spans="6:8" x14ac:dyDescent="0.25">
      <c r="F482" s="4"/>
      <c r="G482" s="4"/>
      <c r="H482" s="4"/>
    </row>
    <row r="483" spans="6:8" x14ac:dyDescent="0.25">
      <c r="F483" s="4"/>
      <c r="G483" s="4"/>
      <c r="H483" s="4"/>
    </row>
    <row r="484" spans="6:8" x14ac:dyDescent="0.25">
      <c r="F484" s="4"/>
      <c r="G484" s="4"/>
      <c r="H484" s="4"/>
    </row>
    <row r="485" spans="6:8" x14ac:dyDescent="0.25">
      <c r="F485" s="4"/>
      <c r="G485" s="4"/>
      <c r="H485" s="4"/>
    </row>
    <row r="486" spans="6:8" x14ac:dyDescent="0.25">
      <c r="F486" s="4"/>
      <c r="G486" s="4"/>
      <c r="H486" s="4"/>
    </row>
    <row r="487" spans="6:8" x14ac:dyDescent="0.25">
      <c r="F487" s="4"/>
      <c r="G487" s="4"/>
      <c r="H487" s="4"/>
    </row>
    <row r="488" spans="6:8" x14ac:dyDescent="0.25">
      <c r="F488" s="4"/>
      <c r="G488" s="4"/>
      <c r="H488" s="4"/>
    </row>
    <row r="489" spans="6:8" x14ac:dyDescent="0.25">
      <c r="F489" s="4"/>
      <c r="G489" s="4"/>
      <c r="H489" s="4"/>
    </row>
    <row r="490" spans="6:8" x14ac:dyDescent="0.25">
      <c r="F490" s="4"/>
      <c r="G490" s="4"/>
      <c r="H490" s="4"/>
    </row>
    <row r="491" spans="6:8" x14ac:dyDescent="0.25">
      <c r="F491" s="4"/>
      <c r="G491" s="4"/>
      <c r="H491" s="4"/>
    </row>
    <row r="492" spans="6:8" x14ac:dyDescent="0.25">
      <c r="F492" s="4"/>
      <c r="G492" s="4"/>
      <c r="H492" s="4"/>
    </row>
    <row r="493" spans="6:8" x14ac:dyDescent="0.25">
      <c r="F493" s="4"/>
      <c r="G493" s="4"/>
      <c r="H493" s="4"/>
    </row>
    <row r="494" spans="6:8" x14ac:dyDescent="0.25">
      <c r="F494" s="4"/>
      <c r="G494" s="4"/>
      <c r="H494" s="4"/>
    </row>
    <row r="495" spans="6:8" x14ac:dyDescent="0.25">
      <c r="F495" s="4"/>
      <c r="G495" s="4"/>
      <c r="H495" s="4"/>
    </row>
    <row r="496" spans="6:8" x14ac:dyDescent="0.25">
      <c r="F496" s="4"/>
      <c r="G496" s="4"/>
      <c r="H496" s="4"/>
    </row>
    <row r="497" spans="6:8" x14ac:dyDescent="0.25">
      <c r="F497" s="4"/>
      <c r="G497" s="4"/>
      <c r="H497" s="4"/>
    </row>
    <row r="498" spans="6:8" x14ac:dyDescent="0.25">
      <c r="F498" s="4"/>
      <c r="G498" s="4"/>
      <c r="H498" s="4"/>
    </row>
    <row r="499" spans="6:8" x14ac:dyDescent="0.25">
      <c r="F499" s="4"/>
      <c r="G499" s="4"/>
      <c r="H499" s="4"/>
    </row>
    <row r="500" spans="6:8" x14ac:dyDescent="0.25">
      <c r="F500" s="4"/>
      <c r="G500" s="4"/>
      <c r="H500" s="4"/>
    </row>
    <row r="501" spans="6:8" x14ac:dyDescent="0.25">
      <c r="F501" s="4"/>
      <c r="G501" s="4"/>
      <c r="H501" s="4"/>
    </row>
    <row r="502" spans="6:8" x14ac:dyDescent="0.25">
      <c r="F502" s="4"/>
      <c r="G502" s="4"/>
      <c r="H502" s="4"/>
    </row>
    <row r="503" spans="6:8" x14ac:dyDescent="0.25">
      <c r="F503" s="4"/>
      <c r="G503" s="4"/>
      <c r="H503" s="4"/>
    </row>
    <row r="504" spans="6:8" x14ac:dyDescent="0.25">
      <c r="F504" s="4"/>
      <c r="G504" s="4"/>
      <c r="H504" s="4"/>
    </row>
    <row r="505" spans="6:8" x14ac:dyDescent="0.25">
      <c r="F505" s="4"/>
      <c r="G505" s="4"/>
      <c r="H505" s="4"/>
    </row>
    <row r="506" spans="6:8" x14ac:dyDescent="0.25">
      <c r="F506" s="4"/>
      <c r="G506" s="4"/>
      <c r="H506" s="4"/>
    </row>
    <row r="507" spans="6:8" x14ac:dyDescent="0.25">
      <c r="F507" s="4"/>
      <c r="G507" s="4"/>
      <c r="H507" s="4"/>
    </row>
    <row r="508" spans="6:8" x14ac:dyDescent="0.25">
      <c r="F508" s="4"/>
      <c r="G508" s="4"/>
      <c r="H508" s="4"/>
    </row>
    <row r="509" spans="6:8" x14ac:dyDescent="0.25">
      <c r="F509" s="4"/>
      <c r="G509" s="4"/>
      <c r="H509" s="4"/>
    </row>
    <row r="510" spans="6:8" x14ac:dyDescent="0.25">
      <c r="F510" s="4"/>
      <c r="G510" s="4"/>
      <c r="H510" s="4"/>
    </row>
    <row r="511" spans="6:8" x14ac:dyDescent="0.25">
      <c r="F511" s="4"/>
      <c r="G511" s="4"/>
      <c r="H511" s="4"/>
    </row>
    <row r="512" spans="6:8" x14ac:dyDescent="0.25">
      <c r="F512" s="4"/>
      <c r="G512" s="4"/>
      <c r="H512" s="4"/>
    </row>
    <row r="513" spans="6:8" x14ac:dyDescent="0.25">
      <c r="F513" s="4"/>
      <c r="G513" s="4"/>
      <c r="H513" s="4"/>
    </row>
    <row r="514" spans="6:8" x14ac:dyDescent="0.25">
      <c r="F514" s="4"/>
      <c r="G514" s="4"/>
      <c r="H514" s="4"/>
    </row>
    <row r="515" spans="6:8" x14ac:dyDescent="0.25">
      <c r="F515" s="4"/>
      <c r="G515" s="4"/>
      <c r="H515" s="4"/>
    </row>
    <row r="516" spans="6:8" x14ac:dyDescent="0.25">
      <c r="F516" s="4"/>
      <c r="G516" s="4"/>
      <c r="H516" s="4"/>
    </row>
    <row r="517" spans="6:8" x14ac:dyDescent="0.25">
      <c r="F517" s="4"/>
      <c r="G517" s="4"/>
      <c r="H517" s="4"/>
    </row>
    <row r="518" spans="6:8" x14ac:dyDescent="0.25">
      <c r="F518" s="4"/>
      <c r="G518" s="4"/>
      <c r="H518" s="4"/>
    </row>
    <row r="519" spans="6:8" x14ac:dyDescent="0.25">
      <c r="F519" s="4"/>
      <c r="G519" s="4"/>
      <c r="H519" s="4"/>
    </row>
    <row r="520" spans="6:8" x14ac:dyDescent="0.25">
      <c r="F520" s="4"/>
      <c r="G520" s="4"/>
      <c r="H520" s="4"/>
    </row>
    <row r="521" spans="6:8" x14ac:dyDescent="0.25">
      <c r="F521" s="4"/>
      <c r="G521" s="4"/>
      <c r="H521" s="4"/>
    </row>
    <row r="522" spans="6:8" x14ac:dyDescent="0.25">
      <c r="F522" s="4"/>
      <c r="G522" s="4"/>
      <c r="H522" s="4"/>
    </row>
    <row r="523" spans="6:8" x14ac:dyDescent="0.25">
      <c r="F523" s="4"/>
      <c r="G523" s="4"/>
      <c r="H523" s="4"/>
    </row>
    <row r="524" spans="6:8" x14ac:dyDescent="0.25">
      <c r="F524" s="4"/>
      <c r="G524" s="4"/>
      <c r="H524" s="4"/>
    </row>
    <row r="525" spans="6:8" x14ac:dyDescent="0.25">
      <c r="F525" s="4"/>
      <c r="G525" s="4"/>
      <c r="H525" s="4"/>
    </row>
    <row r="526" spans="6:8" x14ac:dyDescent="0.25">
      <c r="F526" s="4"/>
      <c r="G526" s="4"/>
      <c r="H526" s="4"/>
    </row>
    <row r="527" spans="6:8" x14ac:dyDescent="0.25">
      <c r="F527" s="4"/>
      <c r="G527" s="4"/>
      <c r="H527" s="4"/>
    </row>
    <row r="528" spans="6:8" x14ac:dyDescent="0.25">
      <c r="F528" s="4"/>
      <c r="G528" s="4"/>
      <c r="H528" s="4"/>
    </row>
    <row r="529" spans="6:8" x14ac:dyDescent="0.25">
      <c r="F529" s="4"/>
      <c r="G529" s="4"/>
      <c r="H529" s="4"/>
    </row>
    <row r="530" spans="6:8" x14ac:dyDescent="0.25">
      <c r="F530" s="4"/>
      <c r="G530" s="4"/>
      <c r="H530" s="4"/>
    </row>
    <row r="531" spans="6:8" x14ac:dyDescent="0.25">
      <c r="F531" s="4"/>
      <c r="G531" s="4"/>
      <c r="H531" s="4"/>
    </row>
    <row r="532" spans="6:8" x14ac:dyDescent="0.25">
      <c r="F532" s="4"/>
      <c r="G532" s="4"/>
      <c r="H532" s="4"/>
    </row>
    <row r="533" spans="6:8" x14ac:dyDescent="0.25">
      <c r="F533" s="4"/>
      <c r="G533" s="4"/>
      <c r="H533" s="4"/>
    </row>
    <row r="534" spans="6:8" x14ac:dyDescent="0.25">
      <c r="F534" s="4"/>
      <c r="G534" s="4"/>
      <c r="H534" s="4"/>
    </row>
    <row r="535" spans="6:8" x14ac:dyDescent="0.25">
      <c r="F535" s="4"/>
      <c r="G535" s="4"/>
      <c r="H535" s="4"/>
    </row>
    <row r="536" spans="6:8" x14ac:dyDescent="0.25">
      <c r="F536" s="4"/>
      <c r="G536" s="4"/>
      <c r="H536" s="4"/>
    </row>
    <row r="537" spans="6:8" x14ac:dyDescent="0.25">
      <c r="F537" s="4"/>
      <c r="G537" s="4"/>
      <c r="H537" s="4"/>
    </row>
    <row r="538" spans="6:8" x14ac:dyDescent="0.25">
      <c r="F538" s="4"/>
      <c r="G538" s="4"/>
      <c r="H538" s="4"/>
    </row>
    <row r="539" spans="6:8" x14ac:dyDescent="0.25">
      <c r="F539" s="4"/>
      <c r="G539" s="4"/>
      <c r="H539" s="4"/>
    </row>
    <row r="540" spans="6:8" x14ac:dyDescent="0.25">
      <c r="F540" s="4"/>
      <c r="G540" s="4"/>
      <c r="H540" s="4"/>
    </row>
    <row r="541" spans="6:8" x14ac:dyDescent="0.25">
      <c r="F541" s="4"/>
      <c r="G541" s="4"/>
      <c r="H541" s="4"/>
    </row>
    <row r="542" spans="6:8" x14ac:dyDescent="0.25">
      <c r="F542" s="4"/>
      <c r="G542" s="4"/>
      <c r="H542" s="4"/>
    </row>
    <row r="543" spans="6:8" x14ac:dyDescent="0.25">
      <c r="F543" s="4"/>
      <c r="G543" s="4"/>
      <c r="H543" s="4"/>
    </row>
    <row r="544" spans="6:8" x14ac:dyDescent="0.25">
      <c r="F544" s="4"/>
      <c r="G544" s="4"/>
      <c r="H544" s="4"/>
    </row>
    <row r="545" spans="6:8" x14ac:dyDescent="0.25">
      <c r="F545" s="4"/>
      <c r="G545" s="4"/>
      <c r="H545" s="4"/>
    </row>
    <row r="546" spans="6:8" x14ac:dyDescent="0.25">
      <c r="F546" s="4"/>
      <c r="G546" s="4"/>
      <c r="H546" s="4"/>
    </row>
    <row r="547" spans="6:8" x14ac:dyDescent="0.25">
      <c r="F547" s="4"/>
      <c r="G547" s="4"/>
      <c r="H547" s="4"/>
    </row>
    <row r="548" spans="6:8" x14ac:dyDescent="0.25">
      <c r="F548" s="4"/>
      <c r="G548" s="4"/>
      <c r="H548" s="4"/>
    </row>
    <row r="549" spans="6:8" x14ac:dyDescent="0.25">
      <c r="F549" s="4"/>
      <c r="G549" s="4"/>
      <c r="H549" s="4"/>
    </row>
    <row r="550" spans="6:8" x14ac:dyDescent="0.25">
      <c r="F550" s="4"/>
      <c r="G550" s="4"/>
      <c r="H550" s="4"/>
    </row>
    <row r="551" spans="6:8" x14ac:dyDescent="0.25">
      <c r="F551" s="4"/>
      <c r="G551" s="4"/>
      <c r="H551" s="4"/>
    </row>
    <row r="552" spans="6:8" x14ac:dyDescent="0.25">
      <c r="F552" s="4"/>
      <c r="G552" s="4"/>
      <c r="H552" s="4"/>
    </row>
    <row r="553" spans="6:8" x14ac:dyDescent="0.25">
      <c r="F553" s="4"/>
      <c r="G553" s="4"/>
      <c r="H553" s="4"/>
    </row>
    <row r="554" spans="6:8" x14ac:dyDescent="0.25">
      <c r="F554" s="4"/>
      <c r="G554" s="4"/>
      <c r="H554" s="4"/>
    </row>
    <row r="555" spans="6:8" x14ac:dyDescent="0.25">
      <c r="F555" s="4"/>
      <c r="G555" s="4"/>
      <c r="H555" s="4"/>
    </row>
    <row r="556" spans="6:8" x14ac:dyDescent="0.25">
      <c r="F556" s="4"/>
      <c r="G556" s="4"/>
      <c r="H556" s="4"/>
    </row>
    <row r="557" spans="6:8" x14ac:dyDescent="0.25">
      <c r="F557" s="4"/>
      <c r="G557" s="4"/>
      <c r="H557" s="4"/>
    </row>
    <row r="558" spans="6:8" x14ac:dyDescent="0.25">
      <c r="F558" s="4"/>
      <c r="G558" s="4"/>
      <c r="H558" s="4"/>
    </row>
    <row r="559" spans="6:8" x14ac:dyDescent="0.25">
      <c r="F559" s="4"/>
      <c r="G559" s="4"/>
      <c r="H559" s="4"/>
    </row>
    <row r="560" spans="6:8" x14ac:dyDescent="0.25">
      <c r="F560" s="4"/>
      <c r="G560" s="4"/>
      <c r="H560" s="4"/>
    </row>
    <row r="561" spans="6:8" x14ac:dyDescent="0.25">
      <c r="F561" s="4"/>
      <c r="G561" s="4"/>
      <c r="H561" s="4"/>
    </row>
    <row r="562" spans="6:8" x14ac:dyDescent="0.25">
      <c r="F562" s="4"/>
      <c r="G562" s="4"/>
      <c r="H562" s="4"/>
    </row>
    <row r="563" spans="6:8" x14ac:dyDescent="0.25">
      <c r="F563" s="4"/>
      <c r="G563" s="4"/>
      <c r="H563" s="4"/>
    </row>
    <row r="564" spans="6:8" x14ac:dyDescent="0.25">
      <c r="F564" s="4"/>
      <c r="G564" s="4"/>
      <c r="H564" s="4"/>
    </row>
    <row r="565" spans="6:8" x14ac:dyDescent="0.25">
      <c r="F565" s="4"/>
      <c r="G565" s="4"/>
      <c r="H565" s="4"/>
    </row>
    <row r="566" spans="6:8" x14ac:dyDescent="0.25">
      <c r="F566" s="4"/>
      <c r="G566" s="4"/>
      <c r="H566" s="4"/>
    </row>
    <row r="567" spans="6:8" x14ac:dyDescent="0.25">
      <c r="F567" s="4"/>
      <c r="G567" s="4"/>
      <c r="H567" s="4"/>
    </row>
    <row r="568" spans="6:8" x14ac:dyDescent="0.25">
      <c r="F568" s="4"/>
      <c r="G568" s="4"/>
      <c r="H568" s="4"/>
    </row>
    <row r="569" spans="6:8" x14ac:dyDescent="0.25">
      <c r="F569" s="4"/>
      <c r="G569" s="4"/>
      <c r="H569" s="4"/>
    </row>
    <row r="570" spans="6:8" x14ac:dyDescent="0.25">
      <c r="F570" s="4"/>
      <c r="G570" s="4"/>
      <c r="H570" s="4"/>
    </row>
    <row r="571" spans="6:8" x14ac:dyDescent="0.25">
      <c r="F571" s="4"/>
      <c r="G571" s="4"/>
      <c r="H571" s="4"/>
    </row>
    <row r="572" spans="6:8" x14ac:dyDescent="0.25">
      <c r="F572" s="4"/>
      <c r="G572" s="4"/>
      <c r="H572" s="4"/>
    </row>
    <row r="573" spans="6:8" x14ac:dyDescent="0.25">
      <c r="F573" s="4"/>
      <c r="G573" s="4"/>
      <c r="H573" s="4"/>
    </row>
    <row r="574" spans="6:8" x14ac:dyDescent="0.25">
      <c r="F574" s="4"/>
      <c r="G574" s="4"/>
      <c r="H574" s="4"/>
    </row>
    <row r="575" spans="6:8" x14ac:dyDescent="0.25">
      <c r="F575" s="4"/>
      <c r="G575" s="4"/>
      <c r="H575" s="4"/>
    </row>
    <row r="576" spans="6:8" x14ac:dyDescent="0.25">
      <c r="F576" s="4"/>
      <c r="G576" s="4"/>
      <c r="H576" s="4"/>
    </row>
    <row r="577" spans="6:8" x14ac:dyDescent="0.25">
      <c r="F577" s="4"/>
      <c r="G577" s="4"/>
      <c r="H577" s="4"/>
    </row>
    <row r="578" spans="6:8" x14ac:dyDescent="0.25">
      <c r="F578" s="4"/>
      <c r="G578" s="4"/>
      <c r="H578" s="4"/>
    </row>
    <row r="579" spans="6:8" x14ac:dyDescent="0.25">
      <c r="F579" s="4"/>
      <c r="G579" s="4"/>
      <c r="H579" s="4"/>
    </row>
    <row r="580" spans="6:8" x14ac:dyDescent="0.25">
      <c r="F580" s="4"/>
      <c r="G580" s="4"/>
      <c r="H580" s="4"/>
    </row>
    <row r="581" spans="6:8" x14ac:dyDescent="0.25">
      <c r="F581" s="4"/>
      <c r="G581" s="4"/>
      <c r="H581" s="4"/>
    </row>
    <row r="582" spans="6:8" x14ac:dyDescent="0.25">
      <c r="F582" s="4"/>
      <c r="G582" s="4"/>
      <c r="H582" s="4"/>
    </row>
    <row r="583" spans="6:8" x14ac:dyDescent="0.25">
      <c r="F583" s="4"/>
      <c r="G583" s="4"/>
      <c r="H583" s="4"/>
    </row>
    <row r="584" spans="6:8" x14ac:dyDescent="0.25">
      <c r="F584" s="4"/>
      <c r="G584" s="4"/>
      <c r="H584" s="4"/>
    </row>
    <row r="585" spans="6:8" x14ac:dyDescent="0.25">
      <c r="F585" s="4"/>
      <c r="G585" s="4"/>
      <c r="H585" s="4"/>
    </row>
    <row r="586" spans="6:8" x14ac:dyDescent="0.25">
      <c r="F586" s="4"/>
      <c r="G586" s="4"/>
      <c r="H586" s="4"/>
    </row>
    <row r="587" spans="6:8" x14ac:dyDescent="0.25">
      <c r="F587" s="4"/>
      <c r="G587" s="4"/>
      <c r="H587" s="4"/>
    </row>
    <row r="588" spans="6:8" x14ac:dyDescent="0.25">
      <c r="F588" s="4"/>
      <c r="G588" s="4"/>
      <c r="H588" s="4"/>
    </row>
    <row r="589" spans="6:8" x14ac:dyDescent="0.25">
      <c r="F589" s="4"/>
      <c r="G589" s="4"/>
      <c r="H589" s="4"/>
    </row>
    <row r="590" spans="6:8" x14ac:dyDescent="0.25">
      <c r="F590" s="4"/>
      <c r="G590" s="4"/>
      <c r="H590" s="4"/>
    </row>
    <row r="591" spans="6:8" x14ac:dyDescent="0.25">
      <c r="F591" s="4"/>
      <c r="G591" s="4"/>
      <c r="H591" s="4"/>
    </row>
    <row r="592" spans="6:8" x14ac:dyDescent="0.25">
      <c r="F592" s="4"/>
      <c r="G592" s="4"/>
      <c r="H592" s="4"/>
    </row>
    <row r="593" spans="6:8" x14ac:dyDescent="0.25">
      <c r="F593" s="4"/>
      <c r="G593" s="4"/>
      <c r="H593" s="4"/>
    </row>
    <row r="594" spans="6:8" x14ac:dyDescent="0.25">
      <c r="F594" s="4"/>
      <c r="G594" s="4"/>
      <c r="H594" s="4"/>
    </row>
    <row r="595" spans="6:8" x14ac:dyDescent="0.25">
      <c r="F595" s="4"/>
      <c r="G595" s="4"/>
      <c r="H595" s="4"/>
    </row>
    <row r="596" spans="6:8" x14ac:dyDescent="0.25">
      <c r="F596" s="4"/>
      <c r="G596" s="4"/>
      <c r="H596" s="4"/>
    </row>
    <row r="597" spans="6:8" x14ac:dyDescent="0.25">
      <c r="F597" s="4"/>
      <c r="G597" s="4"/>
      <c r="H597" s="4"/>
    </row>
    <row r="598" spans="6:8" x14ac:dyDescent="0.25">
      <c r="F598" s="4"/>
      <c r="G598" s="4"/>
      <c r="H598" s="4"/>
    </row>
    <row r="599" spans="6:8" x14ac:dyDescent="0.25">
      <c r="F599" s="4"/>
      <c r="G599" s="4"/>
      <c r="H599" s="4"/>
    </row>
    <row r="600" spans="6:8" x14ac:dyDescent="0.25">
      <c r="F600" s="4"/>
      <c r="G600" s="4"/>
      <c r="H600" s="4"/>
    </row>
    <row r="601" spans="6:8" x14ac:dyDescent="0.25">
      <c r="F601" s="4"/>
      <c r="G601" s="4"/>
      <c r="H601" s="4"/>
    </row>
    <row r="602" spans="6:8" x14ac:dyDescent="0.25">
      <c r="F602" s="4"/>
      <c r="G602" s="4"/>
      <c r="H602" s="4"/>
    </row>
    <row r="603" spans="6:8" x14ac:dyDescent="0.25">
      <c r="F603" s="4"/>
      <c r="G603" s="4"/>
      <c r="H603" s="4"/>
    </row>
    <row r="604" spans="6:8" x14ac:dyDescent="0.25">
      <c r="F604" s="4"/>
      <c r="G604" s="4"/>
      <c r="H604" s="4"/>
    </row>
    <row r="605" spans="6:8" x14ac:dyDescent="0.25">
      <c r="F605" s="4"/>
      <c r="G605" s="4"/>
      <c r="H605" s="4"/>
    </row>
    <row r="606" spans="6:8" x14ac:dyDescent="0.25">
      <c r="F606" s="4"/>
      <c r="G606" s="4"/>
      <c r="H606" s="4"/>
    </row>
    <row r="607" spans="6:8" x14ac:dyDescent="0.25">
      <c r="F607" s="4"/>
      <c r="G607" s="4"/>
      <c r="H607" s="4"/>
    </row>
    <row r="608" spans="6:8" x14ac:dyDescent="0.25">
      <c r="F608" s="4"/>
      <c r="G608" s="4"/>
      <c r="H608" s="4"/>
    </row>
    <row r="609" spans="6:8" x14ac:dyDescent="0.25">
      <c r="F609" s="4"/>
      <c r="G609" s="4"/>
      <c r="H609" s="4"/>
    </row>
    <row r="610" spans="6:8" x14ac:dyDescent="0.25">
      <c r="F610" s="4"/>
      <c r="G610" s="4"/>
      <c r="H610" s="4"/>
    </row>
    <row r="611" spans="6:8" x14ac:dyDescent="0.25">
      <c r="F611" s="4"/>
      <c r="G611" s="4"/>
      <c r="H611" s="4"/>
    </row>
    <row r="612" spans="6:8" x14ac:dyDescent="0.25">
      <c r="F612" s="4"/>
      <c r="G612" s="4"/>
      <c r="H612" s="4"/>
    </row>
    <row r="613" spans="6:8" x14ac:dyDescent="0.25">
      <c r="F613" s="4"/>
      <c r="G613" s="4"/>
      <c r="H613" s="4"/>
    </row>
    <row r="614" spans="6:8" x14ac:dyDescent="0.25">
      <c r="F614" s="4"/>
      <c r="G614" s="4"/>
      <c r="H614" s="4"/>
    </row>
    <row r="615" spans="6:8" x14ac:dyDescent="0.25">
      <c r="F615" s="4"/>
      <c r="G615" s="4"/>
      <c r="H615" s="4"/>
    </row>
    <row r="616" spans="6:8" x14ac:dyDescent="0.25">
      <c r="F616" s="4"/>
      <c r="G616" s="4"/>
      <c r="H616" s="4"/>
    </row>
    <row r="617" spans="6:8" x14ac:dyDescent="0.25">
      <c r="F617" s="4"/>
      <c r="G617" s="4"/>
      <c r="H617" s="4"/>
    </row>
    <row r="618" spans="6:8" x14ac:dyDescent="0.25">
      <c r="F618" s="4"/>
      <c r="G618" s="4"/>
      <c r="H618" s="4"/>
    </row>
    <row r="619" spans="6:8" x14ac:dyDescent="0.25">
      <c r="F619" s="4"/>
      <c r="G619" s="4"/>
      <c r="H619" s="4"/>
    </row>
    <row r="620" spans="6:8" x14ac:dyDescent="0.25">
      <c r="F620" s="4"/>
      <c r="G620" s="4"/>
      <c r="H620" s="4"/>
    </row>
    <row r="621" spans="6:8" x14ac:dyDescent="0.25">
      <c r="F621" s="4"/>
      <c r="G621" s="4"/>
      <c r="H621" s="4"/>
    </row>
    <row r="622" spans="6:8" x14ac:dyDescent="0.25">
      <c r="F622" s="4"/>
      <c r="G622" s="4"/>
      <c r="H622" s="4"/>
    </row>
    <row r="623" spans="6:8" x14ac:dyDescent="0.25">
      <c r="F623" s="4"/>
      <c r="G623" s="4"/>
      <c r="H623" s="4"/>
    </row>
    <row r="624" spans="6:8" x14ac:dyDescent="0.25">
      <c r="F624" s="4"/>
      <c r="G624" s="4"/>
      <c r="H624" s="4"/>
    </row>
    <row r="625" spans="6:8" x14ac:dyDescent="0.25">
      <c r="F625" s="4"/>
      <c r="G625" s="4"/>
      <c r="H625" s="4"/>
    </row>
    <row r="626" spans="6:8" x14ac:dyDescent="0.25">
      <c r="F626" s="4"/>
      <c r="G626" s="4"/>
      <c r="H626" s="4"/>
    </row>
    <row r="627" spans="6:8" x14ac:dyDescent="0.25">
      <c r="F627" s="4"/>
      <c r="G627" s="4"/>
      <c r="H627" s="4"/>
    </row>
    <row r="628" spans="6:8" x14ac:dyDescent="0.25">
      <c r="F628" s="4"/>
      <c r="G628" s="4"/>
      <c r="H628" s="4"/>
    </row>
    <row r="629" spans="6:8" x14ac:dyDescent="0.25">
      <c r="F629" s="4"/>
      <c r="G629" s="4"/>
      <c r="H629" s="4"/>
    </row>
    <row r="630" spans="6:8" x14ac:dyDescent="0.25">
      <c r="F630" s="4"/>
      <c r="G630" s="4"/>
      <c r="H630" s="4"/>
    </row>
    <row r="631" spans="6:8" x14ac:dyDescent="0.25">
      <c r="F631" s="4"/>
      <c r="G631" s="4"/>
      <c r="H631" s="4"/>
    </row>
    <row r="632" spans="6:8" x14ac:dyDescent="0.25">
      <c r="F632" s="4"/>
      <c r="G632" s="4"/>
      <c r="H632" s="4"/>
    </row>
    <row r="633" spans="6:8" x14ac:dyDescent="0.25">
      <c r="F633" s="4"/>
      <c r="G633" s="4"/>
      <c r="H633" s="4"/>
    </row>
    <row r="634" spans="6:8" x14ac:dyDescent="0.25">
      <c r="F634" s="4"/>
      <c r="G634" s="4"/>
      <c r="H634" s="4"/>
    </row>
    <row r="635" spans="6:8" x14ac:dyDescent="0.25">
      <c r="F635" s="4"/>
      <c r="G635" s="4"/>
      <c r="H635" s="4"/>
    </row>
    <row r="636" spans="6:8" x14ac:dyDescent="0.25">
      <c r="F636" s="4"/>
      <c r="G636" s="4"/>
      <c r="H636" s="4"/>
    </row>
    <row r="637" spans="6:8" x14ac:dyDescent="0.25">
      <c r="F637" s="4"/>
      <c r="G637" s="4"/>
      <c r="H637" s="4"/>
    </row>
    <row r="638" spans="6:8" x14ac:dyDescent="0.25">
      <c r="F638" s="4"/>
      <c r="G638" s="4"/>
      <c r="H638" s="4"/>
    </row>
    <row r="639" spans="6:8" x14ac:dyDescent="0.25">
      <c r="F639" s="4"/>
      <c r="G639" s="4"/>
      <c r="H639" s="4"/>
    </row>
    <row r="640" spans="6:8" x14ac:dyDescent="0.25">
      <c r="F640" s="4"/>
      <c r="G640" s="4"/>
      <c r="H640" s="4"/>
    </row>
    <row r="641" spans="6:8" x14ac:dyDescent="0.25">
      <c r="F641" s="4"/>
      <c r="G641" s="4"/>
      <c r="H641" s="4"/>
    </row>
    <row r="642" spans="6:8" x14ac:dyDescent="0.25">
      <c r="F642" s="4"/>
      <c r="G642" s="4"/>
      <c r="H642" s="4"/>
    </row>
    <row r="643" spans="6:8" x14ac:dyDescent="0.25">
      <c r="F643" s="4"/>
      <c r="G643" s="4"/>
      <c r="H643" s="4"/>
    </row>
    <row r="644" spans="6:8" x14ac:dyDescent="0.25">
      <c r="F644" s="4"/>
      <c r="G644" s="4"/>
      <c r="H644" s="4"/>
    </row>
    <row r="645" spans="6:8" x14ac:dyDescent="0.25">
      <c r="F645" s="4"/>
      <c r="G645" s="4"/>
      <c r="H645" s="4"/>
    </row>
    <row r="646" spans="6:8" x14ac:dyDescent="0.25">
      <c r="F646" s="4"/>
      <c r="G646" s="4"/>
      <c r="H646" s="4"/>
    </row>
    <row r="647" spans="6:8" x14ac:dyDescent="0.25">
      <c r="F647" s="4"/>
      <c r="G647" s="4"/>
      <c r="H647" s="4"/>
    </row>
    <row r="648" spans="6:8" x14ac:dyDescent="0.25">
      <c r="F648" s="4"/>
      <c r="G648" s="4"/>
      <c r="H648" s="4"/>
    </row>
    <row r="649" spans="6:8" x14ac:dyDescent="0.25">
      <c r="F649" s="4"/>
      <c r="G649" s="4"/>
      <c r="H649" s="4"/>
    </row>
    <row r="650" spans="6:8" x14ac:dyDescent="0.25">
      <c r="F650" s="4"/>
      <c r="G650" s="4"/>
      <c r="H650" s="4"/>
    </row>
    <row r="651" spans="6:8" x14ac:dyDescent="0.25">
      <c r="F651" s="4"/>
      <c r="G651" s="4"/>
      <c r="H651" s="4"/>
    </row>
    <row r="652" spans="6:8" x14ac:dyDescent="0.25">
      <c r="F652" s="4"/>
      <c r="G652" s="4"/>
      <c r="H652" s="4"/>
    </row>
    <row r="653" spans="6:8" x14ac:dyDescent="0.25">
      <c r="F653" s="4"/>
      <c r="G653" s="4"/>
      <c r="H653" s="4"/>
    </row>
    <row r="654" spans="6:8" x14ac:dyDescent="0.25">
      <c r="F654" s="4"/>
      <c r="G654" s="4"/>
      <c r="H654" s="4"/>
    </row>
    <row r="655" spans="6:8" x14ac:dyDescent="0.25">
      <c r="F655" s="4"/>
      <c r="G655" s="4"/>
      <c r="H655" s="4"/>
    </row>
    <row r="656" spans="6:8" x14ac:dyDescent="0.25">
      <c r="F656" s="4"/>
      <c r="G656" s="4"/>
      <c r="H656" s="4"/>
    </row>
    <row r="657" spans="6:8" x14ac:dyDescent="0.25">
      <c r="F657" s="4"/>
      <c r="G657" s="4"/>
      <c r="H657" s="4"/>
    </row>
    <row r="658" spans="6:8" x14ac:dyDescent="0.25">
      <c r="F658" s="4"/>
      <c r="G658" s="4"/>
      <c r="H658" s="4"/>
    </row>
    <row r="659" spans="6:8" x14ac:dyDescent="0.25">
      <c r="F659" s="4"/>
      <c r="G659" s="4"/>
      <c r="H659" s="4"/>
    </row>
    <row r="660" spans="6:8" x14ac:dyDescent="0.25">
      <c r="F660" s="4"/>
      <c r="G660" s="4"/>
      <c r="H660" s="4"/>
    </row>
    <row r="661" spans="6:8" x14ac:dyDescent="0.25">
      <c r="F661" s="4"/>
      <c r="G661" s="4"/>
      <c r="H661" s="4"/>
    </row>
    <row r="662" spans="6:8" x14ac:dyDescent="0.25">
      <c r="F662" s="4"/>
      <c r="G662" s="4"/>
      <c r="H662" s="4"/>
    </row>
    <row r="663" spans="6:8" x14ac:dyDescent="0.25">
      <c r="F663" s="4"/>
      <c r="G663" s="4"/>
      <c r="H663" s="4"/>
    </row>
    <row r="664" spans="6:8" x14ac:dyDescent="0.25">
      <c r="F664" s="4"/>
      <c r="G664" s="4"/>
      <c r="H664" s="4"/>
    </row>
    <row r="665" spans="6:8" x14ac:dyDescent="0.25">
      <c r="F665" s="4"/>
      <c r="G665" s="4"/>
      <c r="H665" s="4"/>
    </row>
    <row r="666" spans="6:8" x14ac:dyDescent="0.25">
      <c r="F666" s="4"/>
      <c r="G666" s="4"/>
      <c r="H666" s="4"/>
    </row>
    <row r="667" spans="6:8" x14ac:dyDescent="0.25">
      <c r="F667" s="4"/>
      <c r="G667" s="4"/>
      <c r="H667" s="4"/>
    </row>
    <row r="668" spans="6:8" x14ac:dyDescent="0.25">
      <c r="F668" s="4"/>
      <c r="G668" s="4"/>
      <c r="H668" s="4"/>
    </row>
    <row r="669" spans="6:8" x14ac:dyDescent="0.25">
      <c r="F669" s="4"/>
      <c r="G669" s="4"/>
      <c r="H669" s="4"/>
    </row>
    <row r="670" spans="6:8" x14ac:dyDescent="0.25">
      <c r="F670" s="4"/>
      <c r="G670" s="4"/>
      <c r="H670" s="4"/>
    </row>
    <row r="671" spans="6:8" x14ac:dyDescent="0.25">
      <c r="F671" s="4"/>
      <c r="G671" s="4"/>
      <c r="H671" s="4"/>
    </row>
    <row r="672" spans="6:8" x14ac:dyDescent="0.25">
      <c r="F672" s="4"/>
      <c r="G672" s="4"/>
      <c r="H672" s="4"/>
    </row>
    <row r="673" spans="6:8" x14ac:dyDescent="0.25">
      <c r="F673" s="4"/>
      <c r="G673" s="4"/>
      <c r="H673" s="4"/>
    </row>
    <row r="674" spans="6:8" x14ac:dyDescent="0.25">
      <c r="F674" s="4"/>
      <c r="G674" s="4"/>
      <c r="H674" s="4"/>
    </row>
    <row r="675" spans="6:8" x14ac:dyDescent="0.25">
      <c r="F675" s="4"/>
      <c r="G675" s="4"/>
      <c r="H675" s="4"/>
    </row>
    <row r="676" spans="6:8" x14ac:dyDescent="0.25">
      <c r="F676" s="4"/>
      <c r="G676" s="4"/>
      <c r="H676" s="4"/>
    </row>
    <row r="677" spans="6:8" x14ac:dyDescent="0.25">
      <c r="F677" s="4"/>
      <c r="G677" s="4"/>
      <c r="H677" s="4"/>
    </row>
    <row r="678" spans="6:8" x14ac:dyDescent="0.25">
      <c r="F678" s="4"/>
      <c r="G678" s="4"/>
      <c r="H678" s="4"/>
    </row>
    <row r="679" spans="6:8" x14ac:dyDescent="0.25">
      <c r="F679" s="4"/>
      <c r="G679" s="4"/>
      <c r="H679" s="4"/>
    </row>
    <row r="680" spans="6:8" x14ac:dyDescent="0.25">
      <c r="F680" s="4"/>
      <c r="G680" s="4"/>
      <c r="H680" s="4"/>
    </row>
    <row r="681" spans="6:8" x14ac:dyDescent="0.25">
      <c r="F681" s="4"/>
      <c r="G681" s="4"/>
      <c r="H681" s="4"/>
    </row>
    <row r="682" spans="6:8" x14ac:dyDescent="0.25">
      <c r="F682" s="4"/>
      <c r="G682" s="4"/>
      <c r="H682" s="4"/>
    </row>
    <row r="683" spans="6:8" x14ac:dyDescent="0.25">
      <c r="F683" s="4"/>
      <c r="G683" s="4"/>
      <c r="H683" s="4"/>
    </row>
    <row r="684" spans="6:8" x14ac:dyDescent="0.25">
      <c r="F684" s="4"/>
      <c r="G684" s="4"/>
      <c r="H684" s="4"/>
    </row>
    <row r="685" spans="6:8" x14ac:dyDescent="0.25">
      <c r="F685" s="4"/>
      <c r="G685" s="4"/>
      <c r="H685" s="4"/>
    </row>
    <row r="686" spans="6:8" x14ac:dyDescent="0.25">
      <c r="F686" s="4"/>
      <c r="G686" s="4"/>
      <c r="H686" s="4"/>
    </row>
    <row r="687" spans="6:8" x14ac:dyDescent="0.25">
      <c r="F687" s="4"/>
      <c r="G687" s="4"/>
      <c r="H687" s="4"/>
    </row>
    <row r="688" spans="6:8" x14ac:dyDescent="0.25">
      <c r="F688" s="4"/>
      <c r="G688" s="4"/>
      <c r="H688" s="4"/>
    </row>
    <row r="689" spans="6:8" x14ac:dyDescent="0.25">
      <c r="F689" s="4"/>
      <c r="G689" s="4"/>
      <c r="H689" s="4"/>
    </row>
    <row r="690" spans="6:8" x14ac:dyDescent="0.25">
      <c r="F690" s="4"/>
      <c r="G690" s="4"/>
      <c r="H690" s="4"/>
    </row>
    <row r="691" spans="6:8" x14ac:dyDescent="0.25">
      <c r="F691" s="4"/>
      <c r="G691" s="4"/>
      <c r="H691" s="4"/>
    </row>
    <row r="692" spans="6:8" x14ac:dyDescent="0.25">
      <c r="F692" s="4"/>
      <c r="G692" s="4"/>
      <c r="H692" s="4"/>
    </row>
    <row r="693" spans="6:8" x14ac:dyDescent="0.25">
      <c r="F693" s="4"/>
      <c r="G693" s="4"/>
      <c r="H693" s="4"/>
    </row>
    <row r="694" spans="6:8" x14ac:dyDescent="0.25">
      <c r="F694" s="4"/>
      <c r="G694" s="4"/>
      <c r="H694" s="4"/>
    </row>
    <row r="695" spans="6:8" x14ac:dyDescent="0.25">
      <c r="F695" s="4"/>
      <c r="G695" s="4"/>
      <c r="H695" s="4"/>
    </row>
    <row r="696" spans="6:8" x14ac:dyDescent="0.25">
      <c r="F696" s="4"/>
      <c r="G696" s="4"/>
      <c r="H696" s="4"/>
    </row>
    <row r="697" spans="6:8" x14ac:dyDescent="0.25">
      <c r="F697" s="4"/>
      <c r="G697" s="4"/>
      <c r="H697" s="4"/>
    </row>
    <row r="698" spans="6:8" x14ac:dyDescent="0.25">
      <c r="F698" s="4"/>
      <c r="G698" s="4"/>
      <c r="H698" s="4"/>
    </row>
    <row r="699" spans="6:8" x14ac:dyDescent="0.25">
      <c r="F699" s="4"/>
      <c r="G699" s="4"/>
      <c r="H699" s="4"/>
    </row>
    <row r="700" spans="6:8" x14ac:dyDescent="0.25">
      <c r="F700" s="4"/>
      <c r="G700" s="4"/>
      <c r="H700" s="4"/>
    </row>
    <row r="701" spans="6:8" x14ac:dyDescent="0.25">
      <c r="F701" s="4"/>
      <c r="G701" s="4"/>
      <c r="H701" s="4"/>
    </row>
    <row r="702" spans="6:8" x14ac:dyDescent="0.25">
      <c r="F702" s="4"/>
      <c r="G702" s="4"/>
      <c r="H702" s="4"/>
    </row>
    <row r="703" spans="6:8" x14ac:dyDescent="0.25">
      <c r="F703" s="4"/>
      <c r="G703" s="4"/>
      <c r="H703" s="4"/>
    </row>
    <row r="704" spans="6:8" x14ac:dyDescent="0.25">
      <c r="F704" s="4"/>
      <c r="G704" s="4"/>
      <c r="H704" s="4"/>
    </row>
    <row r="705" spans="6:8" x14ac:dyDescent="0.25">
      <c r="F705" s="4"/>
      <c r="G705" s="4"/>
      <c r="H705" s="4"/>
    </row>
    <row r="706" spans="6:8" x14ac:dyDescent="0.25">
      <c r="F706" s="4"/>
      <c r="G706" s="4"/>
      <c r="H706" s="4"/>
    </row>
    <row r="707" spans="6:8" x14ac:dyDescent="0.25">
      <c r="F707" s="4"/>
      <c r="G707" s="4"/>
      <c r="H707" s="4"/>
    </row>
    <row r="708" spans="6:8" x14ac:dyDescent="0.25">
      <c r="F708" s="4"/>
      <c r="G708" s="4"/>
      <c r="H708" s="4"/>
    </row>
    <row r="709" spans="6:8" x14ac:dyDescent="0.25">
      <c r="F709" s="4"/>
      <c r="G709" s="4"/>
      <c r="H709" s="4"/>
    </row>
    <row r="710" spans="6:8" x14ac:dyDescent="0.25">
      <c r="F710" s="4"/>
      <c r="G710" s="4"/>
      <c r="H710" s="4"/>
    </row>
    <row r="711" spans="6:8" x14ac:dyDescent="0.25">
      <c r="F711" s="4"/>
      <c r="G711" s="4"/>
      <c r="H711" s="4"/>
    </row>
    <row r="712" spans="6:8" x14ac:dyDescent="0.25">
      <c r="F712" s="4"/>
      <c r="G712" s="4"/>
      <c r="H712" s="4"/>
    </row>
    <row r="713" spans="6:8" x14ac:dyDescent="0.25">
      <c r="F713" s="4"/>
      <c r="G713" s="4"/>
      <c r="H713" s="4"/>
    </row>
    <row r="714" spans="6:8" x14ac:dyDescent="0.25">
      <c r="F714" s="4"/>
      <c r="G714" s="4"/>
      <c r="H714" s="4"/>
    </row>
    <row r="715" spans="6:8" x14ac:dyDescent="0.25">
      <c r="F715" s="4"/>
      <c r="G715" s="4"/>
      <c r="H715" s="4"/>
    </row>
    <row r="716" spans="6:8" x14ac:dyDescent="0.25">
      <c r="F716" s="4"/>
      <c r="G716" s="4"/>
      <c r="H716" s="4"/>
    </row>
    <row r="717" spans="6:8" x14ac:dyDescent="0.25">
      <c r="F717" s="4"/>
      <c r="G717" s="4"/>
      <c r="H717" s="4"/>
    </row>
    <row r="718" spans="6:8" x14ac:dyDescent="0.25">
      <c r="F718" s="4"/>
      <c r="G718" s="4"/>
      <c r="H718" s="4"/>
    </row>
    <row r="719" spans="6:8" x14ac:dyDescent="0.25">
      <c r="F719" s="4"/>
      <c r="G719" s="4"/>
      <c r="H719" s="4"/>
    </row>
    <row r="720" spans="6:8" x14ac:dyDescent="0.25">
      <c r="F720" s="4"/>
      <c r="G720" s="4"/>
      <c r="H720" s="4"/>
    </row>
    <row r="721" spans="6:8" x14ac:dyDescent="0.25">
      <c r="F721" s="4"/>
      <c r="G721" s="4"/>
      <c r="H721" s="4"/>
    </row>
    <row r="722" spans="6:8" x14ac:dyDescent="0.25">
      <c r="F722" s="4"/>
      <c r="G722" s="4"/>
      <c r="H722" s="4"/>
    </row>
    <row r="723" spans="6:8" x14ac:dyDescent="0.25">
      <c r="F723" s="4"/>
      <c r="G723" s="4"/>
      <c r="H723" s="4"/>
    </row>
    <row r="724" spans="6:8" x14ac:dyDescent="0.25">
      <c r="F724" s="4"/>
      <c r="G724" s="4"/>
      <c r="H724" s="4"/>
    </row>
    <row r="725" spans="6:8" x14ac:dyDescent="0.25">
      <c r="F725" s="4"/>
      <c r="G725" s="4"/>
      <c r="H725" s="4"/>
    </row>
    <row r="726" spans="6:8" x14ac:dyDescent="0.25">
      <c r="F726" s="4"/>
      <c r="G726" s="4"/>
      <c r="H726" s="4"/>
    </row>
    <row r="727" spans="6:8" x14ac:dyDescent="0.25">
      <c r="F727" s="4"/>
      <c r="G727" s="4"/>
      <c r="H727" s="4"/>
    </row>
    <row r="728" spans="6:8" x14ac:dyDescent="0.25">
      <c r="F728" s="4"/>
      <c r="G728" s="4"/>
      <c r="H728" s="4"/>
    </row>
    <row r="729" spans="6:8" x14ac:dyDescent="0.25">
      <c r="F729" s="4"/>
      <c r="G729" s="4"/>
      <c r="H729" s="4"/>
    </row>
    <row r="730" spans="6:8" x14ac:dyDescent="0.25">
      <c r="F730" s="4"/>
      <c r="G730" s="4"/>
      <c r="H730" s="4"/>
    </row>
    <row r="731" spans="6:8" x14ac:dyDescent="0.25">
      <c r="F731" s="4"/>
      <c r="G731" s="4"/>
      <c r="H731" s="4"/>
    </row>
    <row r="732" spans="6:8" x14ac:dyDescent="0.25">
      <c r="F732" s="4"/>
      <c r="G732" s="4"/>
      <c r="H732" s="4"/>
    </row>
    <row r="733" spans="6:8" x14ac:dyDescent="0.25">
      <c r="F733" s="4"/>
      <c r="G733" s="4"/>
      <c r="H733" s="4"/>
    </row>
    <row r="734" spans="6:8" x14ac:dyDescent="0.25">
      <c r="F734" s="4"/>
      <c r="G734" s="4"/>
      <c r="H734" s="4"/>
    </row>
    <row r="735" spans="6:8" x14ac:dyDescent="0.25">
      <c r="F735" s="4"/>
      <c r="G735" s="4"/>
      <c r="H735" s="4"/>
    </row>
    <row r="736" spans="6:8" x14ac:dyDescent="0.25">
      <c r="F736" s="4"/>
      <c r="G736" s="4"/>
      <c r="H736" s="4"/>
    </row>
    <row r="737" spans="6:8" x14ac:dyDescent="0.25">
      <c r="F737" s="4"/>
      <c r="G737" s="4"/>
      <c r="H737" s="4"/>
    </row>
    <row r="738" spans="6:8" x14ac:dyDescent="0.25">
      <c r="F738" s="4"/>
      <c r="G738" s="4"/>
      <c r="H738" s="4"/>
    </row>
    <row r="739" spans="6:8" x14ac:dyDescent="0.25">
      <c r="F739" s="4"/>
      <c r="G739" s="4"/>
      <c r="H739" s="4"/>
    </row>
    <row r="740" spans="6:8" x14ac:dyDescent="0.25">
      <c r="F740" s="4"/>
      <c r="G740" s="4"/>
      <c r="H740" s="4"/>
    </row>
    <row r="741" spans="6:8" x14ac:dyDescent="0.25">
      <c r="F741" s="4"/>
      <c r="G741" s="4"/>
      <c r="H741" s="4"/>
    </row>
    <row r="742" spans="6:8" x14ac:dyDescent="0.25">
      <c r="F742" s="4"/>
      <c r="G742" s="4"/>
      <c r="H742" s="4"/>
    </row>
    <row r="743" spans="6:8" x14ac:dyDescent="0.25">
      <c r="F743" s="4"/>
      <c r="G743" s="4"/>
      <c r="H743" s="4"/>
    </row>
    <row r="744" spans="6:8" x14ac:dyDescent="0.25">
      <c r="F744" s="4"/>
      <c r="G744" s="4"/>
      <c r="H744" s="4"/>
    </row>
    <row r="745" spans="6:8" x14ac:dyDescent="0.25">
      <c r="F745" s="4"/>
      <c r="G745" s="4"/>
      <c r="H745" s="4"/>
    </row>
    <row r="746" spans="6:8" x14ac:dyDescent="0.25">
      <c r="F746" s="4"/>
      <c r="G746" s="4"/>
      <c r="H746" s="4"/>
    </row>
    <row r="747" spans="6:8" x14ac:dyDescent="0.25">
      <c r="F747" s="4"/>
      <c r="G747" s="4"/>
      <c r="H747" s="4"/>
    </row>
    <row r="748" spans="6:8" x14ac:dyDescent="0.25">
      <c r="F748" s="4"/>
      <c r="G748" s="4"/>
      <c r="H748" s="4"/>
    </row>
    <row r="749" spans="6:8" x14ac:dyDescent="0.25">
      <c r="F749" s="4"/>
      <c r="G749" s="4"/>
      <c r="H749" s="4"/>
    </row>
    <row r="750" spans="6:8" x14ac:dyDescent="0.25">
      <c r="F750" s="4"/>
      <c r="G750" s="4"/>
      <c r="H750" s="4"/>
    </row>
    <row r="751" spans="6:8" x14ac:dyDescent="0.25">
      <c r="F751" s="4"/>
      <c r="G751" s="4"/>
      <c r="H751" s="4"/>
    </row>
    <row r="752" spans="6:8" x14ac:dyDescent="0.25">
      <c r="F752" s="4"/>
      <c r="G752" s="4"/>
      <c r="H752" s="4"/>
    </row>
    <row r="753" spans="6:8" x14ac:dyDescent="0.25">
      <c r="F753" s="4"/>
      <c r="G753" s="4"/>
      <c r="H753" s="4"/>
    </row>
    <row r="754" spans="6:8" x14ac:dyDescent="0.25">
      <c r="F754" s="4"/>
      <c r="G754" s="4"/>
      <c r="H754" s="4"/>
    </row>
    <row r="755" spans="6:8" x14ac:dyDescent="0.25">
      <c r="F755" s="4"/>
      <c r="G755" s="4"/>
      <c r="H755" s="4"/>
    </row>
    <row r="756" spans="6:8" x14ac:dyDescent="0.25">
      <c r="F756" s="4"/>
      <c r="G756" s="4"/>
      <c r="H756" s="4"/>
    </row>
    <row r="757" spans="6:8" x14ac:dyDescent="0.25">
      <c r="F757" s="4"/>
      <c r="G757" s="4"/>
      <c r="H757" s="4"/>
    </row>
    <row r="758" spans="6:8" x14ac:dyDescent="0.25">
      <c r="F758" s="4"/>
      <c r="G758" s="4"/>
      <c r="H758" s="4"/>
    </row>
    <row r="759" spans="6:8" x14ac:dyDescent="0.25">
      <c r="F759" s="4"/>
      <c r="G759" s="4"/>
      <c r="H759" s="4"/>
    </row>
    <row r="760" spans="6:8" x14ac:dyDescent="0.25">
      <c r="F760" s="4"/>
      <c r="G760" s="4"/>
      <c r="H760" s="4"/>
    </row>
    <row r="761" spans="6:8" x14ac:dyDescent="0.25">
      <c r="F761" s="4"/>
      <c r="G761" s="4"/>
      <c r="H761" s="4"/>
    </row>
    <row r="762" spans="6:8" x14ac:dyDescent="0.25">
      <c r="F762" s="4"/>
      <c r="G762" s="4"/>
      <c r="H762" s="4"/>
    </row>
    <row r="763" spans="6:8" x14ac:dyDescent="0.25">
      <c r="F763" s="4"/>
      <c r="G763" s="4"/>
      <c r="H763" s="4"/>
    </row>
    <row r="764" spans="6:8" x14ac:dyDescent="0.25">
      <c r="F764" s="4"/>
      <c r="G764" s="4"/>
      <c r="H764" s="4"/>
    </row>
    <row r="765" spans="6:8" x14ac:dyDescent="0.25">
      <c r="F765" s="4"/>
      <c r="G765" s="4"/>
      <c r="H765" s="4"/>
    </row>
    <row r="766" spans="6:8" x14ac:dyDescent="0.25">
      <c r="F766" s="4"/>
      <c r="G766" s="4"/>
      <c r="H766" s="4"/>
    </row>
    <row r="767" spans="6:8" x14ac:dyDescent="0.25">
      <c r="F767" s="4"/>
      <c r="G767" s="4"/>
      <c r="H767" s="4"/>
    </row>
    <row r="768" spans="6:8" x14ac:dyDescent="0.25">
      <c r="F768" s="4"/>
      <c r="G768" s="4"/>
      <c r="H768" s="4"/>
    </row>
    <row r="769" spans="6:8" x14ac:dyDescent="0.25">
      <c r="F769" s="4"/>
      <c r="G769" s="4"/>
      <c r="H769" s="4"/>
    </row>
    <row r="770" spans="6:8" x14ac:dyDescent="0.25">
      <c r="F770" s="4"/>
      <c r="G770" s="4"/>
      <c r="H770" s="4"/>
    </row>
    <row r="771" spans="6:8" x14ac:dyDescent="0.25">
      <c r="F771" s="4"/>
      <c r="G771" s="4"/>
      <c r="H771" s="4"/>
    </row>
    <row r="772" spans="6:8" x14ac:dyDescent="0.25">
      <c r="F772" s="4"/>
      <c r="G772" s="4"/>
      <c r="H772" s="4"/>
    </row>
    <row r="773" spans="6:8" x14ac:dyDescent="0.25">
      <c r="F773" s="4"/>
      <c r="G773" s="4"/>
      <c r="H773" s="4"/>
    </row>
    <row r="774" spans="6:8" x14ac:dyDescent="0.25">
      <c r="F774" s="4"/>
      <c r="G774" s="4"/>
      <c r="H774" s="4"/>
    </row>
    <row r="775" spans="6:8" x14ac:dyDescent="0.25">
      <c r="F775" s="4"/>
      <c r="G775" s="4"/>
      <c r="H775" s="4"/>
    </row>
    <row r="776" spans="6:8" x14ac:dyDescent="0.25">
      <c r="F776" s="4"/>
      <c r="G776" s="4"/>
      <c r="H776" s="4"/>
    </row>
    <row r="777" spans="6:8" x14ac:dyDescent="0.25">
      <c r="F777" s="4"/>
      <c r="G777" s="4"/>
      <c r="H777" s="4"/>
    </row>
    <row r="778" spans="6:8" x14ac:dyDescent="0.25">
      <c r="F778" s="4"/>
      <c r="G778" s="4"/>
      <c r="H778" s="4"/>
    </row>
    <row r="779" spans="6:8" x14ac:dyDescent="0.25">
      <c r="F779" s="4"/>
      <c r="G779" s="4"/>
      <c r="H779" s="4"/>
    </row>
    <row r="780" spans="6:8" x14ac:dyDescent="0.25">
      <c r="F780" s="4"/>
      <c r="G780" s="4"/>
      <c r="H780" s="4"/>
    </row>
    <row r="781" spans="6:8" x14ac:dyDescent="0.25">
      <c r="F781" s="4"/>
      <c r="G781" s="4"/>
      <c r="H781" s="4"/>
    </row>
    <row r="782" spans="6:8" x14ac:dyDescent="0.25">
      <c r="F782" s="4"/>
      <c r="G782" s="4"/>
      <c r="H782" s="4"/>
    </row>
    <row r="783" spans="6:8" x14ac:dyDescent="0.25">
      <c r="F783" s="4"/>
      <c r="G783" s="4"/>
      <c r="H783" s="4"/>
    </row>
    <row r="784" spans="6:8" x14ac:dyDescent="0.25">
      <c r="F784" s="4"/>
      <c r="G784" s="4"/>
      <c r="H784" s="4"/>
    </row>
    <row r="785" spans="6:8" x14ac:dyDescent="0.25">
      <c r="F785" s="4"/>
      <c r="G785" s="4"/>
      <c r="H785" s="4"/>
    </row>
    <row r="786" spans="6:8" x14ac:dyDescent="0.25">
      <c r="F786" s="4"/>
      <c r="G786" s="4"/>
      <c r="H786" s="4"/>
    </row>
    <row r="787" spans="6:8" x14ac:dyDescent="0.25">
      <c r="F787" s="4"/>
      <c r="G787" s="4"/>
      <c r="H787" s="4"/>
    </row>
    <row r="788" spans="6:8" x14ac:dyDescent="0.25">
      <c r="F788" s="4"/>
      <c r="G788" s="4"/>
      <c r="H788" s="4"/>
    </row>
    <row r="789" spans="6:8" x14ac:dyDescent="0.25">
      <c r="F789" s="4"/>
      <c r="G789" s="4"/>
      <c r="H789" s="4"/>
    </row>
    <row r="790" spans="6:8" x14ac:dyDescent="0.25">
      <c r="F790" s="4"/>
      <c r="G790" s="4"/>
      <c r="H790" s="4"/>
    </row>
    <row r="791" spans="6:8" x14ac:dyDescent="0.25">
      <c r="F791" s="4"/>
      <c r="G791" s="4"/>
      <c r="H791" s="4"/>
    </row>
    <row r="792" spans="6:8" x14ac:dyDescent="0.25">
      <c r="F792" s="4"/>
      <c r="G792" s="4"/>
      <c r="H792" s="4"/>
    </row>
    <row r="793" spans="6:8" x14ac:dyDescent="0.25">
      <c r="F793" s="4"/>
      <c r="G793" s="4"/>
      <c r="H793" s="4"/>
    </row>
    <row r="794" spans="6:8" x14ac:dyDescent="0.25">
      <c r="F794" s="4"/>
      <c r="G794" s="4"/>
      <c r="H794" s="4"/>
    </row>
    <row r="795" spans="6:8" x14ac:dyDescent="0.25">
      <c r="F795" s="4"/>
      <c r="G795" s="4"/>
      <c r="H795" s="4"/>
    </row>
    <row r="796" spans="6:8" x14ac:dyDescent="0.25">
      <c r="F796" s="4"/>
      <c r="G796" s="4"/>
      <c r="H796" s="4"/>
    </row>
    <row r="797" spans="6:8" x14ac:dyDescent="0.25">
      <c r="F797" s="4"/>
      <c r="G797" s="4"/>
      <c r="H797" s="4"/>
    </row>
    <row r="798" spans="6:8" x14ac:dyDescent="0.25">
      <c r="F798" s="4"/>
      <c r="G798" s="4"/>
      <c r="H798" s="4"/>
    </row>
    <row r="799" spans="6:8" x14ac:dyDescent="0.25">
      <c r="F799" s="4"/>
      <c r="G799" s="4"/>
      <c r="H799" s="4"/>
    </row>
    <row r="800" spans="6:8" x14ac:dyDescent="0.25">
      <c r="F800" s="4"/>
      <c r="G800" s="4"/>
      <c r="H800" s="4"/>
    </row>
    <row r="801" spans="6:8" x14ac:dyDescent="0.25">
      <c r="F801" s="4"/>
      <c r="G801" s="4"/>
      <c r="H801" s="4"/>
    </row>
    <row r="802" spans="6:8" x14ac:dyDescent="0.25">
      <c r="F802" s="4"/>
      <c r="G802" s="4"/>
      <c r="H802" s="4"/>
    </row>
    <row r="803" spans="6:8" x14ac:dyDescent="0.25">
      <c r="F803" s="4"/>
      <c r="G803" s="4"/>
      <c r="H803" s="4"/>
    </row>
    <row r="804" spans="6:8" x14ac:dyDescent="0.25">
      <c r="F804" s="4"/>
      <c r="G804" s="4"/>
      <c r="H804" s="4"/>
    </row>
    <row r="805" spans="6:8" x14ac:dyDescent="0.25">
      <c r="F805" s="4"/>
      <c r="G805" s="4"/>
      <c r="H805" s="4"/>
    </row>
    <row r="806" spans="6:8" x14ac:dyDescent="0.25">
      <c r="F806" s="4"/>
      <c r="G806" s="4"/>
      <c r="H806" s="4"/>
    </row>
    <row r="807" spans="6:8" x14ac:dyDescent="0.25">
      <c r="F807" s="4"/>
      <c r="G807" s="4"/>
      <c r="H807" s="4"/>
    </row>
    <row r="808" spans="6:8" x14ac:dyDescent="0.25">
      <c r="F808" s="4"/>
      <c r="G808" s="4"/>
      <c r="H808" s="4"/>
    </row>
    <row r="809" spans="6:8" x14ac:dyDescent="0.25">
      <c r="F809" s="4"/>
      <c r="G809" s="4"/>
      <c r="H809" s="4"/>
    </row>
    <row r="810" spans="6:8" x14ac:dyDescent="0.25">
      <c r="F810" s="4"/>
      <c r="G810" s="4"/>
      <c r="H810" s="4"/>
    </row>
    <row r="811" spans="6:8" x14ac:dyDescent="0.25">
      <c r="F811" s="4"/>
      <c r="G811" s="4"/>
      <c r="H811" s="4"/>
    </row>
    <row r="812" spans="6:8" x14ac:dyDescent="0.25">
      <c r="F812" s="4"/>
      <c r="G812" s="4"/>
      <c r="H812" s="4"/>
    </row>
    <row r="813" spans="6:8" x14ac:dyDescent="0.25">
      <c r="F813" s="4"/>
      <c r="G813" s="4"/>
      <c r="H813" s="4"/>
    </row>
    <row r="814" spans="6:8" x14ac:dyDescent="0.25">
      <c r="F814" s="4"/>
      <c r="G814" s="4"/>
      <c r="H814" s="4"/>
    </row>
    <row r="815" spans="6:8" x14ac:dyDescent="0.25">
      <c r="F815" s="4"/>
      <c r="G815" s="4"/>
      <c r="H815" s="4"/>
    </row>
    <row r="816" spans="6:8" x14ac:dyDescent="0.25">
      <c r="F816" s="4"/>
      <c r="G816" s="4"/>
      <c r="H816" s="4"/>
    </row>
    <row r="817" spans="6:8" x14ac:dyDescent="0.25">
      <c r="F817" s="4"/>
      <c r="G817" s="4"/>
      <c r="H817" s="4"/>
    </row>
    <row r="818" spans="6:8" x14ac:dyDescent="0.25">
      <c r="F818" s="4"/>
      <c r="G818" s="4"/>
      <c r="H818" s="4"/>
    </row>
    <row r="819" spans="6:8" x14ac:dyDescent="0.25">
      <c r="F819" s="4"/>
      <c r="G819" s="4"/>
      <c r="H819" s="4"/>
    </row>
    <row r="820" spans="6:8" x14ac:dyDescent="0.25">
      <c r="F820" s="4"/>
      <c r="G820" s="4"/>
      <c r="H820" s="4"/>
    </row>
    <row r="821" spans="6:8" x14ac:dyDescent="0.25">
      <c r="F821" s="4"/>
      <c r="G821" s="4"/>
      <c r="H821" s="4"/>
    </row>
    <row r="822" spans="6:8" x14ac:dyDescent="0.25">
      <c r="F822" s="4"/>
      <c r="G822" s="4"/>
      <c r="H822" s="4"/>
    </row>
    <row r="823" spans="6:8" x14ac:dyDescent="0.25">
      <c r="F823" s="4"/>
      <c r="G823" s="4"/>
      <c r="H823" s="4"/>
    </row>
    <row r="824" spans="6:8" x14ac:dyDescent="0.25">
      <c r="F824" s="4"/>
      <c r="G824" s="4"/>
      <c r="H824" s="4"/>
    </row>
    <row r="825" spans="6:8" x14ac:dyDescent="0.25">
      <c r="F825" s="4"/>
      <c r="G825" s="4"/>
      <c r="H825" s="4"/>
    </row>
    <row r="826" spans="6:8" x14ac:dyDescent="0.25">
      <c r="F826" s="4"/>
      <c r="G826" s="4"/>
      <c r="H826" s="4"/>
    </row>
    <row r="827" spans="6:8" x14ac:dyDescent="0.25">
      <c r="F827" s="4"/>
      <c r="G827" s="4"/>
      <c r="H827" s="4"/>
    </row>
    <row r="828" spans="6:8" x14ac:dyDescent="0.25">
      <c r="F828" s="4"/>
      <c r="G828" s="4"/>
      <c r="H828" s="4"/>
    </row>
    <row r="829" spans="6:8" x14ac:dyDescent="0.25">
      <c r="F829" s="4"/>
      <c r="G829" s="4"/>
      <c r="H829" s="4"/>
    </row>
    <row r="830" spans="6:8" x14ac:dyDescent="0.25">
      <c r="F830" s="4"/>
      <c r="G830" s="4"/>
      <c r="H830" s="4"/>
    </row>
    <row r="831" spans="6:8" x14ac:dyDescent="0.25">
      <c r="F831" s="4"/>
      <c r="G831" s="4"/>
      <c r="H831" s="4"/>
    </row>
    <row r="832" spans="6:8" x14ac:dyDescent="0.25">
      <c r="F832" s="4"/>
      <c r="G832" s="4"/>
      <c r="H832" s="4"/>
    </row>
    <row r="833" spans="6:8" x14ac:dyDescent="0.25">
      <c r="F833" s="4"/>
      <c r="G833" s="4"/>
      <c r="H833" s="4"/>
    </row>
    <row r="834" spans="6:8" x14ac:dyDescent="0.25">
      <c r="F834" s="4"/>
      <c r="G834" s="4"/>
      <c r="H834" s="4"/>
    </row>
    <row r="835" spans="6:8" x14ac:dyDescent="0.25">
      <c r="F835" s="4"/>
      <c r="G835" s="4"/>
      <c r="H835" s="4"/>
    </row>
    <row r="836" spans="6:8" x14ac:dyDescent="0.25">
      <c r="F836" s="4"/>
      <c r="G836" s="4"/>
      <c r="H836" s="4"/>
    </row>
    <row r="837" spans="6:8" x14ac:dyDescent="0.25">
      <c r="F837" s="4"/>
      <c r="G837" s="4"/>
      <c r="H837" s="4"/>
    </row>
    <row r="838" spans="6:8" x14ac:dyDescent="0.25">
      <c r="F838" s="4"/>
      <c r="G838" s="4"/>
      <c r="H838" s="4"/>
    </row>
    <row r="839" spans="6:8" x14ac:dyDescent="0.25">
      <c r="F839" s="4"/>
      <c r="G839" s="4"/>
      <c r="H839" s="4"/>
    </row>
    <row r="840" spans="6:8" x14ac:dyDescent="0.25">
      <c r="F840" s="4"/>
      <c r="G840" s="4"/>
      <c r="H840" s="4"/>
    </row>
    <row r="841" spans="6:8" x14ac:dyDescent="0.25">
      <c r="F841" s="4"/>
      <c r="G841" s="4"/>
      <c r="H841" s="4"/>
    </row>
    <row r="842" spans="6:8" x14ac:dyDescent="0.25">
      <c r="F842" s="4"/>
      <c r="G842" s="4"/>
      <c r="H842" s="4"/>
    </row>
    <row r="843" spans="6:8" x14ac:dyDescent="0.25">
      <c r="F843" s="4"/>
      <c r="G843" s="4"/>
      <c r="H843" s="4"/>
    </row>
    <row r="844" spans="6:8" x14ac:dyDescent="0.25">
      <c r="F844" s="4"/>
      <c r="G844" s="4"/>
      <c r="H844" s="4"/>
    </row>
    <row r="845" spans="6:8" x14ac:dyDescent="0.25">
      <c r="F845" s="4"/>
      <c r="G845" s="4"/>
      <c r="H845" s="4"/>
    </row>
    <row r="846" spans="6:8" x14ac:dyDescent="0.25">
      <c r="F846" s="4"/>
      <c r="G846" s="4"/>
      <c r="H846" s="4"/>
    </row>
    <row r="847" spans="6:8" x14ac:dyDescent="0.25">
      <c r="F847" s="4"/>
      <c r="G847" s="4"/>
      <c r="H847" s="4"/>
    </row>
    <row r="848" spans="6:8" x14ac:dyDescent="0.25">
      <c r="F848" s="4"/>
      <c r="G848" s="4"/>
      <c r="H848" s="4"/>
    </row>
    <row r="849" spans="6:8" x14ac:dyDescent="0.25">
      <c r="F849" s="4"/>
      <c r="G849" s="4"/>
      <c r="H849" s="4"/>
    </row>
    <row r="850" spans="6:8" x14ac:dyDescent="0.25">
      <c r="F850" s="4"/>
      <c r="G850" s="4"/>
      <c r="H850" s="4"/>
    </row>
    <row r="851" spans="6:8" x14ac:dyDescent="0.25">
      <c r="F851" s="4"/>
      <c r="G851" s="4"/>
      <c r="H851" s="4"/>
    </row>
    <row r="852" spans="6:8" x14ac:dyDescent="0.25">
      <c r="F852" s="4"/>
      <c r="G852" s="4"/>
      <c r="H852" s="4"/>
    </row>
    <row r="853" spans="6:8" x14ac:dyDescent="0.25">
      <c r="F853" s="4"/>
      <c r="G853" s="4"/>
      <c r="H853" s="4"/>
    </row>
    <row r="854" spans="6:8" x14ac:dyDescent="0.25">
      <c r="F854" s="4"/>
      <c r="G854" s="4"/>
      <c r="H854" s="4"/>
    </row>
    <row r="855" spans="6:8" x14ac:dyDescent="0.25">
      <c r="F855" s="4"/>
      <c r="G855" s="4"/>
      <c r="H855" s="4"/>
    </row>
    <row r="856" spans="6:8" x14ac:dyDescent="0.25">
      <c r="F856" s="4"/>
      <c r="G856" s="4"/>
      <c r="H856" s="4"/>
    </row>
    <row r="857" spans="6:8" x14ac:dyDescent="0.25">
      <c r="F857" s="4"/>
      <c r="G857" s="4"/>
      <c r="H857" s="4"/>
    </row>
    <row r="858" spans="6:8" x14ac:dyDescent="0.25">
      <c r="F858" s="4"/>
      <c r="G858" s="4"/>
      <c r="H858" s="4"/>
    </row>
    <row r="859" spans="6:8" x14ac:dyDescent="0.25">
      <c r="F859" s="4"/>
      <c r="G859" s="4"/>
      <c r="H859" s="4"/>
    </row>
    <row r="860" spans="6:8" x14ac:dyDescent="0.25">
      <c r="F860" s="4"/>
      <c r="G860" s="4"/>
      <c r="H860" s="4"/>
    </row>
    <row r="861" spans="6:8" x14ac:dyDescent="0.25">
      <c r="F861" s="4"/>
      <c r="G861" s="4"/>
      <c r="H861" s="4"/>
    </row>
    <row r="862" spans="6:8" x14ac:dyDescent="0.25">
      <c r="F862" s="4"/>
      <c r="G862" s="4"/>
      <c r="H862" s="4"/>
    </row>
    <row r="863" spans="6:8" x14ac:dyDescent="0.25">
      <c r="F863" s="4"/>
      <c r="G863" s="4"/>
      <c r="H863" s="4"/>
    </row>
    <row r="864" spans="6:8" x14ac:dyDescent="0.25">
      <c r="F864" s="4"/>
      <c r="G864" s="4"/>
      <c r="H864" s="4"/>
    </row>
    <row r="865" spans="6:8" x14ac:dyDescent="0.25">
      <c r="F865" s="4"/>
      <c r="G865" s="4"/>
      <c r="H865" s="4"/>
    </row>
    <row r="866" spans="6:8" x14ac:dyDescent="0.25">
      <c r="F866" s="4"/>
      <c r="G866" s="4"/>
      <c r="H866" s="4"/>
    </row>
    <row r="867" spans="6:8" x14ac:dyDescent="0.25">
      <c r="F867" s="4"/>
      <c r="G867" s="4"/>
      <c r="H867" s="4"/>
    </row>
    <row r="868" spans="6:8" x14ac:dyDescent="0.25">
      <c r="F868" s="4"/>
      <c r="G868" s="4"/>
      <c r="H868" s="4"/>
    </row>
    <row r="869" spans="6:8" x14ac:dyDescent="0.25">
      <c r="F869" s="4"/>
      <c r="G869" s="4"/>
      <c r="H869" s="4"/>
    </row>
    <row r="870" spans="6:8" x14ac:dyDescent="0.25">
      <c r="F870" s="4"/>
      <c r="G870" s="4"/>
      <c r="H870" s="4"/>
    </row>
    <row r="871" spans="6:8" x14ac:dyDescent="0.25">
      <c r="F871" s="4"/>
      <c r="G871" s="4"/>
      <c r="H871" s="4"/>
    </row>
    <row r="872" spans="6:8" x14ac:dyDescent="0.25">
      <c r="F872" s="4"/>
      <c r="G872" s="4"/>
      <c r="H872" s="4"/>
    </row>
    <row r="873" spans="6:8" x14ac:dyDescent="0.25">
      <c r="F873" s="4"/>
      <c r="G873" s="4"/>
      <c r="H873" s="4"/>
    </row>
    <row r="874" spans="6:8" x14ac:dyDescent="0.25">
      <c r="F874" s="4"/>
      <c r="G874" s="4"/>
      <c r="H874" s="4"/>
    </row>
    <row r="875" spans="6:8" x14ac:dyDescent="0.25">
      <c r="F875" s="4"/>
      <c r="G875" s="4"/>
      <c r="H875" s="4"/>
    </row>
    <row r="876" spans="6:8" x14ac:dyDescent="0.25">
      <c r="F876" s="4"/>
      <c r="G876" s="4"/>
      <c r="H876" s="4"/>
    </row>
    <row r="877" spans="6:8" x14ac:dyDescent="0.25">
      <c r="F877" s="4"/>
      <c r="G877" s="4"/>
      <c r="H877" s="4"/>
    </row>
    <row r="878" spans="6:8" x14ac:dyDescent="0.25">
      <c r="F878" s="4"/>
      <c r="G878" s="4"/>
      <c r="H878" s="4"/>
    </row>
    <row r="879" spans="6:8" x14ac:dyDescent="0.25">
      <c r="F879" s="4"/>
      <c r="G879" s="4"/>
      <c r="H879" s="4"/>
    </row>
    <row r="880" spans="6:8" x14ac:dyDescent="0.25">
      <c r="F880" s="4"/>
      <c r="G880" s="4"/>
      <c r="H880" s="4"/>
    </row>
    <row r="881" spans="6:8" x14ac:dyDescent="0.25">
      <c r="F881" s="4"/>
      <c r="G881" s="4"/>
      <c r="H881" s="4"/>
    </row>
    <row r="882" spans="6:8" x14ac:dyDescent="0.25">
      <c r="F882" s="4"/>
      <c r="G882" s="4"/>
      <c r="H882" s="4"/>
    </row>
    <row r="883" spans="6:8" x14ac:dyDescent="0.25">
      <c r="F883" s="4"/>
      <c r="G883" s="4"/>
      <c r="H883" s="4"/>
    </row>
    <row r="884" spans="6:8" x14ac:dyDescent="0.25">
      <c r="F884" s="4"/>
      <c r="G884" s="4"/>
      <c r="H884" s="4"/>
    </row>
    <row r="885" spans="6:8" x14ac:dyDescent="0.25">
      <c r="F885" s="4"/>
      <c r="G885" s="4"/>
      <c r="H885" s="4"/>
    </row>
    <row r="886" spans="6:8" x14ac:dyDescent="0.25">
      <c r="F886" s="4"/>
      <c r="G886" s="4"/>
      <c r="H886" s="4"/>
    </row>
    <row r="887" spans="6:8" x14ac:dyDescent="0.25">
      <c r="F887" s="4"/>
      <c r="G887" s="4"/>
      <c r="H887" s="4"/>
    </row>
    <row r="888" spans="6:8" x14ac:dyDescent="0.25">
      <c r="F888" s="4"/>
      <c r="G888" s="4"/>
      <c r="H888" s="4"/>
    </row>
    <row r="889" spans="6:8" x14ac:dyDescent="0.25">
      <c r="F889" s="4"/>
      <c r="G889" s="4"/>
      <c r="H889" s="4"/>
    </row>
    <row r="890" spans="6:8" x14ac:dyDescent="0.25">
      <c r="F890" s="4"/>
      <c r="G890" s="4"/>
      <c r="H890" s="4"/>
    </row>
    <row r="891" spans="6:8" x14ac:dyDescent="0.25">
      <c r="F891" s="4"/>
      <c r="G891" s="4"/>
      <c r="H891" s="4"/>
    </row>
    <row r="892" spans="6:8" x14ac:dyDescent="0.25">
      <c r="F892" s="4"/>
      <c r="G892" s="4"/>
      <c r="H892" s="4"/>
    </row>
    <row r="893" spans="6:8" x14ac:dyDescent="0.25">
      <c r="F893" s="4"/>
      <c r="G893" s="4"/>
      <c r="H893" s="4"/>
    </row>
    <row r="894" spans="6:8" x14ac:dyDescent="0.25">
      <c r="F894" s="4"/>
      <c r="G894" s="4"/>
      <c r="H894" s="4"/>
    </row>
    <row r="895" spans="6:8" x14ac:dyDescent="0.25">
      <c r="F895" s="4"/>
      <c r="G895" s="4"/>
      <c r="H895" s="4"/>
    </row>
    <row r="896" spans="6:8" x14ac:dyDescent="0.25">
      <c r="F896" s="4"/>
      <c r="G896" s="4"/>
      <c r="H896" s="4"/>
    </row>
    <row r="897" spans="6:8" x14ac:dyDescent="0.25">
      <c r="F897" s="4"/>
      <c r="G897" s="4"/>
      <c r="H897" s="4"/>
    </row>
    <row r="898" spans="6:8" x14ac:dyDescent="0.25">
      <c r="F898" s="4"/>
      <c r="G898" s="4"/>
      <c r="H898" s="4"/>
    </row>
    <row r="899" spans="6:8" x14ac:dyDescent="0.25">
      <c r="F899" s="4"/>
      <c r="G899" s="4"/>
      <c r="H899" s="4"/>
    </row>
  </sheetData>
  <autoFilter ref="A1:H241" xr:uid="{00000000-0009-0000-0000-00001F000000}">
    <filterColumn colId="3">
      <filters>
        <filter val="ES SUSU ORI"/>
      </filters>
    </filterColumn>
  </autoFilter>
  <mergeCells count="30">
    <mergeCell ref="A241:D241"/>
    <mergeCell ref="A202:D202"/>
    <mergeCell ref="A210:D210"/>
    <mergeCell ref="A148:D148"/>
    <mergeCell ref="A134:D134"/>
    <mergeCell ref="A142:D142"/>
    <mergeCell ref="A189:D189"/>
    <mergeCell ref="A175:D175"/>
    <mergeCell ref="A194:D194"/>
    <mergeCell ref="A220:D220"/>
    <mergeCell ref="A229:D229"/>
    <mergeCell ref="A214:D214"/>
    <mergeCell ref="A11:D11"/>
    <mergeCell ref="A27:D27"/>
    <mergeCell ref="A35:D35"/>
    <mergeCell ref="A41:D41"/>
    <mergeCell ref="A50:D50"/>
    <mergeCell ref="A58:D58"/>
    <mergeCell ref="A91:D91"/>
    <mergeCell ref="A96:D96"/>
    <mergeCell ref="A161:D161"/>
    <mergeCell ref="A167:D167"/>
    <mergeCell ref="A65:D65"/>
    <mergeCell ref="A76:D76"/>
    <mergeCell ref="A157:D157"/>
    <mergeCell ref="A86:D86"/>
    <mergeCell ref="A123:D123"/>
    <mergeCell ref="A101:D101"/>
    <mergeCell ref="A108:D108"/>
    <mergeCell ref="A117:D117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FD257"/>
  <sheetViews>
    <sheetView workbookViewId="0">
      <selection activeCell="E260" sqref="E260"/>
    </sheetView>
  </sheetViews>
  <sheetFormatPr defaultRowHeight="15" x14ac:dyDescent="0.25"/>
  <cols>
    <col min="2" max="2" width="9.7109375" bestFit="1" customWidth="1"/>
    <col min="5" max="5" width="9.28515625" bestFit="1" customWidth="1"/>
    <col min="6" max="6" width="13.42578125" bestFit="1" customWidth="1"/>
    <col min="7" max="8" width="13.28515625" bestFit="1" customWidth="1"/>
    <col min="12" max="12" width="9.5703125" bestFit="1" customWidth="1"/>
    <col min="13" max="13" width="14.28515625" bestFit="1" customWidth="1"/>
    <col min="14" max="14" width="15.28515625" customWidth="1"/>
    <col min="15" max="15" width="12.140625" customWidth="1"/>
    <col min="16" max="16" width="12.42578125" customWidth="1"/>
  </cols>
  <sheetData>
    <row r="1" spans="1:16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16" x14ac:dyDescent="0.25">
      <c r="A2" t="s">
        <v>30</v>
      </c>
      <c r="B2" s="3">
        <v>45298</v>
      </c>
      <c r="C2" t="s">
        <v>693</v>
      </c>
      <c r="D2" t="s">
        <v>13</v>
      </c>
      <c r="E2">
        <v>86</v>
      </c>
      <c r="F2" s="4">
        <f>E2*8000</f>
        <v>688000</v>
      </c>
      <c r="G2" s="4">
        <f>E2*4500</f>
        <v>387000</v>
      </c>
      <c r="H2" s="4">
        <f>E2*3500</f>
        <v>301000</v>
      </c>
    </row>
    <row r="3" spans="1:16" x14ac:dyDescent="0.25">
      <c r="D3" t="s">
        <v>14</v>
      </c>
      <c r="E3">
        <v>22</v>
      </c>
      <c r="F3" s="4">
        <f>E3*12000</f>
        <v>264000</v>
      </c>
      <c r="G3" s="4">
        <f>E3*5500</f>
        <v>121000</v>
      </c>
      <c r="H3" s="4">
        <f>E3*6500</f>
        <v>143000</v>
      </c>
    </row>
    <row r="4" spans="1:16" x14ac:dyDescent="0.25">
      <c r="C4" t="s">
        <v>16</v>
      </c>
      <c r="D4" t="s">
        <v>11</v>
      </c>
      <c r="E4">
        <v>35</v>
      </c>
      <c r="F4" s="4">
        <f>E4*1500</f>
        <v>52500</v>
      </c>
      <c r="G4" s="4">
        <f>E4*500</f>
        <v>17500</v>
      </c>
      <c r="H4" s="4">
        <v>35000</v>
      </c>
      <c r="J4" t="s">
        <v>825</v>
      </c>
    </row>
    <row r="5" spans="1:16" x14ac:dyDescent="0.25">
      <c r="D5" t="s">
        <v>12</v>
      </c>
      <c r="E5">
        <v>2</v>
      </c>
      <c r="F5" s="4">
        <v>6000</v>
      </c>
      <c r="G5" s="4">
        <v>4000</v>
      </c>
      <c r="H5" s="4">
        <v>2000</v>
      </c>
      <c r="K5" t="s">
        <v>826</v>
      </c>
    </row>
    <row r="6" spans="1:16" x14ac:dyDescent="0.25">
      <c r="A6" s="142" t="s">
        <v>17</v>
      </c>
      <c r="B6" s="142"/>
      <c r="C6" s="142"/>
      <c r="D6" s="142"/>
      <c r="E6" s="13">
        <f>SUM(E2:E5)</f>
        <v>145</v>
      </c>
      <c r="F6" s="13">
        <f t="shared" ref="F6:H6" si="0">SUM(F2:F5)</f>
        <v>1010500</v>
      </c>
      <c r="G6" s="13">
        <f t="shared" si="0"/>
        <v>529500</v>
      </c>
      <c r="H6" s="13">
        <f t="shared" si="0"/>
        <v>481000</v>
      </c>
      <c r="J6" t="s">
        <v>612</v>
      </c>
      <c r="K6" t="s">
        <v>12</v>
      </c>
      <c r="L6">
        <v>200</v>
      </c>
    </row>
    <row r="7" spans="1:16" x14ac:dyDescent="0.25">
      <c r="A7" t="s">
        <v>32</v>
      </c>
      <c r="B7" s="3">
        <v>45329</v>
      </c>
      <c r="C7" t="s">
        <v>693</v>
      </c>
      <c r="D7" t="s">
        <v>13</v>
      </c>
      <c r="E7">
        <f>32+67+8</f>
        <v>107</v>
      </c>
      <c r="F7" s="4">
        <f>E7*8000</f>
        <v>856000</v>
      </c>
      <c r="G7" s="4">
        <f>E7*4500</f>
        <v>481500</v>
      </c>
      <c r="H7" s="4">
        <f>E7*3500</f>
        <v>374500</v>
      </c>
      <c r="K7" t="s">
        <v>13</v>
      </c>
      <c r="L7">
        <v>100</v>
      </c>
    </row>
    <row r="8" spans="1:16" x14ac:dyDescent="0.25">
      <c r="D8" t="s">
        <v>14</v>
      </c>
      <c r="E8">
        <f>2+24+9</f>
        <v>35</v>
      </c>
      <c r="F8" s="4">
        <f>E8*12000</f>
        <v>420000</v>
      </c>
      <c r="G8" s="4">
        <f>E8*5500</f>
        <v>192500</v>
      </c>
      <c r="H8" s="4">
        <f>E8*6500</f>
        <v>227500</v>
      </c>
      <c r="J8" t="s">
        <v>827</v>
      </c>
      <c r="K8" s="6" t="s">
        <v>3</v>
      </c>
      <c r="L8" s="6" t="s">
        <v>4</v>
      </c>
      <c r="M8" s="6" t="s">
        <v>242</v>
      </c>
      <c r="N8" s="6" t="s">
        <v>6</v>
      </c>
      <c r="O8" s="6" t="s">
        <v>7</v>
      </c>
      <c r="P8" s="6" t="s">
        <v>828</v>
      </c>
    </row>
    <row r="9" spans="1:16" x14ac:dyDescent="0.25">
      <c r="C9" t="s">
        <v>16</v>
      </c>
      <c r="D9" t="s">
        <v>11</v>
      </c>
      <c r="E9">
        <v>13</v>
      </c>
      <c r="F9" s="4">
        <f>E9*1500</f>
        <v>19500</v>
      </c>
      <c r="G9" s="4">
        <f>E9*500</f>
        <v>6500</v>
      </c>
      <c r="H9" s="4">
        <v>13000</v>
      </c>
      <c r="K9" s="31" t="s">
        <v>13</v>
      </c>
      <c r="L9" s="86">
        <f>JUNI2024!E205+JUNI2024!E211+JUNI2024!E215+JUNI2024!E221+JUNI2024!E223+JUNI2024!E230+JUNI2024!E239+JULI2024!E2+JULI2024!E7+JULI2024!E15+JULI2024!E17+JULI2024!E23+JULI2024!E28+E33+E49+E52+E61+E71+E78+E80+E85+E95</f>
        <v>2131</v>
      </c>
      <c r="M9" s="86">
        <f>L9*10000</f>
        <v>21310000</v>
      </c>
      <c r="N9" s="86">
        <f>L9*4500</f>
        <v>9589500</v>
      </c>
      <c r="O9" s="86">
        <f>L9*3500</f>
        <v>7458500</v>
      </c>
      <c r="P9" s="86">
        <f>L9*2000</f>
        <v>4262000</v>
      </c>
    </row>
    <row r="10" spans="1:16" x14ac:dyDescent="0.25">
      <c r="D10" t="s">
        <v>12</v>
      </c>
      <c r="E10">
        <v>2</v>
      </c>
      <c r="F10" s="4">
        <v>6000</v>
      </c>
      <c r="G10" s="4">
        <v>4000</v>
      </c>
      <c r="H10" s="4">
        <v>2000</v>
      </c>
      <c r="K10" s="31" t="s">
        <v>14</v>
      </c>
      <c r="L10" s="31">
        <f>JUNI2024!E206+JUNI2024!E212+JUNI2024!E216+JUNI2024!E222+JUNI2024!E224+JUNI2024!E231+JUNI2024!E240+JULI2024!E3+JULI2024!E8+JULI2024!E16+JULI2024!E18+E24+E29+E34+E50+E53+E62+E72+E79+E86+E96</f>
        <v>861</v>
      </c>
      <c r="M10" s="86">
        <f>L10*15000</f>
        <v>12915000</v>
      </c>
      <c r="N10" s="86">
        <f>L10*5500</f>
        <v>4735500</v>
      </c>
      <c r="O10" s="86">
        <f>L10*6500</f>
        <v>5596500</v>
      </c>
      <c r="P10" s="86">
        <f>L10*3000</f>
        <v>2583000</v>
      </c>
    </row>
    <row r="11" spans="1:16" x14ac:dyDescent="0.25">
      <c r="D11" t="s">
        <v>13</v>
      </c>
      <c r="E11">
        <v>1</v>
      </c>
      <c r="F11" s="4">
        <v>6500</v>
      </c>
      <c r="G11" s="4">
        <v>4500</v>
      </c>
      <c r="H11" s="4">
        <v>2000</v>
      </c>
      <c r="K11" s="6" t="s">
        <v>17</v>
      </c>
      <c r="L11" s="25">
        <f>L9+L10</f>
        <v>2992</v>
      </c>
      <c r="M11" s="25">
        <f>M9+M10</f>
        <v>34225000</v>
      </c>
      <c r="N11" s="25">
        <f t="shared" ref="N11:P11" si="1">N9+N10</f>
        <v>14325000</v>
      </c>
      <c r="O11" s="25">
        <f t="shared" si="1"/>
        <v>13055000</v>
      </c>
      <c r="P11" s="25">
        <f t="shared" si="1"/>
        <v>6845000</v>
      </c>
    </row>
    <row r="12" spans="1:16" x14ac:dyDescent="0.25">
      <c r="C12" t="s">
        <v>24</v>
      </c>
      <c r="D12" t="s">
        <v>243</v>
      </c>
      <c r="E12">
        <v>2</v>
      </c>
      <c r="F12" s="4">
        <f>E12*15000</f>
        <v>30000</v>
      </c>
      <c r="G12" s="4">
        <v>20000</v>
      </c>
      <c r="H12" s="4">
        <v>10000</v>
      </c>
      <c r="L12" s="35">
        <f>L11+L7</f>
        <v>3092</v>
      </c>
    </row>
    <row r="13" spans="1:16" x14ac:dyDescent="0.25">
      <c r="C13" t="s">
        <v>24</v>
      </c>
      <c r="D13" t="s">
        <v>243</v>
      </c>
      <c r="E13">
        <v>5</v>
      </c>
      <c r="F13" s="4">
        <f>E13*13000</f>
        <v>65000</v>
      </c>
      <c r="G13" s="4">
        <v>50000</v>
      </c>
      <c r="H13" s="4">
        <f>E13*3000</f>
        <v>15000</v>
      </c>
    </row>
    <row r="14" spans="1:16" x14ac:dyDescent="0.25">
      <c r="A14" s="142" t="s">
        <v>17</v>
      </c>
      <c r="B14" s="142"/>
      <c r="C14" s="142"/>
      <c r="D14" s="142"/>
      <c r="E14" s="13">
        <f>SUM(E7:E13)</f>
        <v>165</v>
      </c>
      <c r="F14" s="13">
        <f t="shared" ref="F14:H14" si="2">SUM(F7:F13)</f>
        <v>1403000</v>
      </c>
      <c r="G14" s="13">
        <f t="shared" si="2"/>
        <v>759000</v>
      </c>
      <c r="H14" s="13">
        <f t="shared" si="2"/>
        <v>644000</v>
      </c>
    </row>
    <row r="15" spans="1:16" x14ac:dyDescent="0.25">
      <c r="A15" t="s">
        <v>8</v>
      </c>
      <c r="B15" s="3">
        <v>45358</v>
      </c>
      <c r="C15" t="s">
        <v>700</v>
      </c>
      <c r="D15" t="s">
        <v>13</v>
      </c>
      <c r="E15">
        <v>52</v>
      </c>
      <c r="F15" s="4">
        <f>E15*8000</f>
        <v>416000</v>
      </c>
      <c r="G15" s="4">
        <f>E15*4500</f>
        <v>234000</v>
      </c>
      <c r="H15" s="4">
        <f>E15*3500</f>
        <v>182000</v>
      </c>
    </row>
    <row r="16" spans="1:16" x14ac:dyDescent="0.25">
      <c r="D16" t="s">
        <v>14</v>
      </c>
      <c r="E16">
        <v>24</v>
      </c>
      <c r="F16" s="4">
        <f>E16*12000</f>
        <v>288000</v>
      </c>
      <c r="G16" s="4">
        <f>E16*5500</f>
        <v>132000</v>
      </c>
      <c r="H16" s="4">
        <f>E16*6500</f>
        <v>156000</v>
      </c>
    </row>
    <row r="17" spans="1:13" x14ac:dyDescent="0.25">
      <c r="C17" t="s">
        <v>701</v>
      </c>
      <c r="D17" t="s">
        <v>13</v>
      </c>
      <c r="E17">
        <v>4</v>
      </c>
      <c r="F17" s="4">
        <f>E17*8000</f>
        <v>32000</v>
      </c>
      <c r="G17" s="4">
        <f>E17*4500</f>
        <v>18000</v>
      </c>
      <c r="H17" s="4">
        <f>E17*3500</f>
        <v>14000</v>
      </c>
      <c r="M17" t="s">
        <v>612</v>
      </c>
    </row>
    <row r="18" spans="1:13" x14ac:dyDescent="0.25">
      <c r="D18" t="s">
        <v>14</v>
      </c>
      <c r="E18">
        <v>20</v>
      </c>
      <c r="F18" s="4">
        <f>E18*12000</f>
        <v>240000</v>
      </c>
      <c r="G18" s="4">
        <f>E18*5500</f>
        <v>110000</v>
      </c>
      <c r="H18" s="4">
        <f>E18*6500</f>
        <v>130000</v>
      </c>
    </row>
    <row r="19" spans="1:13" x14ac:dyDescent="0.25">
      <c r="C19" t="s">
        <v>16</v>
      </c>
      <c r="D19" t="s">
        <v>11</v>
      </c>
      <c r="E19">
        <v>12</v>
      </c>
      <c r="F19" s="4">
        <f>E19*1500</f>
        <v>18000</v>
      </c>
      <c r="G19" s="4">
        <f>E19*500</f>
        <v>6000</v>
      </c>
      <c r="H19" s="4">
        <v>12000</v>
      </c>
    </row>
    <row r="20" spans="1:13" x14ac:dyDescent="0.25">
      <c r="D20" t="s">
        <v>12</v>
      </c>
      <c r="E20">
        <v>1</v>
      </c>
      <c r="F20" s="4">
        <v>3000</v>
      </c>
      <c r="G20" s="4">
        <v>2000</v>
      </c>
      <c r="H20" s="4">
        <v>1000</v>
      </c>
    </row>
    <row r="21" spans="1:13" x14ac:dyDescent="0.25">
      <c r="C21" t="s">
        <v>24</v>
      </c>
      <c r="D21" t="s">
        <v>243</v>
      </c>
      <c r="E21">
        <v>2</v>
      </c>
      <c r="F21" s="4">
        <v>30000</v>
      </c>
      <c r="G21" s="4">
        <v>20000</v>
      </c>
      <c r="H21" s="4">
        <v>10000</v>
      </c>
    </row>
    <row r="22" spans="1:13" x14ac:dyDescent="0.25">
      <c r="A22" s="142" t="s">
        <v>17</v>
      </c>
      <c r="B22" s="142"/>
      <c r="C22" s="142"/>
      <c r="D22" s="142"/>
      <c r="E22" s="13">
        <f>SUM(E15:E21)</f>
        <v>115</v>
      </c>
      <c r="F22" s="13">
        <f t="shared" ref="F22:H22" si="3">SUM(F15:F21)</f>
        <v>1027000</v>
      </c>
      <c r="G22" s="13">
        <f t="shared" si="3"/>
        <v>522000</v>
      </c>
      <c r="H22" s="13">
        <f t="shared" si="3"/>
        <v>505000</v>
      </c>
    </row>
    <row r="23" spans="1:13" x14ac:dyDescent="0.25">
      <c r="A23" t="s">
        <v>18</v>
      </c>
      <c r="B23" s="3">
        <v>45389</v>
      </c>
      <c r="C23" t="s">
        <v>693</v>
      </c>
      <c r="D23" t="s">
        <v>13</v>
      </c>
      <c r="E23">
        <f>67+46</f>
        <v>113</v>
      </c>
      <c r="F23" s="4">
        <f>E23*8000</f>
        <v>904000</v>
      </c>
      <c r="G23" s="4">
        <f>E23*4500</f>
        <v>508500</v>
      </c>
      <c r="H23" s="4">
        <f>E23*3500</f>
        <v>395500</v>
      </c>
    </row>
    <row r="24" spans="1:13" x14ac:dyDescent="0.25">
      <c r="D24" t="s">
        <v>14</v>
      </c>
      <c r="E24">
        <f>36+34</f>
        <v>70</v>
      </c>
      <c r="F24" s="4">
        <f>E24*12000</f>
        <v>840000</v>
      </c>
      <c r="G24" s="4">
        <f>E24*5500</f>
        <v>385000</v>
      </c>
      <c r="H24" s="4">
        <f>E24*6500</f>
        <v>455000</v>
      </c>
    </row>
    <row r="25" spans="1:13" x14ac:dyDescent="0.25">
      <c r="C25" t="s">
        <v>554</v>
      </c>
      <c r="D25" t="s">
        <v>14</v>
      </c>
      <c r="E25">
        <v>2</v>
      </c>
      <c r="F25" s="4"/>
      <c r="G25" s="4"/>
      <c r="H25" s="4"/>
    </row>
    <row r="26" spans="1:13" x14ac:dyDescent="0.25">
      <c r="D26" t="s">
        <v>13</v>
      </c>
      <c r="E26">
        <v>1</v>
      </c>
      <c r="F26" s="4"/>
      <c r="G26" s="4"/>
      <c r="H26" s="4"/>
    </row>
    <row r="27" spans="1:13" x14ac:dyDescent="0.25">
      <c r="A27" s="142" t="s">
        <v>17</v>
      </c>
      <c r="B27" s="142"/>
      <c r="C27" s="142"/>
      <c r="D27" s="142"/>
      <c r="E27" s="13">
        <f>SUM(E23:E26)</f>
        <v>186</v>
      </c>
      <c r="F27" s="13">
        <f t="shared" ref="F27:H27" si="4">SUM(F23:F26)</f>
        <v>1744000</v>
      </c>
      <c r="G27" s="13">
        <f t="shared" si="4"/>
        <v>893500</v>
      </c>
      <c r="H27" s="13">
        <f t="shared" si="4"/>
        <v>850500</v>
      </c>
    </row>
    <row r="28" spans="1:13" x14ac:dyDescent="0.25">
      <c r="A28" t="s">
        <v>22</v>
      </c>
      <c r="B28" s="3">
        <v>45419</v>
      </c>
      <c r="C28" t="s">
        <v>693</v>
      </c>
      <c r="D28" t="s">
        <v>13</v>
      </c>
      <c r="E28">
        <v>104</v>
      </c>
      <c r="F28" s="4">
        <f>E28*8000</f>
        <v>832000</v>
      </c>
      <c r="G28" s="4">
        <f>E28*4500</f>
        <v>468000</v>
      </c>
      <c r="H28" s="4">
        <f>E28*3500</f>
        <v>364000</v>
      </c>
    </row>
    <row r="29" spans="1:13" x14ac:dyDescent="0.25">
      <c r="D29" t="s">
        <v>14</v>
      </c>
      <c r="E29">
        <v>11</v>
      </c>
      <c r="F29" s="4">
        <f>E29*12000</f>
        <v>132000</v>
      </c>
      <c r="G29" s="4">
        <f>E29*5500</f>
        <v>60500</v>
      </c>
      <c r="H29" s="4">
        <f>E29*6500</f>
        <v>71500</v>
      </c>
    </row>
    <row r="30" spans="1:13" x14ac:dyDescent="0.25">
      <c r="C30" t="s">
        <v>16</v>
      </c>
      <c r="D30" t="s">
        <v>11</v>
      </c>
      <c r="E30">
        <v>46</v>
      </c>
      <c r="F30" s="4">
        <f>E30*1500</f>
        <v>69000</v>
      </c>
      <c r="G30" s="4">
        <f>E30*500</f>
        <v>23000</v>
      </c>
      <c r="H30" s="4">
        <v>46000</v>
      </c>
    </row>
    <row r="31" spans="1:13" x14ac:dyDescent="0.25">
      <c r="C31" t="s">
        <v>24</v>
      </c>
      <c r="D31" t="s">
        <v>243</v>
      </c>
      <c r="E31">
        <v>3</v>
      </c>
      <c r="F31" s="4">
        <f>E31*15000</f>
        <v>45000</v>
      </c>
      <c r="G31" s="4">
        <f>E31*10000</f>
        <v>30000</v>
      </c>
      <c r="H31" s="4">
        <v>15000</v>
      </c>
    </row>
    <row r="32" spans="1:13" x14ac:dyDescent="0.25">
      <c r="A32" s="142" t="s">
        <v>17</v>
      </c>
      <c r="B32" s="142"/>
      <c r="C32" s="142"/>
      <c r="D32" s="142"/>
      <c r="E32" s="13">
        <f>SUM(E28:E31)</f>
        <v>164</v>
      </c>
      <c r="F32" s="13">
        <f t="shared" ref="F32:H32" si="5">SUM(F28:F31)</f>
        <v>1078000</v>
      </c>
      <c r="G32" s="13">
        <f t="shared" si="5"/>
        <v>581500</v>
      </c>
      <c r="H32" s="13">
        <f t="shared" si="5"/>
        <v>496500</v>
      </c>
    </row>
    <row r="33" spans="1:8" x14ac:dyDescent="0.25">
      <c r="A33" t="s">
        <v>26</v>
      </c>
      <c r="B33" s="3">
        <v>45450</v>
      </c>
      <c r="C33" t="s">
        <v>693</v>
      </c>
      <c r="D33" t="s">
        <v>13</v>
      </c>
      <c r="E33">
        <f>140+117</f>
        <v>257</v>
      </c>
      <c r="F33" s="4">
        <f>E33*8000</f>
        <v>2056000</v>
      </c>
      <c r="G33" s="4">
        <f>E33*4500</f>
        <v>1156500</v>
      </c>
      <c r="H33" s="4">
        <f>E33*3500</f>
        <v>899500</v>
      </c>
    </row>
    <row r="34" spans="1:8" x14ac:dyDescent="0.25">
      <c r="D34" t="s">
        <v>14</v>
      </c>
      <c r="E34">
        <f>77+51</f>
        <v>128</v>
      </c>
      <c r="F34" s="4">
        <f>E34*12000</f>
        <v>1536000</v>
      </c>
      <c r="G34" s="4">
        <f>E34*5500</f>
        <v>704000</v>
      </c>
      <c r="H34" s="4">
        <f>E34*6500</f>
        <v>832000</v>
      </c>
    </row>
    <row r="35" spans="1:8" x14ac:dyDescent="0.25">
      <c r="C35" t="s">
        <v>16</v>
      </c>
      <c r="D35" t="s">
        <v>11</v>
      </c>
      <c r="E35">
        <v>35</v>
      </c>
      <c r="F35" s="4">
        <f>E35*1500</f>
        <v>52500</v>
      </c>
      <c r="G35" s="4">
        <f>E35*500</f>
        <v>17500</v>
      </c>
      <c r="H35" s="4">
        <v>35000</v>
      </c>
    </row>
    <row r="36" spans="1:8" x14ac:dyDescent="0.25">
      <c r="D36" t="s">
        <v>12</v>
      </c>
      <c r="E36">
        <v>6</v>
      </c>
      <c r="F36" s="4">
        <f>E36*3000</f>
        <v>18000</v>
      </c>
      <c r="G36" s="4">
        <v>12000</v>
      </c>
      <c r="H36" s="4">
        <v>6000</v>
      </c>
    </row>
    <row r="37" spans="1:8" x14ac:dyDescent="0.25">
      <c r="D37" t="s">
        <v>13</v>
      </c>
      <c r="E37">
        <v>2</v>
      </c>
      <c r="F37" s="4">
        <v>13000</v>
      </c>
      <c r="G37" s="4">
        <v>9000</v>
      </c>
      <c r="H37" s="4">
        <v>4000</v>
      </c>
    </row>
    <row r="38" spans="1:8" x14ac:dyDescent="0.25">
      <c r="D38" t="s">
        <v>243</v>
      </c>
      <c r="E38">
        <v>1</v>
      </c>
      <c r="F38" s="4">
        <v>13000</v>
      </c>
      <c r="G38" s="4">
        <v>10000</v>
      </c>
      <c r="H38" s="4">
        <v>3000</v>
      </c>
    </row>
    <row r="39" spans="1:8" x14ac:dyDescent="0.25">
      <c r="C39" t="s">
        <v>701</v>
      </c>
      <c r="D39" t="s">
        <v>11</v>
      </c>
      <c r="E39">
        <v>13</v>
      </c>
      <c r="F39" s="4">
        <f>E39*2000</f>
        <v>26000</v>
      </c>
      <c r="G39" s="4">
        <f>E39*500</f>
        <v>6500</v>
      </c>
      <c r="H39" s="4">
        <f>E39*1500</f>
        <v>19500</v>
      </c>
    </row>
    <row r="40" spans="1:8" x14ac:dyDescent="0.25">
      <c r="D40" t="s">
        <v>13</v>
      </c>
      <c r="E40">
        <v>23</v>
      </c>
      <c r="F40" s="4">
        <f>E40*7000</f>
        <v>161000</v>
      </c>
      <c r="G40" s="4">
        <f>E40*4500</f>
        <v>103500</v>
      </c>
      <c r="H40" s="4">
        <f>E40*2500</f>
        <v>57500</v>
      </c>
    </row>
    <row r="41" spans="1:8" x14ac:dyDescent="0.25">
      <c r="D41" t="s">
        <v>14</v>
      </c>
      <c r="E41">
        <v>3</v>
      </c>
      <c r="F41" s="4">
        <f>E41*10000</f>
        <v>30000</v>
      </c>
      <c r="G41" s="4">
        <f>E41*5500</f>
        <v>16500</v>
      </c>
      <c r="H41" s="4">
        <f>E41*4500</f>
        <v>13500</v>
      </c>
    </row>
    <row r="42" spans="1:8" x14ac:dyDescent="0.25">
      <c r="C42" t="s">
        <v>24</v>
      </c>
      <c r="D42" t="s">
        <v>243</v>
      </c>
      <c r="E42">
        <v>15</v>
      </c>
      <c r="F42" s="4">
        <f>E42*15000</f>
        <v>225000</v>
      </c>
      <c r="G42" s="4">
        <f>E42*10000</f>
        <v>150000</v>
      </c>
      <c r="H42" s="4">
        <f>E42*5000</f>
        <v>75000</v>
      </c>
    </row>
    <row r="43" spans="1:8" x14ac:dyDescent="0.25">
      <c r="A43" s="111" t="s">
        <v>17</v>
      </c>
      <c r="B43" s="111"/>
      <c r="C43" s="111"/>
      <c r="D43" s="111"/>
      <c r="E43" s="1">
        <f>SUM(E33:E42)</f>
        <v>483</v>
      </c>
      <c r="F43" s="13">
        <f t="shared" ref="F43:H43" si="6">SUM(F33:F42)</f>
        <v>4130500</v>
      </c>
      <c r="G43" s="13">
        <f t="shared" si="6"/>
        <v>2185500</v>
      </c>
      <c r="H43" s="13">
        <f t="shared" si="6"/>
        <v>1945000</v>
      </c>
    </row>
    <row r="44" spans="1:8" x14ac:dyDescent="0.25">
      <c r="A44" t="s">
        <v>28</v>
      </c>
      <c r="B44" s="3">
        <v>45480</v>
      </c>
      <c r="C44" t="s">
        <v>700</v>
      </c>
      <c r="D44" t="s">
        <v>13</v>
      </c>
      <c r="E44">
        <v>34</v>
      </c>
      <c r="F44" s="4">
        <f>E44*7000</f>
        <v>238000</v>
      </c>
      <c r="G44" s="4">
        <f>E44*4500</f>
        <v>153000</v>
      </c>
      <c r="H44" s="4">
        <f>E44*2500</f>
        <v>85000</v>
      </c>
    </row>
    <row r="45" spans="1:8" x14ac:dyDescent="0.25">
      <c r="D45" t="s">
        <v>14</v>
      </c>
      <c r="E45">
        <v>20</v>
      </c>
      <c r="F45" s="4">
        <f>E45*10000</f>
        <v>200000</v>
      </c>
      <c r="G45" s="4">
        <f>E45*5500</f>
        <v>110000</v>
      </c>
      <c r="H45" s="4">
        <f>E45*4500</f>
        <v>90000</v>
      </c>
    </row>
    <row r="46" spans="1:8" x14ac:dyDescent="0.25">
      <c r="D46" t="s">
        <v>11</v>
      </c>
      <c r="E46">
        <v>1</v>
      </c>
      <c r="F46" s="4">
        <v>2000</v>
      </c>
      <c r="G46" s="4">
        <v>500</v>
      </c>
      <c r="H46" s="4">
        <v>1500</v>
      </c>
    </row>
    <row r="47" spans="1:8" x14ac:dyDescent="0.25">
      <c r="C47" t="s">
        <v>16</v>
      </c>
      <c r="D47" t="s">
        <v>11</v>
      </c>
      <c r="E47">
        <v>61</v>
      </c>
      <c r="F47" s="4">
        <f>E47*1500</f>
        <v>91500</v>
      </c>
      <c r="G47" s="4">
        <f>E47*500</f>
        <v>30500</v>
      </c>
      <c r="H47" s="4">
        <v>61000</v>
      </c>
    </row>
    <row r="48" spans="1:8" x14ac:dyDescent="0.25">
      <c r="D48" t="s">
        <v>12</v>
      </c>
      <c r="E48">
        <v>5</v>
      </c>
      <c r="F48" s="4">
        <v>15000</v>
      </c>
      <c r="G48" s="4">
        <v>10000</v>
      </c>
      <c r="H48" s="4">
        <v>5000</v>
      </c>
    </row>
    <row r="49" spans="1:8 16384:16384" x14ac:dyDescent="0.25">
      <c r="C49" t="s">
        <v>693</v>
      </c>
      <c r="D49" t="s">
        <v>13</v>
      </c>
      <c r="E49">
        <f>39+132+129</f>
        <v>300</v>
      </c>
      <c r="F49" s="4">
        <f>E49*8000</f>
        <v>2400000</v>
      </c>
      <c r="G49" s="4">
        <f>E49*4500</f>
        <v>1350000</v>
      </c>
      <c r="H49" s="4">
        <f>E49*3500</f>
        <v>1050000</v>
      </c>
    </row>
    <row r="50" spans="1:8 16384:16384" x14ac:dyDescent="0.25">
      <c r="D50" t="s">
        <v>14</v>
      </c>
      <c r="E50">
        <f>46+9+84</f>
        <v>139</v>
      </c>
      <c r="F50" s="4">
        <f>E50*12000</f>
        <v>1668000</v>
      </c>
      <c r="G50" s="4">
        <f>E50*5500</f>
        <v>764500</v>
      </c>
      <c r="H50" s="4">
        <f>E50*6500</f>
        <v>903500</v>
      </c>
    </row>
    <row r="51" spans="1:8 16384:16384" x14ac:dyDescent="0.25">
      <c r="A51" s="142" t="s">
        <v>17</v>
      </c>
      <c r="B51" s="142"/>
      <c r="C51" s="142"/>
      <c r="D51" s="142"/>
      <c r="E51" s="13">
        <f>SUM(E44:E50)</f>
        <v>560</v>
      </c>
      <c r="F51" s="13">
        <f t="shared" ref="F51:H51" si="7">SUM(F44:F50)</f>
        <v>4614500</v>
      </c>
      <c r="G51" s="13">
        <f t="shared" si="7"/>
        <v>2418500</v>
      </c>
      <c r="H51" s="13">
        <f t="shared" si="7"/>
        <v>2196000</v>
      </c>
    </row>
    <row r="52" spans="1:8 16384:16384" x14ac:dyDescent="0.25">
      <c r="A52" t="s">
        <v>30</v>
      </c>
      <c r="B52" s="3">
        <v>45511</v>
      </c>
      <c r="C52" t="s">
        <v>693</v>
      </c>
      <c r="D52" t="s">
        <v>13</v>
      </c>
      <c r="E52">
        <v>39</v>
      </c>
      <c r="F52" s="4">
        <f>E52*8000</f>
        <v>312000</v>
      </c>
      <c r="G52" s="4">
        <f>E52*4500</f>
        <v>175500</v>
      </c>
      <c r="H52" s="4">
        <f>E52*3500</f>
        <v>136500</v>
      </c>
    </row>
    <row r="53" spans="1:8 16384:16384" x14ac:dyDescent="0.25">
      <c r="D53" t="s">
        <v>14</v>
      </c>
      <c r="E53">
        <v>4</v>
      </c>
      <c r="F53" s="4">
        <f>E53*12000</f>
        <v>48000</v>
      </c>
      <c r="G53" s="4">
        <f>E53*5500</f>
        <v>22000</v>
      </c>
      <c r="H53" s="4">
        <f>E53*6500</f>
        <v>26000</v>
      </c>
    </row>
    <row r="54" spans="1:8 16384:16384" x14ac:dyDescent="0.25">
      <c r="C54" t="s">
        <v>16</v>
      </c>
      <c r="D54" t="s">
        <v>11</v>
      </c>
      <c r="E54">
        <v>27</v>
      </c>
      <c r="F54" s="4">
        <f>E54*1500</f>
        <v>40500</v>
      </c>
      <c r="G54" s="4">
        <f>E54*500</f>
        <v>13500</v>
      </c>
      <c r="H54" s="4">
        <v>27000</v>
      </c>
    </row>
    <row r="55" spans="1:8 16384:16384" x14ac:dyDescent="0.25">
      <c r="D55" t="s">
        <v>12</v>
      </c>
      <c r="E55">
        <v>2</v>
      </c>
      <c r="F55" s="4">
        <v>6000</v>
      </c>
      <c r="G55" s="4">
        <v>4000</v>
      </c>
      <c r="H55" s="4">
        <v>2000</v>
      </c>
    </row>
    <row r="56" spans="1:8 16384:16384" x14ac:dyDescent="0.25">
      <c r="D56" t="s">
        <v>13</v>
      </c>
      <c r="E56">
        <v>1</v>
      </c>
      <c r="F56" s="4">
        <v>6500</v>
      </c>
      <c r="G56" s="4">
        <v>4500</v>
      </c>
      <c r="H56" s="4">
        <v>2000</v>
      </c>
    </row>
    <row r="57" spans="1:8 16384:16384" x14ac:dyDescent="0.25">
      <c r="C57" t="s">
        <v>217</v>
      </c>
      <c r="D57" t="s">
        <v>11</v>
      </c>
      <c r="E57">
        <v>4</v>
      </c>
      <c r="F57" s="4">
        <v>6000</v>
      </c>
      <c r="G57" s="4">
        <f>E57*500</f>
        <v>2000</v>
      </c>
      <c r="H57" s="4">
        <v>4000</v>
      </c>
    </row>
    <row r="58" spans="1:8 16384:16384" x14ac:dyDescent="0.25">
      <c r="D58" t="s">
        <v>13</v>
      </c>
      <c r="E58">
        <v>8</v>
      </c>
      <c r="F58" s="4">
        <f>E58*6500</f>
        <v>52000</v>
      </c>
      <c r="G58" s="4">
        <f>E58*4500</f>
        <v>36000</v>
      </c>
      <c r="H58" s="4">
        <f>E58*2000</f>
        <v>16000</v>
      </c>
    </row>
    <row r="59" spans="1:8 16384:16384" x14ac:dyDescent="0.25">
      <c r="D59" t="s">
        <v>14</v>
      </c>
      <c r="E59">
        <v>3</v>
      </c>
      <c r="F59" s="4"/>
      <c r="G59" s="4"/>
      <c r="H59" s="4"/>
      <c r="XFD59" t="s">
        <v>612</v>
      </c>
    </row>
    <row r="60" spans="1:8 16384:16384" x14ac:dyDescent="0.25">
      <c r="A60" s="142" t="s">
        <v>17</v>
      </c>
      <c r="B60" s="142"/>
      <c r="C60" s="142"/>
      <c r="D60" s="142"/>
      <c r="E60" s="13">
        <f>SUM(E52:E59)</f>
        <v>88</v>
      </c>
      <c r="F60" s="13">
        <f t="shared" ref="F60:G60" si="8">SUM(F52:F56)</f>
        <v>413000</v>
      </c>
      <c r="G60" s="13">
        <f t="shared" si="8"/>
        <v>219500</v>
      </c>
      <c r="H60" s="13">
        <f>SUM(H52:H57)</f>
        <v>197500</v>
      </c>
    </row>
    <row r="61" spans="1:8 16384:16384" x14ac:dyDescent="0.25">
      <c r="A61" t="s">
        <v>32</v>
      </c>
      <c r="B61" s="3">
        <v>45542</v>
      </c>
      <c r="C61" t="s">
        <v>693</v>
      </c>
      <c r="D61" t="s">
        <v>13</v>
      </c>
      <c r="E61">
        <v>51</v>
      </c>
      <c r="F61" s="4">
        <f>E61*8000</f>
        <v>408000</v>
      </c>
      <c r="G61" s="4">
        <f>E61*4500</f>
        <v>229500</v>
      </c>
      <c r="H61" s="4">
        <f>E61*3500</f>
        <v>178500</v>
      </c>
    </row>
    <row r="62" spans="1:8 16384:16384" x14ac:dyDescent="0.25">
      <c r="D62" t="s">
        <v>14</v>
      </c>
      <c r="E62">
        <v>24</v>
      </c>
      <c r="F62" s="4">
        <f>E62*12000</f>
        <v>288000</v>
      </c>
      <c r="G62" s="4">
        <f>E62*5500</f>
        <v>132000</v>
      </c>
      <c r="H62" s="4">
        <f>E62*6500</f>
        <v>156000</v>
      </c>
    </row>
    <row r="63" spans="1:8 16384:16384" x14ac:dyDescent="0.25">
      <c r="C63" t="s">
        <v>16</v>
      </c>
      <c r="D63" t="s">
        <v>11</v>
      </c>
      <c r="E63">
        <v>28</v>
      </c>
      <c r="F63" s="4">
        <f>E63*1500</f>
        <v>42000</v>
      </c>
      <c r="G63" s="4">
        <f>E63*500</f>
        <v>14000</v>
      </c>
      <c r="H63" s="4">
        <v>28000</v>
      </c>
    </row>
    <row r="64" spans="1:8 16384:16384" x14ac:dyDescent="0.25">
      <c r="D64" t="s">
        <v>12</v>
      </c>
      <c r="E64">
        <v>3</v>
      </c>
      <c r="F64" s="4">
        <f>E64*3000</f>
        <v>9000</v>
      </c>
      <c r="G64" s="4">
        <v>6000</v>
      </c>
      <c r="H64" s="4">
        <v>3000</v>
      </c>
    </row>
    <row r="65" spans="1:10" x14ac:dyDescent="0.25">
      <c r="D65" t="s">
        <v>13</v>
      </c>
      <c r="E65">
        <v>1</v>
      </c>
      <c r="F65" s="4">
        <v>6500</v>
      </c>
      <c r="G65" s="4">
        <v>4500</v>
      </c>
      <c r="H65" s="4">
        <v>2000</v>
      </c>
      <c r="J65" t="s">
        <v>612</v>
      </c>
    </row>
    <row r="66" spans="1:10" x14ac:dyDescent="0.25">
      <c r="D66" t="s">
        <v>243</v>
      </c>
      <c r="E66">
        <v>1</v>
      </c>
      <c r="F66" s="4">
        <v>13000</v>
      </c>
      <c r="G66" s="4">
        <v>10000</v>
      </c>
      <c r="H66" s="4">
        <v>3000</v>
      </c>
    </row>
    <row r="67" spans="1:10" x14ac:dyDescent="0.25">
      <c r="C67" t="s">
        <v>24</v>
      </c>
      <c r="D67" t="s">
        <v>21</v>
      </c>
      <c r="E67">
        <v>2</v>
      </c>
      <c r="F67" s="4">
        <f>E67*17000</f>
        <v>34000</v>
      </c>
      <c r="G67" s="4">
        <f>E67*12000</f>
        <v>24000</v>
      </c>
      <c r="H67" s="4">
        <f>E67*5000</f>
        <v>10000</v>
      </c>
    </row>
    <row r="68" spans="1:10" x14ac:dyDescent="0.25">
      <c r="C68" t="s">
        <v>554</v>
      </c>
      <c r="D68" t="s">
        <v>13</v>
      </c>
      <c r="E68">
        <v>3</v>
      </c>
      <c r="F68" s="4"/>
      <c r="G68" s="4"/>
      <c r="H68" s="4"/>
    </row>
    <row r="69" spans="1:10" x14ac:dyDescent="0.25">
      <c r="D69" t="s">
        <v>14</v>
      </c>
      <c r="E69">
        <v>3</v>
      </c>
      <c r="F69" s="4"/>
      <c r="G69" s="4"/>
      <c r="H69" s="4"/>
    </row>
    <row r="70" spans="1:10" x14ac:dyDescent="0.25">
      <c r="A70" s="142" t="s">
        <v>17</v>
      </c>
      <c r="B70" s="142"/>
      <c r="C70" s="142"/>
      <c r="D70" s="142"/>
      <c r="E70" s="13">
        <f>SUM(E61:E69)</f>
        <v>116</v>
      </c>
      <c r="F70" s="13">
        <f t="shared" ref="F70:H70" si="9">SUM(F61:F69)</f>
        <v>800500</v>
      </c>
      <c r="G70" s="13">
        <f t="shared" si="9"/>
        <v>420000</v>
      </c>
      <c r="H70" s="13">
        <f t="shared" si="9"/>
        <v>380500</v>
      </c>
    </row>
    <row r="71" spans="1:10" x14ac:dyDescent="0.25">
      <c r="A71" t="s">
        <v>8</v>
      </c>
      <c r="B71" s="3">
        <v>45572</v>
      </c>
      <c r="C71" t="s">
        <v>693</v>
      </c>
      <c r="D71" t="s">
        <v>13</v>
      </c>
      <c r="E71">
        <v>43</v>
      </c>
      <c r="F71" s="4">
        <f>E71*8000</f>
        <v>344000</v>
      </c>
      <c r="G71" s="4">
        <f>E71*4500</f>
        <v>193500</v>
      </c>
      <c r="H71" s="4">
        <f>E71*3500</f>
        <v>150500</v>
      </c>
    </row>
    <row r="72" spans="1:10" x14ac:dyDescent="0.25">
      <c r="D72" t="s">
        <v>14</v>
      </c>
      <c r="E72">
        <v>18</v>
      </c>
      <c r="F72" s="4">
        <f>E72*13000</f>
        <v>234000</v>
      </c>
      <c r="G72" s="4">
        <f>E72*5500</f>
        <v>99000</v>
      </c>
      <c r="H72" s="4">
        <f>E72*6500</f>
        <v>117000</v>
      </c>
    </row>
    <row r="73" spans="1:10" x14ac:dyDescent="0.25">
      <c r="C73" t="s">
        <v>16</v>
      </c>
      <c r="D73" t="s">
        <v>11</v>
      </c>
      <c r="E73">
        <v>46</v>
      </c>
      <c r="F73" s="4">
        <f>E73*1500</f>
        <v>69000</v>
      </c>
      <c r="G73" s="4">
        <f>E73*500</f>
        <v>23000</v>
      </c>
      <c r="H73" s="4">
        <v>46000</v>
      </c>
    </row>
    <row r="74" spans="1:10" x14ac:dyDescent="0.25">
      <c r="D74" t="s">
        <v>13</v>
      </c>
      <c r="E74">
        <v>3</v>
      </c>
      <c r="F74" s="4">
        <f>E74*6500</f>
        <v>19500</v>
      </c>
      <c r="G74" s="4">
        <f>E74*4500</f>
        <v>13500</v>
      </c>
      <c r="H74" s="4">
        <f>E74*2000</f>
        <v>6000</v>
      </c>
    </row>
    <row r="75" spans="1:10" x14ac:dyDescent="0.25">
      <c r="D75" t="s">
        <v>243</v>
      </c>
      <c r="E75">
        <v>1</v>
      </c>
      <c r="F75" s="4">
        <v>13000</v>
      </c>
      <c r="G75" s="4">
        <v>10000</v>
      </c>
      <c r="H75" s="4">
        <v>3000</v>
      </c>
    </row>
    <row r="76" spans="1:10" x14ac:dyDescent="0.25">
      <c r="C76" t="s">
        <v>24</v>
      </c>
      <c r="D76" t="s">
        <v>243</v>
      </c>
      <c r="E76">
        <v>3</v>
      </c>
      <c r="F76" s="4">
        <v>45000</v>
      </c>
      <c r="G76" s="4">
        <v>30000</v>
      </c>
      <c r="H76" s="4">
        <v>15000</v>
      </c>
    </row>
    <row r="77" spans="1:10" x14ac:dyDescent="0.25">
      <c r="A77" s="111" t="s">
        <v>17</v>
      </c>
      <c r="B77" s="111"/>
      <c r="C77" s="111"/>
      <c r="D77" s="111"/>
      <c r="E77" s="13">
        <f>SUM(E71:E76)</f>
        <v>114</v>
      </c>
      <c r="F77" s="13">
        <f t="shared" ref="F77:H77" si="10">SUM(F71:F76)</f>
        <v>724500</v>
      </c>
      <c r="G77" s="13">
        <f t="shared" si="10"/>
        <v>369000</v>
      </c>
      <c r="H77" s="13">
        <f t="shared" si="10"/>
        <v>337500</v>
      </c>
    </row>
    <row r="78" spans="1:10" x14ac:dyDescent="0.25">
      <c r="A78" t="s">
        <v>18</v>
      </c>
      <c r="B78" s="3">
        <v>45603</v>
      </c>
      <c r="C78" t="s">
        <v>700</v>
      </c>
      <c r="D78" t="s">
        <v>13</v>
      </c>
      <c r="E78">
        <v>43</v>
      </c>
      <c r="F78" s="4">
        <f>E78*8000</f>
        <v>344000</v>
      </c>
      <c r="G78" s="4">
        <f>E78*4500</f>
        <v>193500</v>
      </c>
      <c r="H78" s="4">
        <f>E78*3500</f>
        <v>150500</v>
      </c>
    </row>
    <row r="79" spans="1:10" x14ac:dyDescent="0.25">
      <c r="D79" t="s">
        <v>14</v>
      </c>
      <c r="E79">
        <v>8</v>
      </c>
      <c r="F79" s="4">
        <f>E79*12000</f>
        <v>96000</v>
      </c>
      <c r="G79" s="4">
        <f>E79*5500</f>
        <v>44000</v>
      </c>
      <c r="H79" s="4">
        <f>E79*6500</f>
        <v>52000</v>
      </c>
    </row>
    <row r="80" spans="1:10" x14ac:dyDescent="0.25">
      <c r="C80" t="s">
        <v>701</v>
      </c>
      <c r="D80" t="s">
        <v>13</v>
      </c>
      <c r="E80">
        <v>14</v>
      </c>
      <c r="F80" s="4">
        <f>E80*8000</f>
        <v>112000</v>
      </c>
      <c r="G80" s="4">
        <f>E80*4500</f>
        <v>63000</v>
      </c>
      <c r="H80" s="4">
        <f>E80*3500</f>
        <v>49000</v>
      </c>
    </row>
    <row r="81" spans="1:8" x14ac:dyDescent="0.25">
      <c r="C81" t="s">
        <v>16</v>
      </c>
      <c r="D81" t="s">
        <v>11</v>
      </c>
      <c r="E81">
        <v>46</v>
      </c>
      <c r="F81" s="4">
        <f>E81*1500</f>
        <v>69000</v>
      </c>
      <c r="G81" s="4">
        <f>E81*500</f>
        <v>23000</v>
      </c>
      <c r="H81" s="4">
        <v>46000</v>
      </c>
    </row>
    <row r="82" spans="1:8" x14ac:dyDescent="0.25">
      <c r="D82" t="s">
        <v>12</v>
      </c>
      <c r="E82">
        <v>3</v>
      </c>
      <c r="F82" s="4">
        <f>E82*3000</f>
        <v>9000</v>
      </c>
      <c r="G82" s="4">
        <v>6000</v>
      </c>
      <c r="H82" s="4">
        <v>30000</v>
      </c>
    </row>
    <row r="83" spans="1:8" x14ac:dyDescent="0.25">
      <c r="D83" t="s">
        <v>13</v>
      </c>
      <c r="E83">
        <v>3</v>
      </c>
      <c r="F83" s="4">
        <f>E83*6500</f>
        <v>19500</v>
      </c>
      <c r="G83" s="4">
        <f>E83*4500</f>
        <v>13500</v>
      </c>
      <c r="H83" s="4">
        <f>E83*2000</f>
        <v>6000</v>
      </c>
    </row>
    <row r="84" spans="1:8" x14ac:dyDescent="0.25">
      <c r="A84" s="142" t="s">
        <v>17</v>
      </c>
      <c r="B84" s="142"/>
      <c r="C84" s="142"/>
      <c r="D84" s="142"/>
      <c r="E84" s="13">
        <f>SUM(E78:E83)</f>
        <v>117</v>
      </c>
      <c r="F84" s="13">
        <f t="shared" ref="F84:H84" si="11">SUM(F78:F83)</f>
        <v>649500</v>
      </c>
      <c r="G84" s="13">
        <f t="shared" si="11"/>
        <v>343000</v>
      </c>
      <c r="H84" s="13">
        <f t="shared" si="11"/>
        <v>333500</v>
      </c>
    </row>
    <row r="85" spans="1:8" x14ac:dyDescent="0.25">
      <c r="A85" t="s">
        <v>22</v>
      </c>
      <c r="B85" s="3">
        <v>45633</v>
      </c>
      <c r="C85" t="s">
        <v>693</v>
      </c>
      <c r="D85" t="s">
        <v>13</v>
      </c>
      <c r="E85">
        <v>43</v>
      </c>
      <c r="F85" s="4">
        <f>E85*8000</f>
        <v>344000</v>
      </c>
      <c r="G85" s="4">
        <f>E85*4500</f>
        <v>193500</v>
      </c>
      <c r="H85" s="4">
        <f>E85*3500</f>
        <v>150500</v>
      </c>
    </row>
    <row r="86" spans="1:8" x14ac:dyDescent="0.25">
      <c r="D86" t="s">
        <v>14</v>
      </c>
      <c r="E86">
        <v>10</v>
      </c>
      <c r="F86" s="4">
        <f>E86*12000</f>
        <v>120000</v>
      </c>
      <c r="G86" s="4">
        <f>E86*5500</f>
        <v>55000</v>
      </c>
      <c r="H86" s="4">
        <f>E86*6500</f>
        <v>65000</v>
      </c>
    </row>
    <row r="87" spans="1:8" x14ac:dyDescent="0.25">
      <c r="C87" t="s">
        <v>16</v>
      </c>
      <c r="D87" t="s">
        <v>11</v>
      </c>
      <c r="E87">
        <v>26</v>
      </c>
      <c r="F87" s="4">
        <f>E87*1500</f>
        <v>39000</v>
      </c>
      <c r="G87" s="4">
        <f>E87*500</f>
        <v>13000</v>
      </c>
      <c r="H87" s="4">
        <v>26000</v>
      </c>
    </row>
    <row r="88" spans="1:8" x14ac:dyDescent="0.25">
      <c r="D88" t="s">
        <v>12</v>
      </c>
      <c r="E88">
        <v>4</v>
      </c>
      <c r="F88" s="4">
        <v>12000</v>
      </c>
      <c r="G88" s="4">
        <v>8000</v>
      </c>
      <c r="H88" s="4">
        <v>4000</v>
      </c>
    </row>
    <row r="89" spans="1:8" x14ac:dyDescent="0.25">
      <c r="D89" t="s">
        <v>13</v>
      </c>
      <c r="E89">
        <v>1</v>
      </c>
      <c r="F89" s="4">
        <v>6500</v>
      </c>
      <c r="G89" s="4">
        <v>4500</v>
      </c>
      <c r="H89" s="4">
        <v>2000</v>
      </c>
    </row>
    <row r="90" spans="1:8" x14ac:dyDescent="0.25">
      <c r="D90" t="s">
        <v>243</v>
      </c>
      <c r="E90">
        <v>1</v>
      </c>
      <c r="F90" s="4">
        <v>13000</v>
      </c>
      <c r="G90" s="4">
        <v>10000</v>
      </c>
      <c r="H90" s="4">
        <v>3000</v>
      </c>
    </row>
    <row r="91" spans="1:8" x14ac:dyDescent="0.25">
      <c r="C91" t="s">
        <v>554</v>
      </c>
      <c r="D91" t="s">
        <v>13</v>
      </c>
      <c r="E91">
        <v>4</v>
      </c>
      <c r="F91" s="4"/>
      <c r="G91" s="4"/>
      <c r="H91" s="4"/>
    </row>
    <row r="92" spans="1:8" x14ac:dyDescent="0.25">
      <c r="D92" t="s">
        <v>14</v>
      </c>
      <c r="E92">
        <v>4</v>
      </c>
      <c r="F92" s="4"/>
      <c r="G92" s="4"/>
      <c r="H92" s="4"/>
    </row>
    <row r="93" spans="1:8" x14ac:dyDescent="0.25">
      <c r="D93" t="s">
        <v>243</v>
      </c>
      <c r="E93">
        <v>7</v>
      </c>
      <c r="F93" s="4"/>
      <c r="G93" s="4"/>
      <c r="H93" s="4"/>
    </row>
    <row r="94" spans="1:8" x14ac:dyDescent="0.25">
      <c r="A94" s="142" t="s">
        <v>17</v>
      </c>
      <c r="B94" s="142"/>
      <c r="C94" s="142"/>
      <c r="D94" s="142"/>
      <c r="E94" s="13">
        <f>SUM(E85:E93)</f>
        <v>100</v>
      </c>
      <c r="F94" s="13">
        <f t="shared" ref="F94:H94" si="12">SUM(F85:F93)</f>
        <v>534500</v>
      </c>
      <c r="G94" s="13">
        <f t="shared" si="12"/>
        <v>284000</v>
      </c>
      <c r="H94" s="13">
        <f t="shared" si="12"/>
        <v>250500</v>
      </c>
    </row>
    <row r="95" spans="1:8" x14ac:dyDescent="0.25">
      <c r="A95" t="s">
        <v>26</v>
      </c>
      <c r="B95" t="s">
        <v>829</v>
      </c>
      <c r="C95" t="s">
        <v>700</v>
      </c>
      <c r="D95" t="s">
        <v>13</v>
      </c>
      <c r="E95">
        <v>32</v>
      </c>
      <c r="F95" s="4">
        <f>E95*8000</f>
        <v>256000</v>
      </c>
      <c r="G95" s="4">
        <f>E95*4500</f>
        <v>144000</v>
      </c>
      <c r="H95" s="4">
        <f>E95*3500</f>
        <v>112000</v>
      </c>
    </row>
    <row r="96" spans="1:8" x14ac:dyDescent="0.25">
      <c r="D96" t="s">
        <v>14</v>
      </c>
      <c r="E96">
        <v>14</v>
      </c>
      <c r="F96" s="4">
        <f>E96*12000</f>
        <v>168000</v>
      </c>
      <c r="G96" s="4">
        <f>E96*5500</f>
        <v>77000</v>
      </c>
      <c r="H96" s="4">
        <f>E96*6500</f>
        <v>91000</v>
      </c>
    </row>
    <row r="97" spans="1:8" x14ac:dyDescent="0.25">
      <c r="C97" t="s">
        <v>701</v>
      </c>
      <c r="D97" t="s">
        <v>13</v>
      </c>
      <c r="E97">
        <v>40</v>
      </c>
      <c r="F97" s="4">
        <f>E97*8000</f>
        <v>320000</v>
      </c>
      <c r="G97" s="4">
        <f>E97*4500</f>
        <v>180000</v>
      </c>
      <c r="H97" s="4">
        <f>E97*3500</f>
        <v>140000</v>
      </c>
    </row>
    <row r="98" spans="1:8" x14ac:dyDescent="0.25">
      <c r="D98" t="s">
        <v>14</v>
      </c>
      <c r="E98">
        <v>7</v>
      </c>
      <c r="F98" s="4">
        <f>E98*12000</f>
        <v>84000</v>
      </c>
      <c r="G98" s="4">
        <f>E98*5500</f>
        <v>38500</v>
      </c>
      <c r="H98" s="4">
        <f>E98*6500</f>
        <v>45500</v>
      </c>
    </row>
    <row r="99" spans="1:8" x14ac:dyDescent="0.25">
      <c r="C99" t="s">
        <v>16</v>
      </c>
      <c r="D99" t="s">
        <v>11</v>
      </c>
      <c r="E99">
        <v>47</v>
      </c>
      <c r="F99" s="4">
        <f>E99*1500</f>
        <v>70500</v>
      </c>
      <c r="G99" s="4">
        <f>E99*500</f>
        <v>23500</v>
      </c>
      <c r="H99" s="4">
        <v>47000</v>
      </c>
    </row>
    <row r="100" spans="1:8" x14ac:dyDescent="0.25">
      <c r="D100" t="s">
        <v>12</v>
      </c>
      <c r="E100">
        <v>6</v>
      </c>
      <c r="F100" s="4">
        <f>E100*3000</f>
        <v>18000</v>
      </c>
      <c r="G100" s="4">
        <v>12000</v>
      </c>
      <c r="H100" s="4">
        <v>6000</v>
      </c>
    </row>
    <row r="101" spans="1:8" x14ac:dyDescent="0.25">
      <c r="D101" t="s">
        <v>13</v>
      </c>
      <c r="E101">
        <v>3</v>
      </c>
      <c r="F101" s="4">
        <f>E101*6500</f>
        <v>19500</v>
      </c>
      <c r="G101" s="4">
        <f>E101*4500</f>
        <v>13500</v>
      </c>
      <c r="H101" s="4">
        <f>E101*2000</f>
        <v>6000</v>
      </c>
    </row>
    <row r="102" spans="1:8" x14ac:dyDescent="0.25">
      <c r="D102" t="s">
        <v>14</v>
      </c>
      <c r="E102">
        <v>1</v>
      </c>
      <c r="F102" s="4">
        <v>10000</v>
      </c>
      <c r="G102" s="4">
        <v>5500</v>
      </c>
      <c r="H102" s="4">
        <v>4500</v>
      </c>
    </row>
    <row r="103" spans="1:8" x14ac:dyDescent="0.25">
      <c r="C103" t="s">
        <v>24</v>
      </c>
      <c r="D103" t="s">
        <v>243</v>
      </c>
      <c r="E103">
        <v>2</v>
      </c>
      <c r="F103" s="4">
        <v>30000</v>
      </c>
      <c r="G103" s="4">
        <v>20000</v>
      </c>
      <c r="H103" s="4">
        <v>10000</v>
      </c>
    </row>
    <row r="104" spans="1:8" x14ac:dyDescent="0.25">
      <c r="A104" s="111" t="s">
        <v>17</v>
      </c>
      <c r="B104" s="111"/>
      <c r="C104" s="111"/>
      <c r="D104" s="111"/>
      <c r="E104" s="13">
        <f>SUM(E95:E103)</f>
        <v>152</v>
      </c>
      <c r="F104" s="13">
        <f t="shared" ref="F104:H104" si="13">SUM(F95:F103)</f>
        <v>976000</v>
      </c>
      <c r="G104" s="13">
        <f t="shared" si="13"/>
        <v>514000</v>
      </c>
      <c r="H104" s="13">
        <f t="shared" si="13"/>
        <v>462000</v>
      </c>
    </row>
    <row r="105" spans="1:8" x14ac:dyDescent="0.25">
      <c r="A105" t="s">
        <v>28</v>
      </c>
      <c r="B105" t="s">
        <v>830</v>
      </c>
      <c r="C105" t="s">
        <v>700</v>
      </c>
      <c r="D105" t="s">
        <v>13</v>
      </c>
      <c r="E105">
        <v>19</v>
      </c>
      <c r="F105" s="4">
        <f>E105*7000</f>
        <v>133000</v>
      </c>
      <c r="G105" s="4">
        <f>E105*4500</f>
        <v>85500</v>
      </c>
      <c r="H105" s="4">
        <f>E105*2500</f>
        <v>47500</v>
      </c>
    </row>
    <row r="106" spans="1:8" x14ac:dyDescent="0.25">
      <c r="C106" t="s">
        <v>701</v>
      </c>
      <c r="D106" t="s">
        <v>13</v>
      </c>
      <c r="E106">
        <v>150</v>
      </c>
      <c r="F106" s="4">
        <f>E106*8000</f>
        <v>1200000</v>
      </c>
      <c r="G106" s="4">
        <f>E106*4500</f>
        <v>675000</v>
      </c>
      <c r="H106" s="4">
        <f>E106*3500</f>
        <v>525000</v>
      </c>
    </row>
    <row r="107" spans="1:8" x14ac:dyDescent="0.25">
      <c r="D107" t="s">
        <v>14</v>
      </c>
      <c r="E107">
        <v>61</v>
      </c>
      <c r="F107" s="4">
        <f>E107*12000</f>
        <v>732000</v>
      </c>
      <c r="G107" s="4">
        <f>E107*5500</f>
        <v>335500</v>
      </c>
      <c r="H107" s="4">
        <f>E107*6500</f>
        <v>396500</v>
      </c>
    </row>
    <row r="108" spans="1:8" x14ac:dyDescent="0.25">
      <c r="C108" t="s">
        <v>16</v>
      </c>
      <c r="D108" t="s">
        <v>11</v>
      </c>
      <c r="E108">
        <v>46</v>
      </c>
      <c r="F108" s="4">
        <f>E108*1500</f>
        <v>69000</v>
      </c>
      <c r="G108" s="4">
        <f>E108*500</f>
        <v>23000</v>
      </c>
      <c r="H108" s="4">
        <v>46000</v>
      </c>
    </row>
    <row r="109" spans="1:8" x14ac:dyDescent="0.25">
      <c r="D109" t="s">
        <v>12</v>
      </c>
      <c r="E109">
        <v>6</v>
      </c>
      <c r="F109" s="4">
        <v>18000</v>
      </c>
      <c r="G109" s="4">
        <v>12000</v>
      </c>
      <c r="H109" s="4">
        <v>6000</v>
      </c>
    </row>
    <row r="110" spans="1:8" x14ac:dyDescent="0.25">
      <c r="C110" t="s">
        <v>24</v>
      </c>
      <c r="D110" t="s">
        <v>21</v>
      </c>
      <c r="E110">
        <v>5</v>
      </c>
      <c r="F110" s="4">
        <f>E110*15000</f>
        <v>75000</v>
      </c>
      <c r="G110" s="4">
        <f>E110*10000</f>
        <v>50000</v>
      </c>
      <c r="H110" s="4">
        <v>25000</v>
      </c>
    </row>
    <row r="111" spans="1:8" x14ac:dyDescent="0.25">
      <c r="A111" s="142" t="s">
        <v>17</v>
      </c>
      <c r="B111" s="142"/>
      <c r="C111" s="142"/>
      <c r="D111" s="142"/>
      <c r="E111" s="13">
        <f>SUM(E105:E110)</f>
        <v>287</v>
      </c>
      <c r="F111" s="13">
        <f t="shared" ref="F111:H111" si="14">SUM(F105:F110)</f>
        <v>2227000</v>
      </c>
      <c r="G111" s="13">
        <f t="shared" si="14"/>
        <v>1181000</v>
      </c>
      <c r="H111" s="13">
        <f t="shared" si="14"/>
        <v>1046000</v>
      </c>
    </row>
    <row r="112" spans="1:8" x14ac:dyDescent="0.25">
      <c r="A112" t="s">
        <v>30</v>
      </c>
      <c r="B112" t="s">
        <v>831</v>
      </c>
      <c r="C112" t="s">
        <v>16</v>
      </c>
      <c r="D112" t="s">
        <v>11</v>
      </c>
      <c r="E112">
        <v>53</v>
      </c>
      <c r="F112" s="4">
        <f>E112*1500</f>
        <v>79500</v>
      </c>
      <c r="G112" s="4">
        <f>E112*500</f>
        <v>26500</v>
      </c>
      <c r="H112" s="4">
        <v>53000</v>
      </c>
    </row>
    <row r="113" spans="1:8" x14ac:dyDescent="0.25">
      <c r="C113" t="s">
        <v>24</v>
      </c>
      <c r="D113" t="s">
        <v>21</v>
      </c>
      <c r="E113">
        <v>3</v>
      </c>
      <c r="F113" s="4">
        <f>E113*17000</f>
        <v>51000</v>
      </c>
      <c r="G113" s="4">
        <f>E113*12000</f>
        <v>36000</v>
      </c>
      <c r="H113" s="4">
        <f>E113*5000</f>
        <v>15000</v>
      </c>
    </row>
    <row r="114" spans="1:8" x14ac:dyDescent="0.25">
      <c r="C114" t="s">
        <v>24</v>
      </c>
      <c r="D114" t="s">
        <v>243</v>
      </c>
      <c r="E114">
        <v>2</v>
      </c>
      <c r="F114" s="4">
        <v>30000</v>
      </c>
      <c r="G114" s="4">
        <v>20000</v>
      </c>
      <c r="H114" s="4">
        <v>10000</v>
      </c>
    </row>
    <row r="115" spans="1:8" x14ac:dyDescent="0.25">
      <c r="A115" s="142" t="s">
        <v>17</v>
      </c>
      <c r="B115" s="142"/>
      <c r="C115" s="142"/>
      <c r="D115" s="142"/>
      <c r="E115" s="13">
        <f>SUM(E112:E114)</f>
        <v>58</v>
      </c>
      <c r="F115" s="13">
        <f t="shared" ref="F115:H115" si="15">SUM(F112:F114)</f>
        <v>160500</v>
      </c>
      <c r="G115" s="13">
        <f t="shared" si="15"/>
        <v>82500</v>
      </c>
      <c r="H115" s="13">
        <f t="shared" si="15"/>
        <v>78000</v>
      </c>
    </row>
    <row r="116" spans="1:8" x14ac:dyDescent="0.25">
      <c r="A116" t="s">
        <v>32</v>
      </c>
      <c r="B116" t="s">
        <v>832</v>
      </c>
      <c r="C116" t="s">
        <v>338</v>
      </c>
      <c r="D116" t="s">
        <v>11</v>
      </c>
      <c r="E116">
        <v>75</v>
      </c>
      <c r="F116" s="4">
        <f>E116*1800</f>
        <v>135000</v>
      </c>
      <c r="G116" s="4">
        <f>E116*500</f>
        <v>37500</v>
      </c>
      <c r="H116" s="4">
        <f>E116*1300</f>
        <v>97500</v>
      </c>
    </row>
    <row r="117" spans="1:8" x14ac:dyDescent="0.25">
      <c r="C117" t="s">
        <v>571</v>
      </c>
      <c r="D117" t="s">
        <v>11</v>
      </c>
      <c r="E117">
        <v>20</v>
      </c>
      <c r="F117" s="4">
        <f>E117*1700</f>
        <v>34000</v>
      </c>
      <c r="G117" s="4">
        <f>E117*500</f>
        <v>10000</v>
      </c>
      <c r="H117" s="4">
        <f>E117*1200</f>
        <v>24000</v>
      </c>
    </row>
    <row r="118" spans="1:8" x14ac:dyDescent="0.25">
      <c r="C118" t="s">
        <v>16</v>
      </c>
      <c r="D118" t="s">
        <v>11</v>
      </c>
      <c r="E118">
        <v>48</v>
      </c>
      <c r="F118" s="4">
        <f>E118*1500</f>
        <v>72000</v>
      </c>
      <c r="G118" s="4">
        <f>E118*500</f>
        <v>24000</v>
      </c>
      <c r="H118" s="4">
        <v>48000</v>
      </c>
    </row>
    <row r="119" spans="1:8" x14ac:dyDescent="0.25">
      <c r="D119" t="s">
        <v>12</v>
      </c>
      <c r="E119">
        <v>2</v>
      </c>
      <c r="F119" s="4">
        <v>6000</v>
      </c>
      <c r="G119" s="4">
        <v>4000</v>
      </c>
      <c r="H119" s="4">
        <v>2000</v>
      </c>
    </row>
    <row r="120" spans="1:8" x14ac:dyDescent="0.25">
      <c r="D120" t="s">
        <v>14</v>
      </c>
      <c r="E120">
        <v>1</v>
      </c>
      <c r="F120" s="4">
        <v>10000</v>
      </c>
      <c r="G120" s="4">
        <v>5500</v>
      </c>
      <c r="H120" s="4">
        <v>4500</v>
      </c>
    </row>
    <row r="121" spans="1:8" x14ac:dyDescent="0.25">
      <c r="C121" t="s">
        <v>24</v>
      </c>
      <c r="D121" t="s">
        <v>243</v>
      </c>
      <c r="E121">
        <v>2</v>
      </c>
      <c r="F121" s="4">
        <v>30000</v>
      </c>
      <c r="G121" s="4">
        <v>20000</v>
      </c>
      <c r="H121" s="4">
        <v>10000</v>
      </c>
    </row>
    <row r="122" spans="1:8" x14ac:dyDescent="0.25">
      <c r="A122" s="142" t="s">
        <v>17</v>
      </c>
      <c r="B122" s="142"/>
      <c r="C122" s="142"/>
      <c r="D122" s="142"/>
      <c r="E122" s="13">
        <f>SUM(E116:E121)</f>
        <v>148</v>
      </c>
      <c r="F122" s="13">
        <f t="shared" ref="F122:H122" si="16">SUM(F116:F121)</f>
        <v>287000</v>
      </c>
      <c r="G122" s="13">
        <f t="shared" si="16"/>
        <v>101000</v>
      </c>
      <c r="H122" s="13">
        <f t="shared" si="16"/>
        <v>186000</v>
      </c>
    </row>
    <row r="123" spans="1:8" x14ac:dyDescent="0.25">
      <c r="A123" t="s">
        <v>8</v>
      </c>
      <c r="B123" t="s">
        <v>833</v>
      </c>
      <c r="C123" t="s">
        <v>338</v>
      </c>
      <c r="D123" t="s">
        <v>11</v>
      </c>
      <c r="E123">
        <v>75</v>
      </c>
      <c r="F123" s="4">
        <f>E123*1800</f>
        <v>135000</v>
      </c>
      <c r="G123" s="4">
        <f>E123*500</f>
        <v>37500</v>
      </c>
      <c r="H123" s="4">
        <f>E123*1300</f>
        <v>97500</v>
      </c>
    </row>
    <row r="124" spans="1:8" x14ac:dyDescent="0.25">
      <c r="C124" t="s">
        <v>571</v>
      </c>
      <c r="D124" t="s">
        <v>11</v>
      </c>
      <c r="E124">
        <v>22</v>
      </c>
      <c r="F124" s="4">
        <f>E124*1700</f>
        <v>37400</v>
      </c>
      <c r="G124" s="4">
        <f>E124*500</f>
        <v>11000</v>
      </c>
      <c r="H124" s="4">
        <f>E124*1200</f>
        <v>26400</v>
      </c>
    </row>
    <row r="125" spans="1:8" x14ac:dyDescent="0.25">
      <c r="C125" t="s">
        <v>16</v>
      </c>
      <c r="D125" t="s">
        <v>11</v>
      </c>
      <c r="E125">
        <v>37</v>
      </c>
      <c r="F125" s="4">
        <f>E125*1500</f>
        <v>55500</v>
      </c>
      <c r="G125" s="4">
        <f>E125*500</f>
        <v>18500</v>
      </c>
      <c r="H125" s="4">
        <v>37000</v>
      </c>
    </row>
    <row r="126" spans="1:8" x14ac:dyDescent="0.25">
      <c r="D126" t="s">
        <v>12</v>
      </c>
      <c r="E126">
        <v>2</v>
      </c>
      <c r="F126" s="4">
        <v>6000</v>
      </c>
      <c r="G126" s="4">
        <v>4000</v>
      </c>
      <c r="H126" s="4">
        <v>2000</v>
      </c>
    </row>
    <row r="127" spans="1:8" x14ac:dyDescent="0.25">
      <c r="D127" t="s">
        <v>13</v>
      </c>
      <c r="E127">
        <v>2</v>
      </c>
      <c r="F127" s="4">
        <v>13000</v>
      </c>
      <c r="G127" s="4">
        <v>9000</v>
      </c>
      <c r="H127" s="4">
        <v>4000</v>
      </c>
    </row>
    <row r="128" spans="1:8" x14ac:dyDescent="0.25">
      <c r="A128" s="142" t="s">
        <v>17</v>
      </c>
      <c r="B128" s="142"/>
      <c r="C128" s="142"/>
      <c r="D128" s="142"/>
      <c r="E128" s="13">
        <f>SUM(E123:E127)</f>
        <v>138</v>
      </c>
      <c r="F128" s="13">
        <f t="shared" ref="F128:H128" si="17">SUM(F123:F127)</f>
        <v>246900</v>
      </c>
      <c r="G128" s="13">
        <f t="shared" si="17"/>
        <v>80000</v>
      </c>
      <c r="H128" s="13">
        <f t="shared" si="17"/>
        <v>166900</v>
      </c>
    </row>
    <row r="129" spans="1:8" x14ac:dyDescent="0.25">
      <c r="A129" t="s">
        <v>18</v>
      </c>
      <c r="B129" t="s">
        <v>834</v>
      </c>
      <c r="C129" t="s">
        <v>338</v>
      </c>
      <c r="D129" t="s">
        <v>11</v>
      </c>
      <c r="E129">
        <v>70</v>
      </c>
      <c r="F129" s="4">
        <f>E129*1800</f>
        <v>126000</v>
      </c>
      <c r="G129" s="4">
        <f>E129*500</f>
        <v>35000</v>
      </c>
      <c r="H129" s="4">
        <f>E129*1300</f>
        <v>91000</v>
      </c>
    </row>
    <row r="130" spans="1:8" x14ac:dyDescent="0.25">
      <c r="C130" t="s">
        <v>104</v>
      </c>
      <c r="D130" t="s">
        <v>11</v>
      </c>
      <c r="E130">
        <v>120</v>
      </c>
      <c r="F130" s="4">
        <f>E130*1700</f>
        <v>204000</v>
      </c>
      <c r="G130" s="4">
        <f>E130*500</f>
        <v>60000</v>
      </c>
      <c r="H130" s="4">
        <f>E130*1200</f>
        <v>144000</v>
      </c>
    </row>
    <row r="131" spans="1:8" x14ac:dyDescent="0.25">
      <c r="C131" t="s">
        <v>571</v>
      </c>
      <c r="D131" t="s">
        <v>11</v>
      </c>
      <c r="E131">
        <v>21</v>
      </c>
      <c r="F131" s="4">
        <f>E131*1700</f>
        <v>35700</v>
      </c>
      <c r="G131" s="4">
        <f>E131*500</f>
        <v>10500</v>
      </c>
      <c r="H131" s="4">
        <f>E131*1200</f>
        <v>25200</v>
      </c>
    </row>
    <row r="132" spans="1:8" x14ac:dyDescent="0.25">
      <c r="C132" t="s">
        <v>399</v>
      </c>
      <c r="D132" t="s">
        <v>243</v>
      </c>
      <c r="E132">
        <v>20</v>
      </c>
      <c r="F132" s="4">
        <f>E132*13000</f>
        <v>260000</v>
      </c>
      <c r="G132" s="4">
        <f>E132*10000</f>
        <v>200000</v>
      </c>
      <c r="H132" s="4">
        <f>E132*3000</f>
        <v>60000</v>
      </c>
    </row>
    <row r="133" spans="1:8" x14ac:dyDescent="0.25">
      <c r="C133" t="s">
        <v>16</v>
      </c>
      <c r="D133" t="s">
        <v>11</v>
      </c>
      <c r="E133">
        <v>36</v>
      </c>
      <c r="F133" s="4">
        <f>E133*1500</f>
        <v>54000</v>
      </c>
      <c r="G133" s="4">
        <f>E133*500</f>
        <v>18000</v>
      </c>
      <c r="H133" s="4">
        <v>36000</v>
      </c>
    </row>
    <row r="134" spans="1:8" x14ac:dyDescent="0.25">
      <c r="D134" t="s">
        <v>13</v>
      </c>
      <c r="E134">
        <v>1</v>
      </c>
      <c r="F134" s="4">
        <v>6500</v>
      </c>
      <c r="G134" s="4">
        <v>4500</v>
      </c>
      <c r="H134" s="4">
        <v>2000</v>
      </c>
    </row>
    <row r="135" spans="1:8" x14ac:dyDescent="0.25">
      <c r="A135" s="111" t="s">
        <v>17</v>
      </c>
      <c r="B135" s="111"/>
      <c r="C135" s="111"/>
      <c r="D135" s="111"/>
      <c r="E135" s="13">
        <f>SUM(E129:E134)</f>
        <v>268</v>
      </c>
      <c r="F135" s="13">
        <f t="shared" ref="F135:H135" si="18">SUM(F129:F134)</f>
        <v>686200</v>
      </c>
      <c r="G135" s="13">
        <f t="shared" si="18"/>
        <v>328000</v>
      </c>
      <c r="H135" s="13">
        <f t="shared" si="18"/>
        <v>358200</v>
      </c>
    </row>
    <row r="136" spans="1:8" x14ac:dyDescent="0.25">
      <c r="A136" t="s">
        <v>22</v>
      </c>
      <c r="B136" t="s">
        <v>835</v>
      </c>
      <c r="C136" t="s">
        <v>338</v>
      </c>
      <c r="D136" t="s">
        <v>11</v>
      </c>
      <c r="E136">
        <v>70</v>
      </c>
      <c r="F136" s="4">
        <f>E136*1800</f>
        <v>126000</v>
      </c>
      <c r="G136" s="4">
        <f>E136*500</f>
        <v>35000</v>
      </c>
      <c r="H136" s="4">
        <f>E136*1300</f>
        <v>91000</v>
      </c>
    </row>
    <row r="137" spans="1:8" x14ac:dyDescent="0.25">
      <c r="C137" t="s">
        <v>16</v>
      </c>
      <c r="D137" t="s">
        <v>11</v>
      </c>
      <c r="E137">
        <v>68</v>
      </c>
      <c r="F137" s="4">
        <f>E137*1500</f>
        <v>102000</v>
      </c>
      <c r="G137" s="4">
        <f>E137*500</f>
        <v>34000</v>
      </c>
      <c r="H137" s="4">
        <v>68000</v>
      </c>
    </row>
    <row r="138" spans="1:8" x14ac:dyDescent="0.25">
      <c r="D138" t="s">
        <v>12</v>
      </c>
      <c r="E138">
        <v>1</v>
      </c>
      <c r="F138" s="4">
        <v>3000</v>
      </c>
      <c r="G138" s="4">
        <v>2000</v>
      </c>
      <c r="H138" s="4">
        <v>1000</v>
      </c>
    </row>
    <row r="139" spans="1:8" x14ac:dyDescent="0.25">
      <c r="D139" t="s">
        <v>13</v>
      </c>
      <c r="E139">
        <v>1</v>
      </c>
      <c r="F139" s="4">
        <v>6500</v>
      </c>
      <c r="G139" s="4">
        <v>4500</v>
      </c>
      <c r="H139" s="4">
        <v>2000</v>
      </c>
    </row>
    <row r="140" spans="1:8" x14ac:dyDescent="0.25">
      <c r="D140" t="s">
        <v>14</v>
      </c>
      <c r="E140">
        <v>1</v>
      </c>
      <c r="F140" s="4">
        <v>10000</v>
      </c>
      <c r="G140" s="4">
        <v>5500</v>
      </c>
      <c r="H140" s="4">
        <v>4500</v>
      </c>
    </row>
    <row r="141" spans="1:8" x14ac:dyDescent="0.25">
      <c r="D141" t="s">
        <v>243</v>
      </c>
      <c r="E141">
        <v>3</v>
      </c>
      <c r="F141" s="4">
        <f>E141*13000</f>
        <v>39000</v>
      </c>
      <c r="G141" s="4">
        <v>30000</v>
      </c>
      <c r="H141" s="4">
        <v>9000</v>
      </c>
    </row>
    <row r="142" spans="1:8" x14ac:dyDescent="0.25">
      <c r="C142" t="s">
        <v>554</v>
      </c>
      <c r="D142" t="s">
        <v>13</v>
      </c>
      <c r="E142">
        <v>4</v>
      </c>
      <c r="F142" s="4"/>
      <c r="G142" s="4"/>
      <c r="H142" s="4"/>
    </row>
    <row r="143" spans="1:8" x14ac:dyDescent="0.25">
      <c r="D143" t="s">
        <v>14</v>
      </c>
      <c r="E143">
        <v>4</v>
      </c>
      <c r="F143" s="4"/>
      <c r="G143" s="4"/>
      <c r="H143" s="4"/>
    </row>
    <row r="144" spans="1:8" x14ac:dyDescent="0.25">
      <c r="D144" t="s">
        <v>243</v>
      </c>
      <c r="E144">
        <v>3</v>
      </c>
      <c r="F144" s="4"/>
      <c r="G144" s="4"/>
      <c r="H144" s="4"/>
    </row>
    <row r="145" spans="1:8" x14ac:dyDescent="0.25">
      <c r="A145" s="111" t="s">
        <v>17</v>
      </c>
      <c r="B145" s="111"/>
      <c r="C145" s="111"/>
      <c r="D145" s="111"/>
      <c r="E145" s="13">
        <f>SUM(E136:E144)</f>
        <v>155</v>
      </c>
      <c r="F145" s="13">
        <f t="shared" ref="F145:H145" si="19">SUM(F136:F144)</f>
        <v>286500</v>
      </c>
      <c r="G145" s="13">
        <f t="shared" si="19"/>
        <v>111000</v>
      </c>
      <c r="H145" s="13">
        <f t="shared" si="19"/>
        <v>175500</v>
      </c>
    </row>
    <row r="146" spans="1:8" x14ac:dyDescent="0.25">
      <c r="A146" t="s">
        <v>26</v>
      </c>
      <c r="B146" t="s">
        <v>836</v>
      </c>
      <c r="C146" t="s">
        <v>338</v>
      </c>
      <c r="D146" t="s">
        <v>11</v>
      </c>
      <c r="E146">
        <v>75</v>
      </c>
      <c r="F146" s="4">
        <f>E146*1800</f>
        <v>135000</v>
      </c>
      <c r="G146" s="4">
        <f>E146*500</f>
        <v>37500</v>
      </c>
      <c r="H146" s="4">
        <f>E146*1300</f>
        <v>97500</v>
      </c>
    </row>
    <row r="147" spans="1:8" x14ac:dyDescent="0.25">
      <c r="C147" t="s">
        <v>104</v>
      </c>
      <c r="D147" t="s">
        <v>11</v>
      </c>
      <c r="E147">
        <v>70</v>
      </c>
      <c r="F147" s="4">
        <f>E147*1700</f>
        <v>119000</v>
      </c>
      <c r="G147" s="4">
        <f>E147*500</f>
        <v>35000</v>
      </c>
      <c r="H147" s="4">
        <f>E147*1200</f>
        <v>84000</v>
      </c>
    </row>
    <row r="148" spans="1:8" x14ac:dyDescent="0.25">
      <c r="C148" t="s">
        <v>16</v>
      </c>
      <c r="D148" t="s">
        <v>11</v>
      </c>
      <c r="E148">
        <v>32</v>
      </c>
      <c r="F148" s="4">
        <f>E148*1500</f>
        <v>48000</v>
      </c>
      <c r="G148" s="4">
        <f>E148*500</f>
        <v>16000</v>
      </c>
      <c r="H148" s="4">
        <v>32000</v>
      </c>
    </row>
    <row r="149" spans="1:8" x14ac:dyDescent="0.25">
      <c r="D149" t="s">
        <v>12</v>
      </c>
      <c r="E149">
        <v>1</v>
      </c>
      <c r="F149" s="4">
        <v>3000</v>
      </c>
      <c r="G149" s="4">
        <v>2000</v>
      </c>
      <c r="H149" s="4">
        <v>1000</v>
      </c>
    </row>
    <row r="150" spans="1:8" x14ac:dyDescent="0.25">
      <c r="A150" s="111" t="s">
        <v>17</v>
      </c>
      <c r="B150" s="111"/>
      <c r="C150" s="111"/>
      <c r="D150" s="111"/>
      <c r="E150" s="1">
        <f>SUM(E146:E149)</f>
        <v>178</v>
      </c>
      <c r="F150" s="13">
        <f t="shared" ref="F150:H150" si="20">SUM(F146:F149)</f>
        <v>305000</v>
      </c>
      <c r="G150" s="13">
        <f t="shared" si="20"/>
        <v>90500</v>
      </c>
      <c r="H150" s="13">
        <f t="shared" si="20"/>
        <v>214500</v>
      </c>
    </row>
    <row r="151" spans="1:8" x14ac:dyDescent="0.25">
      <c r="A151" t="s">
        <v>28</v>
      </c>
      <c r="B151" t="s">
        <v>837</v>
      </c>
      <c r="C151" t="s">
        <v>693</v>
      </c>
      <c r="D151" t="s">
        <v>11</v>
      </c>
      <c r="E151">
        <v>11</v>
      </c>
      <c r="F151" s="4">
        <f>E151*2000</f>
        <v>22000</v>
      </c>
      <c r="G151" s="4">
        <f>E151*500</f>
        <v>5500</v>
      </c>
      <c r="H151" s="4">
        <f>E151*1500</f>
        <v>16500</v>
      </c>
    </row>
    <row r="152" spans="1:8" x14ac:dyDescent="0.25">
      <c r="D152" t="s">
        <v>13</v>
      </c>
      <c r="E152">
        <v>51</v>
      </c>
      <c r="F152" s="4">
        <f>E152*7000</f>
        <v>357000</v>
      </c>
      <c r="G152" s="4">
        <f>E152*4500</f>
        <v>229500</v>
      </c>
      <c r="H152" s="4">
        <f>E152*2500</f>
        <v>127500</v>
      </c>
    </row>
    <row r="153" spans="1:8" x14ac:dyDescent="0.25">
      <c r="D153" t="s">
        <v>14</v>
      </c>
      <c r="E153">
        <v>27</v>
      </c>
      <c r="F153" s="4">
        <f>E153*10000</f>
        <v>270000</v>
      </c>
      <c r="G153" s="4">
        <f>E153*5500</f>
        <v>148500</v>
      </c>
      <c r="H153" s="4">
        <f>E153*4500</f>
        <v>121500</v>
      </c>
    </row>
    <row r="154" spans="1:8" x14ac:dyDescent="0.25">
      <c r="C154" t="s">
        <v>217</v>
      </c>
      <c r="D154" t="s">
        <v>11</v>
      </c>
      <c r="E154">
        <v>6</v>
      </c>
      <c r="F154" s="4">
        <f>E154*1500</f>
        <v>9000</v>
      </c>
      <c r="G154" s="4">
        <f>E154*500</f>
        <v>3000</v>
      </c>
      <c r="H154" s="4">
        <v>6000</v>
      </c>
    </row>
    <row r="155" spans="1:8" x14ac:dyDescent="0.25">
      <c r="D155" t="s">
        <v>13</v>
      </c>
      <c r="E155">
        <v>18</v>
      </c>
      <c r="F155" s="4">
        <f>E155*6500</f>
        <v>117000</v>
      </c>
      <c r="G155" s="4">
        <f>E155*4500</f>
        <v>81000</v>
      </c>
      <c r="H155" s="4">
        <f>E155*2000</f>
        <v>36000</v>
      </c>
    </row>
    <row r="156" spans="1:8" x14ac:dyDescent="0.25">
      <c r="D156" t="s">
        <v>14</v>
      </c>
      <c r="E156">
        <v>10</v>
      </c>
      <c r="F156" s="4">
        <f>E156*10000</f>
        <v>100000</v>
      </c>
      <c r="G156" s="4">
        <f>E156*5500</f>
        <v>55000</v>
      </c>
      <c r="H156" s="4">
        <f>E156*4500</f>
        <v>45000</v>
      </c>
    </row>
    <row r="157" spans="1:8" x14ac:dyDescent="0.25">
      <c r="C157" t="s">
        <v>554</v>
      </c>
      <c r="D157" t="s">
        <v>13</v>
      </c>
      <c r="E157">
        <v>3</v>
      </c>
      <c r="F157" s="4"/>
      <c r="G157" s="4"/>
      <c r="H157" s="4"/>
    </row>
    <row r="158" spans="1:8" x14ac:dyDescent="0.25">
      <c r="D158" t="s">
        <v>14</v>
      </c>
      <c r="E158">
        <v>3</v>
      </c>
      <c r="F158" s="4"/>
      <c r="G158" s="4"/>
      <c r="H158" s="4"/>
    </row>
    <row r="159" spans="1:8" x14ac:dyDescent="0.25">
      <c r="C159" t="s">
        <v>24</v>
      </c>
      <c r="D159" t="s">
        <v>13</v>
      </c>
      <c r="E159">
        <v>3</v>
      </c>
      <c r="F159" s="4">
        <f>E159*6500</f>
        <v>19500</v>
      </c>
      <c r="G159" s="4">
        <f>E159*4500</f>
        <v>13500</v>
      </c>
      <c r="H159" s="4">
        <f>E159*2000</f>
        <v>6000</v>
      </c>
    </row>
    <row r="160" spans="1:8" x14ac:dyDescent="0.25">
      <c r="A160" s="142" t="s">
        <v>17</v>
      </c>
      <c r="B160" s="142"/>
      <c r="C160" s="142"/>
      <c r="D160" s="142"/>
      <c r="E160" s="13">
        <f>SUM(E151:E159)</f>
        <v>132</v>
      </c>
      <c r="F160" s="13">
        <f t="shared" ref="F160:H160" si="21">SUM(F151:F159)</f>
        <v>894500</v>
      </c>
      <c r="G160" s="13">
        <f t="shared" si="21"/>
        <v>536000</v>
      </c>
      <c r="H160" s="13">
        <f t="shared" si="21"/>
        <v>358500</v>
      </c>
    </row>
    <row r="161" spans="1:8" x14ac:dyDescent="0.25">
      <c r="A161" t="s">
        <v>30</v>
      </c>
      <c r="B161" t="s">
        <v>838</v>
      </c>
      <c r="C161" t="s">
        <v>571</v>
      </c>
      <c r="D161" t="s">
        <v>11</v>
      </c>
      <c r="E161">
        <v>49</v>
      </c>
      <c r="F161" s="4">
        <f>E161*1700</f>
        <v>83300</v>
      </c>
      <c r="G161" s="4">
        <f>E161*500</f>
        <v>24500</v>
      </c>
      <c r="H161" s="4">
        <f>E161*1200</f>
        <v>58800</v>
      </c>
    </row>
    <row r="162" spans="1:8" x14ac:dyDescent="0.25">
      <c r="C162" t="s">
        <v>16</v>
      </c>
      <c r="D162" t="s">
        <v>11</v>
      </c>
      <c r="E162">
        <v>61</v>
      </c>
      <c r="F162" s="4">
        <f>E162*1500</f>
        <v>91500</v>
      </c>
      <c r="G162" s="4">
        <f>E162*500</f>
        <v>30500</v>
      </c>
      <c r="H162" s="4">
        <v>61000</v>
      </c>
    </row>
    <row r="163" spans="1:8" x14ac:dyDescent="0.25">
      <c r="D163" t="s">
        <v>12</v>
      </c>
      <c r="E163">
        <v>3</v>
      </c>
      <c r="F163" s="4">
        <v>9000</v>
      </c>
      <c r="G163" s="4">
        <v>6000</v>
      </c>
      <c r="H163" s="4">
        <v>3000</v>
      </c>
    </row>
    <row r="164" spans="1:8" x14ac:dyDescent="0.25">
      <c r="D164" t="s">
        <v>13</v>
      </c>
      <c r="E164">
        <v>1</v>
      </c>
      <c r="F164" s="4">
        <v>6500</v>
      </c>
      <c r="G164" s="4">
        <v>4500</v>
      </c>
      <c r="H164" s="4">
        <v>2000</v>
      </c>
    </row>
    <row r="165" spans="1:8" x14ac:dyDescent="0.25">
      <c r="D165" t="s">
        <v>14</v>
      </c>
      <c r="E165">
        <v>1</v>
      </c>
      <c r="F165">
        <v>10000</v>
      </c>
      <c r="G165">
        <v>5500</v>
      </c>
      <c r="H165" s="4">
        <v>4500</v>
      </c>
    </row>
    <row r="166" spans="1:8" x14ac:dyDescent="0.25">
      <c r="D166" t="s">
        <v>243</v>
      </c>
      <c r="E166">
        <v>1</v>
      </c>
      <c r="F166" s="4">
        <v>13000</v>
      </c>
      <c r="G166" s="4">
        <v>10000</v>
      </c>
      <c r="H166" s="4">
        <v>3000</v>
      </c>
    </row>
    <row r="167" spans="1:8" x14ac:dyDescent="0.25">
      <c r="A167" s="142" t="s">
        <v>17</v>
      </c>
      <c r="B167" s="142"/>
      <c r="C167" s="142"/>
      <c r="D167" s="142"/>
      <c r="E167" s="13">
        <f>SUM(E161:E166)</f>
        <v>116</v>
      </c>
      <c r="F167" s="13">
        <f t="shared" ref="F167:H167" si="22">SUM(F161:F166)</f>
        <v>213300</v>
      </c>
      <c r="G167" s="13">
        <f t="shared" si="22"/>
        <v>81000</v>
      </c>
      <c r="H167" s="13">
        <f t="shared" si="22"/>
        <v>132300</v>
      </c>
    </row>
    <row r="168" spans="1:8" x14ac:dyDescent="0.25">
      <c r="A168" t="s">
        <v>32</v>
      </c>
      <c r="B168" t="s">
        <v>839</v>
      </c>
      <c r="C168" t="s">
        <v>338</v>
      </c>
      <c r="D168" t="s">
        <v>11</v>
      </c>
      <c r="E168">
        <v>70</v>
      </c>
      <c r="F168">
        <f>E168*1800</f>
        <v>126000</v>
      </c>
      <c r="G168">
        <f>E168*500</f>
        <v>35000</v>
      </c>
      <c r="H168">
        <f>E168*1300</f>
        <v>91000</v>
      </c>
    </row>
    <row r="169" spans="1:8" x14ac:dyDescent="0.25">
      <c r="C169" t="s">
        <v>104</v>
      </c>
      <c r="D169" t="s">
        <v>11</v>
      </c>
      <c r="E169">
        <v>120</v>
      </c>
      <c r="F169">
        <f>E169*1700</f>
        <v>204000</v>
      </c>
      <c r="G169">
        <f>E169*500</f>
        <v>60000</v>
      </c>
      <c r="H169">
        <f>E169*1200</f>
        <v>144000</v>
      </c>
    </row>
    <row r="170" spans="1:8" x14ac:dyDescent="0.25">
      <c r="C170" t="s">
        <v>571</v>
      </c>
      <c r="D170" t="s">
        <v>11</v>
      </c>
      <c r="E170">
        <v>21</v>
      </c>
      <c r="F170">
        <f>E170*1700</f>
        <v>35700</v>
      </c>
      <c r="G170">
        <f>E170*500</f>
        <v>10500</v>
      </c>
      <c r="H170">
        <f>E170*1200</f>
        <v>25200</v>
      </c>
    </row>
    <row r="171" spans="1:8" x14ac:dyDescent="0.25">
      <c r="C171" t="s">
        <v>16</v>
      </c>
      <c r="D171" t="s">
        <v>11</v>
      </c>
      <c r="E171">
        <v>41</v>
      </c>
      <c r="F171">
        <f>E171*1500</f>
        <v>61500</v>
      </c>
      <c r="G171">
        <f>E171*500</f>
        <v>20500</v>
      </c>
      <c r="H171">
        <v>41000</v>
      </c>
    </row>
    <row r="172" spans="1:8" x14ac:dyDescent="0.25">
      <c r="D172" t="s">
        <v>12</v>
      </c>
      <c r="E172">
        <v>1</v>
      </c>
      <c r="F172">
        <v>3000</v>
      </c>
      <c r="G172">
        <v>2000</v>
      </c>
      <c r="H172">
        <v>1000</v>
      </c>
    </row>
    <row r="173" spans="1:8" x14ac:dyDescent="0.25">
      <c r="D173" t="s">
        <v>13</v>
      </c>
      <c r="E173">
        <v>1</v>
      </c>
      <c r="F173">
        <v>6500</v>
      </c>
      <c r="G173">
        <v>4500</v>
      </c>
      <c r="H173">
        <v>2000</v>
      </c>
    </row>
    <row r="174" spans="1:8" x14ac:dyDescent="0.25">
      <c r="D174" t="s">
        <v>14</v>
      </c>
      <c r="E174">
        <v>1</v>
      </c>
      <c r="F174">
        <v>10000</v>
      </c>
      <c r="G174">
        <v>5500</v>
      </c>
      <c r="H174">
        <v>4500</v>
      </c>
    </row>
    <row r="175" spans="1:8" x14ac:dyDescent="0.25">
      <c r="C175" t="s">
        <v>24</v>
      </c>
      <c r="D175" t="s">
        <v>11</v>
      </c>
      <c r="E175">
        <v>125</v>
      </c>
      <c r="F175">
        <f>E175*2000</f>
        <v>250000</v>
      </c>
      <c r="G175">
        <f>E175*500</f>
        <v>62500</v>
      </c>
      <c r="H175">
        <f>E175*1500</f>
        <v>187500</v>
      </c>
    </row>
    <row r="176" spans="1:8" x14ac:dyDescent="0.25">
      <c r="A176" s="142" t="s">
        <v>17</v>
      </c>
      <c r="B176" s="142"/>
      <c r="C176" s="142"/>
      <c r="D176" s="142"/>
      <c r="E176" s="13">
        <f>SUM(E168:E175)</f>
        <v>380</v>
      </c>
      <c r="F176" s="13">
        <f t="shared" ref="F176:H176" si="23">SUM(F168:F175)</f>
        <v>696700</v>
      </c>
      <c r="G176" s="13">
        <f t="shared" si="23"/>
        <v>200500</v>
      </c>
      <c r="H176" s="13">
        <f t="shared" si="23"/>
        <v>496200</v>
      </c>
    </row>
    <row r="177" spans="1:8" x14ac:dyDescent="0.25">
      <c r="A177" t="s">
        <v>8</v>
      </c>
      <c r="B177" t="s">
        <v>840</v>
      </c>
      <c r="C177" t="s">
        <v>338</v>
      </c>
      <c r="D177" t="s">
        <v>11</v>
      </c>
      <c r="E177">
        <v>71</v>
      </c>
      <c r="F177">
        <f>E177*1800</f>
        <v>127800</v>
      </c>
      <c r="G177">
        <f>E177*500</f>
        <v>35500</v>
      </c>
      <c r="H177">
        <f>E177*1300</f>
        <v>92300</v>
      </c>
    </row>
    <row r="178" spans="1:8" x14ac:dyDescent="0.25">
      <c r="C178" t="s">
        <v>209</v>
      </c>
      <c r="D178" t="s">
        <v>11</v>
      </c>
      <c r="E178">
        <v>25</v>
      </c>
      <c r="F178">
        <f>E178*1600</f>
        <v>40000</v>
      </c>
      <c r="G178">
        <f>E178*500</f>
        <v>12500</v>
      </c>
      <c r="H178">
        <f>E178*1100</f>
        <v>27500</v>
      </c>
    </row>
    <row r="179" spans="1:8" x14ac:dyDescent="0.25">
      <c r="C179" t="s">
        <v>571</v>
      </c>
      <c r="D179" t="s">
        <v>11</v>
      </c>
      <c r="E179">
        <v>24</v>
      </c>
      <c r="F179">
        <f>E179*1700</f>
        <v>40800</v>
      </c>
      <c r="G179">
        <f>E179*500</f>
        <v>12000</v>
      </c>
      <c r="H179">
        <f>E179*1200</f>
        <v>28800</v>
      </c>
    </row>
    <row r="180" spans="1:8" x14ac:dyDescent="0.25">
      <c r="C180" t="s">
        <v>104</v>
      </c>
      <c r="D180" t="s">
        <v>11</v>
      </c>
      <c r="E180">
        <v>40</v>
      </c>
      <c r="F180">
        <f>E180*1700</f>
        <v>68000</v>
      </c>
      <c r="G180">
        <f>E180*500</f>
        <v>20000</v>
      </c>
      <c r="H180">
        <f>E180*1200</f>
        <v>48000</v>
      </c>
    </row>
    <row r="181" spans="1:8" x14ac:dyDescent="0.25">
      <c r="C181" t="s">
        <v>16</v>
      </c>
      <c r="D181" t="s">
        <v>11</v>
      </c>
      <c r="E181">
        <v>46</v>
      </c>
      <c r="F181">
        <f>E181*1500</f>
        <v>69000</v>
      </c>
      <c r="G181">
        <f>E181*500</f>
        <v>23000</v>
      </c>
      <c r="H181">
        <v>46000</v>
      </c>
    </row>
    <row r="182" spans="1:8" x14ac:dyDescent="0.25">
      <c r="D182" t="s">
        <v>14</v>
      </c>
      <c r="E182">
        <v>1</v>
      </c>
      <c r="F182">
        <v>10000</v>
      </c>
      <c r="G182">
        <v>5500</v>
      </c>
      <c r="H182">
        <v>4500</v>
      </c>
    </row>
    <row r="183" spans="1:8" x14ac:dyDescent="0.25">
      <c r="C183" t="s">
        <v>24</v>
      </c>
      <c r="D183" t="s">
        <v>243</v>
      </c>
      <c r="E183">
        <v>25</v>
      </c>
      <c r="F183">
        <f>E183*12000</f>
        <v>300000</v>
      </c>
      <c r="G183">
        <f>E183*9000</f>
        <v>225000</v>
      </c>
      <c r="H183">
        <f>E183*3000</f>
        <v>75000</v>
      </c>
    </row>
    <row r="184" spans="1:8" x14ac:dyDescent="0.25">
      <c r="C184" t="s">
        <v>24</v>
      </c>
      <c r="D184" t="s">
        <v>56</v>
      </c>
      <c r="E184">
        <v>1</v>
      </c>
      <c r="F184">
        <v>18000</v>
      </c>
      <c r="G184">
        <v>13000</v>
      </c>
      <c r="H184">
        <v>5000</v>
      </c>
    </row>
    <row r="185" spans="1:8" x14ac:dyDescent="0.25">
      <c r="A185" s="142" t="s">
        <v>17</v>
      </c>
      <c r="B185" s="142"/>
      <c r="C185" s="142"/>
      <c r="D185" s="142"/>
      <c r="E185" s="13">
        <f>SUM(E177:E184)</f>
        <v>233</v>
      </c>
      <c r="F185" s="13">
        <f t="shared" ref="F185:H185" si="24">SUM(F177:F184)</f>
        <v>673600</v>
      </c>
      <c r="G185" s="13">
        <f t="shared" si="24"/>
        <v>346500</v>
      </c>
      <c r="H185" s="13">
        <f t="shared" si="24"/>
        <v>327100</v>
      </c>
    </row>
    <row r="186" spans="1:8" x14ac:dyDescent="0.25">
      <c r="A186" t="s">
        <v>18</v>
      </c>
      <c r="B186" t="s">
        <v>841</v>
      </c>
      <c r="C186" t="s">
        <v>338</v>
      </c>
      <c r="D186" t="s">
        <v>11</v>
      </c>
      <c r="E186">
        <v>75</v>
      </c>
      <c r="F186">
        <f>E186*1800</f>
        <v>135000</v>
      </c>
      <c r="G186">
        <f>E186*500</f>
        <v>37500</v>
      </c>
      <c r="H186">
        <f>E186*1300</f>
        <v>97500</v>
      </c>
    </row>
    <row r="187" spans="1:8" x14ac:dyDescent="0.25">
      <c r="C187" t="s">
        <v>571</v>
      </c>
      <c r="D187" t="s">
        <v>11</v>
      </c>
      <c r="E187">
        <v>20</v>
      </c>
      <c r="F187">
        <f>E187*1700</f>
        <v>34000</v>
      </c>
      <c r="G187">
        <f>E187*500</f>
        <v>10000</v>
      </c>
      <c r="H187">
        <f>E187*1200</f>
        <v>24000</v>
      </c>
    </row>
    <row r="188" spans="1:8" x14ac:dyDescent="0.25">
      <c r="C188" t="s">
        <v>709</v>
      </c>
      <c r="D188" t="s">
        <v>11</v>
      </c>
      <c r="E188">
        <v>20</v>
      </c>
      <c r="F188">
        <f>E188*1800</f>
        <v>36000</v>
      </c>
      <c r="G188">
        <f>E188*500</f>
        <v>10000</v>
      </c>
      <c r="H188">
        <f>E188*1300</f>
        <v>26000</v>
      </c>
    </row>
    <row r="189" spans="1:8" x14ac:dyDescent="0.25">
      <c r="C189" t="s">
        <v>209</v>
      </c>
      <c r="D189" t="s">
        <v>11</v>
      </c>
      <c r="E189">
        <v>17</v>
      </c>
      <c r="F189">
        <f>E189*1600</f>
        <v>27200</v>
      </c>
      <c r="G189">
        <f>E189*500</f>
        <v>8500</v>
      </c>
      <c r="H189">
        <f>E189*1100</f>
        <v>18700</v>
      </c>
    </row>
    <row r="190" spans="1:8" x14ac:dyDescent="0.25">
      <c r="C190" t="s">
        <v>16</v>
      </c>
      <c r="D190" t="s">
        <v>11</v>
      </c>
      <c r="E190">
        <v>23</v>
      </c>
      <c r="F190">
        <f>E190*1500</f>
        <v>34500</v>
      </c>
      <c r="G190">
        <f>E190*500</f>
        <v>11500</v>
      </c>
      <c r="H190">
        <v>23000</v>
      </c>
    </row>
    <row r="191" spans="1:8" x14ac:dyDescent="0.25">
      <c r="D191" t="s">
        <v>12</v>
      </c>
      <c r="E191">
        <v>2</v>
      </c>
      <c r="F191">
        <v>6000</v>
      </c>
      <c r="G191">
        <v>4000</v>
      </c>
      <c r="H191">
        <v>2000</v>
      </c>
    </row>
    <row r="192" spans="1:8" x14ac:dyDescent="0.25">
      <c r="D192" t="s">
        <v>243</v>
      </c>
      <c r="E192">
        <v>2</v>
      </c>
      <c r="F192">
        <v>26000</v>
      </c>
      <c r="G192">
        <v>20000</v>
      </c>
      <c r="H192">
        <v>6000</v>
      </c>
    </row>
    <row r="193" spans="1:8" x14ac:dyDescent="0.25">
      <c r="C193" t="s">
        <v>24</v>
      </c>
      <c r="D193" t="s">
        <v>243</v>
      </c>
      <c r="E193">
        <v>2</v>
      </c>
      <c r="F193">
        <v>30000</v>
      </c>
      <c r="G193">
        <v>20000</v>
      </c>
      <c r="H193">
        <v>10000</v>
      </c>
    </row>
    <row r="194" spans="1:8" x14ac:dyDescent="0.25">
      <c r="A194" s="142" t="s">
        <v>17</v>
      </c>
      <c r="B194" s="142"/>
      <c r="C194" s="142"/>
      <c r="D194" s="142"/>
      <c r="E194" s="13">
        <f>SUM(E186:E193)</f>
        <v>161</v>
      </c>
      <c r="F194" s="13">
        <f t="shared" ref="F194:H194" si="25">SUM(F186:F193)</f>
        <v>328700</v>
      </c>
      <c r="G194" s="13">
        <f t="shared" si="25"/>
        <v>121500</v>
      </c>
      <c r="H194" s="13">
        <f t="shared" si="25"/>
        <v>207200</v>
      </c>
    </row>
    <row r="195" spans="1:8" x14ac:dyDescent="0.25">
      <c r="A195" t="s">
        <v>22</v>
      </c>
      <c r="B195" t="s">
        <v>842</v>
      </c>
      <c r="C195" t="s">
        <v>338</v>
      </c>
      <c r="D195" t="s">
        <v>11</v>
      </c>
      <c r="E195">
        <v>35</v>
      </c>
      <c r="F195">
        <f>E195*1800</f>
        <v>63000</v>
      </c>
      <c r="G195">
        <f t="shared" ref="G195:G200" si="26">E195*500</f>
        <v>17500</v>
      </c>
      <c r="H195">
        <f>E195*1300</f>
        <v>45500</v>
      </c>
    </row>
    <row r="196" spans="1:8" x14ac:dyDescent="0.25">
      <c r="C196" t="s">
        <v>709</v>
      </c>
      <c r="D196" t="s">
        <v>11</v>
      </c>
      <c r="E196">
        <v>15</v>
      </c>
      <c r="F196">
        <f>E196*1800</f>
        <v>27000</v>
      </c>
      <c r="G196">
        <f t="shared" si="26"/>
        <v>7500</v>
      </c>
      <c r="H196">
        <f>E196*1300</f>
        <v>19500</v>
      </c>
    </row>
    <row r="197" spans="1:8" x14ac:dyDescent="0.25">
      <c r="C197" t="s">
        <v>571</v>
      </c>
      <c r="D197" t="s">
        <v>11</v>
      </c>
      <c r="E197">
        <v>25</v>
      </c>
      <c r="F197">
        <f>E197*1700</f>
        <v>42500</v>
      </c>
      <c r="G197">
        <f t="shared" si="26"/>
        <v>12500</v>
      </c>
      <c r="H197">
        <f>E197*1200</f>
        <v>30000</v>
      </c>
    </row>
    <row r="198" spans="1:8" x14ac:dyDescent="0.25">
      <c r="C198" t="s">
        <v>209</v>
      </c>
      <c r="D198" t="s">
        <v>11</v>
      </c>
      <c r="E198">
        <v>20</v>
      </c>
      <c r="F198">
        <f>E198*1600</f>
        <v>32000</v>
      </c>
      <c r="G198">
        <f t="shared" si="26"/>
        <v>10000</v>
      </c>
      <c r="H198">
        <f>E198*1100</f>
        <v>22000</v>
      </c>
    </row>
    <row r="199" spans="1:8" x14ac:dyDescent="0.25">
      <c r="C199" t="s">
        <v>572</v>
      </c>
      <c r="D199" t="s">
        <v>11</v>
      </c>
      <c r="E199">
        <v>18</v>
      </c>
      <c r="F199">
        <f>E199*1700</f>
        <v>30600</v>
      </c>
      <c r="G199">
        <f t="shared" si="26"/>
        <v>9000</v>
      </c>
      <c r="H199">
        <f>E199*1200</f>
        <v>21600</v>
      </c>
    </row>
    <row r="200" spans="1:8" x14ac:dyDescent="0.25">
      <c r="C200" t="s">
        <v>16</v>
      </c>
      <c r="D200" t="s">
        <v>11</v>
      </c>
      <c r="E200">
        <v>46</v>
      </c>
      <c r="F200">
        <f>E200*1500</f>
        <v>69000</v>
      </c>
      <c r="G200">
        <f t="shared" si="26"/>
        <v>23000</v>
      </c>
      <c r="H200">
        <v>46000</v>
      </c>
    </row>
    <row r="201" spans="1:8" x14ac:dyDescent="0.25">
      <c r="D201" t="s">
        <v>12</v>
      </c>
      <c r="E201">
        <v>2</v>
      </c>
      <c r="F201">
        <v>6000</v>
      </c>
      <c r="G201">
        <v>4000</v>
      </c>
      <c r="H201">
        <v>2000</v>
      </c>
    </row>
    <row r="202" spans="1:8" x14ac:dyDescent="0.25">
      <c r="D202" t="s">
        <v>243</v>
      </c>
      <c r="E202">
        <v>1</v>
      </c>
      <c r="F202">
        <v>13000</v>
      </c>
      <c r="G202">
        <v>10000</v>
      </c>
      <c r="H202">
        <v>3000</v>
      </c>
    </row>
    <row r="203" spans="1:8" x14ac:dyDescent="0.25">
      <c r="C203" t="s">
        <v>24</v>
      </c>
      <c r="D203" t="s">
        <v>243</v>
      </c>
      <c r="E203">
        <v>1</v>
      </c>
      <c r="F203">
        <v>15000</v>
      </c>
      <c r="G203">
        <v>10000</v>
      </c>
      <c r="H203">
        <v>5000</v>
      </c>
    </row>
    <row r="204" spans="1:8" x14ac:dyDescent="0.25">
      <c r="A204" s="142" t="s">
        <v>17</v>
      </c>
      <c r="B204" s="142"/>
      <c r="C204" s="142"/>
      <c r="D204" s="142"/>
      <c r="E204" s="13">
        <f>SUM(E195:E203)</f>
        <v>163</v>
      </c>
      <c r="F204" s="13">
        <f t="shared" ref="F204:H204" si="27">SUM(F195:F203)</f>
        <v>298100</v>
      </c>
      <c r="G204" s="13">
        <f t="shared" si="27"/>
        <v>103500</v>
      </c>
      <c r="H204" s="13">
        <f t="shared" si="27"/>
        <v>194600</v>
      </c>
    </row>
    <row r="205" spans="1:8" x14ac:dyDescent="0.25">
      <c r="A205" t="s">
        <v>26</v>
      </c>
      <c r="B205" t="s">
        <v>843</v>
      </c>
      <c r="C205" t="s">
        <v>338</v>
      </c>
      <c r="D205" t="s">
        <v>11</v>
      </c>
      <c r="E205">
        <v>104</v>
      </c>
      <c r="F205">
        <f>E205*1800</f>
        <v>187200</v>
      </c>
      <c r="G205">
        <f>E205*500</f>
        <v>52000</v>
      </c>
      <c r="H205">
        <f>E205*1300</f>
        <v>135200</v>
      </c>
    </row>
    <row r="206" spans="1:8" x14ac:dyDescent="0.25">
      <c r="C206" t="s">
        <v>693</v>
      </c>
      <c r="D206" t="s">
        <v>11</v>
      </c>
      <c r="E206">
        <v>6</v>
      </c>
      <c r="F206">
        <f>E206*2000</f>
        <v>12000</v>
      </c>
      <c r="G206">
        <f>E206*500</f>
        <v>3000</v>
      </c>
      <c r="H206">
        <f>E206*1500</f>
        <v>9000</v>
      </c>
    </row>
    <row r="207" spans="1:8" x14ac:dyDescent="0.25">
      <c r="D207" t="s">
        <v>13</v>
      </c>
      <c r="E207">
        <v>9</v>
      </c>
      <c r="F207">
        <f>E207*8000</f>
        <v>72000</v>
      </c>
      <c r="G207">
        <f>E207*4500</f>
        <v>40500</v>
      </c>
      <c r="H207">
        <f>E207*3500</f>
        <v>31500</v>
      </c>
    </row>
    <row r="208" spans="1:8" x14ac:dyDescent="0.25">
      <c r="D208" t="s">
        <v>14</v>
      </c>
      <c r="E208">
        <v>13</v>
      </c>
      <c r="F208">
        <f>E208*12000</f>
        <v>156000</v>
      </c>
      <c r="G208">
        <f>E208*5500</f>
        <v>71500</v>
      </c>
      <c r="H208">
        <f>E208*6500</f>
        <v>84500</v>
      </c>
    </row>
    <row r="209" spans="1:10" x14ac:dyDescent="0.25">
      <c r="A209" s="142" t="s">
        <v>17</v>
      </c>
      <c r="B209" s="142"/>
      <c r="C209" s="142"/>
      <c r="D209" s="142"/>
      <c r="E209" s="13">
        <f>SUM(E205:E208)</f>
        <v>132</v>
      </c>
      <c r="F209" s="13">
        <f t="shared" ref="F209:H209" si="28">SUM(F205:F208)</f>
        <v>427200</v>
      </c>
      <c r="G209" s="13">
        <f t="shared" si="28"/>
        <v>167000</v>
      </c>
      <c r="H209" s="13">
        <f t="shared" si="28"/>
        <v>260200</v>
      </c>
    </row>
    <row r="210" spans="1:10" x14ac:dyDescent="0.25">
      <c r="A210" t="s">
        <v>28</v>
      </c>
      <c r="B210" t="s">
        <v>844</v>
      </c>
      <c r="C210" t="s">
        <v>700</v>
      </c>
      <c r="D210" t="s">
        <v>11</v>
      </c>
      <c r="E210">
        <v>4</v>
      </c>
      <c r="F210">
        <f>E210*2000</f>
        <v>8000</v>
      </c>
      <c r="G210">
        <f>E210*500</f>
        <v>2000</v>
      </c>
      <c r="H210">
        <f>E210*1500</f>
        <v>6000</v>
      </c>
    </row>
    <row r="211" spans="1:10" x14ac:dyDescent="0.25">
      <c r="D211" t="s">
        <v>13</v>
      </c>
      <c r="E211">
        <v>18</v>
      </c>
      <c r="F211">
        <f>E211*8000</f>
        <v>144000</v>
      </c>
      <c r="G211">
        <f>E211*4500</f>
        <v>81000</v>
      </c>
      <c r="H211">
        <f>E211*3500</f>
        <v>63000</v>
      </c>
    </row>
    <row r="212" spans="1:10" x14ac:dyDescent="0.25">
      <c r="D212" t="s">
        <v>14</v>
      </c>
      <c r="E212">
        <v>4</v>
      </c>
      <c r="F212">
        <f>E212*12000</f>
        <v>48000</v>
      </c>
      <c r="G212">
        <f>E212*5500</f>
        <v>22000</v>
      </c>
      <c r="H212">
        <f>E212*6500</f>
        <v>26000</v>
      </c>
    </row>
    <row r="213" spans="1:10" x14ac:dyDescent="0.25">
      <c r="C213" t="s">
        <v>756</v>
      </c>
      <c r="D213" t="s">
        <v>11</v>
      </c>
      <c r="E213">
        <v>3</v>
      </c>
      <c r="F213">
        <f>E213*1500</f>
        <v>4500</v>
      </c>
      <c r="G213">
        <f>E213*500</f>
        <v>1500</v>
      </c>
      <c r="H213">
        <v>3000</v>
      </c>
    </row>
    <row r="214" spans="1:10" x14ac:dyDescent="0.25">
      <c r="D214" t="s">
        <v>13</v>
      </c>
      <c r="E214">
        <v>6</v>
      </c>
      <c r="F214">
        <f>E214*6500</f>
        <v>39000</v>
      </c>
      <c r="G214">
        <f>E214*4500</f>
        <v>27000</v>
      </c>
      <c r="H214">
        <f>E214*2000</f>
        <v>12000</v>
      </c>
    </row>
    <row r="215" spans="1:10" x14ac:dyDescent="0.25">
      <c r="D215" t="s">
        <v>14</v>
      </c>
      <c r="E215">
        <v>6</v>
      </c>
      <c r="F215">
        <f>E215*10000</f>
        <v>60000</v>
      </c>
      <c r="G215">
        <f>E215*5500</f>
        <v>33000</v>
      </c>
      <c r="H215">
        <f>E215*4500</f>
        <v>27000</v>
      </c>
    </row>
    <row r="216" spans="1:10" x14ac:dyDescent="0.25">
      <c r="C216" t="s">
        <v>701</v>
      </c>
      <c r="D216" t="s">
        <v>11</v>
      </c>
      <c r="E216">
        <v>9</v>
      </c>
      <c r="F216">
        <f>E216*2000</f>
        <v>18000</v>
      </c>
      <c r="G216">
        <f>E216*500</f>
        <v>4500</v>
      </c>
      <c r="H216">
        <f>E216*1500</f>
        <v>13500</v>
      </c>
    </row>
    <row r="217" spans="1:10" x14ac:dyDescent="0.25">
      <c r="D217" t="s">
        <v>13</v>
      </c>
      <c r="E217">
        <v>32</v>
      </c>
      <c r="F217">
        <f>E217*7000</f>
        <v>224000</v>
      </c>
      <c r="G217">
        <f>E217*4500</f>
        <v>144000</v>
      </c>
      <c r="H217">
        <f>E217*2500</f>
        <v>80000</v>
      </c>
    </row>
    <row r="218" spans="1:10" x14ac:dyDescent="0.25">
      <c r="D218" t="s">
        <v>14</v>
      </c>
      <c r="E218">
        <v>24</v>
      </c>
      <c r="F218">
        <f>E218*10000</f>
        <v>240000</v>
      </c>
      <c r="G218">
        <f>E218*5500</f>
        <v>132000</v>
      </c>
      <c r="H218">
        <f>E218*4500</f>
        <v>108000</v>
      </c>
    </row>
    <row r="219" spans="1:10" x14ac:dyDescent="0.25">
      <c r="C219" t="s">
        <v>24</v>
      </c>
      <c r="D219" t="s">
        <v>243</v>
      </c>
      <c r="E219">
        <v>2</v>
      </c>
      <c r="F219">
        <v>30000</v>
      </c>
      <c r="G219">
        <v>20000</v>
      </c>
      <c r="H219">
        <v>10000</v>
      </c>
    </row>
    <row r="220" spans="1:10" x14ac:dyDescent="0.25">
      <c r="C220" t="s">
        <v>16</v>
      </c>
      <c r="D220" t="s">
        <v>11</v>
      </c>
      <c r="E220">
        <v>73</v>
      </c>
      <c r="F220">
        <f>E220*1500</f>
        <v>109500</v>
      </c>
      <c r="G220">
        <f>E220*500</f>
        <v>36500</v>
      </c>
      <c r="H220">
        <f>E220*1000</f>
        <v>73000</v>
      </c>
    </row>
    <row r="221" spans="1:10" x14ac:dyDescent="0.25">
      <c r="D221" t="s">
        <v>12</v>
      </c>
      <c r="E221">
        <v>1</v>
      </c>
      <c r="F221">
        <v>3000</v>
      </c>
      <c r="G221">
        <v>2000</v>
      </c>
      <c r="H221">
        <v>1000</v>
      </c>
    </row>
    <row r="222" spans="1:10" x14ac:dyDescent="0.25">
      <c r="D222" t="s">
        <v>13</v>
      </c>
      <c r="E222">
        <v>0</v>
      </c>
    </row>
    <row r="223" spans="1:10" x14ac:dyDescent="0.25">
      <c r="D223" t="s">
        <v>14</v>
      </c>
      <c r="E223">
        <v>0</v>
      </c>
      <c r="J223" t="s">
        <v>612</v>
      </c>
    </row>
    <row r="224" spans="1:10" x14ac:dyDescent="0.25">
      <c r="D224" t="s">
        <v>243</v>
      </c>
      <c r="E224">
        <v>0</v>
      </c>
    </row>
    <row r="225" spans="1:8" x14ac:dyDescent="0.25">
      <c r="A225" s="142" t="s">
        <v>17</v>
      </c>
      <c r="B225" s="142"/>
      <c r="C225" s="142"/>
      <c r="D225" s="142"/>
      <c r="E225" s="13">
        <f>SUM(E210:E224)</f>
        <v>182</v>
      </c>
      <c r="F225" s="13">
        <f t="shared" ref="F225:H225" si="29">SUM(F210:F224)</f>
        <v>928000</v>
      </c>
      <c r="G225" s="13">
        <f t="shared" si="29"/>
        <v>505500</v>
      </c>
      <c r="H225" s="13">
        <f t="shared" si="29"/>
        <v>422500</v>
      </c>
    </row>
    <row r="226" spans="1:8" x14ac:dyDescent="0.25">
      <c r="A226" t="s">
        <v>30</v>
      </c>
      <c r="B226" t="s">
        <v>845</v>
      </c>
      <c r="C226" t="s">
        <v>709</v>
      </c>
      <c r="D226" t="s">
        <v>11</v>
      </c>
      <c r="E226">
        <v>15</v>
      </c>
      <c r="F226">
        <f>E226*1800</f>
        <v>27000</v>
      </c>
      <c r="G226">
        <f t="shared" ref="G226:G233" si="30">E226*500</f>
        <v>7500</v>
      </c>
      <c r="H226">
        <f>E226*1300</f>
        <v>19500</v>
      </c>
    </row>
    <row r="227" spans="1:8" x14ac:dyDescent="0.25">
      <c r="C227" t="s">
        <v>104</v>
      </c>
      <c r="D227" t="s">
        <v>11</v>
      </c>
      <c r="E227">
        <v>74</v>
      </c>
      <c r="F227">
        <f>E227*1700</f>
        <v>125800</v>
      </c>
      <c r="G227">
        <f t="shared" si="30"/>
        <v>37000</v>
      </c>
      <c r="H227">
        <f>E227*1200</f>
        <v>88800</v>
      </c>
    </row>
    <row r="228" spans="1:8" x14ac:dyDescent="0.25">
      <c r="C228" t="s">
        <v>209</v>
      </c>
      <c r="D228" t="s">
        <v>11</v>
      </c>
      <c r="E228">
        <v>43</v>
      </c>
      <c r="F228">
        <f>E228*1600</f>
        <v>68800</v>
      </c>
      <c r="G228">
        <f t="shared" si="30"/>
        <v>21500</v>
      </c>
      <c r="H228">
        <f>E228*1100</f>
        <v>47300</v>
      </c>
    </row>
    <row r="229" spans="1:8" x14ac:dyDescent="0.25">
      <c r="C229" t="s">
        <v>571</v>
      </c>
      <c r="D229" t="s">
        <v>11</v>
      </c>
      <c r="E229">
        <v>24</v>
      </c>
      <c r="F229">
        <f>E229*1700</f>
        <v>40800</v>
      </c>
      <c r="G229">
        <f t="shared" si="30"/>
        <v>12000</v>
      </c>
      <c r="H229">
        <f>E229*1200</f>
        <v>28800</v>
      </c>
    </row>
    <row r="230" spans="1:8" x14ac:dyDescent="0.25">
      <c r="C230" t="s">
        <v>572</v>
      </c>
      <c r="D230" t="s">
        <v>11</v>
      </c>
      <c r="E230">
        <v>6</v>
      </c>
      <c r="F230">
        <f>E230*1700</f>
        <v>10200</v>
      </c>
      <c r="G230">
        <f t="shared" si="30"/>
        <v>3000</v>
      </c>
      <c r="H230">
        <f>E230*1200</f>
        <v>7200</v>
      </c>
    </row>
    <row r="231" spans="1:8" x14ac:dyDescent="0.25">
      <c r="C231" t="s">
        <v>338</v>
      </c>
      <c r="D231" t="s">
        <v>11</v>
      </c>
      <c r="E231">
        <v>85</v>
      </c>
      <c r="F231">
        <f>E231*1800</f>
        <v>153000</v>
      </c>
      <c r="G231">
        <f t="shared" si="30"/>
        <v>42500</v>
      </c>
      <c r="H231">
        <f>E231*1300</f>
        <v>110500</v>
      </c>
    </row>
    <row r="232" spans="1:8" x14ac:dyDescent="0.25">
      <c r="C232" t="s">
        <v>581</v>
      </c>
      <c r="D232" t="s">
        <v>11</v>
      </c>
      <c r="E232">
        <v>285</v>
      </c>
      <c r="F232">
        <f>E232*1500</f>
        <v>427500</v>
      </c>
      <c r="G232">
        <f t="shared" si="30"/>
        <v>142500</v>
      </c>
      <c r="H232">
        <f>E232*1000</f>
        <v>285000</v>
      </c>
    </row>
    <row r="233" spans="1:8" x14ac:dyDescent="0.25">
      <c r="C233" t="s">
        <v>16</v>
      </c>
      <c r="D233" t="s">
        <v>11</v>
      </c>
      <c r="E233">
        <v>47</v>
      </c>
      <c r="F233">
        <f>E233*1500</f>
        <v>70500</v>
      </c>
      <c r="G233">
        <f t="shared" si="30"/>
        <v>23500</v>
      </c>
      <c r="H233">
        <v>47000</v>
      </c>
    </row>
    <row r="234" spans="1:8" x14ac:dyDescent="0.25">
      <c r="D234" t="s">
        <v>12</v>
      </c>
      <c r="E234">
        <v>2</v>
      </c>
      <c r="F234">
        <f>E234*3000</f>
        <v>6000</v>
      </c>
      <c r="G234">
        <v>4000</v>
      </c>
      <c r="H234">
        <v>2000</v>
      </c>
    </row>
    <row r="235" spans="1:8" x14ac:dyDescent="0.25">
      <c r="C235" t="s">
        <v>846</v>
      </c>
      <c r="D235" t="s">
        <v>13</v>
      </c>
      <c r="E235">
        <v>2</v>
      </c>
      <c r="F235">
        <v>14000</v>
      </c>
      <c r="G235">
        <v>9000</v>
      </c>
      <c r="H235">
        <v>5000</v>
      </c>
    </row>
    <row r="236" spans="1:8" x14ac:dyDescent="0.25">
      <c r="D236" t="s">
        <v>14</v>
      </c>
      <c r="E236">
        <v>5</v>
      </c>
      <c r="F236">
        <v>50000</v>
      </c>
      <c r="G236">
        <f>E236*5500</f>
        <v>27500</v>
      </c>
      <c r="H236">
        <f>E236*4500</f>
        <v>22500</v>
      </c>
    </row>
    <row r="237" spans="1:8" x14ac:dyDescent="0.25">
      <c r="A237" s="142" t="s">
        <v>17</v>
      </c>
      <c r="B237" s="142"/>
      <c r="C237" s="142"/>
      <c r="D237" s="142"/>
      <c r="E237" s="13">
        <f>SUM(E226:E236)</f>
        <v>588</v>
      </c>
      <c r="F237" s="13">
        <f>SUM(F226:F236)</f>
        <v>993600</v>
      </c>
      <c r="G237" s="13">
        <f>SUM(G226:G236)</f>
        <v>330000</v>
      </c>
      <c r="H237" s="13">
        <f>SUM(H226:H236)</f>
        <v>663600</v>
      </c>
    </row>
    <row r="238" spans="1:8" x14ac:dyDescent="0.25">
      <c r="A238" t="s">
        <v>32</v>
      </c>
      <c r="B238" t="s">
        <v>847</v>
      </c>
      <c r="C238" t="s">
        <v>209</v>
      </c>
      <c r="D238" t="s">
        <v>11</v>
      </c>
      <c r="E238">
        <v>27</v>
      </c>
      <c r="F238">
        <f>E238*1600</f>
        <v>43200</v>
      </c>
      <c r="G238">
        <f>E238*500</f>
        <v>13500</v>
      </c>
      <c r="H238">
        <f>E238*1100</f>
        <v>29700</v>
      </c>
    </row>
    <row r="239" spans="1:8" x14ac:dyDescent="0.25">
      <c r="C239" t="s">
        <v>571</v>
      </c>
      <c r="D239" t="s">
        <v>11</v>
      </c>
      <c r="E239">
        <v>12</v>
      </c>
      <c r="F239">
        <f>E239*1700</f>
        <v>20400</v>
      </c>
      <c r="G239">
        <f>E239*500</f>
        <v>6000</v>
      </c>
      <c r="H239">
        <f>E239*1200</f>
        <v>14400</v>
      </c>
    </row>
    <row r="240" spans="1:8" x14ac:dyDescent="0.25">
      <c r="C240" t="s">
        <v>709</v>
      </c>
      <c r="D240" t="s">
        <v>11</v>
      </c>
      <c r="E240">
        <v>20</v>
      </c>
      <c r="F240">
        <f>E240*1800</f>
        <v>36000</v>
      </c>
      <c r="G240">
        <f>E240*500</f>
        <v>10000</v>
      </c>
      <c r="H240">
        <f>E240*1300</f>
        <v>26000</v>
      </c>
    </row>
    <row r="241" spans="1:8" x14ac:dyDescent="0.25">
      <c r="C241" t="s">
        <v>104</v>
      </c>
      <c r="D241" t="s">
        <v>11</v>
      </c>
      <c r="E241">
        <v>80</v>
      </c>
      <c r="F241">
        <f>E241*1700</f>
        <v>136000</v>
      </c>
      <c r="G241">
        <f>E241*500</f>
        <v>40000</v>
      </c>
      <c r="H241">
        <f>E241*1200</f>
        <v>96000</v>
      </c>
    </row>
    <row r="242" spans="1:8" x14ac:dyDescent="0.25">
      <c r="C242" t="s">
        <v>16</v>
      </c>
      <c r="D242" t="s">
        <v>11</v>
      </c>
      <c r="E242">
        <v>24</v>
      </c>
      <c r="F242">
        <f>E242*1500</f>
        <v>36000</v>
      </c>
      <c r="G242">
        <f>E242*500</f>
        <v>12000</v>
      </c>
      <c r="H242">
        <v>24000</v>
      </c>
    </row>
    <row r="243" spans="1:8" x14ac:dyDescent="0.25">
      <c r="D243" t="s">
        <v>12</v>
      </c>
      <c r="E243">
        <v>1</v>
      </c>
      <c r="F243">
        <v>3000</v>
      </c>
      <c r="G243">
        <v>2000</v>
      </c>
      <c r="H243">
        <v>1000</v>
      </c>
    </row>
    <row r="244" spans="1:8" x14ac:dyDescent="0.25">
      <c r="D244" t="s">
        <v>13</v>
      </c>
      <c r="E244">
        <v>1</v>
      </c>
      <c r="F244">
        <v>6500</v>
      </c>
      <c r="G244">
        <v>4500</v>
      </c>
      <c r="H244">
        <v>2000</v>
      </c>
    </row>
    <row r="245" spans="1:8" x14ac:dyDescent="0.25">
      <c r="C245" t="s">
        <v>24</v>
      </c>
      <c r="D245" t="s">
        <v>243</v>
      </c>
      <c r="E245">
        <v>2</v>
      </c>
      <c r="F245">
        <v>30000</v>
      </c>
      <c r="G245">
        <v>20000</v>
      </c>
      <c r="H245">
        <v>10000</v>
      </c>
    </row>
    <row r="246" spans="1:8" x14ac:dyDescent="0.25">
      <c r="A246" s="142" t="s">
        <v>17</v>
      </c>
      <c r="B246" s="142"/>
      <c r="C246" s="142"/>
      <c r="D246" s="142"/>
      <c r="E246" s="13">
        <f>SUM(E238:E245)</f>
        <v>167</v>
      </c>
      <c r="F246" s="13">
        <f t="shared" ref="F246:H246" si="31">SUM(F238:F245)</f>
        <v>311100</v>
      </c>
      <c r="G246" s="13">
        <f t="shared" si="31"/>
        <v>108000</v>
      </c>
      <c r="H246" s="13">
        <f t="shared" si="31"/>
        <v>203100</v>
      </c>
    </row>
    <row r="247" spans="1:8" x14ac:dyDescent="0.25">
      <c r="A247" t="s">
        <v>8</v>
      </c>
      <c r="B247" t="s">
        <v>848</v>
      </c>
      <c r="C247" t="s">
        <v>726</v>
      </c>
      <c r="D247" t="s">
        <v>11</v>
      </c>
      <c r="E247">
        <f>75-13</f>
        <v>62</v>
      </c>
      <c r="F247">
        <f>E247*1800</f>
        <v>111600</v>
      </c>
      <c r="G247">
        <f>E247*500</f>
        <v>31000</v>
      </c>
      <c r="H247">
        <f>E247*1300</f>
        <v>80600</v>
      </c>
    </row>
    <row r="248" spans="1:8" x14ac:dyDescent="0.25">
      <c r="C248" t="s">
        <v>209</v>
      </c>
      <c r="D248" t="s">
        <v>11</v>
      </c>
      <c r="E248">
        <v>22</v>
      </c>
      <c r="F248">
        <f>E248*1600</f>
        <v>35200</v>
      </c>
      <c r="G248">
        <f>E248*500</f>
        <v>11000</v>
      </c>
      <c r="H248">
        <f>E248*1100</f>
        <v>24200</v>
      </c>
    </row>
    <row r="249" spans="1:8" x14ac:dyDescent="0.25">
      <c r="C249" t="s">
        <v>571</v>
      </c>
      <c r="D249" t="s">
        <v>11</v>
      </c>
      <c r="E249">
        <v>24</v>
      </c>
      <c r="F249">
        <f>E249*1700</f>
        <v>40800</v>
      </c>
      <c r="G249">
        <f>E249*500</f>
        <v>12000</v>
      </c>
      <c r="H249">
        <f>E249*1200</f>
        <v>28800</v>
      </c>
    </row>
    <row r="250" spans="1:8" x14ac:dyDescent="0.25">
      <c r="C250" t="s">
        <v>709</v>
      </c>
      <c r="D250" t="s">
        <v>11</v>
      </c>
      <c r="E250">
        <v>16</v>
      </c>
      <c r="F250">
        <f>E250*1800</f>
        <v>28800</v>
      </c>
      <c r="G250">
        <f>E250*500</f>
        <v>8000</v>
      </c>
      <c r="H250">
        <f>E250*1300</f>
        <v>20800</v>
      </c>
    </row>
    <row r="251" spans="1:8" x14ac:dyDescent="0.25">
      <c r="C251" t="s">
        <v>16</v>
      </c>
      <c r="D251" t="s">
        <v>11</v>
      </c>
      <c r="E251">
        <v>52</v>
      </c>
      <c r="F251">
        <f>E251*1500</f>
        <v>78000</v>
      </c>
      <c r="G251">
        <f>E251*500</f>
        <v>26000</v>
      </c>
      <c r="H251">
        <v>52000</v>
      </c>
    </row>
    <row r="252" spans="1:8" x14ac:dyDescent="0.25">
      <c r="D252" t="s">
        <v>12</v>
      </c>
      <c r="E252">
        <v>1</v>
      </c>
      <c r="F252">
        <v>3000</v>
      </c>
      <c r="G252">
        <v>2000</v>
      </c>
      <c r="H252">
        <v>1000</v>
      </c>
    </row>
    <row r="253" spans="1:8" x14ac:dyDescent="0.25">
      <c r="D253" t="s">
        <v>13</v>
      </c>
      <c r="E253">
        <v>2</v>
      </c>
      <c r="F253">
        <v>13000</v>
      </c>
      <c r="G253">
        <v>9000</v>
      </c>
      <c r="H253">
        <v>4000</v>
      </c>
    </row>
    <row r="254" spans="1:8" x14ac:dyDescent="0.25">
      <c r="D254" t="s">
        <v>243</v>
      </c>
      <c r="E254">
        <v>1</v>
      </c>
      <c r="F254">
        <v>13000</v>
      </c>
      <c r="G254">
        <v>10000</v>
      </c>
      <c r="H254">
        <v>3000</v>
      </c>
    </row>
    <row r="255" spans="1:8" x14ac:dyDescent="0.25">
      <c r="C255" t="s">
        <v>846</v>
      </c>
      <c r="D255" t="s">
        <v>13</v>
      </c>
      <c r="E255">
        <v>9</v>
      </c>
      <c r="F255">
        <f>E255*7000</f>
        <v>63000</v>
      </c>
      <c r="G255">
        <f>E255*4500</f>
        <v>40500</v>
      </c>
      <c r="H255">
        <f>E255*2000</f>
        <v>18000</v>
      </c>
    </row>
    <row r="256" spans="1:8" x14ac:dyDescent="0.25">
      <c r="D256" t="s">
        <v>14</v>
      </c>
      <c r="E256">
        <v>3</v>
      </c>
      <c r="F256">
        <v>30000</v>
      </c>
      <c r="G256">
        <f>E256*5500</f>
        <v>16500</v>
      </c>
      <c r="H256">
        <f>E256*4500</f>
        <v>13500</v>
      </c>
    </row>
    <row r="257" spans="1:8" x14ac:dyDescent="0.25">
      <c r="A257" s="142" t="s">
        <v>17</v>
      </c>
      <c r="B257" s="142"/>
      <c r="C257" s="142"/>
      <c r="D257" s="142"/>
      <c r="E257" s="13">
        <f>SUM(E247:E256)</f>
        <v>192</v>
      </c>
      <c r="F257" s="13">
        <f t="shared" ref="F257:H257" si="32">SUM(F247:F256)</f>
        <v>416400</v>
      </c>
      <c r="G257" s="13">
        <f t="shared" si="32"/>
        <v>166000</v>
      </c>
      <c r="H257" s="13">
        <f t="shared" si="32"/>
        <v>245900</v>
      </c>
    </row>
  </sheetData>
  <autoFilter ref="A1:H257" xr:uid="{00000000-0009-0000-0000-000020000000}"/>
  <mergeCells count="31">
    <mergeCell ref="A194:D194"/>
    <mergeCell ref="A204:D204"/>
    <mergeCell ref="A185:D185"/>
    <mergeCell ref="A246:D246"/>
    <mergeCell ref="A257:D257"/>
    <mergeCell ref="A237:D237"/>
    <mergeCell ref="A209:D209"/>
    <mergeCell ref="A225:D225"/>
    <mergeCell ref="A167:D167"/>
    <mergeCell ref="A176:D176"/>
    <mergeCell ref="A145:D145"/>
    <mergeCell ref="A150:D150"/>
    <mergeCell ref="A160:D160"/>
    <mergeCell ref="A6:D6"/>
    <mergeCell ref="A14:D14"/>
    <mergeCell ref="A22:D22"/>
    <mergeCell ref="A27:D27"/>
    <mergeCell ref="A32:D32"/>
    <mergeCell ref="A60:D60"/>
    <mergeCell ref="A43:D43"/>
    <mergeCell ref="A51:D51"/>
    <mergeCell ref="A128:D128"/>
    <mergeCell ref="A135:D135"/>
    <mergeCell ref="A77:D77"/>
    <mergeCell ref="A84:D84"/>
    <mergeCell ref="A70:D70"/>
    <mergeCell ref="A111:D111"/>
    <mergeCell ref="A115:D115"/>
    <mergeCell ref="A122:D122"/>
    <mergeCell ref="A104:D104"/>
    <mergeCell ref="A94:D94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/>
  <dimension ref="A1:I332"/>
  <sheetViews>
    <sheetView workbookViewId="0">
      <selection activeCell="E325" sqref="E325"/>
    </sheetView>
  </sheetViews>
  <sheetFormatPr defaultRowHeight="15" x14ac:dyDescent="0.25"/>
  <cols>
    <col min="2" max="2" width="10.7109375" bestFit="1" customWidth="1"/>
    <col min="5" max="5" width="9.28515625" bestFit="1" customWidth="1"/>
    <col min="6" max="6" width="15.85546875" bestFit="1" customWidth="1"/>
    <col min="7" max="8" width="13.425781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s="3" t="s">
        <v>18</v>
      </c>
      <c r="B2" s="3">
        <v>45299</v>
      </c>
      <c r="C2" t="s">
        <v>104</v>
      </c>
      <c r="D2" t="s">
        <v>11</v>
      </c>
      <c r="E2">
        <v>40</v>
      </c>
      <c r="F2">
        <f>E2*1700</f>
        <v>68000</v>
      </c>
      <c r="G2">
        <f>E2*1500</f>
        <v>60000</v>
      </c>
      <c r="H2">
        <f>E2*1200</f>
        <v>48000</v>
      </c>
    </row>
    <row r="3" spans="1:8" hidden="1" x14ac:dyDescent="0.25">
      <c r="C3" t="s">
        <v>209</v>
      </c>
      <c r="D3" t="s">
        <v>11</v>
      </c>
      <c r="E3">
        <f>30-15</f>
        <v>15</v>
      </c>
      <c r="F3">
        <f>E3*1600</f>
        <v>24000</v>
      </c>
      <c r="G3">
        <f>E3*500</f>
        <v>7500</v>
      </c>
      <c r="H3">
        <f>E3*110</f>
        <v>1650</v>
      </c>
    </row>
    <row r="4" spans="1:8" hidden="1" x14ac:dyDescent="0.25">
      <c r="C4" t="s">
        <v>571</v>
      </c>
      <c r="D4" t="s">
        <v>11</v>
      </c>
      <c r="E4">
        <v>15</v>
      </c>
      <c r="F4">
        <f>E4*1700</f>
        <v>25500</v>
      </c>
      <c r="G4">
        <f>E4*500</f>
        <v>7500</v>
      </c>
      <c r="H4">
        <f>E4*1200</f>
        <v>18000</v>
      </c>
    </row>
    <row r="5" spans="1:8" hidden="1" x14ac:dyDescent="0.25">
      <c r="C5" t="s">
        <v>16</v>
      </c>
      <c r="D5" t="s">
        <v>11</v>
      </c>
      <c r="E5">
        <v>55</v>
      </c>
      <c r="F5">
        <f>E5*1500</f>
        <v>82500</v>
      </c>
      <c r="G5">
        <f>E5*500</f>
        <v>27500</v>
      </c>
      <c r="H5">
        <v>55000</v>
      </c>
    </row>
    <row r="6" spans="1:8" hidden="1" x14ac:dyDescent="0.25">
      <c r="D6" t="s">
        <v>12</v>
      </c>
      <c r="E6">
        <v>1</v>
      </c>
      <c r="F6">
        <v>3000</v>
      </c>
      <c r="G6">
        <v>2000</v>
      </c>
      <c r="H6">
        <v>1000</v>
      </c>
    </row>
    <row r="7" spans="1:8" hidden="1" x14ac:dyDescent="0.25">
      <c r="D7" t="s">
        <v>13</v>
      </c>
      <c r="E7">
        <v>1</v>
      </c>
      <c r="F7">
        <v>6500</v>
      </c>
      <c r="G7">
        <v>4500</v>
      </c>
      <c r="H7">
        <v>2000</v>
      </c>
    </row>
    <row r="8" spans="1:8" hidden="1" x14ac:dyDescent="0.25">
      <c r="C8" t="s">
        <v>846</v>
      </c>
      <c r="D8" t="s">
        <v>13</v>
      </c>
      <c r="E8">
        <v>6</v>
      </c>
      <c r="F8">
        <f>E8*8000</f>
        <v>48000</v>
      </c>
      <c r="G8">
        <f>E8*4500</f>
        <v>27000</v>
      </c>
      <c r="H8">
        <f>E8*3500</f>
        <v>21000</v>
      </c>
    </row>
    <row r="9" spans="1:8" hidden="1" x14ac:dyDescent="0.25">
      <c r="D9" t="s">
        <v>14</v>
      </c>
      <c r="E9">
        <v>3</v>
      </c>
      <c r="F9">
        <f>E9*12000</f>
        <v>36000</v>
      </c>
      <c r="G9">
        <f>E9*5500</f>
        <v>16500</v>
      </c>
      <c r="H9">
        <f>E9*6500</f>
        <v>19500</v>
      </c>
    </row>
    <row r="10" spans="1:8" hidden="1" x14ac:dyDescent="0.25">
      <c r="A10" s="142" t="s">
        <v>17</v>
      </c>
      <c r="B10" s="142"/>
      <c r="C10" s="142"/>
      <c r="D10" s="142"/>
      <c r="E10" s="13">
        <f>SUM(E2:E9)</f>
        <v>136</v>
      </c>
      <c r="F10" s="13">
        <f t="shared" ref="F10:H10" si="0">SUM(F2:F9)</f>
        <v>293500</v>
      </c>
      <c r="G10" s="13">
        <f t="shared" si="0"/>
        <v>152500</v>
      </c>
      <c r="H10" s="13">
        <f t="shared" si="0"/>
        <v>166150</v>
      </c>
    </row>
    <row r="11" spans="1:8" hidden="1" x14ac:dyDescent="0.25">
      <c r="A11" s="3" t="s">
        <v>22</v>
      </c>
      <c r="B11" s="3">
        <v>45330</v>
      </c>
      <c r="C11" t="s">
        <v>338</v>
      </c>
      <c r="D11" t="s">
        <v>11</v>
      </c>
      <c r="E11">
        <v>75</v>
      </c>
      <c r="F11">
        <f>E11*1800</f>
        <v>135000</v>
      </c>
      <c r="G11">
        <f>E11*500</f>
        <v>37500</v>
      </c>
      <c r="H11">
        <f>E11*1300</f>
        <v>97500</v>
      </c>
    </row>
    <row r="12" spans="1:8" hidden="1" x14ac:dyDescent="0.25">
      <c r="C12" t="s">
        <v>104</v>
      </c>
      <c r="D12" t="s">
        <v>11</v>
      </c>
      <c r="E12">
        <v>80</v>
      </c>
      <c r="F12">
        <f>E12*1700</f>
        <v>136000</v>
      </c>
      <c r="G12">
        <f>E12*500</f>
        <v>40000</v>
      </c>
      <c r="H12">
        <f>E12*1200</f>
        <v>96000</v>
      </c>
    </row>
    <row r="13" spans="1:8" hidden="1" x14ac:dyDescent="0.25">
      <c r="C13" t="s">
        <v>306</v>
      </c>
      <c r="D13" t="s">
        <v>11</v>
      </c>
      <c r="E13">
        <v>26</v>
      </c>
      <c r="F13">
        <f>E13*1800</f>
        <v>46800</v>
      </c>
      <c r="G13">
        <f>E13*500</f>
        <v>13000</v>
      </c>
      <c r="H13">
        <f>E13*1300</f>
        <v>33800</v>
      </c>
    </row>
    <row r="14" spans="1:8" hidden="1" x14ac:dyDescent="0.25">
      <c r="C14" t="s">
        <v>571</v>
      </c>
      <c r="D14" t="s">
        <v>11</v>
      </c>
      <c r="E14">
        <v>15</v>
      </c>
      <c r="F14">
        <f>E14*1700</f>
        <v>25500</v>
      </c>
      <c r="G14">
        <f>E14*500</f>
        <v>7500</v>
      </c>
      <c r="H14">
        <f>E14*1200</f>
        <v>18000</v>
      </c>
    </row>
    <row r="15" spans="1:8" hidden="1" x14ac:dyDescent="0.25">
      <c r="C15" t="s">
        <v>846</v>
      </c>
      <c r="D15" t="s">
        <v>13</v>
      </c>
      <c r="E15">
        <v>3</v>
      </c>
      <c r="F15">
        <f>E15*8000</f>
        <v>24000</v>
      </c>
      <c r="G15">
        <f>E15*4500</f>
        <v>13500</v>
      </c>
      <c r="H15">
        <f>E15*3500</f>
        <v>10500</v>
      </c>
    </row>
    <row r="16" spans="1:8" hidden="1" x14ac:dyDescent="0.25">
      <c r="D16" t="s">
        <v>14</v>
      </c>
      <c r="E16">
        <v>1</v>
      </c>
      <c r="F16">
        <v>12000</v>
      </c>
      <c r="G16">
        <v>5500</v>
      </c>
      <c r="H16">
        <v>6500</v>
      </c>
    </row>
    <row r="17" spans="1:8" hidden="1" x14ac:dyDescent="0.25">
      <c r="C17" t="s">
        <v>849</v>
      </c>
      <c r="D17" t="s">
        <v>11</v>
      </c>
      <c r="E17">
        <v>3</v>
      </c>
      <c r="F17">
        <v>6000</v>
      </c>
      <c r="G17">
        <f>E17*500</f>
        <v>1500</v>
      </c>
      <c r="H17">
        <v>4500</v>
      </c>
    </row>
    <row r="18" spans="1:8" hidden="1" x14ac:dyDescent="0.25">
      <c r="D18" t="s">
        <v>13</v>
      </c>
      <c r="E18">
        <v>9</v>
      </c>
      <c r="F18">
        <f>E18*7000</f>
        <v>63000</v>
      </c>
      <c r="G18">
        <f>E18*4500</f>
        <v>40500</v>
      </c>
      <c r="H18">
        <f>E18*3000</f>
        <v>27000</v>
      </c>
    </row>
    <row r="19" spans="1:8" hidden="1" x14ac:dyDescent="0.25">
      <c r="D19" t="s">
        <v>14</v>
      </c>
      <c r="E19">
        <v>2</v>
      </c>
      <c r="F19">
        <v>20000</v>
      </c>
      <c r="G19">
        <v>11000</v>
      </c>
      <c r="H19">
        <v>9000</v>
      </c>
    </row>
    <row r="20" spans="1:8" hidden="1" x14ac:dyDescent="0.25">
      <c r="C20" t="s">
        <v>16</v>
      </c>
      <c r="D20" t="s">
        <v>11</v>
      </c>
      <c r="E20">
        <v>55</v>
      </c>
      <c r="F20">
        <f>E20*1500</f>
        <v>82500</v>
      </c>
      <c r="G20">
        <f>E20*500</f>
        <v>27500</v>
      </c>
      <c r="H20">
        <v>55000</v>
      </c>
    </row>
    <row r="21" spans="1:8" hidden="1" x14ac:dyDescent="0.25">
      <c r="D21" t="s">
        <v>12</v>
      </c>
      <c r="E21">
        <v>3</v>
      </c>
      <c r="F21">
        <v>9000</v>
      </c>
      <c r="G21">
        <v>6000</v>
      </c>
      <c r="H21">
        <v>3000</v>
      </c>
    </row>
    <row r="22" spans="1:8" hidden="1" x14ac:dyDescent="0.25">
      <c r="A22" s="142" t="s">
        <v>17</v>
      </c>
      <c r="B22" s="142"/>
      <c r="C22" s="142"/>
      <c r="D22" s="142"/>
      <c r="E22" s="13">
        <f>SUM(E11:E21)</f>
        <v>272</v>
      </c>
      <c r="F22" s="13">
        <f t="shared" ref="F22:H22" si="1">SUM(F11:F21)</f>
        <v>559800</v>
      </c>
      <c r="G22" s="13">
        <f t="shared" si="1"/>
        <v>203500</v>
      </c>
      <c r="H22" s="13">
        <f t="shared" si="1"/>
        <v>360800</v>
      </c>
    </row>
    <row r="23" spans="1:8" hidden="1" x14ac:dyDescent="0.25">
      <c r="A23" t="s">
        <v>26</v>
      </c>
      <c r="B23" s="3">
        <v>45359</v>
      </c>
      <c r="C23" t="s">
        <v>338</v>
      </c>
      <c r="D23" t="s">
        <v>11</v>
      </c>
      <c r="E23">
        <v>74</v>
      </c>
      <c r="F23">
        <f>E23*1800</f>
        <v>133200</v>
      </c>
      <c r="G23">
        <f>E23*500</f>
        <v>37000</v>
      </c>
      <c r="H23">
        <f>E23*1300</f>
        <v>96200</v>
      </c>
    </row>
    <row r="24" spans="1:8" hidden="1" x14ac:dyDescent="0.25">
      <c r="C24" t="s">
        <v>16</v>
      </c>
      <c r="D24" t="s">
        <v>11</v>
      </c>
      <c r="E24">
        <f>65-24</f>
        <v>41</v>
      </c>
      <c r="F24">
        <f>E24*1500</f>
        <v>61500</v>
      </c>
      <c r="G24">
        <f>E24*500</f>
        <v>20500</v>
      </c>
      <c r="H24">
        <f>E24*1000</f>
        <v>41000</v>
      </c>
    </row>
    <row r="25" spans="1:8" hidden="1" x14ac:dyDescent="0.25">
      <c r="D25" t="s">
        <v>12</v>
      </c>
      <c r="E25">
        <v>1</v>
      </c>
      <c r="F25">
        <v>3000</v>
      </c>
      <c r="G25">
        <v>2000</v>
      </c>
      <c r="H25">
        <v>1000</v>
      </c>
    </row>
    <row r="26" spans="1:8" hidden="1" x14ac:dyDescent="0.25">
      <c r="C26" t="s">
        <v>846</v>
      </c>
      <c r="D26" t="s">
        <v>11</v>
      </c>
      <c r="E26">
        <v>12</v>
      </c>
      <c r="F26">
        <f>E26*3000</f>
        <v>36000</v>
      </c>
      <c r="G26">
        <f>E26*500</f>
        <v>6000</v>
      </c>
      <c r="H26">
        <f>E26*2000</f>
        <v>24000</v>
      </c>
    </row>
    <row r="27" spans="1:8" hidden="1" x14ac:dyDescent="0.25">
      <c r="D27" t="s">
        <v>13</v>
      </c>
      <c r="E27">
        <f>9+16</f>
        <v>25</v>
      </c>
      <c r="F27">
        <f>E27*8000</f>
        <v>200000</v>
      </c>
      <c r="G27">
        <f>E27*4500</f>
        <v>112500</v>
      </c>
      <c r="H27">
        <f>E27*3500</f>
        <v>87500</v>
      </c>
    </row>
    <row r="28" spans="1:8" hidden="1" x14ac:dyDescent="0.25">
      <c r="D28" t="s">
        <v>14</v>
      </c>
      <c r="E28">
        <v>11</v>
      </c>
      <c r="F28">
        <f>E28*12000</f>
        <v>132000</v>
      </c>
      <c r="G28">
        <f>E28*5500</f>
        <v>60500</v>
      </c>
      <c r="H28">
        <f>E28*6500</f>
        <v>71500</v>
      </c>
    </row>
    <row r="29" spans="1:8" hidden="1" x14ac:dyDescent="0.25">
      <c r="C29" t="s">
        <v>24</v>
      </c>
      <c r="D29" t="s">
        <v>243</v>
      </c>
      <c r="E29">
        <v>30</v>
      </c>
      <c r="F29">
        <f>E29*11500</f>
        <v>345000</v>
      </c>
      <c r="G29">
        <f>E29*9000</f>
        <v>270000</v>
      </c>
      <c r="H29">
        <f>E29*2500</f>
        <v>75000</v>
      </c>
    </row>
    <row r="30" spans="1:8" hidden="1" x14ac:dyDescent="0.25">
      <c r="C30" t="s">
        <v>24</v>
      </c>
      <c r="D30" t="s">
        <v>21</v>
      </c>
      <c r="E30">
        <v>8</v>
      </c>
      <c r="F30">
        <f>E30*17000</f>
        <v>136000</v>
      </c>
      <c r="G30">
        <f>E30*12000</f>
        <v>96000</v>
      </c>
      <c r="H30">
        <f>E30*5000</f>
        <v>40000</v>
      </c>
    </row>
    <row r="31" spans="1:8" hidden="1" x14ac:dyDescent="0.25">
      <c r="C31" t="s">
        <v>24</v>
      </c>
      <c r="D31" t="s">
        <v>243</v>
      </c>
      <c r="E31">
        <v>9</v>
      </c>
      <c r="F31">
        <f>E31*13000</f>
        <v>117000</v>
      </c>
      <c r="G31">
        <f>E31*10000</f>
        <v>90000</v>
      </c>
      <c r="H31">
        <f>E31*3000</f>
        <v>27000</v>
      </c>
    </row>
    <row r="32" spans="1:8" hidden="1" x14ac:dyDescent="0.25">
      <c r="A32" s="142" t="s">
        <v>17</v>
      </c>
      <c r="B32" s="142"/>
      <c r="C32" s="142"/>
      <c r="D32" s="142"/>
      <c r="E32" s="13">
        <f>SUM(E23:E31)</f>
        <v>211</v>
      </c>
      <c r="F32" s="13">
        <f t="shared" ref="F32:H32" si="2">SUM(F23:F31)</f>
        <v>1163700</v>
      </c>
      <c r="G32" s="13">
        <f t="shared" si="2"/>
        <v>694500</v>
      </c>
      <c r="H32" s="13">
        <f t="shared" si="2"/>
        <v>463200</v>
      </c>
    </row>
    <row r="33" spans="1:8" hidden="1" x14ac:dyDescent="0.25">
      <c r="A33" t="s">
        <v>28</v>
      </c>
      <c r="B33" s="3">
        <v>45390</v>
      </c>
      <c r="C33" t="s">
        <v>693</v>
      </c>
      <c r="D33" t="s">
        <v>13</v>
      </c>
      <c r="E33">
        <v>56</v>
      </c>
      <c r="F33">
        <f>E33*7000</f>
        <v>392000</v>
      </c>
      <c r="G33">
        <f>E33*4500</f>
        <v>252000</v>
      </c>
      <c r="H33">
        <f>E33*2500</f>
        <v>140000</v>
      </c>
    </row>
    <row r="34" spans="1:8" hidden="1" x14ac:dyDescent="0.25">
      <c r="D34" t="s">
        <v>14</v>
      </c>
      <c r="E34">
        <v>16</v>
      </c>
      <c r="F34">
        <f>E34*10000</f>
        <v>160000</v>
      </c>
      <c r="G34">
        <f>E34*5500</f>
        <v>88000</v>
      </c>
      <c r="H34">
        <f>E34*4500</f>
        <v>72000</v>
      </c>
    </row>
    <row r="35" spans="1:8" hidden="1" x14ac:dyDescent="0.25">
      <c r="C35" t="s">
        <v>217</v>
      </c>
      <c r="D35" t="s">
        <v>11</v>
      </c>
      <c r="E35">
        <v>6</v>
      </c>
      <c r="F35">
        <f>E35*1500</f>
        <v>9000</v>
      </c>
      <c r="G35">
        <f>E35*500</f>
        <v>3000</v>
      </c>
      <c r="H35">
        <v>6000</v>
      </c>
    </row>
    <row r="36" spans="1:8" hidden="1" x14ac:dyDescent="0.25">
      <c r="D36" t="s">
        <v>13</v>
      </c>
      <c r="E36">
        <v>16</v>
      </c>
      <c r="F36">
        <f>E36*6500</f>
        <v>104000</v>
      </c>
      <c r="G36">
        <f>E36*4500</f>
        <v>72000</v>
      </c>
      <c r="H36">
        <f>E36*2000</f>
        <v>32000</v>
      </c>
    </row>
    <row r="37" spans="1:8" hidden="1" x14ac:dyDescent="0.25">
      <c r="D37" t="s">
        <v>14</v>
      </c>
      <c r="E37">
        <v>12</v>
      </c>
      <c r="F37">
        <f>E37*10000</f>
        <v>120000</v>
      </c>
      <c r="G37">
        <f>E37*5500</f>
        <v>66000</v>
      </c>
      <c r="H37">
        <f>E37*4500</f>
        <v>54000</v>
      </c>
    </row>
    <row r="38" spans="1:8" hidden="1" x14ac:dyDescent="0.25">
      <c r="C38" t="s">
        <v>16</v>
      </c>
      <c r="D38" t="s">
        <v>11</v>
      </c>
      <c r="E38">
        <v>50</v>
      </c>
      <c r="F38">
        <f>E38*1500</f>
        <v>75000</v>
      </c>
      <c r="G38">
        <f>E38*500</f>
        <v>25000</v>
      </c>
      <c r="H38">
        <v>50000</v>
      </c>
    </row>
    <row r="39" spans="1:8" hidden="1" x14ac:dyDescent="0.25">
      <c r="D39" t="s">
        <v>12</v>
      </c>
      <c r="E39">
        <v>9</v>
      </c>
      <c r="F39">
        <f>E39*3000</f>
        <v>27000</v>
      </c>
      <c r="G39">
        <f>E39*2000</f>
        <v>18000</v>
      </c>
      <c r="H39">
        <v>9000</v>
      </c>
    </row>
    <row r="40" spans="1:8" hidden="1" x14ac:dyDescent="0.25">
      <c r="D40" t="s">
        <v>13</v>
      </c>
      <c r="E40">
        <v>2</v>
      </c>
      <c r="F40">
        <v>13000</v>
      </c>
      <c r="G40">
        <v>9000</v>
      </c>
      <c r="H40">
        <v>4000</v>
      </c>
    </row>
    <row r="41" spans="1:8" hidden="1" x14ac:dyDescent="0.25">
      <c r="D41" t="s">
        <v>14</v>
      </c>
      <c r="E41">
        <v>1</v>
      </c>
      <c r="F41">
        <v>10000</v>
      </c>
      <c r="G41">
        <v>5500</v>
      </c>
      <c r="H41">
        <v>4500</v>
      </c>
    </row>
    <row r="42" spans="1:8" hidden="1" x14ac:dyDescent="0.25">
      <c r="D42" t="s">
        <v>243</v>
      </c>
      <c r="E42">
        <v>1</v>
      </c>
      <c r="F42">
        <v>13000</v>
      </c>
      <c r="G42">
        <v>10000</v>
      </c>
      <c r="H42">
        <v>3000</v>
      </c>
    </row>
    <row r="43" spans="1:8" hidden="1" x14ac:dyDescent="0.25">
      <c r="C43" t="s">
        <v>24</v>
      </c>
      <c r="D43" t="s">
        <v>11</v>
      </c>
      <c r="E43">
        <v>15</v>
      </c>
      <c r="F43">
        <f>E43*1500</f>
        <v>22500</v>
      </c>
      <c r="G43">
        <f>E43*500</f>
        <v>7500</v>
      </c>
      <c r="H43">
        <v>15000</v>
      </c>
    </row>
    <row r="44" spans="1:8" hidden="1" x14ac:dyDescent="0.25">
      <c r="C44" t="s">
        <v>850</v>
      </c>
      <c r="D44" t="s">
        <v>243</v>
      </c>
      <c r="E44">
        <v>2</v>
      </c>
    </row>
    <row r="45" spans="1:8" hidden="1" x14ac:dyDescent="0.25">
      <c r="D45" t="s">
        <v>11</v>
      </c>
      <c r="E45">
        <v>1</v>
      </c>
    </row>
    <row r="46" spans="1:8" hidden="1" x14ac:dyDescent="0.25">
      <c r="C46" t="s">
        <v>24</v>
      </c>
      <c r="D46" t="s">
        <v>14</v>
      </c>
      <c r="E46">
        <v>4</v>
      </c>
    </row>
    <row r="47" spans="1:8" hidden="1" x14ac:dyDescent="0.25">
      <c r="A47" s="142" t="s">
        <v>17</v>
      </c>
      <c r="B47" s="142"/>
      <c r="C47" s="142"/>
      <c r="D47" s="142"/>
      <c r="E47" s="13">
        <f>SUM(E33:E46)</f>
        <v>191</v>
      </c>
      <c r="F47" s="13">
        <f t="shared" ref="F47:H47" si="3">SUM(F33:F46)</f>
        <v>945500</v>
      </c>
      <c r="G47" s="13">
        <f t="shared" si="3"/>
        <v>556000</v>
      </c>
      <c r="H47" s="13">
        <f t="shared" si="3"/>
        <v>389500</v>
      </c>
    </row>
    <row r="48" spans="1:8" hidden="1" x14ac:dyDescent="0.25">
      <c r="A48" t="s">
        <v>30</v>
      </c>
      <c r="B48" s="3">
        <v>45420</v>
      </c>
      <c r="C48" t="s">
        <v>338</v>
      </c>
      <c r="D48" t="s">
        <v>11</v>
      </c>
      <c r="E48">
        <v>142</v>
      </c>
      <c r="F48">
        <f>E48*1800</f>
        <v>255600</v>
      </c>
      <c r="G48">
        <f>E48*500</f>
        <v>71000</v>
      </c>
      <c r="H48">
        <f>E48*1300</f>
        <v>184600</v>
      </c>
    </row>
    <row r="49" spans="1:8" hidden="1" x14ac:dyDescent="0.25">
      <c r="C49" t="s">
        <v>209</v>
      </c>
      <c r="D49" t="s">
        <v>11</v>
      </c>
      <c r="E49">
        <v>32</v>
      </c>
      <c r="F49">
        <f>E49*1600</f>
        <v>51200</v>
      </c>
      <c r="G49">
        <f>E49*500</f>
        <v>16000</v>
      </c>
      <c r="H49">
        <f>E49*1100</f>
        <v>35200</v>
      </c>
    </row>
    <row r="50" spans="1:8" hidden="1" x14ac:dyDescent="0.25">
      <c r="C50" t="s">
        <v>571</v>
      </c>
      <c r="D50" t="s">
        <v>11</v>
      </c>
      <c r="E50">
        <v>24</v>
      </c>
      <c r="F50">
        <f>E50*1700</f>
        <v>40800</v>
      </c>
      <c r="G50">
        <f>E50*500</f>
        <v>12000</v>
      </c>
      <c r="H50">
        <f>E50*1200</f>
        <v>28800</v>
      </c>
    </row>
    <row r="51" spans="1:8" hidden="1" x14ac:dyDescent="0.25">
      <c r="C51" t="s">
        <v>572</v>
      </c>
      <c r="D51" t="s">
        <v>11</v>
      </c>
      <c r="E51">
        <v>49</v>
      </c>
      <c r="F51">
        <f>E51*1700</f>
        <v>83300</v>
      </c>
      <c r="G51">
        <f>E51*500</f>
        <v>24500</v>
      </c>
      <c r="H51">
        <f>E51*1200</f>
        <v>58800</v>
      </c>
    </row>
    <row r="52" spans="1:8" hidden="1" x14ac:dyDescent="0.25">
      <c r="C52" t="s">
        <v>104</v>
      </c>
      <c r="D52" t="s">
        <v>11</v>
      </c>
      <c r="E52">
        <v>62</v>
      </c>
      <c r="F52">
        <f>E52*1700</f>
        <v>105400</v>
      </c>
      <c r="G52">
        <f>E52*500</f>
        <v>31000</v>
      </c>
      <c r="H52">
        <f>E52*1200</f>
        <v>74400</v>
      </c>
    </row>
    <row r="53" spans="1:8" hidden="1" x14ac:dyDescent="0.25">
      <c r="C53" t="s">
        <v>846</v>
      </c>
      <c r="D53" t="s">
        <v>13</v>
      </c>
      <c r="E53">
        <v>5</v>
      </c>
      <c r="F53">
        <f>E53*8000</f>
        <v>40000</v>
      </c>
      <c r="G53">
        <f>E53*4500</f>
        <v>22500</v>
      </c>
      <c r="H53">
        <f>E53*3500</f>
        <v>17500</v>
      </c>
    </row>
    <row r="54" spans="1:8" hidden="1" x14ac:dyDescent="0.25">
      <c r="D54" t="s">
        <v>14</v>
      </c>
      <c r="E54">
        <v>8</v>
      </c>
      <c r="F54">
        <f>E54*12000</f>
        <v>96000</v>
      </c>
      <c r="G54">
        <f>E54*5500</f>
        <v>44000</v>
      </c>
      <c r="H54">
        <f>E54*6500</f>
        <v>52000</v>
      </c>
    </row>
    <row r="55" spans="1:8" hidden="1" x14ac:dyDescent="0.25">
      <c r="C55" t="s">
        <v>16</v>
      </c>
      <c r="D55" t="s">
        <v>11</v>
      </c>
      <c r="E55">
        <v>28</v>
      </c>
      <c r="F55">
        <f>E55*1500</f>
        <v>42000</v>
      </c>
      <c r="G55">
        <f>E55*500</f>
        <v>14000</v>
      </c>
      <c r="H55">
        <f>E55*1000</f>
        <v>28000</v>
      </c>
    </row>
    <row r="56" spans="1:8" hidden="1" x14ac:dyDescent="0.25">
      <c r="D56" t="s">
        <v>13</v>
      </c>
      <c r="E56">
        <v>6</v>
      </c>
      <c r="F56">
        <f>E56*6500</f>
        <v>39000</v>
      </c>
      <c r="G56">
        <f>E56*4500</f>
        <v>27000</v>
      </c>
      <c r="H56">
        <f>E56*2000</f>
        <v>12000</v>
      </c>
    </row>
    <row r="57" spans="1:8" hidden="1" x14ac:dyDescent="0.25">
      <c r="A57" s="142" t="s">
        <v>17</v>
      </c>
      <c r="B57" s="142"/>
      <c r="C57" s="142"/>
      <c r="D57" s="142"/>
      <c r="E57" s="13">
        <f>SUM(E48:E56)</f>
        <v>356</v>
      </c>
      <c r="F57" s="13">
        <f t="shared" ref="F57:H57" si="4">SUM(F48:F56)</f>
        <v>753300</v>
      </c>
      <c r="G57" s="13">
        <f t="shared" si="4"/>
        <v>262000</v>
      </c>
      <c r="H57" s="13">
        <f t="shared" si="4"/>
        <v>491300</v>
      </c>
    </row>
    <row r="58" spans="1:8" hidden="1" x14ac:dyDescent="0.25">
      <c r="A58" t="s">
        <v>32</v>
      </c>
      <c r="B58" s="3">
        <v>45451</v>
      </c>
      <c r="C58" t="s">
        <v>338</v>
      </c>
      <c r="D58" t="s">
        <v>11</v>
      </c>
      <c r="E58">
        <v>72</v>
      </c>
      <c r="F58">
        <f>E58*1800</f>
        <v>129600</v>
      </c>
      <c r="G58">
        <f>E58*500</f>
        <v>36000</v>
      </c>
      <c r="H58">
        <f>E58*1300</f>
        <v>93600</v>
      </c>
    </row>
    <row r="59" spans="1:8" hidden="1" x14ac:dyDescent="0.25">
      <c r="C59" t="s">
        <v>209</v>
      </c>
      <c r="D59" t="s">
        <v>11</v>
      </c>
      <c r="E59">
        <v>14</v>
      </c>
      <c r="F59">
        <f>E59*1600</f>
        <v>22400</v>
      </c>
      <c r="G59">
        <f>E59*500</f>
        <v>7000</v>
      </c>
      <c r="H59">
        <f>E59*1100</f>
        <v>15400</v>
      </c>
    </row>
    <row r="60" spans="1:8" hidden="1" x14ac:dyDescent="0.25">
      <c r="C60" t="s">
        <v>571</v>
      </c>
      <c r="D60" t="s">
        <v>11</v>
      </c>
      <c r="E60">
        <v>20</v>
      </c>
      <c r="F60">
        <f>E60*1700</f>
        <v>34000</v>
      </c>
      <c r="G60">
        <f>E60*500</f>
        <v>10000</v>
      </c>
      <c r="H60">
        <f>E60*1200</f>
        <v>24000</v>
      </c>
    </row>
    <row r="61" spans="1:8" hidden="1" x14ac:dyDescent="0.25">
      <c r="C61" t="s">
        <v>306</v>
      </c>
      <c r="D61" t="s">
        <v>11</v>
      </c>
      <c r="E61">
        <v>21</v>
      </c>
      <c r="F61">
        <f>E61*1800</f>
        <v>37800</v>
      </c>
      <c r="G61">
        <f>E61*500</f>
        <v>10500</v>
      </c>
      <c r="H61">
        <f>E61*1300</f>
        <v>27300</v>
      </c>
    </row>
    <row r="62" spans="1:8" hidden="1" x14ac:dyDescent="0.25">
      <c r="C62" t="s">
        <v>16</v>
      </c>
      <c r="D62" t="s">
        <v>11</v>
      </c>
      <c r="E62">
        <v>36</v>
      </c>
      <c r="F62">
        <f>E62*1500</f>
        <v>54000</v>
      </c>
      <c r="G62">
        <f>E62*500</f>
        <v>18000</v>
      </c>
      <c r="H62">
        <v>36000</v>
      </c>
    </row>
    <row r="63" spans="1:8" hidden="1" x14ac:dyDescent="0.25">
      <c r="D63" t="s">
        <v>12</v>
      </c>
      <c r="E63">
        <v>3</v>
      </c>
      <c r="F63">
        <v>9000</v>
      </c>
      <c r="G63">
        <v>6000</v>
      </c>
      <c r="H63">
        <v>3000</v>
      </c>
    </row>
    <row r="64" spans="1:8" hidden="1" x14ac:dyDescent="0.25">
      <c r="D64" t="s">
        <v>13</v>
      </c>
      <c r="E64">
        <v>1</v>
      </c>
      <c r="F64">
        <v>6500</v>
      </c>
      <c r="G64">
        <v>4500</v>
      </c>
      <c r="H64">
        <v>2000</v>
      </c>
    </row>
    <row r="65" spans="1:8" hidden="1" x14ac:dyDescent="0.25">
      <c r="D65" t="s">
        <v>243</v>
      </c>
      <c r="E65">
        <v>2</v>
      </c>
      <c r="F65">
        <v>26000</v>
      </c>
      <c r="G65">
        <v>20000</v>
      </c>
      <c r="H65">
        <v>6000</v>
      </c>
    </row>
    <row r="66" spans="1:8" hidden="1" x14ac:dyDescent="0.25">
      <c r="C66" t="s">
        <v>846</v>
      </c>
      <c r="D66" t="s">
        <v>13</v>
      </c>
      <c r="E66">
        <v>5</v>
      </c>
      <c r="F66">
        <f>E66*8000</f>
        <v>40000</v>
      </c>
      <c r="G66">
        <f>E66*4500</f>
        <v>22500</v>
      </c>
      <c r="H66">
        <f>E66*3500</f>
        <v>17500</v>
      </c>
    </row>
    <row r="67" spans="1:8" hidden="1" x14ac:dyDescent="0.25">
      <c r="D67" t="s">
        <v>14</v>
      </c>
      <c r="E67">
        <v>6</v>
      </c>
      <c r="F67">
        <f>E67*12000</f>
        <v>72000</v>
      </c>
      <c r="G67">
        <f>E67*5500</f>
        <v>33000</v>
      </c>
      <c r="H67">
        <f>E67*6500</f>
        <v>39000</v>
      </c>
    </row>
    <row r="68" spans="1:8" hidden="1" x14ac:dyDescent="0.25">
      <c r="C68" t="s">
        <v>24</v>
      </c>
      <c r="D68" t="s">
        <v>21</v>
      </c>
      <c r="E68">
        <v>3</v>
      </c>
      <c r="F68">
        <f>E68*17000</f>
        <v>51000</v>
      </c>
      <c r="G68">
        <f>E68*12000</f>
        <v>36000</v>
      </c>
      <c r="H68">
        <f>E68*5000</f>
        <v>15000</v>
      </c>
    </row>
    <row r="69" spans="1:8" hidden="1" x14ac:dyDescent="0.25">
      <c r="D69" t="s">
        <v>243</v>
      </c>
      <c r="E69">
        <v>1</v>
      </c>
      <c r="F69">
        <v>15000</v>
      </c>
      <c r="G69">
        <v>10000</v>
      </c>
      <c r="H69">
        <v>5000</v>
      </c>
    </row>
    <row r="70" spans="1:8" hidden="1" x14ac:dyDescent="0.25">
      <c r="A70" s="142" t="s">
        <v>17</v>
      </c>
      <c r="B70" s="142"/>
      <c r="C70" s="142"/>
      <c r="D70" s="142"/>
      <c r="E70" s="13">
        <f>SUM(E58:E69)</f>
        <v>184</v>
      </c>
      <c r="F70" s="13">
        <f t="shared" ref="F70:H70" si="5">SUM(F58:F69)</f>
        <v>497300</v>
      </c>
      <c r="G70" s="13">
        <f t="shared" si="5"/>
        <v>213500</v>
      </c>
      <c r="H70" s="13">
        <f t="shared" si="5"/>
        <v>283800</v>
      </c>
    </row>
    <row r="71" spans="1:8" hidden="1" x14ac:dyDescent="0.25">
      <c r="A71" t="s">
        <v>8</v>
      </c>
      <c r="B71" s="3">
        <v>45481</v>
      </c>
      <c r="C71" t="s">
        <v>338</v>
      </c>
      <c r="D71" t="s">
        <v>11</v>
      </c>
      <c r="E71">
        <v>72</v>
      </c>
      <c r="F71">
        <f>E71*1800</f>
        <v>129600</v>
      </c>
      <c r="G71">
        <f>E71*500</f>
        <v>36000</v>
      </c>
      <c r="H71">
        <f>E71*1300</f>
        <v>93600</v>
      </c>
    </row>
    <row r="72" spans="1:8" hidden="1" x14ac:dyDescent="0.25">
      <c r="C72" t="s">
        <v>571</v>
      </c>
      <c r="D72" t="s">
        <v>11</v>
      </c>
      <c r="E72">
        <v>20</v>
      </c>
      <c r="F72">
        <f>E72*1700</f>
        <v>34000</v>
      </c>
      <c r="G72">
        <f>E72*500</f>
        <v>10000</v>
      </c>
      <c r="H72">
        <f>E72*1200</f>
        <v>24000</v>
      </c>
    </row>
    <row r="73" spans="1:8" hidden="1" x14ac:dyDescent="0.25">
      <c r="C73" t="s">
        <v>104</v>
      </c>
      <c r="D73" t="s">
        <v>11</v>
      </c>
      <c r="E73">
        <v>80</v>
      </c>
      <c r="F73">
        <f>E73*1700</f>
        <v>136000</v>
      </c>
      <c r="G73">
        <f>E73*500</f>
        <v>40000</v>
      </c>
      <c r="H73">
        <f>E73*1200</f>
        <v>96000</v>
      </c>
    </row>
    <row r="74" spans="1:8" hidden="1" x14ac:dyDescent="0.25">
      <c r="C74" t="s">
        <v>16</v>
      </c>
      <c r="D74" t="s">
        <v>11</v>
      </c>
      <c r="E74">
        <v>63</v>
      </c>
      <c r="F74">
        <f>E74*1500</f>
        <v>94500</v>
      </c>
      <c r="G74">
        <f>E74*500</f>
        <v>31500</v>
      </c>
      <c r="H74">
        <v>63000</v>
      </c>
    </row>
    <row r="75" spans="1:8" hidden="1" x14ac:dyDescent="0.25">
      <c r="D75" t="s">
        <v>12</v>
      </c>
      <c r="E75">
        <v>6</v>
      </c>
      <c r="F75">
        <v>18000</v>
      </c>
      <c r="G75">
        <v>12000</v>
      </c>
      <c r="H75">
        <v>6000</v>
      </c>
    </row>
    <row r="76" spans="1:8" hidden="1" x14ac:dyDescent="0.25">
      <c r="D76" t="s">
        <v>13</v>
      </c>
      <c r="E76">
        <v>2</v>
      </c>
      <c r="F76">
        <v>13000</v>
      </c>
      <c r="G76">
        <v>9000</v>
      </c>
      <c r="H76">
        <v>4000</v>
      </c>
    </row>
    <row r="77" spans="1:8" hidden="1" x14ac:dyDescent="0.25">
      <c r="D77" t="s">
        <v>14</v>
      </c>
      <c r="E77">
        <v>2</v>
      </c>
      <c r="F77">
        <v>20000</v>
      </c>
      <c r="G77">
        <v>11000</v>
      </c>
      <c r="H77">
        <v>9000</v>
      </c>
    </row>
    <row r="78" spans="1:8" hidden="1" x14ac:dyDescent="0.25">
      <c r="D78" t="s">
        <v>243</v>
      </c>
      <c r="E78">
        <v>1</v>
      </c>
      <c r="F78">
        <v>13000</v>
      </c>
      <c r="G78">
        <v>10000</v>
      </c>
      <c r="H78">
        <v>3000</v>
      </c>
    </row>
    <row r="79" spans="1:8" hidden="1" x14ac:dyDescent="0.25">
      <c r="C79" t="s">
        <v>846</v>
      </c>
      <c r="D79" t="s">
        <v>13</v>
      </c>
      <c r="E79">
        <v>1</v>
      </c>
      <c r="F79">
        <v>8000</v>
      </c>
      <c r="G79">
        <v>4500</v>
      </c>
      <c r="H79">
        <v>3500</v>
      </c>
    </row>
    <row r="80" spans="1:8" hidden="1" x14ac:dyDescent="0.25">
      <c r="D80" t="s">
        <v>14</v>
      </c>
      <c r="E80">
        <v>3</v>
      </c>
      <c r="F80">
        <v>36000</v>
      </c>
      <c r="G80">
        <f>E80*5500</f>
        <v>16500</v>
      </c>
      <c r="H80">
        <f>E80*6500</f>
        <v>19500</v>
      </c>
    </row>
    <row r="81" spans="1:8" hidden="1" x14ac:dyDescent="0.25">
      <c r="D81" t="s">
        <v>243</v>
      </c>
      <c r="E81">
        <v>2</v>
      </c>
      <c r="F81">
        <f>E81*17000</f>
        <v>34000</v>
      </c>
      <c r="G81">
        <f>E81*10000</f>
        <v>20000</v>
      </c>
      <c r="H81">
        <v>14000</v>
      </c>
    </row>
    <row r="82" spans="1:8" hidden="1" x14ac:dyDescent="0.25">
      <c r="C82" t="s">
        <v>24</v>
      </c>
      <c r="D82" t="s">
        <v>11</v>
      </c>
      <c r="E82">
        <v>10</v>
      </c>
      <c r="F82">
        <v>30000</v>
      </c>
      <c r="G82">
        <f>E82*500</f>
        <v>5000</v>
      </c>
      <c r="H82">
        <f>E82*2500</f>
        <v>25000</v>
      </c>
    </row>
    <row r="83" spans="1:8" hidden="1" x14ac:dyDescent="0.25">
      <c r="D83" t="s">
        <v>13</v>
      </c>
      <c r="E83">
        <v>5</v>
      </c>
      <c r="F83">
        <v>40000</v>
      </c>
      <c r="G83">
        <f>E83*4500</f>
        <v>22500</v>
      </c>
      <c r="H83">
        <f>E83*3500</f>
        <v>17500</v>
      </c>
    </row>
    <row r="84" spans="1:8" hidden="1" x14ac:dyDescent="0.25">
      <c r="C84" t="s">
        <v>399</v>
      </c>
      <c r="D84" t="s">
        <v>243</v>
      </c>
      <c r="E84">
        <v>20</v>
      </c>
    </row>
    <row r="85" spans="1:8" hidden="1" x14ac:dyDescent="0.25">
      <c r="A85" s="142" t="s">
        <v>17</v>
      </c>
      <c r="B85" s="142"/>
      <c r="C85" s="142"/>
      <c r="D85" s="142"/>
      <c r="E85" s="13">
        <f>SUM(E71:E84)</f>
        <v>287</v>
      </c>
      <c r="F85" s="13">
        <f t="shared" ref="F85:H85" si="6">SUM(F71:F84)</f>
        <v>606100</v>
      </c>
      <c r="G85" s="13">
        <f t="shared" si="6"/>
        <v>228000</v>
      </c>
      <c r="H85" s="13">
        <f t="shared" si="6"/>
        <v>378100</v>
      </c>
    </row>
    <row r="86" spans="1:8" hidden="1" x14ac:dyDescent="0.25">
      <c r="A86" t="s">
        <v>18</v>
      </c>
      <c r="B86" s="3">
        <v>45512</v>
      </c>
      <c r="C86" t="s">
        <v>338</v>
      </c>
      <c r="D86" t="s">
        <v>11</v>
      </c>
      <c r="E86">
        <v>74</v>
      </c>
      <c r="F86">
        <f>E86*1800</f>
        <v>133200</v>
      </c>
      <c r="G86">
        <f>E86*500</f>
        <v>37000</v>
      </c>
      <c r="H86">
        <f>E86*1300</f>
        <v>96200</v>
      </c>
    </row>
    <row r="87" spans="1:8" hidden="1" x14ac:dyDescent="0.25">
      <c r="C87" t="s">
        <v>209</v>
      </c>
      <c r="D87" t="s">
        <v>11</v>
      </c>
      <c r="E87">
        <v>24</v>
      </c>
      <c r="F87">
        <f>E87*1600</f>
        <v>38400</v>
      </c>
      <c r="G87">
        <f>E87*500</f>
        <v>12000</v>
      </c>
      <c r="H87">
        <f>E87*1100</f>
        <v>26400</v>
      </c>
    </row>
    <row r="88" spans="1:8" hidden="1" x14ac:dyDescent="0.25">
      <c r="C88" t="s">
        <v>571</v>
      </c>
      <c r="D88" t="s">
        <v>11</v>
      </c>
      <c r="E88">
        <v>24</v>
      </c>
      <c r="F88">
        <f>E88*1700</f>
        <v>40800</v>
      </c>
      <c r="G88">
        <f>E88*500</f>
        <v>12000</v>
      </c>
      <c r="H88">
        <f>E88*1200</f>
        <v>28800</v>
      </c>
    </row>
    <row r="89" spans="1:8" hidden="1" x14ac:dyDescent="0.25">
      <c r="C89" t="s">
        <v>16</v>
      </c>
      <c r="D89" t="s">
        <v>11</v>
      </c>
      <c r="E89">
        <v>31</v>
      </c>
      <c r="F89">
        <f>E89*1500</f>
        <v>46500</v>
      </c>
      <c r="G89">
        <f>E89*500</f>
        <v>15500</v>
      </c>
      <c r="H89">
        <v>31000</v>
      </c>
    </row>
    <row r="90" spans="1:8" hidden="1" x14ac:dyDescent="0.25">
      <c r="D90" t="s">
        <v>13</v>
      </c>
      <c r="E90">
        <v>1</v>
      </c>
      <c r="F90">
        <v>6500</v>
      </c>
      <c r="G90">
        <v>4500</v>
      </c>
      <c r="H90">
        <v>2000</v>
      </c>
    </row>
    <row r="91" spans="1:8" hidden="1" x14ac:dyDescent="0.25">
      <c r="C91" t="s">
        <v>846</v>
      </c>
      <c r="D91" t="s">
        <v>13</v>
      </c>
      <c r="E91">
        <v>8</v>
      </c>
      <c r="F91">
        <f>E91*8000</f>
        <v>64000</v>
      </c>
      <c r="G91">
        <f>E91*4500</f>
        <v>36000</v>
      </c>
      <c r="H91">
        <f>E91*3500</f>
        <v>28000</v>
      </c>
    </row>
    <row r="92" spans="1:8" hidden="1" x14ac:dyDescent="0.25">
      <c r="D92" t="s">
        <v>14</v>
      </c>
      <c r="E92">
        <v>2</v>
      </c>
      <c r="F92">
        <v>24000</v>
      </c>
      <c r="G92">
        <v>11000</v>
      </c>
      <c r="H92">
        <v>13000</v>
      </c>
    </row>
    <row r="93" spans="1:8" hidden="1" x14ac:dyDescent="0.25">
      <c r="C93" t="s">
        <v>24</v>
      </c>
      <c r="D93" t="s">
        <v>11</v>
      </c>
      <c r="E93">
        <v>200</v>
      </c>
      <c r="F93">
        <f>E93*1500</f>
        <v>300000</v>
      </c>
      <c r="G93">
        <f>E93*500</f>
        <v>100000</v>
      </c>
      <c r="H93">
        <v>200000</v>
      </c>
    </row>
    <row r="94" spans="1:8" hidden="1" x14ac:dyDescent="0.25">
      <c r="D94" t="s">
        <v>13</v>
      </c>
      <c r="E94">
        <v>60</v>
      </c>
      <c r="F94">
        <f>E94*7000</f>
        <v>420000</v>
      </c>
      <c r="G94">
        <f>E94*4500</f>
        <v>270000</v>
      </c>
      <c r="H94">
        <f>E94*2500</f>
        <v>150000</v>
      </c>
    </row>
    <row r="95" spans="1:8" hidden="1" x14ac:dyDescent="0.25">
      <c r="C95" t="s">
        <v>24</v>
      </c>
      <c r="D95" t="s">
        <v>13</v>
      </c>
      <c r="E95">
        <v>25</v>
      </c>
      <c r="F95">
        <f>E95*8000</f>
        <v>200000</v>
      </c>
      <c r="G95">
        <f>E95*4500</f>
        <v>112500</v>
      </c>
      <c r="H95">
        <f>E95*3500</f>
        <v>87500</v>
      </c>
    </row>
    <row r="96" spans="1:8" hidden="1" x14ac:dyDescent="0.25">
      <c r="D96" t="s">
        <v>13</v>
      </c>
      <c r="E96">
        <v>26</v>
      </c>
      <c r="F96">
        <f>E96*7500</f>
        <v>195000</v>
      </c>
      <c r="G96">
        <f>E96*4500</f>
        <v>117000</v>
      </c>
      <c r="H96">
        <f>E96*2500</f>
        <v>65000</v>
      </c>
    </row>
    <row r="97" spans="1:8" hidden="1" x14ac:dyDescent="0.25">
      <c r="C97" t="s">
        <v>24</v>
      </c>
      <c r="D97" t="s">
        <v>243</v>
      </c>
      <c r="E97">
        <v>4</v>
      </c>
      <c r="F97">
        <f>E97*15000</f>
        <v>60000</v>
      </c>
      <c r="G97">
        <f>E97*10000</f>
        <v>40000</v>
      </c>
      <c r="H97">
        <v>20000</v>
      </c>
    </row>
    <row r="98" spans="1:8" hidden="1" x14ac:dyDescent="0.25">
      <c r="A98" s="143" t="s">
        <v>17</v>
      </c>
      <c r="B98" s="143"/>
      <c r="C98" s="143"/>
      <c r="D98" s="143"/>
      <c r="E98" s="1">
        <f>SUM(E86:E97)</f>
        <v>479</v>
      </c>
      <c r="F98" s="1">
        <f t="shared" ref="F98:H98" si="7">SUM(F86:F97)</f>
        <v>1528400</v>
      </c>
      <c r="G98" s="1">
        <f t="shared" si="7"/>
        <v>767500</v>
      </c>
      <c r="H98" s="1">
        <f t="shared" si="7"/>
        <v>747900</v>
      </c>
    </row>
    <row r="99" spans="1:8" hidden="1" x14ac:dyDescent="0.25">
      <c r="A99" t="s">
        <v>22</v>
      </c>
      <c r="B99" s="3">
        <v>45543</v>
      </c>
      <c r="C99" t="s">
        <v>16</v>
      </c>
      <c r="D99" t="s">
        <v>11</v>
      </c>
      <c r="E99">
        <v>44</v>
      </c>
      <c r="F99">
        <f>E99*1500</f>
        <v>66000</v>
      </c>
      <c r="G99">
        <f>E99*500</f>
        <v>22000</v>
      </c>
      <c r="H99">
        <v>44000</v>
      </c>
    </row>
    <row r="100" spans="1:8" hidden="1" x14ac:dyDescent="0.25">
      <c r="D100" t="s">
        <v>13</v>
      </c>
      <c r="E100">
        <v>1</v>
      </c>
      <c r="F100">
        <v>6500</v>
      </c>
      <c r="G100">
        <v>4500</v>
      </c>
      <c r="H100">
        <v>2000</v>
      </c>
    </row>
    <row r="101" spans="1:8" hidden="1" x14ac:dyDescent="0.25">
      <c r="C101" t="s">
        <v>846</v>
      </c>
      <c r="D101" t="s">
        <v>13</v>
      </c>
      <c r="E101">
        <v>9</v>
      </c>
      <c r="F101">
        <f>E101*8000</f>
        <v>72000</v>
      </c>
      <c r="G101">
        <f>E101*4500</f>
        <v>40500</v>
      </c>
      <c r="H101">
        <f>E101*3500</f>
        <v>31500</v>
      </c>
    </row>
    <row r="102" spans="1:8" hidden="1" x14ac:dyDescent="0.25">
      <c r="D102" t="s">
        <v>14</v>
      </c>
      <c r="E102">
        <v>8</v>
      </c>
      <c r="F102">
        <f>E102*12000</f>
        <v>96000</v>
      </c>
      <c r="G102">
        <f>E102*5500</f>
        <v>44000</v>
      </c>
      <c r="H102">
        <f>E102*6500</f>
        <v>52000</v>
      </c>
    </row>
    <row r="103" spans="1:8" hidden="1" x14ac:dyDescent="0.25">
      <c r="D103" t="s">
        <v>243</v>
      </c>
      <c r="E103">
        <v>2</v>
      </c>
      <c r="F103">
        <v>34000</v>
      </c>
      <c r="G103">
        <v>20000</v>
      </c>
      <c r="H103">
        <v>14000</v>
      </c>
    </row>
    <row r="104" spans="1:8" hidden="1" x14ac:dyDescent="0.25">
      <c r="C104" t="s">
        <v>24</v>
      </c>
      <c r="D104" t="s">
        <v>243</v>
      </c>
      <c r="E104">
        <v>5</v>
      </c>
      <c r="F104">
        <f>E104*15000</f>
        <v>75000</v>
      </c>
      <c r="G104">
        <f>E104*10000</f>
        <v>50000</v>
      </c>
      <c r="H104">
        <v>25000</v>
      </c>
    </row>
    <row r="105" spans="1:8" hidden="1" x14ac:dyDescent="0.25">
      <c r="D105" t="s">
        <v>21</v>
      </c>
      <c r="E105">
        <v>5</v>
      </c>
      <c r="F105">
        <f>E105*18000</f>
        <v>90000</v>
      </c>
      <c r="G105">
        <f>E105*10000</f>
        <v>50000</v>
      </c>
      <c r="H105">
        <v>40000</v>
      </c>
    </row>
    <row r="106" spans="1:8" hidden="1" x14ac:dyDescent="0.25">
      <c r="A106" s="143" t="s">
        <v>17</v>
      </c>
      <c r="B106" s="143"/>
      <c r="C106" s="143"/>
      <c r="D106" s="143"/>
      <c r="E106" s="1">
        <f>SUM(E99:E105)</f>
        <v>74</v>
      </c>
      <c r="F106" s="1">
        <f t="shared" ref="F106:H106" si="8">SUM(F99:F105)</f>
        <v>439500</v>
      </c>
      <c r="G106" s="1">
        <f t="shared" si="8"/>
        <v>231000</v>
      </c>
      <c r="H106" s="1">
        <f t="shared" si="8"/>
        <v>208500</v>
      </c>
    </row>
    <row r="107" spans="1:8" hidden="1" x14ac:dyDescent="0.25">
      <c r="A107" t="s">
        <v>26</v>
      </c>
      <c r="B107" s="3">
        <v>45573</v>
      </c>
      <c r="C107" t="s">
        <v>338</v>
      </c>
      <c r="D107" t="s">
        <v>11</v>
      </c>
      <c r="E107">
        <v>48</v>
      </c>
      <c r="F107">
        <f>E107*1800</f>
        <v>86400</v>
      </c>
      <c r="G107">
        <f>E107*500</f>
        <v>24000</v>
      </c>
      <c r="H107">
        <f>E107*1300</f>
        <v>62400</v>
      </c>
    </row>
    <row r="108" spans="1:8" hidden="1" x14ac:dyDescent="0.25">
      <c r="C108" t="s">
        <v>104</v>
      </c>
      <c r="D108" t="s">
        <v>11</v>
      </c>
      <c r="E108">
        <v>50</v>
      </c>
      <c r="F108">
        <f>E108*1800</f>
        <v>90000</v>
      </c>
      <c r="G108">
        <f>E108*500</f>
        <v>25000</v>
      </c>
      <c r="H108">
        <f>E108*1200</f>
        <v>60000</v>
      </c>
    </row>
    <row r="109" spans="1:8" hidden="1" x14ac:dyDescent="0.25">
      <c r="C109" t="s">
        <v>16</v>
      </c>
      <c r="D109" t="s">
        <v>11</v>
      </c>
      <c r="E109">
        <v>42</v>
      </c>
      <c r="F109">
        <f>E109*1500</f>
        <v>63000</v>
      </c>
      <c r="G109">
        <f>E109*500</f>
        <v>21000</v>
      </c>
      <c r="H109">
        <f>E109*1000</f>
        <v>42000</v>
      </c>
    </row>
    <row r="110" spans="1:8" hidden="1" x14ac:dyDescent="0.25">
      <c r="D110" t="s">
        <v>12</v>
      </c>
      <c r="E110">
        <v>5</v>
      </c>
      <c r="F110">
        <v>15000</v>
      </c>
      <c r="G110">
        <v>10000</v>
      </c>
      <c r="H110">
        <v>5000</v>
      </c>
    </row>
    <row r="111" spans="1:8" hidden="1" x14ac:dyDescent="0.25">
      <c r="C111" t="s">
        <v>846</v>
      </c>
      <c r="D111" t="s">
        <v>822</v>
      </c>
      <c r="E111">
        <v>9</v>
      </c>
      <c r="F111">
        <f>E111*8000</f>
        <v>72000</v>
      </c>
      <c r="G111">
        <f>E111*4500</f>
        <v>40500</v>
      </c>
      <c r="H111">
        <f>E111*3500</f>
        <v>31500</v>
      </c>
    </row>
    <row r="112" spans="1:8" hidden="1" x14ac:dyDescent="0.25">
      <c r="D112" t="s">
        <v>14</v>
      </c>
      <c r="E112">
        <v>3</v>
      </c>
      <c r="F112">
        <f>E112*12000</f>
        <v>36000</v>
      </c>
      <c r="G112">
        <f>E112*5500</f>
        <v>16500</v>
      </c>
      <c r="H112">
        <f>E112*6500</f>
        <v>19500</v>
      </c>
    </row>
    <row r="113" spans="1:8" hidden="1" x14ac:dyDescent="0.25">
      <c r="D113" t="s">
        <v>243</v>
      </c>
      <c r="E113">
        <v>2</v>
      </c>
      <c r="F113">
        <f>E113*17000</f>
        <v>34000</v>
      </c>
      <c r="G113">
        <f>E113*10000</f>
        <v>20000</v>
      </c>
      <c r="H113">
        <v>14000</v>
      </c>
    </row>
    <row r="114" spans="1:8" hidden="1" x14ac:dyDescent="0.25">
      <c r="C114" t="s">
        <v>24</v>
      </c>
      <c r="D114" t="s">
        <v>13</v>
      </c>
      <c r="E114">
        <v>10</v>
      </c>
      <c r="F114">
        <f>E114*8000</f>
        <v>80000</v>
      </c>
      <c r="G114">
        <f>E114*4500</f>
        <v>45000</v>
      </c>
      <c r="H114">
        <f>E114*3500</f>
        <v>35000</v>
      </c>
    </row>
    <row r="115" spans="1:8" hidden="1" x14ac:dyDescent="0.25">
      <c r="A115" s="142" t="s">
        <v>17</v>
      </c>
      <c r="B115" s="142"/>
      <c r="C115" s="142"/>
      <c r="D115" s="142"/>
      <c r="E115" s="13">
        <f>SUM(E107:E114)</f>
        <v>169</v>
      </c>
      <c r="F115" s="13">
        <f t="shared" ref="F115:H115" si="9">SUM(F107:F114)</f>
        <v>476400</v>
      </c>
      <c r="G115" s="13">
        <f t="shared" si="9"/>
        <v>202000</v>
      </c>
      <c r="H115" s="13">
        <f t="shared" si="9"/>
        <v>269400</v>
      </c>
    </row>
    <row r="116" spans="1:8" hidden="1" x14ac:dyDescent="0.25">
      <c r="A116" t="s">
        <v>28</v>
      </c>
      <c r="B116" s="3">
        <v>45604</v>
      </c>
      <c r="C116" t="s">
        <v>693</v>
      </c>
      <c r="D116" t="s">
        <v>11</v>
      </c>
      <c r="E116">
        <v>8</v>
      </c>
      <c r="F116">
        <f>E116*2000</f>
        <v>16000</v>
      </c>
      <c r="G116">
        <f>E116*500</f>
        <v>4000</v>
      </c>
      <c r="H116">
        <f>E116*1500</f>
        <v>12000</v>
      </c>
    </row>
    <row r="117" spans="1:8" hidden="1" x14ac:dyDescent="0.25">
      <c r="D117" t="s">
        <v>13</v>
      </c>
      <c r="E117">
        <v>45</v>
      </c>
      <c r="F117">
        <f>E117*7000</f>
        <v>315000</v>
      </c>
      <c r="G117">
        <f>E117*4500</f>
        <v>202500</v>
      </c>
      <c r="H117">
        <f>E117*2500</f>
        <v>112500</v>
      </c>
    </row>
    <row r="118" spans="1:8" hidden="1" x14ac:dyDescent="0.25">
      <c r="D118" t="s">
        <v>14</v>
      </c>
      <c r="E118">
        <v>33</v>
      </c>
      <c r="F118">
        <f>E118*10000</f>
        <v>330000</v>
      </c>
      <c r="G118">
        <f>E118*5500</f>
        <v>181500</v>
      </c>
      <c r="H118">
        <f>E118*6500</f>
        <v>214500</v>
      </c>
    </row>
    <row r="119" spans="1:8" hidden="1" x14ac:dyDescent="0.25">
      <c r="D119" t="s">
        <v>243</v>
      </c>
      <c r="E119">
        <v>1</v>
      </c>
      <c r="F119">
        <v>13000</v>
      </c>
      <c r="G119">
        <v>10000</v>
      </c>
      <c r="H119">
        <v>3000</v>
      </c>
    </row>
    <row r="120" spans="1:8" hidden="1" x14ac:dyDescent="0.25">
      <c r="C120" t="s">
        <v>217</v>
      </c>
      <c r="D120" t="s">
        <v>11</v>
      </c>
      <c r="E120">
        <v>4</v>
      </c>
      <c r="F120">
        <v>6000</v>
      </c>
      <c r="G120">
        <v>2000</v>
      </c>
      <c r="H120">
        <v>4000</v>
      </c>
    </row>
    <row r="121" spans="1:8" hidden="1" x14ac:dyDescent="0.25">
      <c r="D121" t="s">
        <v>13</v>
      </c>
      <c r="E121">
        <v>18</v>
      </c>
      <c r="F121">
        <f>E121*6500</f>
        <v>117000</v>
      </c>
      <c r="G121">
        <f>E121*4500</f>
        <v>81000</v>
      </c>
      <c r="H121">
        <f>E121*2000</f>
        <v>36000</v>
      </c>
    </row>
    <row r="122" spans="1:8" hidden="1" x14ac:dyDescent="0.25">
      <c r="D122" t="s">
        <v>14</v>
      </c>
      <c r="E122">
        <v>14</v>
      </c>
      <c r="F122">
        <f>E122*10000</f>
        <v>140000</v>
      </c>
      <c r="G122">
        <f>E122*5500</f>
        <v>77000</v>
      </c>
      <c r="H122">
        <f>E122*4500</f>
        <v>63000</v>
      </c>
    </row>
    <row r="123" spans="1:8" hidden="1" x14ac:dyDescent="0.25">
      <c r="D123" t="s">
        <v>425</v>
      </c>
      <c r="E123">
        <v>2</v>
      </c>
      <c r="F123">
        <v>10000</v>
      </c>
      <c r="G123">
        <v>5000</v>
      </c>
      <c r="H123">
        <v>5000</v>
      </c>
    </row>
    <row r="124" spans="1:8" hidden="1" x14ac:dyDescent="0.25">
      <c r="C124" t="s">
        <v>16</v>
      </c>
      <c r="D124" t="s">
        <v>11</v>
      </c>
      <c r="E124">
        <v>64</v>
      </c>
      <c r="F124">
        <f>E124*1500</f>
        <v>96000</v>
      </c>
      <c r="G124">
        <f>E124*5000</f>
        <v>320000</v>
      </c>
      <c r="H124">
        <v>64000</v>
      </c>
    </row>
    <row r="125" spans="1:8" hidden="1" x14ac:dyDescent="0.25">
      <c r="D125" t="s">
        <v>12</v>
      </c>
      <c r="E125">
        <v>8</v>
      </c>
      <c r="F125">
        <f>E125*3000</f>
        <v>24000</v>
      </c>
      <c r="G125">
        <v>16000</v>
      </c>
      <c r="H125">
        <v>8000</v>
      </c>
    </row>
    <row r="126" spans="1:8" hidden="1" x14ac:dyDescent="0.25">
      <c r="D126" t="s">
        <v>13</v>
      </c>
      <c r="E126">
        <v>2</v>
      </c>
      <c r="F126">
        <f>E126*6500</f>
        <v>13000</v>
      </c>
      <c r="G126">
        <f>E126*4500</f>
        <v>9000</v>
      </c>
      <c r="H126">
        <v>4000</v>
      </c>
    </row>
    <row r="127" spans="1:8" hidden="1" x14ac:dyDescent="0.25">
      <c r="D127" t="s">
        <v>14</v>
      </c>
      <c r="E127">
        <v>1</v>
      </c>
      <c r="F127">
        <v>10000</v>
      </c>
      <c r="G127">
        <v>5500</v>
      </c>
      <c r="H127">
        <v>4500</v>
      </c>
    </row>
    <row r="128" spans="1:8" hidden="1" x14ac:dyDescent="0.25">
      <c r="C128" t="s">
        <v>846</v>
      </c>
      <c r="D128" t="s">
        <v>13</v>
      </c>
      <c r="E128">
        <v>5</v>
      </c>
      <c r="F128">
        <f>E128*8000</f>
        <v>40000</v>
      </c>
      <c r="G128">
        <f>E128*4500</f>
        <v>22500</v>
      </c>
      <c r="H128">
        <f>E128*3500</f>
        <v>17500</v>
      </c>
    </row>
    <row r="129" spans="1:9" hidden="1" x14ac:dyDescent="0.25">
      <c r="D129" t="s">
        <v>14</v>
      </c>
      <c r="E129">
        <v>3</v>
      </c>
      <c r="F129">
        <v>36000</v>
      </c>
      <c r="G129">
        <f>E129*5500</f>
        <v>16500</v>
      </c>
      <c r="H129">
        <f>E129*4500</f>
        <v>13500</v>
      </c>
    </row>
    <row r="130" spans="1:9" hidden="1" x14ac:dyDescent="0.25">
      <c r="D130" t="s">
        <v>415</v>
      </c>
      <c r="E130">
        <v>3</v>
      </c>
      <c r="F130">
        <v>21000</v>
      </c>
      <c r="G130">
        <v>10500</v>
      </c>
      <c r="H130">
        <v>10500</v>
      </c>
    </row>
    <row r="131" spans="1:9" hidden="1" x14ac:dyDescent="0.25">
      <c r="A131" s="111" t="s">
        <v>17</v>
      </c>
      <c r="B131" s="111"/>
      <c r="C131" s="111"/>
      <c r="D131" s="111"/>
      <c r="E131" s="1">
        <f>SUM(E116:E130)</f>
        <v>211</v>
      </c>
      <c r="F131" s="87">
        <f t="shared" ref="F131:H131" si="10">SUM(F116:F130)</f>
        <v>1187000</v>
      </c>
      <c r="G131" s="13">
        <f t="shared" si="10"/>
        <v>963000</v>
      </c>
      <c r="H131" s="13">
        <f t="shared" si="10"/>
        <v>572000</v>
      </c>
      <c r="I131" s="12"/>
    </row>
    <row r="132" spans="1:9" hidden="1" x14ac:dyDescent="0.25">
      <c r="A132" t="s">
        <v>30</v>
      </c>
      <c r="B132" s="3">
        <v>45634</v>
      </c>
      <c r="C132" t="s">
        <v>209</v>
      </c>
      <c r="D132" t="s">
        <v>11</v>
      </c>
      <c r="E132">
        <v>25</v>
      </c>
      <c r="F132" s="88">
        <f>E132*1600</f>
        <v>40000</v>
      </c>
      <c r="G132" s="88">
        <f>E132*500</f>
        <v>12500</v>
      </c>
      <c r="H132" s="88">
        <f>E132*1100</f>
        <v>27500</v>
      </c>
      <c r="I132" s="12"/>
    </row>
    <row r="133" spans="1:9" hidden="1" x14ac:dyDescent="0.25">
      <c r="C133" t="s">
        <v>571</v>
      </c>
      <c r="D133" t="s">
        <v>11</v>
      </c>
      <c r="E133">
        <v>24</v>
      </c>
      <c r="F133">
        <f>E133*1700</f>
        <v>40800</v>
      </c>
      <c r="G133">
        <f>E133*500</f>
        <v>12000</v>
      </c>
      <c r="H133">
        <f>E133*1200</f>
        <v>28800</v>
      </c>
    </row>
    <row r="134" spans="1:9" hidden="1" x14ac:dyDescent="0.25">
      <c r="C134" t="s">
        <v>306</v>
      </c>
      <c r="D134" t="s">
        <v>11</v>
      </c>
      <c r="E134">
        <v>20</v>
      </c>
      <c r="F134">
        <f>E134*1800</f>
        <v>36000</v>
      </c>
      <c r="G134">
        <f>E134*500</f>
        <v>10000</v>
      </c>
      <c r="H134">
        <f>E134*1300</f>
        <v>26000</v>
      </c>
    </row>
    <row r="135" spans="1:9" hidden="1" x14ac:dyDescent="0.25">
      <c r="C135" t="s">
        <v>16</v>
      </c>
      <c r="D135" t="s">
        <v>11</v>
      </c>
      <c r="E135">
        <v>28</v>
      </c>
      <c r="F135">
        <f>E135*1500</f>
        <v>42000</v>
      </c>
      <c r="G135">
        <f>E135*500</f>
        <v>14000</v>
      </c>
      <c r="H135">
        <v>28000</v>
      </c>
    </row>
    <row r="136" spans="1:9" hidden="1" x14ac:dyDescent="0.25">
      <c r="D136" t="s">
        <v>12</v>
      </c>
      <c r="E136">
        <v>2</v>
      </c>
      <c r="F136">
        <v>6000</v>
      </c>
      <c r="G136">
        <v>4000</v>
      </c>
      <c r="H136">
        <v>2000</v>
      </c>
    </row>
    <row r="137" spans="1:9" hidden="1" x14ac:dyDescent="0.25">
      <c r="D137" t="s">
        <v>13</v>
      </c>
      <c r="E137">
        <v>1</v>
      </c>
      <c r="F137">
        <v>6500</v>
      </c>
      <c r="G137">
        <v>4500</v>
      </c>
      <c r="H137">
        <v>2000</v>
      </c>
    </row>
    <row r="138" spans="1:9" hidden="1" x14ac:dyDescent="0.25">
      <c r="D138" t="s">
        <v>243</v>
      </c>
      <c r="E138">
        <v>2</v>
      </c>
      <c r="F138">
        <v>26000</v>
      </c>
      <c r="G138">
        <v>20000</v>
      </c>
      <c r="H138">
        <v>6000</v>
      </c>
    </row>
    <row r="139" spans="1:9" hidden="1" x14ac:dyDescent="0.25">
      <c r="C139" t="s">
        <v>846</v>
      </c>
      <c r="D139" t="s">
        <v>13</v>
      </c>
      <c r="E139">
        <v>8</v>
      </c>
      <c r="F139">
        <v>64000</v>
      </c>
      <c r="G139">
        <f>E139*4500</f>
        <v>36000</v>
      </c>
      <c r="H139">
        <f>E139*3500</f>
        <v>28000</v>
      </c>
    </row>
    <row r="140" spans="1:9" hidden="1" x14ac:dyDescent="0.25">
      <c r="D140" t="s">
        <v>14</v>
      </c>
      <c r="E140">
        <v>2</v>
      </c>
      <c r="F140">
        <v>24000</v>
      </c>
      <c r="G140">
        <v>11000</v>
      </c>
      <c r="H140">
        <v>13000</v>
      </c>
    </row>
    <row r="141" spans="1:9" hidden="1" x14ac:dyDescent="0.25">
      <c r="C141" t="s">
        <v>24</v>
      </c>
      <c r="D141" t="s">
        <v>243</v>
      </c>
      <c r="E141">
        <v>4</v>
      </c>
      <c r="F141">
        <f>E141*17000</f>
        <v>68000</v>
      </c>
      <c r="G141">
        <f>E141*13000</f>
        <v>52000</v>
      </c>
      <c r="H141">
        <f>E141*4000</f>
        <v>16000</v>
      </c>
    </row>
    <row r="142" spans="1:9" hidden="1" x14ac:dyDescent="0.25">
      <c r="D142" t="s">
        <v>13</v>
      </c>
      <c r="E142">
        <v>3</v>
      </c>
      <c r="F142">
        <v>24000</v>
      </c>
      <c r="G142">
        <f>E142*4500</f>
        <v>13500</v>
      </c>
      <c r="H142">
        <f>E142*3500</f>
        <v>10500</v>
      </c>
    </row>
    <row r="143" spans="1:9" hidden="1" x14ac:dyDescent="0.25">
      <c r="A143" s="142" t="s">
        <v>17</v>
      </c>
      <c r="B143" s="142"/>
      <c r="C143" s="142"/>
      <c r="D143" s="142"/>
      <c r="E143" s="13">
        <f>SUM(E132:E142)</f>
        <v>119</v>
      </c>
      <c r="F143" s="13">
        <f t="shared" ref="F143:H143" si="11">SUM(F132:F142)</f>
        <v>377300</v>
      </c>
      <c r="G143" s="13">
        <f t="shared" si="11"/>
        <v>189500</v>
      </c>
      <c r="H143" s="13">
        <f t="shared" si="11"/>
        <v>187800</v>
      </c>
    </row>
    <row r="144" spans="1:9" hidden="1" x14ac:dyDescent="0.25">
      <c r="A144" t="s">
        <v>32</v>
      </c>
      <c r="B144" t="s">
        <v>851</v>
      </c>
      <c r="C144" t="s">
        <v>209</v>
      </c>
      <c r="D144" t="s">
        <v>11</v>
      </c>
      <c r="E144">
        <v>13</v>
      </c>
      <c r="F144">
        <f>E144*1600</f>
        <v>20800</v>
      </c>
      <c r="G144">
        <f>E144*500</f>
        <v>6500</v>
      </c>
      <c r="H144">
        <f>E144*1100</f>
        <v>14300</v>
      </c>
    </row>
    <row r="145" spans="1:8" hidden="1" x14ac:dyDescent="0.25">
      <c r="C145" t="s">
        <v>104</v>
      </c>
      <c r="D145" t="s">
        <v>11</v>
      </c>
      <c r="E145">
        <v>54</v>
      </c>
      <c r="F145">
        <f>E145*1700</f>
        <v>91800</v>
      </c>
      <c r="G145">
        <f>E145*500</f>
        <v>27000</v>
      </c>
      <c r="H145">
        <f>E145*1200</f>
        <v>64800</v>
      </c>
    </row>
    <row r="146" spans="1:8" hidden="1" x14ac:dyDescent="0.25">
      <c r="C146" t="s">
        <v>571</v>
      </c>
      <c r="D146" t="s">
        <v>11</v>
      </c>
      <c r="E146">
        <v>20</v>
      </c>
      <c r="F146">
        <f>E146*1700</f>
        <v>34000</v>
      </c>
      <c r="G146">
        <f>E146*500</f>
        <v>10000</v>
      </c>
      <c r="H146">
        <f>E146*1200</f>
        <v>24000</v>
      </c>
    </row>
    <row r="147" spans="1:8" hidden="1" x14ac:dyDescent="0.25">
      <c r="C147" t="s">
        <v>846</v>
      </c>
      <c r="D147" t="s">
        <v>13</v>
      </c>
      <c r="E147">
        <v>2</v>
      </c>
      <c r="F147">
        <f>E147*8000</f>
        <v>16000</v>
      </c>
      <c r="G147">
        <f>E147*4500</f>
        <v>9000</v>
      </c>
      <c r="H147">
        <f>E147*3500</f>
        <v>7000</v>
      </c>
    </row>
    <row r="148" spans="1:8" hidden="1" x14ac:dyDescent="0.25">
      <c r="D148" t="s">
        <v>14</v>
      </c>
      <c r="E148">
        <v>9</v>
      </c>
      <c r="F148">
        <f>E148*12000</f>
        <v>108000</v>
      </c>
      <c r="G148">
        <f>E148*5500</f>
        <v>49500</v>
      </c>
      <c r="H148">
        <f>E148*6500</f>
        <v>58500</v>
      </c>
    </row>
    <row r="149" spans="1:8" hidden="1" x14ac:dyDescent="0.25">
      <c r="D149" t="s">
        <v>686</v>
      </c>
      <c r="E149">
        <v>2</v>
      </c>
      <c r="F149">
        <v>14000</v>
      </c>
      <c r="G149">
        <v>7000</v>
      </c>
      <c r="H149">
        <v>7000</v>
      </c>
    </row>
    <row r="150" spans="1:8" hidden="1" x14ac:dyDescent="0.25">
      <c r="C150" t="s">
        <v>16</v>
      </c>
      <c r="D150" t="s">
        <v>11</v>
      </c>
      <c r="E150">
        <v>39</v>
      </c>
      <c r="F150">
        <f>E150*1500</f>
        <v>58500</v>
      </c>
      <c r="G150">
        <f>E150*500</f>
        <v>19500</v>
      </c>
      <c r="H150">
        <v>39000</v>
      </c>
    </row>
    <row r="151" spans="1:8" hidden="1" x14ac:dyDescent="0.25">
      <c r="D151" t="s">
        <v>14</v>
      </c>
      <c r="E151">
        <v>1</v>
      </c>
      <c r="F151">
        <v>10000</v>
      </c>
      <c r="G151">
        <v>5500</v>
      </c>
      <c r="H151">
        <v>4500</v>
      </c>
    </row>
    <row r="152" spans="1:8" hidden="1" x14ac:dyDescent="0.25">
      <c r="C152" t="s">
        <v>24</v>
      </c>
      <c r="D152" t="s">
        <v>243</v>
      </c>
      <c r="E152">
        <v>40</v>
      </c>
      <c r="F152">
        <f>E152*13000</f>
        <v>520000</v>
      </c>
      <c r="G152">
        <f>E152*8500</f>
        <v>340000</v>
      </c>
      <c r="H152">
        <f>E152*4500</f>
        <v>180000</v>
      </c>
    </row>
    <row r="153" spans="1:8" hidden="1" x14ac:dyDescent="0.25">
      <c r="A153" s="142" t="s">
        <v>17</v>
      </c>
      <c r="B153" s="142"/>
      <c r="C153" s="142"/>
      <c r="D153" s="142"/>
      <c r="E153" s="13">
        <f>SUM(E144:E152)</f>
        <v>180</v>
      </c>
      <c r="F153" s="13">
        <f t="shared" ref="F153:H153" si="12">SUM(F144:F152)</f>
        <v>873100</v>
      </c>
      <c r="G153" s="13">
        <f t="shared" si="12"/>
        <v>474000</v>
      </c>
      <c r="H153" s="13">
        <f t="shared" si="12"/>
        <v>399100</v>
      </c>
    </row>
    <row r="154" spans="1:8" hidden="1" x14ac:dyDescent="0.25">
      <c r="A154" t="s">
        <v>8</v>
      </c>
      <c r="B154" t="s">
        <v>852</v>
      </c>
      <c r="C154" t="s">
        <v>338</v>
      </c>
      <c r="D154" t="s">
        <v>11</v>
      </c>
      <c r="E154">
        <v>98</v>
      </c>
      <c r="F154">
        <f>E154*1800</f>
        <v>176400</v>
      </c>
      <c r="G154">
        <f>E154*500</f>
        <v>49000</v>
      </c>
      <c r="H154">
        <f>E154*1300</f>
        <v>127400</v>
      </c>
    </row>
    <row r="155" spans="1:8" hidden="1" x14ac:dyDescent="0.25">
      <c r="C155" t="s">
        <v>306</v>
      </c>
      <c r="D155" t="s">
        <v>11</v>
      </c>
      <c r="E155">
        <v>20</v>
      </c>
      <c r="F155">
        <f>E155*1800</f>
        <v>36000</v>
      </c>
      <c r="G155">
        <f>E155*500</f>
        <v>10000</v>
      </c>
      <c r="H155">
        <f>E155*1300</f>
        <v>26000</v>
      </c>
    </row>
    <row r="156" spans="1:8" hidden="1" x14ac:dyDescent="0.25">
      <c r="C156" t="s">
        <v>571</v>
      </c>
      <c r="D156" t="s">
        <v>11</v>
      </c>
      <c r="E156">
        <v>41</v>
      </c>
      <c r="F156">
        <f>E156*1700</f>
        <v>69700</v>
      </c>
      <c r="G156">
        <f>E156*500</f>
        <v>20500</v>
      </c>
      <c r="H156">
        <f>E156*1200</f>
        <v>49200</v>
      </c>
    </row>
    <row r="157" spans="1:8" hidden="1" x14ac:dyDescent="0.25">
      <c r="C157" t="s">
        <v>846</v>
      </c>
      <c r="D157" t="s">
        <v>13</v>
      </c>
      <c r="E157">
        <v>6</v>
      </c>
      <c r="F157">
        <f>E157*8000</f>
        <v>48000</v>
      </c>
      <c r="G157">
        <f>E157*4500</f>
        <v>27000</v>
      </c>
      <c r="H157">
        <f>E157*3500</f>
        <v>21000</v>
      </c>
    </row>
    <row r="158" spans="1:8" hidden="1" x14ac:dyDescent="0.25">
      <c r="D158" t="s">
        <v>14</v>
      </c>
      <c r="E158">
        <v>3</v>
      </c>
      <c r="F158">
        <f>E158*12000</f>
        <v>36000</v>
      </c>
      <c r="G158">
        <f>E158*5500</f>
        <v>16500</v>
      </c>
      <c r="H158">
        <f>E158*6500</f>
        <v>19500</v>
      </c>
    </row>
    <row r="159" spans="1:8" hidden="1" x14ac:dyDescent="0.25">
      <c r="D159" t="s">
        <v>415</v>
      </c>
      <c r="E159">
        <v>4</v>
      </c>
      <c r="F159">
        <f>E159*7000</f>
        <v>28000</v>
      </c>
      <c r="G159">
        <v>14000</v>
      </c>
      <c r="H159">
        <v>14000</v>
      </c>
    </row>
    <row r="160" spans="1:8" hidden="1" x14ac:dyDescent="0.25">
      <c r="C160" t="s">
        <v>16</v>
      </c>
      <c r="D160" t="s">
        <v>11</v>
      </c>
      <c r="E160">
        <v>49</v>
      </c>
      <c r="F160">
        <f>E160*1500</f>
        <v>73500</v>
      </c>
      <c r="G160">
        <f>E160*500</f>
        <v>24500</v>
      </c>
      <c r="H160">
        <f>E160*1000</f>
        <v>49000</v>
      </c>
    </row>
    <row r="161" spans="1:8" hidden="1" x14ac:dyDescent="0.25">
      <c r="D161" t="s">
        <v>12</v>
      </c>
      <c r="E161">
        <v>1</v>
      </c>
      <c r="F161">
        <v>3000</v>
      </c>
      <c r="G161">
        <v>2000</v>
      </c>
      <c r="H161">
        <v>1000</v>
      </c>
    </row>
    <row r="162" spans="1:8" hidden="1" x14ac:dyDescent="0.25">
      <c r="C162" t="s">
        <v>853</v>
      </c>
      <c r="D162" t="s">
        <v>13</v>
      </c>
      <c r="E162">
        <v>3</v>
      </c>
      <c r="F162">
        <v>24000</v>
      </c>
      <c r="G162">
        <f>E162*4500</f>
        <v>13500</v>
      </c>
      <c r="H162">
        <f>E162*3500</f>
        <v>10500</v>
      </c>
    </row>
    <row r="163" spans="1:8" hidden="1" x14ac:dyDescent="0.25">
      <c r="D163" t="s">
        <v>14</v>
      </c>
      <c r="E163">
        <v>3</v>
      </c>
      <c r="F163">
        <v>30000</v>
      </c>
      <c r="G163">
        <v>11000</v>
      </c>
      <c r="H163">
        <v>9000</v>
      </c>
    </row>
    <row r="164" spans="1:8" hidden="1" x14ac:dyDescent="0.25">
      <c r="A164" s="142" t="s">
        <v>17</v>
      </c>
      <c r="B164" s="142"/>
      <c r="C164" s="142"/>
      <c r="D164" s="142"/>
      <c r="E164" s="13">
        <f>SUM(E154:E163)</f>
        <v>228</v>
      </c>
      <c r="F164" s="13">
        <f t="shared" ref="F164:H164" si="13">SUM(F154:F163)</f>
        <v>524600</v>
      </c>
      <c r="G164" s="13">
        <f t="shared" si="13"/>
        <v>188000</v>
      </c>
      <c r="H164" s="13">
        <f t="shared" si="13"/>
        <v>326600</v>
      </c>
    </row>
    <row r="165" spans="1:8" hidden="1" x14ac:dyDescent="0.25">
      <c r="A165" t="s">
        <v>18</v>
      </c>
      <c r="B165" t="s">
        <v>854</v>
      </c>
      <c r="C165" t="s">
        <v>338</v>
      </c>
      <c r="D165" t="s">
        <v>11</v>
      </c>
      <c r="E165">
        <v>114</v>
      </c>
      <c r="F165">
        <f>E165*1800</f>
        <v>205200</v>
      </c>
      <c r="G165">
        <f>E165*500</f>
        <v>57000</v>
      </c>
      <c r="H165">
        <f>E165*1300</f>
        <v>148200</v>
      </c>
    </row>
    <row r="166" spans="1:8" hidden="1" x14ac:dyDescent="0.25">
      <c r="C166" t="s">
        <v>855</v>
      </c>
      <c r="D166" t="s">
        <v>11</v>
      </c>
      <c r="E166">
        <v>23</v>
      </c>
      <c r="F166">
        <f>E166*1700</f>
        <v>39100</v>
      </c>
      <c r="G166">
        <f>E166*500</f>
        <v>11500</v>
      </c>
      <c r="H166">
        <f>E166*1200</f>
        <v>27600</v>
      </c>
    </row>
    <row r="167" spans="1:8" hidden="1" x14ac:dyDescent="0.25">
      <c r="C167" t="s">
        <v>306</v>
      </c>
      <c r="D167" t="s">
        <v>11</v>
      </c>
      <c r="E167">
        <v>15</v>
      </c>
      <c r="F167">
        <f>E167*1800</f>
        <v>27000</v>
      </c>
      <c r="G167">
        <f>E167*500</f>
        <v>7500</v>
      </c>
      <c r="H167">
        <f>E167*1300</f>
        <v>19500</v>
      </c>
    </row>
    <row r="168" spans="1:8" hidden="1" x14ac:dyDescent="0.25">
      <c r="C168" t="s">
        <v>16</v>
      </c>
      <c r="D168" t="s">
        <v>11</v>
      </c>
      <c r="E168">
        <v>29</v>
      </c>
      <c r="F168">
        <f>E168*1500</f>
        <v>43500</v>
      </c>
      <c r="G168">
        <f>E168*500</f>
        <v>14500</v>
      </c>
      <c r="H168">
        <f>E168*1000</f>
        <v>29000</v>
      </c>
    </row>
    <row r="169" spans="1:8" hidden="1" x14ac:dyDescent="0.25">
      <c r="D169" t="s">
        <v>12</v>
      </c>
      <c r="E169">
        <v>4</v>
      </c>
      <c r="F169">
        <v>12000</v>
      </c>
      <c r="G169">
        <v>8000</v>
      </c>
      <c r="H169">
        <v>4000</v>
      </c>
    </row>
    <row r="170" spans="1:8" hidden="1" x14ac:dyDescent="0.25">
      <c r="C170" t="s">
        <v>846</v>
      </c>
      <c r="D170" t="s">
        <v>13</v>
      </c>
      <c r="E170">
        <v>10</v>
      </c>
      <c r="F170">
        <f>E170*8000</f>
        <v>80000</v>
      </c>
      <c r="G170">
        <f>E170*4500</f>
        <v>45000</v>
      </c>
      <c r="H170">
        <f>E170*3500</f>
        <v>35000</v>
      </c>
    </row>
    <row r="171" spans="1:8" hidden="1" x14ac:dyDescent="0.25">
      <c r="D171" t="s">
        <v>14</v>
      </c>
      <c r="E171">
        <v>10</v>
      </c>
      <c r="F171">
        <f>E171*12000</f>
        <v>120000</v>
      </c>
      <c r="G171">
        <f>E171*5500</f>
        <v>55000</v>
      </c>
      <c r="H171">
        <f>E171*6500</f>
        <v>65000</v>
      </c>
    </row>
    <row r="172" spans="1:8" hidden="1" x14ac:dyDescent="0.25">
      <c r="D172" t="s">
        <v>415</v>
      </c>
      <c r="E172">
        <v>3</v>
      </c>
      <c r="F172">
        <v>21000</v>
      </c>
      <c r="G172">
        <v>10500</v>
      </c>
      <c r="H172">
        <v>10500</v>
      </c>
    </row>
    <row r="173" spans="1:8" hidden="1" x14ac:dyDescent="0.25">
      <c r="C173" t="s">
        <v>24</v>
      </c>
      <c r="D173" t="s">
        <v>13</v>
      </c>
      <c r="E173">
        <v>10</v>
      </c>
      <c r="F173">
        <f>E173*7000</f>
        <v>70000</v>
      </c>
      <c r="G173">
        <f>E173*4500</f>
        <v>45000</v>
      </c>
      <c r="H173">
        <f>E173*2500</f>
        <v>25000</v>
      </c>
    </row>
    <row r="174" spans="1:8" hidden="1" x14ac:dyDescent="0.25">
      <c r="D174" t="s">
        <v>243</v>
      </c>
      <c r="E174">
        <v>5</v>
      </c>
      <c r="F174">
        <f>E174*13000</f>
        <v>65000</v>
      </c>
      <c r="G174">
        <v>50000</v>
      </c>
      <c r="H174">
        <v>15000</v>
      </c>
    </row>
    <row r="175" spans="1:8" hidden="1" x14ac:dyDescent="0.25">
      <c r="A175" s="142" t="s">
        <v>17</v>
      </c>
      <c r="B175" s="142"/>
      <c r="C175" s="142"/>
      <c r="D175" s="142"/>
      <c r="E175" s="13">
        <f>SUM(E165:E174)</f>
        <v>223</v>
      </c>
      <c r="F175" s="13">
        <f t="shared" ref="F175:H175" si="14">SUM(F165:F174)</f>
        <v>682800</v>
      </c>
      <c r="G175" s="13">
        <f t="shared" si="14"/>
        <v>304000</v>
      </c>
      <c r="H175" s="13">
        <f t="shared" si="14"/>
        <v>378800</v>
      </c>
    </row>
    <row r="176" spans="1:8" hidden="1" x14ac:dyDescent="0.25">
      <c r="A176" t="s">
        <v>22</v>
      </c>
      <c r="B176" t="s">
        <v>856</v>
      </c>
      <c r="C176" t="s">
        <v>571</v>
      </c>
      <c r="D176" t="s">
        <v>11</v>
      </c>
      <c r="E176">
        <v>18</v>
      </c>
      <c r="F176">
        <f>E176*1700</f>
        <v>30600</v>
      </c>
      <c r="G176">
        <f>E176*500</f>
        <v>9000</v>
      </c>
      <c r="H176">
        <f>E176*1200</f>
        <v>21600</v>
      </c>
    </row>
    <row r="177" spans="1:8" hidden="1" x14ac:dyDescent="0.25">
      <c r="C177" t="s">
        <v>581</v>
      </c>
      <c r="D177" t="s">
        <v>11</v>
      </c>
      <c r="E177">
        <v>439</v>
      </c>
      <c r="F177">
        <f>E177*1500</f>
        <v>658500</v>
      </c>
      <c r="G177">
        <f>E177*500</f>
        <v>219500</v>
      </c>
      <c r="H177">
        <f>E177*1000</f>
        <v>439000</v>
      </c>
    </row>
    <row r="178" spans="1:8" hidden="1" x14ac:dyDescent="0.25">
      <c r="C178" t="s">
        <v>16</v>
      </c>
      <c r="D178" t="s">
        <v>11</v>
      </c>
      <c r="E178">
        <v>40</v>
      </c>
      <c r="F178">
        <f>E178*1500</f>
        <v>60000</v>
      </c>
      <c r="G178">
        <f>E178*500</f>
        <v>20000</v>
      </c>
      <c r="H178">
        <v>40000</v>
      </c>
    </row>
    <row r="179" spans="1:8" hidden="1" x14ac:dyDescent="0.25">
      <c r="D179" t="s">
        <v>12</v>
      </c>
      <c r="E179">
        <v>2</v>
      </c>
      <c r="F179">
        <v>6000</v>
      </c>
      <c r="G179">
        <v>4000</v>
      </c>
      <c r="H179">
        <v>2000</v>
      </c>
    </row>
    <row r="180" spans="1:8" hidden="1" x14ac:dyDescent="0.25">
      <c r="D180" t="s">
        <v>243</v>
      </c>
      <c r="E180">
        <v>1</v>
      </c>
      <c r="F180">
        <v>13000</v>
      </c>
      <c r="G180">
        <v>10000</v>
      </c>
      <c r="H180">
        <v>3000</v>
      </c>
    </row>
    <row r="181" spans="1:8" hidden="1" x14ac:dyDescent="0.25">
      <c r="C181" t="s">
        <v>846</v>
      </c>
      <c r="D181" t="s">
        <v>13</v>
      </c>
      <c r="E181">
        <v>2</v>
      </c>
      <c r="F181">
        <v>16000</v>
      </c>
      <c r="G181">
        <v>9000</v>
      </c>
      <c r="H181">
        <v>7000</v>
      </c>
    </row>
    <row r="182" spans="1:8" hidden="1" x14ac:dyDescent="0.25">
      <c r="D182" t="s">
        <v>14</v>
      </c>
      <c r="E182">
        <v>3</v>
      </c>
      <c r="F182">
        <v>36000</v>
      </c>
      <c r="G182">
        <f>E182*5500</f>
        <v>16500</v>
      </c>
      <c r="H182">
        <f>E182*6500</f>
        <v>19500</v>
      </c>
    </row>
    <row r="183" spans="1:8" hidden="1" x14ac:dyDescent="0.25">
      <c r="D183" t="s">
        <v>243</v>
      </c>
      <c r="E183">
        <v>1</v>
      </c>
      <c r="F183">
        <v>17000</v>
      </c>
      <c r="G183">
        <v>10000</v>
      </c>
      <c r="H183">
        <v>7000</v>
      </c>
    </row>
    <row r="184" spans="1:8" hidden="1" x14ac:dyDescent="0.25">
      <c r="D184" t="s">
        <v>415</v>
      </c>
      <c r="E184">
        <v>1</v>
      </c>
      <c r="F184">
        <v>7000</v>
      </c>
      <c r="G184">
        <v>3500</v>
      </c>
      <c r="H184">
        <v>3500</v>
      </c>
    </row>
    <row r="185" spans="1:8" hidden="1" x14ac:dyDescent="0.25">
      <c r="C185" t="s">
        <v>24</v>
      </c>
      <c r="D185" t="s">
        <v>243</v>
      </c>
      <c r="E185">
        <v>15</v>
      </c>
      <c r="F185">
        <f>E185*12000</f>
        <v>180000</v>
      </c>
      <c r="G185">
        <f>E185*8500</f>
        <v>127500</v>
      </c>
      <c r="H185">
        <f>E185*3500</f>
        <v>52500</v>
      </c>
    </row>
    <row r="186" spans="1:8" hidden="1" x14ac:dyDescent="0.25">
      <c r="C186" t="s">
        <v>24</v>
      </c>
      <c r="D186" t="s">
        <v>11</v>
      </c>
      <c r="E186">
        <v>50</v>
      </c>
      <c r="F186">
        <f>E186*2000</f>
        <v>100000</v>
      </c>
      <c r="G186">
        <f>E186*500</f>
        <v>25000</v>
      </c>
      <c r="H186">
        <f>E186*1500</f>
        <v>75000</v>
      </c>
    </row>
    <row r="187" spans="1:8" hidden="1" x14ac:dyDescent="0.25">
      <c r="A187" s="142" t="s">
        <v>17</v>
      </c>
      <c r="B187" s="142"/>
      <c r="C187" s="142"/>
      <c r="D187" s="142"/>
      <c r="E187" s="13">
        <f>SUM(E176:E186)</f>
        <v>572</v>
      </c>
      <c r="F187" s="13">
        <f t="shared" ref="F187:H187" si="15">SUM(F176:F186)</f>
        <v>1124100</v>
      </c>
      <c r="G187" s="13">
        <f t="shared" si="15"/>
        <v>454000</v>
      </c>
      <c r="H187" s="13">
        <f t="shared" si="15"/>
        <v>670100</v>
      </c>
    </row>
    <row r="188" spans="1:8" hidden="1" x14ac:dyDescent="0.25">
      <c r="A188" t="s">
        <v>26</v>
      </c>
      <c r="B188" t="s">
        <v>857</v>
      </c>
      <c r="C188" t="s">
        <v>846</v>
      </c>
      <c r="D188" t="s">
        <v>13</v>
      </c>
      <c r="E188">
        <v>13</v>
      </c>
      <c r="F188">
        <f>E188*8000</f>
        <v>104000</v>
      </c>
      <c r="G188">
        <f>E188*4500</f>
        <v>58500</v>
      </c>
      <c r="H188">
        <f>E188*3500</f>
        <v>45500</v>
      </c>
    </row>
    <row r="189" spans="1:8" hidden="1" x14ac:dyDescent="0.25">
      <c r="D189" t="s">
        <v>14</v>
      </c>
      <c r="E189">
        <v>1</v>
      </c>
      <c r="F189">
        <v>12000</v>
      </c>
      <c r="G189">
        <v>5500</v>
      </c>
      <c r="H189">
        <v>6500</v>
      </c>
    </row>
    <row r="190" spans="1:8" hidden="1" x14ac:dyDescent="0.25">
      <c r="D190" t="s">
        <v>686</v>
      </c>
      <c r="E190">
        <v>3</v>
      </c>
      <c r="F190">
        <v>21000</v>
      </c>
      <c r="G190">
        <v>10500</v>
      </c>
      <c r="H190">
        <v>10500</v>
      </c>
    </row>
    <row r="191" spans="1:8" hidden="1" x14ac:dyDescent="0.25">
      <c r="C191" t="s">
        <v>16</v>
      </c>
      <c r="D191" t="s">
        <v>11</v>
      </c>
      <c r="E191">
        <v>55</v>
      </c>
      <c r="F191">
        <f>E191*1500</f>
        <v>82500</v>
      </c>
      <c r="G191">
        <f>E191*500</f>
        <v>27500</v>
      </c>
      <c r="H191">
        <v>55000</v>
      </c>
    </row>
    <row r="192" spans="1:8" hidden="1" x14ac:dyDescent="0.25">
      <c r="C192" t="s">
        <v>24</v>
      </c>
      <c r="D192" t="s">
        <v>243</v>
      </c>
      <c r="E192">
        <v>4</v>
      </c>
      <c r="F192">
        <f>E192*15000</f>
        <v>60000</v>
      </c>
      <c r="G192">
        <f>E192*10000</f>
        <v>40000</v>
      </c>
      <c r="H192">
        <f>E192*5000</f>
        <v>20000</v>
      </c>
    </row>
    <row r="193" spans="1:8" hidden="1" x14ac:dyDescent="0.25">
      <c r="A193" s="142" t="s">
        <v>17</v>
      </c>
      <c r="B193" s="142"/>
      <c r="C193" s="142"/>
      <c r="D193" s="142"/>
      <c r="E193" s="13">
        <f>SUM(E188:E192)</f>
        <v>76</v>
      </c>
      <c r="F193" s="13">
        <f t="shared" ref="F193:H193" si="16">SUM(F188:F192)</f>
        <v>279500</v>
      </c>
      <c r="G193" s="13">
        <f t="shared" si="16"/>
        <v>142000</v>
      </c>
      <c r="H193" s="13">
        <f t="shared" si="16"/>
        <v>137500</v>
      </c>
    </row>
    <row r="194" spans="1:8" hidden="1" x14ac:dyDescent="0.25">
      <c r="A194" t="s">
        <v>28</v>
      </c>
      <c r="B194" t="s">
        <v>858</v>
      </c>
      <c r="C194" t="s">
        <v>693</v>
      </c>
      <c r="D194" t="s">
        <v>11</v>
      </c>
      <c r="E194">
        <v>5</v>
      </c>
      <c r="F194">
        <f>E194*2000</f>
        <v>10000</v>
      </c>
      <c r="G194">
        <f>E194*500</f>
        <v>2500</v>
      </c>
      <c r="H194">
        <f>E194*1500</f>
        <v>7500</v>
      </c>
    </row>
    <row r="195" spans="1:8" hidden="1" x14ac:dyDescent="0.25">
      <c r="D195" t="s">
        <v>13</v>
      </c>
      <c r="E195">
        <v>29</v>
      </c>
      <c r="F195">
        <f>E195*7000</f>
        <v>203000</v>
      </c>
      <c r="G195">
        <f>E195*4500</f>
        <v>130500</v>
      </c>
      <c r="H195">
        <f>E195*2500</f>
        <v>72500</v>
      </c>
    </row>
    <row r="196" spans="1:8" hidden="1" x14ac:dyDescent="0.25">
      <c r="D196" t="s">
        <v>14</v>
      </c>
      <c r="E196">
        <v>20</v>
      </c>
      <c r="F196">
        <f>E196*10000</f>
        <v>200000</v>
      </c>
      <c r="G196">
        <f>E196*5500</f>
        <v>110000</v>
      </c>
      <c r="H196">
        <f>E196*4500</f>
        <v>90000</v>
      </c>
    </row>
    <row r="197" spans="1:8" hidden="1" x14ac:dyDescent="0.25">
      <c r="C197" t="s">
        <v>217</v>
      </c>
      <c r="D197" t="s">
        <v>11</v>
      </c>
      <c r="E197">
        <v>11</v>
      </c>
      <c r="F197">
        <f>E197*1500</f>
        <v>16500</v>
      </c>
      <c r="G197">
        <f>E197*500</f>
        <v>5500</v>
      </c>
      <c r="H197">
        <v>11000</v>
      </c>
    </row>
    <row r="198" spans="1:8" hidden="1" x14ac:dyDescent="0.25">
      <c r="D198" t="s">
        <v>13</v>
      </c>
      <c r="E198">
        <v>13</v>
      </c>
      <c r="F198">
        <f>E198*6500</f>
        <v>84500</v>
      </c>
      <c r="G198">
        <f>E198*4500</f>
        <v>58500</v>
      </c>
      <c r="H198">
        <f>E198*2000</f>
        <v>26000</v>
      </c>
    </row>
    <row r="199" spans="1:8" hidden="1" x14ac:dyDescent="0.25">
      <c r="D199" t="s">
        <v>14</v>
      </c>
      <c r="E199">
        <v>7</v>
      </c>
      <c r="F199">
        <f>E199*10000</f>
        <v>70000</v>
      </c>
      <c r="G199">
        <f>E199*5500</f>
        <v>38500</v>
      </c>
      <c r="H199">
        <f>E199*4500</f>
        <v>31500</v>
      </c>
    </row>
    <row r="200" spans="1:8" hidden="1" x14ac:dyDescent="0.25">
      <c r="C200" t="s">
        <v>846</v>
      </c>
      <c r="D200" t="s">
        <v>13</v>
      </c>
      <c r="E200">
        <v>1</v>
      </c>
      <c r="F200">
        <v>8000</v>
      </c>
      <c r="G200">
        <v>4500</v>
      </c>
      <c r="H200">
        <v>3500</v>
      </c>
    </row>
    <row r="201" spans="1:8" hidden="1" x14ac:dyDescent="0.25">
      <c r="D201" t="s">
        <v>14</v>
      </c>
      <c r="E201">
        <v>3</v>
      </c>
      <c r="F201">
        <v>36000</v>
      </c>
      <c r="G201">
        <f>E201*5500</f>
        <v>16500</v>
      </c>
      <c r="H201">
        <f>E201*6500</f>
        <v>19500</v>
      </c>
    </row>
    <row r="202" spans="1:8" hidden="1" x14ac:dyDescent="0.25">
      <c r="C202" t="s">
        <v>16</v>
      </c>
      <c r="D202" t="s">
        <v>11</v>
      </c>
      <c r="E202">
        <v>78</v>
      </c>
      <c r="F202">
        <f>E202*1500</f>
        <v>117000</v>
      </c>
      <c r="G202">
        <f>E202*500</f>
        <v>39000</v>
      </c>
      <c r="H202">
        <v>78000</v>
      </c>
    </row>
    <row r="203" spans="1:8" hidden="1" x14ac:dyDescent="0.25">
      <c r="D203" t="s">
        <v>12</v>
      </c>
      <c r="E203">
        <v>10</v>
      </c>
      <c r="F203">
        <f>E203*3000</f>
        <v>30000</v>
      </c>
      <c r="G203">
        <v>20000</v>
      </c>
      <c r="H203">
        <v>10000</v>
      </c>
    </row>
    <row r="204" spans="1:8" hidden="1" x14ac:dyDescent="0.25">
      <c r="D204" t="s">
        <v>14</v>
      </c>
      <c r="E204">
        <v>1</v>
      </c>
      <c r="F204">
        <v>10000</v>
      </c>
      <c r="G204">
        <v>5500</v>
      </c>
      <c r="H204">
        <v>4500</v>
      </c>
    </row>
    <row r="205" spans="1:8" hidden="1" x14ac:dyDescent="0.25">
      <c r="A205" s="142" t="s">
        <v>17</v>
      </c>
      <c r="B205" s="142"/>
      <c r="C205" s="142"/>
      <c r="D205" s="142"/>
      <c r="E205" s="13">
        <f>SUM(E194:E204)</f>
        <v>178</v>
      </c>
      <c r="F205" s="13">
        <f t="shared" ref="F205:H205" si="17">SUM(F194:F204)</f>
        <v>785000</v>
      </c>
      <c r="G205" s="13">
        <f t="shared" si="17"/>
        <v>431000</v>
      </c>
      <c r="H205" s="13">
        <f t="shared" si="17"/>
        <v>354000</v>
      </c>
    </row>
    <row r="206" spans="1:8" hidden="1" x14ac:dyDescent="0.25">
      <c r="A206" t="s">
        <v>30</v>
      </c>
      <c r="B206" t="s">
        <v>859</v>
      </c>
      <c r="C206" t="s">
        <v>104</v>
      </c>
      <c r="D206" t="s">
        <v>11</v>
      </c>
      <c r="E206">
        <f>F206/1700</f>
        <v>167</v>
      </c>
      <c r="F206">
        <f>68000+40800+47600+68000+59500</f>
        <v>283900</v>
      </c>
      <c r="G206">
        <f>E206*500</f>
        <v>83500</v>
      </c>
      <c r="H206">
        <f>E206*1200</f>
        <v>200400</v>
      </c>
    </row>
    <row r="207" spans="1:8" hidden="1" x14ac:dyDescent="0.25">
      <c r="C207" t="s">
        <v>338</v>
      </c>
      <c r="D207" t="s">
        <v>11</v>
      </c>
      <c r="E207">
        <f>F207/1800</f>
        <v>99</v>
      </c>
      <c r="F207">
        <f>104400+73800</f>
        <v>178200</v>
      </c>
      <c r="G207">
        <f>E207*500</f>
        <v>49500</v>
      </c>
      <c r="H207">
        <f>E207*1300</f>
        <v>128700</v>
      </c>
    </row>
    <row r="208" spans="1:8" hidden="1" x14ac:dyDescent="0.25">
      <c r="C208" t="s">
        <v>572</v>
      </c>
      <c r="D208" t="s">
        <v>11</v>
      </c>
      <c r="E208">
        <f>78200/1700</f>
        <v>46</v>
      </c>
      <c r="F208">
        <v>78200</v>
      </c>
      <c r="G208">
        <f>E208*500</f>
        <v>23000</v>
      </c>
      <c r="H208">
        <f>E208*1200</f>
        <v>55200</v>
      </c>
    </row>
    <row r="209" spans="1:8" hidden="1" x14ac:dyDescent="0.25">
      <c r="C209" t="s">
        <v>846</v>
      </c>
      <c r="D209" t="s">
        <v>13</v>
      </c>
      <c r="E209">
        <v>4</v>
      </c>
      <c r="F209">
        <f>E209*8000</f>
        <v>32000</v>
      </c>
      <c r="G209">
        <f>E209*4500</f>
        <v>18000</v>
      </c>
      <c r="H209">
        <f>E209*3500</f>
        <v>14000</v>
      </c>
    </row>
    <row r="210" spans="1:8" hidden="1" x14ac:dyDescent="0.25">
      <c r="D210" t="s">
        <v>14</v>
      </c>
      <c r="E210">
        <v>5</v>
      </c>
      <c r="F210">
        <f>E210*12000</f>
        <v>60000</v>
      </c>
      <c r="G210">
        <f>E210*5500</f>
        <v>27500</v>
      </c>
      <c r="H210">
        <f>E210*6500</f>
        <v>32500</v>
      </c>
    </row>
    <row r="211" spans="1:8" hidden="1" x14ac:dyDescent="0.25">
      <c r="C211" t="s">
        <v>16</v>
      </c>
      <c r="D211" t="s">
        <v>11</v>
      </c>
      <c r="E211">
        <v>9</v>
      </c>
      <c r="F211">
        <f>E211*1500</f>
        <v>13500</v>
      </c>
      <c r="G211">
        <f>E211*500</f>
        <v>4500</v>
      </c>
      <c r="H211">
        <v>9000</v>
      </c>
    </row>
    <row r="212" spans="1:8" hidden="1" x14ac:dyDescent="0.25">
      <c r="D212" t="s">
        <v>12</v>
      </c>
      <c r="E212">
        <v>2</v>
      </c>
      <c r="F212">
        <v>6000</v>
      </c>
      <c r="G212">
        <v>4000</v>
      </c>
      <c r="H212">
        <v>2000</v>
      </c>
    </row>
    <row r="213" spans="1:8" hidden="1" x14ac:dyDescent="0.25">
      <c r="D213" t="s">
        <v>243</v>
      </c>
      <c r="E213">
        <v>2</v>
      </c>
      <c r="F213">
        <v>26000</v>
      </c>
      <c r="G213">
        <v>20000</v>
      </c>
      <c r="H213">
        <v>6000</v>
      </c>
    </row>
    <row r="214" spans="1:8" hidden="1" x14ac:dyDescent="0.25">
      <c r="A214" s="142" t="s">
        <v>17</v>
      </c>
      <c r="B214" s="142"/>
      <c r="C214" s="142"/>
      <c r="D214" s="142"/>
      <c r="E214" s="13">
        <f>SUM(E206:E213)</f>
        <v>334</v>
      </c>
      <c r="F214" s="13">
        <f t="shared" ref="F214:H214" si="18">SUM(F206:F213)</f>
        <v>677800</v>
      </c>
      <c r="G214" s="13">
        <f t="shared" si="18"/>
        <v>230000</v>
      </c>
      <c r="H214" s="13">
        <f t="shared" si="18"/>
        <v>447800</v>
      </c>
    </row>
    <row r="215" spans="1:8" hidden="1" x14ac:dyDescent="0.25">
      <c r="A215" t="s">
        <v>32</v>
      </c>
      <c r="B215" t="s">
        <v>860</v>
      </c>
      <c r="C215" t="s">
        <v>217</v>
      </c>
      <c r="D215" t="s">
        <v>11</v>
      </c>
      <c r="E215">
        <v>6</v>
      </c>
      <c r="F215">
        <f>E215*1500</f>
        <v>9000</v>
      </c>
      <c r="G215">
        <f>E215*500</f>
        <v>3000</v>
      </c>
      <c r="H215">
        <f>E215*1000</f>
        <v>6000</v>
      </c>
    </row>
    <row r="216" spans="1:8" hidden="1" x14ac:dyDescent="0.25">
      <c r="D216" t="s">
        <v>822</v>
      </c>
      <c r="E216">
        <v>8</v>
      </c>
      <c r="F216">
        <f>E216*6500</f>
        <v>52000</v>
      </c>
      <c r="G216">
        <f>E216*4500</f>
        <v>36000</v>
      </c>
      <c r="H216">
        <f>E216*2000</f>
        <v>16000</v>
      </c>
    </row>
    <row r="217" spans="1:8" hidden="1" x14ac:dyDescent="0.25">
      <c r="D217" t="s">
        <v>14</v>
      </c>
      <c r="E217">
        <v>2</v>
      </c>
      <c r="F217">
        <v>20000</v>
      </c>
      <c r="G217">
        <v>11000</v>
      </c>
      <c r="H217">
        <v>9000</v>
      </c>
    </row>
    <row r="218" spans="1:8" hidden="1" x14ac:dyDescent="0.25">
      <c r="D218" t="s">
        <v>404</v>
      </c>
      <c r="E218">
        <v>2</v>
      </c>
      <c r="F218">
        <v>4000</v>
      </c>
      <c r="G218">
        <v>2000</v>
      </c>
      <c r="H218">
        <v>2000</v>
      </c>
    </row>
    <row r="219" spans="1:8" x14ac:dyDescent="0.25">
      <c r="D219" t="s">
        <v>441</v>
      </c>
      <c r="E219">
        <v>1</v>
      </c>
      <c r="F219">
        <v>3000</v>
      </c>
      <c r="G219">
        <v>1500</v>
      </c>
      <c r="H219">
        <v>1500</v>
      </c>
    </row>
    <row r="220" spans="1:8" hidden="1" x14ac:dyDescent="0.25">
      <c r="C220" t="s">
        <v>16</v>
      </c>
      <c r="D220" t="s">
        <v>11</v>
      </c>
      <c r="E220">
        <v>44</v>
      </c>
      <c r="F220">
        <f>E220*1500</f>
        <v>66000</v>
      </c>
      <c r="G220">
        <f>E220*500</f>
        <v>22000</v>
      </c>
      <c r="H220">
        <v>44000</v>
      </c>
    </row>
    <row r="221" spans="1:8" hidden="1" x14ac:dyDescent="0.25">
      <c r="D221" t="s">
        <v>14</v>
      </c>
      <c r="E221">
        <v>1</v>
      </c>
      <c r="F221">
        <v>10000</v>
      </c>
      <c r="G221">
        <v>5500</v>
      </c>
      <c r="H221">
        <v>4500</v>
      </c>
    </row>
    <row r="222" spans="1:8" hidden="1" x14ac:dyDescent="0.25">
      <c r="D222" t="s">
        <v>243</v>
      </c>
      <c r="E222">
        <v>1</v>
      </c>
      <c r="F222">
        <v>13000</v>
      </c>
      <c r="G222">
        <v>10000</v>
      </c>
      <c r="H222">
        <v>3000</v>
      </c>
    </row>
    <row r="223" spans="1:8" hidden="1" x14ac:dyDescent="0.25">
      <c r="C223" t="s">
        <v>846</v>
      </c>
      <c r="D223" t="s">
        <v>13</v>
      </c>
      <c r="E223">
        <v>2</v>
      </c>
      <c r="F223">
        <v>16000</v>
      </c>
      <c r="G223">
        <v>9000</v>
      </c>
      <c r="H223">
        <v>7000</v>
      </c>
    </row>
    <row r="224" spans="1:8" hidden="1" x14ac:dyDescent="0.25">
      <c r="D224" t="s">
        <v>14</v>
      </c>
      <c r="E224">
        <v>2</v>
      </c>
      <c r="F224">
        <v>24000</v>
      </c>
      <c r="G224">
        <v>11000</v>
      </c>
      <c r="H224">
        <v>13000</v>
      </c>
    </row>
    <row r="225" spans="1:8" hidden="1" x14ac:dyDescent="0.25">
      <c r="C225" t="s">
        <v>24</v>
      </c>
      <c r="D225" t="s">
        <v>243</v>
      </c>
      <c r="E225">
        <v>1</v>
      </c>
      <c r="F225">
        <v>15000</v>
      </c>
      <c r="G225">
        <v>10000</v>
      </c>
      <c r="H225">
        <v>5000</v>
      </c>
    </row>
    <row r="226" spans="1:8" hidden="1" x14ac:dyDescent="0.25">
      <c r="A226" s="142" t="s">
        <v>17</v>
      </c>
      <c r="B226" s="142"/>
      <c r="C226" s="142"/>
      <c r="D226" s="142"/>
      <c r="E226" s="13">
        <f>SUM(E215:E225)</f>
        <v>70</v>
      </c>
      <c r="F226" s="13">
        <f t="shared" ref="F226:H226" si="19">SUM(F215:F225)</f>
        <v>232000</v>
      </c>
      <c r="G226" s="13">
        <f t="shared" si="19"/>
        <v>121000</v>
      </c>
      <c r="H226" s="13">
        <f t="shared" si="19"/>
        <v>111000</v>
      </c>
    </row>
    <row r="227" spans="1:8" hidden="1" x14ac:dyDescent="0.25">
      <c r="A227" t="s">
        <v>8</v>
      </c>
      <c r="B227" t="s">
        <v>861</v>
      </c>
      <c r="C227" t="s">
        <v>16</v>
      </c>
      <c r="D227" t="s">
        <v>11</v>
      </c>
      <c r="E227">
        <v>58</v>
      </c>
      <c r="F227">
        <f>E227*1500</f>
        <v>87000</v>
      </c>
      <c r="G227">
        <f>E227*500</f>
        <v>29000</v>
      </c>
      <c r="H227">
        <f>E227*1000</f>
        <v>58000</v>
      </c>
    </row>
    <row r="228" spans="1:8" hidden="1" x14ac:dyDescent="0.25">
      <c r="D228" t="s">
        <v>12</v>
      </c>
      <c r="E228">
        <v>3</v>
      </c>
      <c r="F228">
        <v>9000</v>
      </c>
      <c r="G228">
        <v>6000</v>
      </c>
      <c r="H228">
        <v>3000</v>
      </c>
    </row>
    <row r="229" spans="1:8" hidden="1" x14ac:dyDescent="0.25">
      <c r="D229" t="s">
        <v>13</v>
      </c>
      <c r="E229">
        <v>1</v>
      </c>
      <c r="F229">
        <v>6500</v>
      </c>
      <c r="G229">
        <v>4500</v>
      </c>
      <c r="H229">
        <v>2000</v>
      </c>
    </row>
    <row r="230" spans="1:8" hidden="1" x14ac:dyDescent="0.25">
      <c r="C230" t="s">
        <v>846</v>
      </c>
      <c r="D230" t="s">
        <v>13</v>
      </c>
      <c r="E230">
        <v>3</v>
      </c>
      <c r="F230">
        <f>E230*8000</f>
        <v>24000</v>
      </c>
      <c r="G230">
        <f>E230*4500</f>
        <v>13500</v>
      </c>
      <c r="H230">
        <f>E230*3500</f>
        <v>10500</v>
      </c>
    </row>
    <row r="231" spans="1:8" hidden="1" x14ac:dyDescent="0.25">
      <c r="D231" t="s">
        <v>14</v>
      </c>
      <c r="E231">
        <v>3</v>
      </c>
      <c r="F231">
        <f>E231*12000</f>
        <v>36000</v>
      </c>
      <c r="G231">
        <f>E231*5500</f>
        <v>16500</v>
      </c>
      <c r="H231">
        <f>E231*6500</f>
        <v>19500</v>
      </c>
    </row>
    <row r="232" spans="1:8" hidden="1" x14ac:dyDescent="0.25">
      <c r="A232" s="142" t="s">
        <v>17</v>
      </c>
      <c r="B232" s="142"/>
      <c r="C232" s="142"/>
      <c r="D232" s="142"/>
      <c r="E232" s="13">
        <f>SUM(E227:E231)</f>
        <v>68</v>
      </c>
      <c r="F232" s="13">
        <f t="shared" ref="F232:H232" si="20">SUM(F227:F231)</f>
        <v>162500</v>
      </c>
      <c r="G232" s="13">
        <f t="shared" si="20"/>
        <v>69500</v>
      </c>
      <c r="H232" s="13">
        <f t="shared" si="20"/>
        <v>93000</v>
      </c>
    </row>
    <row r="233" spans="1:8" hidden="1" x14ac:dyDescent="0.25">
      <c r="A233" t="s">
        <v>18</v>
      </c>
      <c r="B233" t="s">
        <v>862</v>
      </c>
      <c r="C233" t="s">
        <v>338</v>
      </c>
      <c r="D233" t="s">
        <v>11</v>
      </c>
      <c r="E233">
        <v>52</v>
      </c>
      <c r="F233">
        <f>E233*1800</f>
        <v>93600</v>
      </c>
      <c r="G233">
        <f>E233*500</f>
        <v>26000</v>
      </c>
      <c r="H233">
        <f>E233*1300</f>
        <v>67600</v>
      </c>
    </row>
    <row r="234" spans="1:8" hidden="1" x14ac:dyDescent="0.25">
      <c r="C234" t="s">
        <v>571</v>
      </c>
      <c r="D234" t="s">
        <v>11</v>
      </c>
      <c r="E234">
        <v>25</v>
      </c>
      <c r="F234">
        <f>E234*1700</f>
        <v>42500</v>
      </c>
      <c r="G234">
        <f>E234*500</f>
        <v>12500</v>
      </c>
      <c r="H234">
        <f>E234*1200</f>
        <v>30000</v>
      </c>
    </row>
    <row r="235" spans="1:8" hidden="1" x14ac:dyDescent="0.25">
      <c r="C235" t="s">
        <v>104</v>
      </c>
      <c r="D235" t="s">
        <v>11</v>
      </c>
      <c r="E235">
        <v>70</v>
      </c>
      <c r="F235">
        <f>E235*1700</f>
        <v>119000</v>
      </c>
      <c r="G235">
        <f>E235*500</f>
        <v>35000</v>
      </c>
      <c r="H235">
        <f>E235*1200</f>
        <v>84000</v>
      </c>
    </row>
    <row r="236" spans="1:8" hidden="1" x14ac:dyDescent="0.25">
      <c r="C236" t="s">
        <v>16</v>
      </c>
      <c r="D236" t="s">
        <v>11</v>
      </c>
      <c r="E236">
        <v>59</v>
      </c>
      <c r="F236">
        <f>E236*1500</f>
        <v>88500</v>
      </c>
      <c r="G236">
        <f>E236*500</f>
        <v>29500</v>
      </c>
      <c r="H236">
        <f>E236*1000</f>
        <v>59000</v>
      </c>
    </row>
    <row r="237" spans="1:8" hidden="1" x14ac:dyDescent="0.25">
      <c r="D237" t="s">
        <v>12</v>
      </c>
      <c r="E237">
        <v>2</v>
      </c>
      <c r="F237">
        <v>6000</v>
      </c>
      <c r="G237">
        <v>4000</v>
      </c>
      <c r="H237">
        <v>2000</v>
      </c>
    </row>
    <row r="238" spans="1:8" hidden="1" x14ac:dyDescent="0.25">
      <c r="D238" t="s">
        <v>13</v>
      </c>
      <c r="E238">
        <v>1</v>
      </c>
      <c r="F238">
        <v>6500</v>
      </c>
      <c r="G238">
        <v>4500</v>
      </c>
      <c r="H238">
        <v>2000</v>
      </c>
    </row>
    <row r="239" spans="1:8" hidden="1" x14ac:dyDescent="0.25">
      <c r="C239" t="s">
        <v>846</v>
      </c>
      <c r="D239" t="s">
        <v>13</v>
      </c>
      <c r="E239">
        <v>9</v>
      </c>
      <c r="F239">
        <f>E239*8000</f>
        <v>72000</v>
      </c>
      <c r="G239">
        <f>E239*4500</f>
        <v>40500</v>
      </c>
      <c r="H239">
        <f>E239*3500</f>
        <v>31500</v>
      </c>
    </row>
    <row r="240" spans="1:8" hidden="1" x14ac:dyDescent="0.25">
      <c r="D240" t="s">
        <v>14</v>
      </c>
      <c r="E240">
        <v>3</v>
      </c>
      <c r="F240">
        <f>E240*12000</f>
        <v>36000</v>
      </c>
      <c r="G240">
        <f>E240*5500</f>
        <v>16500</v>
      </c>
      <c r="H240">
        <f>E240*6500</f>
        <v>19500</v>
      </c>
    </row>
    <row r="241" spans="1:8" hidden="1" x14ac:dyDescent="0.25">
      <c r="A241" s="142" t="s">
        <v>17</v>
      </c>
      <c r="B241" s="142"/>
      <c r="C241" s="142"/>
      <c r="D241" s="142"/>
      <c r="E241" s="13">
        <f>SUM(E233:E240)</f>
        <v>221</v>
      </c>
      <c r="F241" s="13">
        <f t="shared" ref="F241:H241" si="21">SUM(F233:F240)</f>
        <v>464100</v>
      </c>
      <c r="G241" s="13">
        <f t="shared" si="21"/>
        <v>168500</v>
      </c>
      <c r="H241" s="13">
        <f t="shared" si="21"/>
        <v>295600</v>
      </c>
    </row>
    <row r="242" spans="1:8" hidden="1" x14ac:dyDescent="0.25">
      <c r="A242" t="s">
        <v>22</v>
      </c>
      <c r="B242" t="s">
        <v>863</v>
      </c>
      <c r="C242" t="s">
        <v>338</v>
      </c>
      <c r="D242" t="s">
        <v>11</v>
      </c>
      <c r="E242">
        <v>106</v>
      </c>
      <c r="F242">
        <f>E242*1800</f>
        <v>190800</v>
      </c>
      <c r="G242">
        <f>E242*500</f>
        <v>53000</v>
      </c>
      <c r="H242">
        <f>E242*1300</f>
        <v>137800</v>
      </c>
    </row>
    <row r="243" spans="1:8" hidden="1" x14ac:dyDescent="0.25">
      <c r="C243" t="s">
        <v>104</v>
      </c>
      <c r="D243" t="s">
        <v>11</v>
      </c>
      <c r="E243">
        <v>50</v>
      </c>
      <c r="F243">
        <f>E243*1700</f>
        <v>85000</v>
      </c>
      <c r="G243">
        <f>E243*500</f>
        <v>25000</v>
      </c>
      <c r="H243">
        <f>E243*1200</f>
        <v>60000</v>
      </c>
    </row>
    <row r="244" spans="1:8" hidden="1" x14ac:dyDescent="0.25">
      <c r="C244" t="s">
        <v>306</v>
      </c>
      <c r="D244" t="s">
        <v>11</v>
      </c>
      <c r="E244">
        <v>7</v>
      </c>
      <c r="F244">
        <f>E244*1700</f>
        <v>11900</v>
      </c>
      <c r="G244">
        <f>E244*500</f>
        <v>3500</v>
      </c>
      <c r="H244">
        <f>E244*1300</f>
        <v>9100</v>
      </c>
    </row>
    <row r="245" spans="1:8" hidden="1" x14ac:dyDescent="0.25">
      <c r="C245" t="s">
        <v>571</v>
      </c>
      <c r="D245" t="s">
        <v>11</v>
      </c>
      <c r="E245">
        <v>16</v>
      </c>
      <c r="F245">
        <f>E245*1700</f>
        <v>27200</v>
      </c>
      <c r="G245">
        <f>E245*500</f>
        <v>8000</v>
      </c>
      <c r="H245">
        <f>E245*1200</f>
        <v>19200</v>
      </c>
    </row>
    <row r="246" spans="1:8" hidden="1" x14ac:dyDescent="0.25">
      <c r="C246" t="s">
        <v>16</v>
      </c>
      <c r="D246" t="s">
        <v>11</v>
      </c>
      <c r="E246">
        <v>71</v>
      </c>
      <c r="F246">
        <f>E246*1500</f>
        <v>106500</v>
      </c>
      <c r="G246">
        <f>E246*500</f>
        <v>35500</v>
      </c>
      <c r="H246">
        <v>71000</v>
      </c>
    </row>
    <row r="247" spans="1:8" hidden="1" x14ac:dyDescent="0.25">
      <c r="D247" t="s">
        <v>13</v>
      </c>
      <c r="E247">
        <v>2</v>
      </c>
      <c r="F247">
        <v>13000</v>
      </c>
      <c r="G247">
        <v>9000</v>
      </c>
      <c r="H247">
        <v>4000</v>
      </c>
    </row>
    <row r="248" spans="1:8" hidden="1" x14ac:dyDescent="0.25">
      <c r="C248" t="s">
        <v>846</v>
      </c>
      <c r="D248" t="s">
        <v>13</v>
      </c>
      <c r="E248">
        <v>10</v>
      </c>
      <c r="F248">
        <f>E248*8000</f>
        <v>80000</v>
      </c>
      <c r="G248">
        <f>E248*4500</f>
        <v>45000</v>
      </c>
      <c r="H248">
        <f>E248*3500</f>
        <v>35000</v>
      </c>
    </row>
    <row r="249" spans="1:8" hidden="1" x14ac:dyDescent="0.25">
      <c r="D249" t="s">
        <v>14</v>
      </c>
      <c r="E249">
        <v>4</v>
      </c>
      <c r="F249">
        <f>E249*12000</f>
        <v>48000</v>
      </c>
      <c r="G249">
        <f>E249*5500</f>
        <v>22000</v>
      </c>
      <c r="H249">
        <f>E249*6500</f>
        <v>26000</v>
      </c>
    </row>
    <row r="250" spans="1:8" hidden="1" x14ac:dyDescent="0.25">
      <c r="D250" t="s">
        <v>243</v>
      </c>
      <c r="E250">
        <v>1</v>
      </c>
      <c r="F250">
        <v>17000</v>
      </c>
      <c r="G250">
        <v>10000</v>
      </c>
      <c r="H250">
        <v>7000</v>
      </c>
    </row>
    <row r="251" spans="1:8" hidden="1" x14ac:dyDescent="0.25">
      <c r="A251" s="142" t="s">
        <v>17</v>
      </c>
      <c r="B251" s="142"/>
      <c r="C251" s="142"/>
      <c r="D251" s="142"/>
      <c r="E251" s="13">
        <f>SUM(E242:E250)</f>
        <v>267</v>
      </c>
      <c r="F251" s="13">
        <f t="shared" ref="F251:H251" si="22">SUM(F242:F250)</f>
        <v>579400</v>
      </c>
      <c r="G251" s="13">
        <f t="shared" si="22"/>
        <v>211000</v>
      </c>
      <c r="H251" s="13">
        <f t="shared" si="22"/>
        <v>369100</v>
      </c>
    </row>
    <row r="252" spans="1:8" hidden="1" x14ac:dyDescent="0.25">
      <c r="A252" t="s">
        <v>26</v>
      </c>
      <c r="B252" t="s">
        <v>864</v>
      </c>
      <c r="C252" t="s">
        <v>104</v>
      </c>
      <c r="D252" t="s">
        <v>11</v>
      </c>
      <c r="E252">
        <v>70</v>
      </c>
      <c r="F252">
        <f>E252*1700</f>
        <v>119000</v>
      </c>
      <c r="G252">
        <f>E252*500</f>
        <v>35000</v>
      </c>
      <c r="H252">
        <f>E252*1200</f>
        <v>84000</v>
      </c>
    </row>
    <row r="253" spans="1:8" hidden="1" x14ac:dyDescent="0.25">
      <c r="C253" t="s">
        <v>16</v>
      </c>
      <c r="D253" t="s">
        <v>11</v>
      </c>
      <c r="E253">
        <v>90</v>
      </c>
      <c r="F253">
        <f>E253*1500</f>
        <v>135000</v>
      </c>
      <c r="G253">
        <f>E253*500</f>
        <v>45000</v>
      </c>
      <c r="H253">
        <v>90000</v>
      </c>
    </row>
    <row r="254" spans="1:8" hidden="1" x14ac:dyDescent="0.25">
      <c r="D254" t="s">
        <v>12</v>
      </c>
      <c r="E254">
        <v>10</v>
      </c>
      <c r="F254">
        <v>30000</v>
      </c>
      <c r="G254">
        <v>20000</v>
      </c>
      <c r="H254">
        <v>10000</v>
      </c>
    </row>
    <row r="255" spans="1:8" hidden="1" x14ac:dyDescent="0.25">
      <c r="D255" t="s">
        <v>13</v>
      </c>
      <c r="E255">
        <v>1</v>
      </c>
      <c r="F255">
        <v>6500</v>
      </c>
      <c r="G255">
        <v>4500</v>
      </c>
      <c r="H255">
        <v>2000</v>
      </c>
    </row>
    <row r="256" spans="1:8" hidden="1" x14ac:dyDescent="0.25">
      <c r="C256" t="s">
        <v>846</v>
      </c>
      <c r="D256" t="s">
        <v>13</v>
      </c>
      <c r="E256">
        <v>3</v>
      </c>
      <c r="F256">
        <v>24000</v>
      </c>
      <c r="G256">
        <f>E256*4500</f>
        <v>13500</v>
      </c>
      <c r="H256">
        <f>E256*3500</f>
        <v>10500</v>
      </c>
    </row>
    <row r="257" spans="1:8" hidden="1" x14ac:dyDescent="0.25">
      <c r="D257" t="s">
        <v>14</v>
      </c>
      <c r="E257">
        <v>2</v>
      </c>
      <c r="F257">
        <v>24000</v>
      </c>
      <c r="G257">
        <v>11000</v>
      </c>
      <c r="H257">
        <v>9000</v>
      </c>
    </row>
    <row r="258" spans="1:8" hidden="1" x14ac:dyDescent="0.25">
      <c r="A258" s="142" t="s">
        <v>17</v>
      </c>
      <c r="B258" s="142"/>
      <c r="C258" s="142"/>
      <c r="D258" s="142"/>
      <c r="E258" s="13">
        <f>SUM(E252:E257)</f>
        <v>176</v>
      </c>
      <c r="F258" s="13">
        <f>SUM(F252:F257)</f>
        <v>338500</v>
      </c>
      <c r="G258" s="13">
        <f>SUM(G252:G257)</f>
        <v>129000</v>
      </c>
      <c r="H258" s="13">
        <f>SUM(H252:H257)</f>
        <v>205500</v>
      </c>
    </row>
    <row r="259" spans="1:8" hidden="1" x14ac:dyDescent="0.25">
      <c r="A259" t="s">
        <v>28</v>
      </c>
      <c r="B259" t="s">
        <v>865</v>
      </c>
      <c r="C259" t="s">
        <v>693</v>
      </c>
      <c r="D259" t="s">
        <v>11</v>
      </c>
      <c r="E259">
        <v>11</v>
      </c>
      <c r="F259">
        <f>E259*2000</f>
        <v>22000</v>
      </c>
      <c r="G259">
        <f>E259*500</f>
        <v>5500</v>
      </c>
      <c r="H259">
        <f>E259*1500</f>
        <v>16500</v>
      </c>
    </row>
    <row r="260" spans="1:8" hidden="1" x14ac:dyDescent="0.25">
      <c r="D260" t="s">
        <v>13</v>
      </c>
      <c r="E260">
        <v>33</v>
      </c>
      <c r="F260">
        <f>E260*7000</f>
        <v>231000</v>
      </c>
      <c r="G260">
        <f>E260*4500</f>
        <v>148500</v>
      </c>
      <c r="H260">
        <f>E260*3000</f>
        <v>99000</v>
      </c>
    </row>
    <row r="261" spans="1:8" hidden="1" x14ac:dyDescent="0.25">
      <c r="D261" t="s">
        <v>14</v>
      </c>
      <c r="E261">
        <v>16</v>
      </c>
      <c r="F261">
        <f>E261*10000</f>
        <v>160000</v>
      </c>
      <c r="G261">
        <f>E261*5500</f>
        <v>88000</v>
      </c>
      <c r="H261">
        <f>E261*4500</f>
        <v>72000</v>
      </c>
    </row>
    <row r="262" spans="1:8" hidden="1" x14ac:dyDescent="0.25">
      <c r="C262" t="s">
        <v>217</v>
      </c>
      <c r="D262" t="s">
        <v>11</v>
      </c>
      <c r="E262">
        <v>7</v>
      </c>
      <c r="F262">
        <f>E262*1500</f>
        <v>10500</v>
      </c>
      <c r="G262">
        <f>E262*500</f>
        <v>3500</v>
      </c>
      <c r="H262">
        <v>7000</v>
      </c>
    </row>
    <row r="263" spans="1:8" hidden="1" x14ac:dyDescent="0.25">
      <c r="D263" t="s">
        <v>13</v>
      </c>
      <c r="E263">
        <v>10</v>
      </c>
      <c r="F263">
        <f>E263*6500</f>
        <v>65000</v>
      </c>
      <c r="G263">
        <f>E263*4500</f>
        <v>45000</v>
      </c>
      <c r="H263">
        <f>E263*2000</f>
        <v>20000</v>
      </c>
    </row>
    <row r="264" spans="1:8" hidden="1" x14ac:dyDescent="0.25">
      <c r="D264" t="s">
        <v>14</v>
      </c>
      <c r="E264">
        <v>5</v>
      </c>
      <c r="F264">
        <v>50000</v>
      </c>
      <c r="G264">
        <f>E264*5500</f>
        <v>27500</v>
      </c>
      <c r="H264">
        <f>E264*4500</f>
        <v>22500</v>
      </c>
    </row>
    <row r="265" spans="1:8" hidden="1" x14ac:dyDescent="0.25">
      <c r="D265" t="s">
        <v>415</v>
      </c>
      <c r="E265">
        <v>1</v>
      </c>
      <c r="F265">
        <v>5000</v>
      </c>
      <c r="G265">
        <v>2500</v>
      </c>
      <c r="H265">
        <v>2500</v>
      </c>
    </row>
    <row r="266" spans="1:8" hidden="1" x14ac:dyDescent="0.25">
      <c r="C266" t="s">
        <v>16</v>
      </c>
      <c r="D266" t="s">
        <v>11</v>
      </c>
      <c r="E266">
        <v>61</v>
      </c>
      <c r="F266">
        <f>E266*1500</f>
        <v>91500</v>
      </c>
      <c r="G266">
        <f>E266*500</f>
        <v>30500</v>
      </c>
      <c r="H266">
        <v>61000</v>
      </c>
    </row>
    <row r="267" spans="1:8" hidden="1" x14ac:dyDescent="0.25">
      <c r="D267" t="s">
        <v>13</v>
      </c>
      <c r="E267">
        <v>1</v>
      </c>
      <c r="F267">
        <v>6500</v>
      </c>
      <c r="G267">
        <v>4500</v>
      </c>
      <c r="H267">
        <v>2000</v>
      </c>
    </row>
    <row r="268" spans="1:8" hidden="1" x14ac:dyDescent="0.25">
      <c r="C268" t="s">
        <v>846</v>
      </c>
      <c r="D268" t="s">
        <v>13</v>
      </c>
      <c r="E268">
        <v>6</v>
      </c>
      <c r="F268">
        <f>E268*8000</f>
        <v>48000</v>
      </c>
      <c r="G268">
        <f>E268*4500</f>
        <v>27000</v>
      </c>
      <c r="H268">
        <f>E268*3500</f>
        <v>21000</v>
      </c>
    </row>
    <row r="269" spans="1:8" hidden="1" x14ac:dyDescent="0.25">
      <c r="D269" t="s">
        <v>14</v>
      </c>
      <c r="E269">
        <v>5</v>
      </c>
      <c r="F269">
        <f>E269*12000</f>
        <v>60000</v>
      </c>
      <c r="G269">
        <f>E269*5500</f>
        <v>27500</v>
      </c>
      <c r="H269">
        <f>E269*6500</f>
        <v>32500</v>
      </c>
    </row>
    <row r="270" spans="1:8" x14ac:dyDescent="0.25">
      <c r="D270" t="s">
        <v>866</v>
      </c>
      <c r="E270">
        <v>3</v>
      </c>
      <c r="F270">
        <v>60000</v>
      </c>
      <c r="G270">
        <f>E270*12000</f>
        <v>36000</v>
      </c>
      <c r="H270">
        <f>E270*8000</f>
        <v>24000</v>
      </c>
    </row>
    <row r="271" spans="1:8" hidden="1" x14ac:dyDescent="0.25">
      <c r="C271" t="s">
        <v>24</v>
      </c>
      <c r="D271" t="s">
        <v>13</v>
      </c>
      <c r="E271">
        <v>20</v>
      </c>
      <c r="F271">
        <f>E271*8000</f>
        <v>160000</v>
      </c>
      <c r="G271">
        <f>E271*4500</f>
        <v>90000</v>
      </c>
      <c r="H271">
        <f>E271*3500</f>
        <v>70000</v>
      </c>
    </row>
    <row r="272" spans="1:8" hidden="1" x14ac:dyDescent="0.25">
      <c r="A272" s="142" t="s">
        <v>17</v>
      </c>
      <c r="B272" s="142"/>
      <c r="C272" s="142"/>
      <c r="D272" s="142"/>
      <c r="E272" s="13">
        <f>SUM(E259:E271)</f>
        <v>179</v>
      </c>
      <c r="F272" s="13">
        <f t="shared" ref="F272:H272" si="23">SUM(F259:F271)</f>
        <v>969500</v>
      </c>
      <c r="G272" s="13">
        <f t="shared" si="23"/>
        <v>536000</v>
      </c>
      <c r="H272" s="13">
        <f t="shared" si="23"/>
        <v>450000</v>
      </c>
    </row>
    <row r="273" spans="1:8" hidden="1" x14ac:dyDescent="0.25">
      <c r="A273" t="s">
        <v>30</v>
      </c>
      <c r="B273" t="s">
        <v>867</v>
      </c>
      <c r="C273" t="s">
        <v>571</v>
      </c>
      <c r="D273" t="s">
        <v>11</v>
      </c>
      <c r="E273">
        <v>25</v>
      </c>
      <c r="F273">
        <f>E273*1700</f>
        <v>42500</v>
      </c>
      <c r="G273">
        <f>E273*500</f>
        <v>12500</v>
      </c>
      <c r="H273">
        <f>E273*1200</f>
        <v>30000</v>
      </c>
    </row>
    <row r="274" spans="1:8" hidden="1" x14ac:dyDescent="0.25">
      <c r="C274" t="s">
        <v>16</v>
      </c>
      <c r="D274" t="s">
        <v>11</v>
      </c>
      <c r="E274">
        <v>41</v>
      </c>
      <c r="F274">
        <f>E274*1500</f>
        <v>61500</v>
      </c>
      <c r="G274">
        <f>E274*500</f>
        <v>20500</v>
      </c>
      <c r="H274">
        <f>E274*1000</f>
        <v>41000</v>
      </c>
    </row>
    <row r="275" spans="1:8" hidden="1" x14ac:dyDescent="0.25">
      <c r="D275" t="s">
        <v>12</v>
      </c>
      <c r="E275">
        <v>5</v>
      </c>
      <c r="F275">
        <f>E275*3000</f>
        <v>15000</v>
      </c>
      <c r="G275">
        <f>E275*2000</f>
        <v>10000</v>
      </c>
      <c r="H275">
        <v>5000</v>
      </c>
    </row>
    <row r="276" spans="1:8" hidden="1" x14ac:dyDescent="0.25">
      <c r="D276" t="s">
        <v>13</v>
      </c>
      <c r="E276">
        <v>2</v>
      </c>
      <c r="F276">
        <v>13000</v>
      </c>
      <c r="G276">
        <f>E276*4500</f>
        <v>9000</v>
      </c>
      <c r="H276">
        <f>E276*2000</f>
        <v>4000</v>
      </c>
    </row>
    <row r="277" spans="1:8" hidden="1" x14ac:dyDescent="0.25">
      <c r="C277" t="s">
        <v>846</v>
      </c>
      <c r="D277" t="s">
        <v>13</v>
      </c>
      <c r="E277">
        <v>15</v>
      </c>
      <c r="F277">
        <f>E277*8000</f>
        <v>120000</v>
      </c>
      <c r="G277">
        <f>E277*4500</f>
        <v>67500</v>
      </c>
      <c r="H277">
        <f>E277*3500</f>
        <v>52500</v>
      </c>
    </row>
    <row r="278" spans="1:8" hidden="1" x14ac:dyDescent="0.25">
      <c r="D278" t="s">
        <v>14</v>
      </c>
      <c r="E278">
        <v>3</v>
      </c>
      <c r="F278">
        <f>E278*12000</f>
        <v>36000</v>
      </c>
      <c r="G278">
        <f>E278*5500</f>
        <v>16500</v>
      </c>
      <c r="H278">
        <f>E278*6500</f>
        <v>19500</v>
      </c>
    </row>
    <row r="279" spans="1:8" hidden="1" x14ac:dyDescent="0.25">
      <c r="C279" t="s">
        <v>24</v>
      </c>
      <c r="D279" t="s">
        <v>243</v>
      </c>
      <c r="E279">
        <v>2</v>
      </c>
      <c r="F279">
        <v>30000</v>
      </c>
      <c r="G279">
        <v>20000</v>
      </c>
      <c r="H279">
        <v>10000</v>
      </c>
    </row>
    <row r="280" spans="1:8" hidden="1" x14ac:dyDescent="0.25">
      <c r="C280" t="s">
        <v>24</v>
      </c>
      <c r="D280" t="s">
        <v>243</v>
      </c>
      <c r="E280">
        <v>2</v>
      </c>
      <c r="F280">
        <v>26000</v>
      </c>
      <c r="G280">
        <v>20000</v>
      </c>
      <c r="H280">
        <v>6000</v>
      </c>
    </row>
    <row r="281" spans="1:8" hidden="1" x14ac:dyDescent="0.25">
      <c r="C281" t="s">
        <v>853</v>
      </c>
      <c r="D281" t="s">
        <v>11</v>
      </c>
      <c r="E281">
        <v>4</v>
      </c>
      <c r="F281">
        <v>8000</v>
      </c>
      <c r="G281">
        <f>E281*500</f>
        <v>2000</v>
      </c>
      <c r="H281">
        <f>E281*1500</f>
        <v>6000</v>
      </c>
    </row>
    <row r="282" spans="1:8" hidden="1" x14ac:dyDescent="0.25">
      <c r="D282" t="s">
        <v>13</v>
      </c>
      <c r="E282">
        <v>13</v>
      </c>
      <c r="F282">
        <f>E282*8000</f>
        <v>104000</v>
      </c>
      <c r="G282">
        <f>E282*4500</f>
        <v>58500</v>
      </c>
      <c r="H282">
        <f>E282*3500</f>
        <v>45500</v>
      </c>
    </row>
    <row r="283" spans="1:8" hidden="1" x14ac:dyDescent="0.25">
      <c r="D283" t="s">
        <v>14</v>
      </c>
      <c r="E283">
        <v>8</v>
      </c>
      <c r="F283">
        <f>E283*10000</f>
        <v>80000</v>
      </c>
      <c r="G283">
        <f>E283*5500</f>
        <v>44000</v>
      </c>
      <c r="H283">
        <f>E283*4500</f>
        <v>36000</v>
      </c>
    </row>
    <row r="284" spans="1:8" hidden="1" x14ac:dyDescent="0.25">
      <c r="A284" s="142" t="s">
        <v>17</v>
      </c>
      <c r="B284" s="142"/>
      <c r="C284" s="142"/>
      <c r="D284" s="142"/>
      <c r="E284" s="13">
        <f>SUM(E273:E283)</f>
        <v>120</v>
      </c>
      <c r="F284" s="13">
        <f t="shared" ref="F284:H284" si="24">SUM(F273:F283)</f>
        <v>536000</v>
      </c>
      <c r="G284" s="13">
        <f t="shared" si="24"/>
        <v>280500</v>
      </c>
      <c r="H284" s="13">
        <f t="shared" si="24"/>
        <v>255500</v>
      </c>
    </row>
    <row r="285" spans="1:8" hidden="1" x14ac:dyDescent="0.25">
      <c r="A285" t="s">
        <v>32</v>
      </c>
      <c r="B285" t="s">
        <v>868</v>
      </c>
      <c r="C285" t="s">
        <v>338</v>
      </c>
      <c r="D285" t="s">
        <v>11</v>
      </c>
      <c r="E285">
        <v>59</v>
      </c>
      <c r="F285">
        <f>E285*1800</f>
        <v>106200</v>
      </c>
      <c r="G285">
        <f>E285*500</f>
        <v>29500</v>
      </c>
      <c r="H285">
        <f>E285*1300</f>
        <v>76700</v>
      </c>
    </row>
    <row r="286" spans="1:8" hidden="1" x14ac:dyDescent="0.25">
      <c r="C286" t="s">
        <v>104</v>
      </c>
      <c r="D286" t="s">
        <v>11</v>
      </c>
      <c r="E286">
        <v>76</v>
      </c>
      <c r="F286">
        <f>E286*1700</f>
        <v>129200</v>
      </c>
      <c r="G286">
        <f>E286*500</f>
        <v>38000</v>
      </c>
      <c r="H286">
        <f>E286*1200</f>
        <v>91200</v>
      </c>
    </row>
    <row r="287" spans="1:8" hidden="1" x14ac:dyDescent="0.25">
      <c r="C287" t="s">
        <v>855</v>
      </c>
      <c r="E287">
        <v>25</v>
      </c>
      <c r="F287">
        <f>E287*1700</f>
        <v>42500</v>
      </c>
      <c r="G287">
        <f>E287*500</f>
        <v>12500</v>
      </c>
      <c r="H287">
        <f>E287*1200</f>
        <v>30000</v>
      </c>
    </row>
    <row r="288" spans="1:8" hidden="1" x14ac:dyDescent="0.25">
      <c r="C288" t="s">
        <v>16</v>
      </c>
      <c r="D288" t="s">
        <v>11</v>
      </c>
      <c r="E288">
        <v>78</v>
      </c>
      <c r="F288">
        <f>E288*1500</f>
        <v>117000</v>
      </c>
      <c r="G288">
        <f>E288*500</f>
        <v>39000</v>
      </c>
      <c r="H288">
        <f>E288*1000</f>
        <v>78000</v>
      </c>
    </row>
    <row r="289" spans="1:8" hidden="1" x14ac:dyDescent="0.25">
      <c r="D289" t="s">
        <v>12</v>
      </c>
      <c r="E289">
        <v>3</v>
      </c>
      <c r="F289">
        <f>E289*3000</f>
        <v>9000</v>
      </c>
      <c r="G289">
        <f>E289*2000</f>
        <v>6000</v>
      </c>
      <c r="H289">
        <v>3000</v>
      </c>
    </row>
    <row r="290" spans="1:8" hidden="1" x14ac:dyDescent="0.25">
      <c r="D290" t="s">
        <v>13</v>
      </c>
      <c r="E290">
        <v>2</v>
      </c>
      <c r="F290">
        <v>13000</v>
      </c>
      <c r="G290">
        <v>9000</v>
      </c>
      <c r="H290">
        <v>4000</v>
      </c>
    </row>
    <row r="291" spans="1:8" hidden="1" x14ac:dyDescent="0.25">
      <c r="D291" t="s">
        <v>243</v>
      </c>
      <c r="E291">
        <v>2</v>
      </c>
      <c r="F291">
        <v>26000</v>
      </c>
      <c r="G291">
        <v>20000</v>
      </c>
      <c r="H291">
        <v>6000</v>
      </c>
    </row>
    <row r="292" spans="1:8" hidden="1" x14ac:dyDescent="0.25">
      <c r="C292" t="s">
        <v>846</v>
      </c>
      <c r="D292" t="s">
        <v>11</v>
      </c>
      <c r="E292">
        <v>1</v>
      </c>
      <c r="F292">
        <v>3000</v>
      </c>
      <c r="G292">
        <v>500</v>
      </c>
      <c r="H292">
        <v>2500</v>
      </c>
    </row>
    <row r="293" spans="1:8" hidden="1" x14ac:dyDescent="0.25">
      <c r="D293" t="s">
        <v>13</v>
      </c>
      <c r="E293">
        <v>18</v>
      </c>
      <c r="F293">
        <f>E293*8000</f>
        <v>144000</v>
      </c>
      <c r="G293">
        <f>E293*4500</f>
        <v>81000</v>
      </c>
      <c r="H293">
        <f>E293*3500</f>
        <v>63000</v>
      </c>
    </row>
    <row r="294" spans="1:8" hidden="1" x14ac:dyDescent="0.25">
      <c r="D294" t="s">
        <v>14</v>
      </c>
      <c r="E294">
        <v>1</v>
      </c>
      <c r="F294">
        <v>12000</v>
      </c>
      <c r="G294">
        <v>5500</v>
      </c>
      <c r="H294">
        <v>6500</v>
      </c>
    </row>
    <row r="295" spans="1:8" hidden="1" x14ac:dyDescent="0.25">
      <c r="D295" t="s">
        <v>686</v>
      </c>
      <c r="E295">
        <v>2</v>
      </c>
      <c r="F295">
        <v>14000</v>
      </c>
      <c r="G295">
        <v>7000</v>
      </c>
      <c r="H295">
        <v>7000</v>
      </c>
    </row>
    <row r="296" spans="1:8" hidden="1" x14ac:dyDescent="0.25">
      <c r="C296" t="s">
        <v>24</v>
      </c>
      <c r="D296" t="s">
        <v>243</v>
      </c>
      <c r="E296">
        <v>2</v>
      </c>
      <c r="F296">
        <v>30000</v>
      </c>
      <c r="G296">
        <v>20000</v>
      </c>
      <c r="H296">
        <v>10000</v>
      </c>
    </row>
    <row r="297" spans="1:8" hidden="1" x14ac:dyDescent="0.25">
      <c r="C297" t="s">
        <v>24</v>
      </c>
      <c r="D297" t="s">
        <v>243</v>
      </c>
      <c r="E297">
        <v>2</v>
      </c>
      <c r="F297">
        <v>26000</v>
      </c>
      <c r="G297">
        <v>20000</v>
      </c>
      <c r="H297">
        <v>6000</v>
      </c>
    </row>
    <row r="298" spans="1:8" hidden="1" x14ac:dyDescent="0.25">
      <c r="C298" t="s">
        <v>24</v>
      </c>
      <c r="D298" t="s">
        <v>21</v>
      </c>
      <c r="E298">
        <v>5</v>
      </c>
    </row>
    <row r="299" spans="1:8" hidden="1" x14ac:dyDescent="0.25">
      <c r="C299" t="s">
        <v>554</v>
      </c>
      <c r="D299" t="s">
        <v>243</v>
      </c>
      <c r="E299">
        <v>1</v>
      </c>
    </row>
    <row r="300" spans="1:8" hidden="1" x14ac:dyDescent="0.25">
      <c r="A300" s="142" t="s">
        <v>17</v>
      </c>
      <c r="B300" s="142"/>
      <c r="C300" s="142"/>
      <c r="D300" s="142"/>
      <c r="E300" s="13">
        <f>SUM(E285:E299)</f>
        <v>277</v>
      </c>
      <c r="F300" s="13">
        <f t="shared" ref="F300:H300" si="25">SUM(F285:F299)</f>
        <v>671900</v>
      </c>
      <c r="G300" s="13">
        <f t="shared" si="25"/>
        <v>288000</v>
      </c>
      <c r="H300" s="13">
        <f t="shared" si="25"/>
        <v>383900</v>
      </c>
    </row>
    <row r="301" spans="1:8" hidden="1" x14ac:dyDescent="0.25">
      <c r="A301" t="s">
        <v>8</v>
      </c>
      <c r="B301" t="s">
        <v>869</v>
      </c>
      <c r="C301" t="s">
        <v>571</v>
      </c>
      <c r="D301" t="s">
        <v>11</v>
      </c>
      <c r="E301">
        <v>25</v>
      </c>
      <c r="F301">
        <f>E301*1700</f>
        <v>42500</v>
      </c>
      <c r="G301">
        <f>E301*500</f>
        <v>12500</v>
      </c>
      <c r="H301">
        <f>E301*1200</f>
        <v>30000</v>
      </c>
    </row>
    <row r="302" spans="1:8" hidden="1" x14ac:dyDescent="0.25">
      <c r="C302" t="s">
        <v>572</v>
      </c>
      <c r="D302" t="s">
        <v>11</v>
      </c>
      <c r="E302">
        <f>20+19+20+23+19+17</f>
        <v>118</v>
      </c>
      <c r="F302">
        <f>E302*1700</f>
        <v>200600</v>
      </c>
      <c r="G302">
        <f>E302*500</f>
        <v>59000</v>
      </c>
      <c r="H302">
        <f>E302*1200</f>
        <v>141600</v>
      </c>
    </row>
    <row r="303" spans="1:8" hidden="1" x14ac:dyDescent="0.25">
      <c r="C303" t="s">
        <v>846</v>
      </c>
      <c r="D303" t="s">
        <v>13</v>
      </c>
      <c r="E303">
        <v>6</v>
      </c>
      <c r="F303">
        <v>48000</v>
      </c>
      <c r="G303">
        <f>E303*4500</f>
        <v>27000</v>
      </c>
      <c r="H303">
        <f>E303*3500</f>
        <v>21000</v>
      </c>
    </row>
    <row r="304" spans="1:8" hidden="1" x14ac:dyDescent="0.25">
      <c r="C304" t="s">
        <v>16</v>
      </c>
      <c r="D304" t="s">
        <v>11</v>
      </c>
      <c r="E304">
        <v>37</v>
      </c>
      <c r="F304">
        <f>E304*1500</f>
        <v>55500</v>
      </c>
      <c r="G304">
        <f>E304*500</f>
        <v>18500</v>
      </c>
      <c r="H304">
        <v>37000</v>
      </c>
    </row>
    <row r="305" spans="1:8" hidden="1" x14ac:dyDescent="0.25">
      <c r="D305" t="s">
        <v>12</v>
      </c>
      <c r="E305">
        <v>3</v>
      </c>
      <c r="F305">
        <v>9000</v>
      </c>
      <c r="G305">
        <v>6000</v>
      </c>
      <c r="H305">
        <v>3000</v>
      </c>
    </row>
    <row r="306" spans="1:8" hidden="1" x14ac:dyDescent="0.25">
      <c r="D306" t="s">
        <v>243</v>
      </c>
      <c r="E306">
        <v>1</v>
      </c>
      <c r="F306">
        <v>13000</v>
      </c>
      <c r="G306">
        <v>10000</v>
      </c>
      <c r="H306">
        <v>3000</v>
      </c>
    </row>
    <row r="307" spans="1:8" hidden="1" x14ac:dyDescent="0.25">
      <c r="A307" s="142" t="s">
        <v>17</v>
      </c>
      <c r="B307" s="142"/>
      <c r="C307" s="142"/>
      <c r="D307" s="142"/>
      <c r="E307" s="13">
        <f>SUM(E301:E306)</f>
        <v>190</v>
      </c>
      <c r="F307" s="13">
        <f t="shared" ref="F307:H307" si="26">SUM(F301:F306)</f>
        <v>368600</v>
      </c>
      <c r="G307" s="13">
        <f t="shared" si="26"/>
        <v>133000</v>
      </c>
      <c r="H307" s="13">
        <f t="shared" si="26"/>
        <v>235600</v>
      </c>
    </row>
    <row r="308" spans="1:8" hidden="1" x14ac:dyDescent="0.25">
      <c r="A308" t="s">
        <v>18</v>
      </c>
      <c r="B308" t="s">
        <v>870</v>
      </c>
      <c r="C308" t="s">
        <v>338</v>
      </c>
      <c r="D308" t="s">
        <v>11</v>
      </c>
      <c r="E308">
        <v>39</v>
      </c>
      <c r="F308">
        <f>E308*1800</f>
        <v>70200</v>
      </c>
      <c r="G308">
        <f>E308*500</f>
        <v>19500</v>
      </c>
      <c r="H308">
        <v>39000</v>
      </c>
    </row>
    <row r="309" spans="1:8" hidden="1" x14ac:dyDescent="0.25">
      <c r="C309" t="s">
        <v>104</v>
      </c>
      <c r="D309" t="s">
        <v>11</v>
      </c>
      <c r="E309">
        <v>71</v>
      </c>
      <c r="F309">
        <f>E309*1700</f>
        <v>120700</v>
      </c>
      <c r="G309">
        <f>E309*500</f>
        <v>35500</v>
      </c>
      <c r="H309">
        <f>E309*1200</f>
        <v>85200</v>
      </c>
    </row>
    <row r="310" spans="1:8" hidden="1" x14ac:dyDescent="0.25">
      <c r="C310" t="s">
        <v>571</v>
      </c>
      <c r="D310" t="s">
        <v>11</v>
      </c>
      <c r="E310">
        <v>22</v>
      </c>
      <c r="F310">
        <f>E310*1700</f>
        <v>37400</v>
      </c>
      <c r="G310">
        <f>E310*500</f>
        <v>11000</v>
      </c>
      <c r="H310">
        <f>E310*1200</f>
        <v>26400</v>
      </c>
    </row>
    <row r="311" spans="1:8" hidden="1" x14ac:dyDescent="0.25">
      <c r="C311" t="s">
        <v>306</v>
      </c>
      <c r="D311" t="s">
        <v>11</v>
      </c>
      <c r="E311">
        <v>29</v>
      </c>
      <c r="F311">
        <f>E311*1800</f>
        <v>52200</v>
      </c>
      <c r="G311">
        <f>E311*500</f>
        <v>14500</v>
      </c>
      <c r="H311">
        <f>E311*1300</f>
        <v>37700</v>
      </c>
    </row>
    <row r="312" spans="1:8" hidden="1" x14ac:dyDescent="0.25">
      <c r="C312" t="s">
        <v>16</v>
      </c>
      <c r="D312" t="s">
        <v>11</v>
      </c>
      <c r="E312">
        <v>45</v>
      </c>
      <c r="F312">
        <f>E312*1500</f>
        <v>67500</v>
      </c>
      <c r="G312">
        <f>E312*500</f>
        <v>22500</v>
      </c>
      <c r="H312">
        <v>4500</v>
      </c>
    </row>
    <row r="313" spans="1:8" hidden="1" x14ac:dyDescent="0.25">
      <c r="D313" t="s">
        <v>13</v>
      </c>
      <c r="E313">
        <v>1</v>
      </c>
      <c r="F313">
        <v>6500</v>
      </c>
      <c r="G313">
        <v>4500</v>
      </c>
      <c r="H313">
        <v>2000</v>
      </c>
    </row>
    <row r="314" spans="1:8" hidden="1" x14ac:dyDescent="0.25">
      <c r="C314" t="s">
        <v>846</v>
      </c>
      <c r="D314" t="s">
        <v>13</v>
      </c>
      <c r="E314">
        <v>9</v>
      </c>
      <c r="F314">
        <f>E314*8000</f>
        <v>72000</v>
      </c>
      <c r="G314">
        <f>E314*4500</f>
        <v>40500</v>
      </c>
      <c r="H314">
        <f>E314*3500</f>
        <v>31500</v>
      </c>
    </row>
    <row r="315" spans="1:8" hidden="1" x14ac:dyDescent="0.25">
      <c r="D315" t="s">
        <v>243</v>
      </c>
      <c r="E315">
        <v>1</v>
      </c>
      <c r="F315">
        <f>E315*17000</f>
        <v>17000</v>
      </c>
      <c r="G315">
        <f>E315*10000</f>
        <v>10000</v>
      </c>
      <c r="H315">
        <f>E315*7000</f>
        <v>7000</v>
      </c>
    </row>
    <row r="316" spans="1:8" hidden="1" x14ac:dyDescent="0.25">
      <c r="D316" t="s">
        <v>871</v>
      </c>
      <c r="E316">
        <v>2</v>
      </c>
      <c r="F316">
        <f>E316*5000</f>
        <v>10000</v>
      </c>
      <c r="G316">
        <v>5000</v>
      </c>
      <c r="H316">
        <v>5000</v>
      </c>
    </row>
    <row r="317" spans="1:8" hidden="1" x14ac:dyDescent="0.25">
      <c r="C317" t="s">
        <v>24</v>
      </c>
      <c r="D317" t="s">
        <v>243</v>
      </c>
      <c r="E317">
        <v>2</v>
      </c>
      <c r="F317">
        <v>30000</v>
      </c>
      <c r="G317">
        <v>20000</v>
      </c>
      <c r="H317">
        <v>10000</v>
      </c>
    </row>
    <row r="318" spans="1:8" hidden="1" x14ac:dyDescent="0.25">
      <c r="A318" s="111" t="s">
        <v>17</v>
      </c>
      <c r="B318" s="111"/>
      <c r="C318" s="111"/>
      <c r="D318" s="111"/>
      <c r="E318" s="1">
        <f>SUM(E308:E317)</f>
        <v>221</v>
      </c>
      <c r="F318" s="13">
        <f t="shared" ref="F318:H318" si="27">SUM(F308:F317)</f>
        <v>483500</v>
      </c>
      <c r="G318" s="13">
        <f t="shared" si="27"/>
        <v>183000</v>
      </c>
      <c r="H318" s="13">
        <f t="shared" si="27"/>
        <v>248300</v>
      </c>
    </row>
    <row r="319" spans="1:8" hidden="1" x14ac:dyDescent="0.25">
      <c r="A319" t="s">
        <v>22</v>
      </c>
      <c r="B319" t="s">
        <v>872</v>
      </c>
      <c r="C319" t="s">
        <v>338</v>
      </c>
      <c r="D319" t="s">
        <v>11</v>
      </c>
      <c r="E319">
        <f>68400/1800</f>
        <v>38</v>
      </c>
      <c r="F319">
        <f>E319*1800</f>
        <v>68400</v>
      </c>
      <c r="G319">
        <f>E319*500</f>
        <v>19000</v>
      </c>
      <c r="H319">
        <f>E319*1300</f>
        <v>49400</v>
      </c>
    </row>
    <row r="320" spans="1:8" hidden="1" x14ac:dyDescent="0.25">
      <c r="C320" t="s">
        <v>571</v>
      </c>
      <c r="D320" t="s">
        <v>11</v>
      </c>
      <c r="E320">
        <v>25</v>
      </c>
      <c r="F320">
        <f>E320*1700</f>
        <v>42500</v>
      </c>
      <c r="G320">
        <f>E320*500</f>
        <v>12500</v>
      </c>
      <c r="H320">
        <f>E320*1200</f>
        <v>30000</v>
      </c>
    </row>
    <row r="321" spans="1:8" hidden="1" x14ac:dyDescent="0.25">
      <c r="C321" t="s">
        <v>581</v>
      </c>
      <c r="D321" t="s">
        <v>11</v>
      </c>
      <c r="E321">
        <f>30+18+21+23+18+30+30+32+35+36+35</f>
        <v>308</v>
      </c>
      <c r="F321">
        <f>E321*1500</f>
        <v>462000</v>
      </c>
      <c r="G321">
        <f>E321*500</f>
        <v>154000</v>
      </c>
      <c r="H321">
        <f>E321*1000</f>
        <v>308000</v>
      </c>
    </row>
    <row r="322" spans="1:8" hidden="1" x14ac:dyDescent="0.25">
      <c r="C322" t="s">
        <v>16</v>
      </c>
      <c r="D322" t="s">
        <v>11</v>
      </c>
      <c r="E322">
        <v>27</v>
      </c>
      <c r="F322">
        <f>E322*1500</f>
        <v>40500</v>
      </c>
      <c r="G322">
        <f>E322*500</f>
        <v>13500</v>
      </c>
      <c r="H322">
        <f>E322*1000</f>
        <v>27000</v>
      </c>
    </row>
    <row r="323" spans="1:8" hidden="1" x14ac:dyDescent="0.25">
      <c r="D323" t="s">
        <v>12</v>
      </c>
      <c r="E323">
        <v>1</v>
      </c>
      <c r="F323">
        <v>3000</v>
      </c>
      <c r="G323">
        <v>2000</v>
      </c>
      <c r="H323">
        <v>1000</v>
      </c>
    </row>
    <row r="324" spans="1:8" hidden="1" x14ac:dyDescent="0.25">
      <c r="D324" t="s">
        <v>13</v>
      </c>
      <c r="E324">
        <v>1</v>
      </c>
      <c r="F324">
        <v>6500</v>
      </c>
      <c r="G324">
        <v>4500</v>
      </c>
      <c r="H324">
        <v>2000</v>
      </c>
    </row>
    <row r="325" spans="1:8" hidden="1" x14ac:dyDescent="0.25">
      <c r="C325" t="s">
        <v>24</v>
      </c>
      <c r="D325" t="s">
        <v>243</v>
      </c>
      <c r="E325">
        <v>2</v>
      </c>
      <c r="F325">
        <v>30000</v>
      </c>
      <c r="G325">
        <v>20000</v>
      </c>
      <c r="H325">
        <v>10000</v>
      </c>
    </row>
    <row r="326" spans="1:8" hidden="1" x14ac:dyDescent="0.25">
      <c r="A326" s="142" t="s">
        <v>17</v>
      </c>
      <c r="B326" s="142"/>
      <c r="C326" s="142"/>
      <c r="D326" s="142"/>
      <c r="E326" s="13">
        <f>SUM(E319:E325)</f>
        <v>402</v>
      </c>
      <c r="F326" s="13">
        <f t="shared" ref="F326:H326" si="28">SUM(F319:F325)</f>
        <v>652900</v>
      </c>
      <c r="G326" s="13">
        <f t="shared" si="28"/>
        <v>225500</v>
      </c>
      <c r="H326" s="13">
        <f t="shared" si="28"/>
        <v>427400</v>
      </c>
    </row>
    <row r="327" spans="1:8" hidden="1" x14ac:dyDescent="0.25">
      <c r="A327" t="s">
        <v>26</v>
      </c>
      <c r="B327" t="s">
        <v>873</v>
      </c>
      <c r="C327" t="s">
        <v>16</v>
      </c>
      <c r="D327" t="s">
        <v>11</v>
      </c>
      <c r="E327">
        <v>37</v>
      </c>
      <c r="F327">
        <f>E327*1500</f>
        <v>55500</v>
      </c>
      <c r="G327">
        <f>E327*500</f>
        <v>18500</v>
      </c>
      <c r="H327">
        <f>E327*1000</f>
        <v>37000</v>
      </c>
    </row>
    <row r="328" spans="1:8" hidden="1" x14ac:dyDescent="0.25">
      <c r="D328" t="s">
        <v>13</v>
      </c>
      <c r="E328">
        <v>2</v>
      </c>
      <c r="F328">
        <v>13000</v>
      </c>
      <c r="G328">
        <v>9000</v>
      </c>
      <c r="H328">
        <v>4000</v>
      </c>
    </row>
    <row r="329" spans="1:8" hidden="1" x14ac:dyDescent="0.25">
      <c r="C329" t="s">
        <v>104</v>
      </c>
      <c r="D329" t="s">
        <v>11</v>
      </c>
      <c r="E329">
        <v>40</v>
      </c>
      <c r="F329">
        <f>E329*1700</f>
        <v>68000</v>
      </c>
      <c r="G329">
        <f>E329*500</f>
        <v>20000</v>
      </c>
      <c r="H329">
        <f>E329*1200</f>
        <v>48000</v>
      </c>
    </row>
    <row r="330" spans="1:8" hidden="1" x14ac:dyDescent="0.25">
      <c r="C330" t="s">
        <v>338</v>
      </c>
      <c r="D330" t="s">
        <v>11</v>
      </c>
      <c r="E330">
        <v>82</v>
      </c>
      <c r="F330">
        <f>E330*1800</f>
        <v>147600</v>
      </c>
      <c r="G330">
        <f>E330*500</f>
        <v>41000</v>
      </c>
      <c r="H330">
        <f>E330*1300</f>
        <v>106600</v>
      </c>
    </row>
    <row r="331" spans="1:8" hidden="1" x14ac:dyDescent="0.25">
      <c r="C331" t="s">
        <v>571</v>
      </c>
      <c r="D331" t="s">
        <v>11</v>
      </c>
      <c r="E331">
        <v>18</v>
      </c>
      <c r="F331">
        <f>E331*1700</f>
        <v>30600</v>
      </c>
      <c r="G331">
        <f>E331*500</f>
        <v>9000</v>
      </c>
      <c r="H331">
        <f>E331*1200</f>
        <v>21600</v>
      </c>
    </row>
    <row r="332" spans="1:8" hidden="1" x14ac:dyDescent="0.25">
      <c r="A332" s="142" t="s">
        <v>17</v>
      </c>
      <c r="B332" s="142"/>
      <c r="C332" s="142"/>
      <c r="D332" s="142"/>
      <c r="E332" s="13">
        <f>SUM(E327:E329)</f>
        <v>79</v>
      </c>
      <c r="F332" s="13">
        <f t="shared" ref="F332:H332" si="29">SUM(F327:F329)</f>
        <v>136500</v>
      </c>
      <c r="G332" s="13">
        <f t="shared" si="29"/>
        <v>47500</v>
      </c>
      <c r="H332" s="13">
        <f t="shared" si="29"/>
        <v>89000</v>
      </c>
    </row>
  </sheetData>
  <autoFilter ref="A1:H332" xr:uid="{00000000-0009-0000-0000-000021000000}">
    <filterColumn colId="3">
      <filters>
        <filter val="ES SUSU ORI"/>
        <filter val="LITER RASA"/>
      </filters>
    </filterColumn>
  </autoFilter>
  <mergeCells count="31">
    <mergeCell ref="A143:D143"/>
    <mergeCell ref="A232:D232"/>
    <mergeCell ref="A10:D10"/>
    <mergeCell ref="A22:D22"/>
    <mergeCell ref="A32:D32"/>
    <mergeCell ref="A47:D47"/>
    <mergeCell ref="A57:D57"/>
    <mergeCell ref="A226:D226"/>
    <mergeCell ref="A70:D70"/>
    <mergeCell ref="A115:D115"/>
    <mergeCell ref="A131:D131"/>
    <mergeCell ref="A98:D98"/>
    <mergeCell ref="A106:D106"/>
    <mergeCell ref="A85:D85"/>
    <mergeCell ref="A205:D205"/>
    <mergeCell ref="A187:D187"/>
    <mergeCell ref="A175:D175"/>
    <mergeCell ref="A153:D153"/>
    <mergeCell ref="A164:D164"/>
    <mergeCell ref="A193:D193"/>
    <mergeCell ref="A214:D214"/>
    <mergeCell ref="A241:D241"/>
    <mergeCell ref="A251:D251"/>
    <mergeCell ref="A284:D284"/>
    <mergeCell ref="A307:D307"/>
    <mergeCell ref="A332:D332"/>
    <mergeCell ref="A318:D318"/>
    <mergeCell ref="A300:D300"/>
    <mergeCell ref="A258:D258"/>
    <mergeCell ref="A272:D272"/>
    <mergeCell ref="A326:D32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/>
  <dimension ref="A1:XFD294"/>
  <sheetViews>
    <sheetView workbookViewId="0">
      <selection activeCell="J245" sqref="J245"/>
    </sheetView>
  </sheetViews>
  <sheetFormatPr defaultRowHeight="15" x14ac:dyDescent="0.25"/>
  <cols>
    <col min="2" max="2" width="10.7109375" bestFit="1" customWidth="1"/>
    <col min="5" max="5" width="9.42578125" bestFit="1" customWidth="1"/>
    <col min="6" max="6" width="13.28515625" bestFit="1" customWidth="1"/>
    <col min="7" max="8" width="11.710937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28</v>
      </c>
      <c r="B2" s="3">
        <v>45300</v>
      </c>
      <c r="C2" t="s">
        <v>693</v>
      </c>
      <c r="D2" t="s">
        <v>11</v>
      </c>
      <c r="E2">
        <v>7</v>
      </c>
      <c r="F2">
        <f>E2*2000</f>
        <v>14000</v>
      </c>
      <c r="G2">
        <f>E2*500</f>
        <v>3500</v>
      </c>
      <c r="H2">
        <f>E2*1500</f>
        <v>10500</v>
      </c>
    </row>
    <row r="3" spans="1:8" hidden="1" x14ac:dyDescent="0.25">
      <c r="C3" t="s">
        <v>612</v>
      </c>
      <c r="D3" t="s">
        <v>13</v>
      </c>
      <c r="E3">
        <v>23</v>
      </c>
      <c r="F3">
        <f>E3*7000</f>
        <v>161000</v>
      </c>
      <c r="G3">
        <f>E3*4500</f>
        <v>103500</v>
      </c>
      <c r="H3">
        <f>E3*2500</f>
        <v>57500</v>
      </c>
    </row>
    <row r="4" spans="1:8" hidden="1" x14ac:dyDescent="0.25">
      <c r="D4" t="s">
        <v>14</v>
      </c>
      <c r="E4">
        <v>11</v>
      </c>
      <c r="F4">
        <f>E4*10000</f>
        <v>110000</v>
      </c>
      <c r="G4">
        <f>E4*5500</f>
        <v>60500</v>
      </c>
      <c r="H4">
        <f>E4*4500</f>
        <v>49500</v>
      </c>
    </row>
    <row r="5" spans="1:8" hidden="1" x14ac:dyDescent="0.25">
      <c r="C5" t="s">
        <v>16</v>
      </c>
      <c r="D5" t="s">
        <v>11</v>
      </c>
      <c r="E5">
        <v>96</v>
      </c>
      <c r="F5">
        <f>E5*1500</f>
        <v>144000</v>
      </c>
      <c r="G5">
        <f>E5*500</f>
        <v>48000</v>
      </c>
      <c r="H5">
        <f>E5*1000</f>
        <v>96000</v>
      </c>
    </row>
    <row r="6" spans="1:8" hidden="1" x14ac:dyDescent="0.25">
      <c r="D6" t="s">
        <v>12</v>
      </c>
      <c r="E6">
        <v>10</v>
      </c>
      <c r="F6">
        <f>E6*3000</f>
        <v>30000</v>
      </c>
      <c r="G6">
        <f>E6*2000</f>
        <v>20000</v>
      </c>
      <c r="H6">
        <v>10000</v>
      </c>
    </row>
    <row r="7" spans="1:8" hidden="1" x14ac:dyDescent="0.25">
      <c r="D7" t="s">
        <v>13</v>
      </c>
      <c r="E7">
        <v>2</v>
      </c>
      <c r="F7">
        <f>E7*6500</f>
        <v>13000</v>
      </c>
      <c r="G7">
        <f>E7*4500</f>
        <v>9000</v>
      </c>
      <c r="H7">
        <f>E7*2000</f>
        <v>4000</v>
      </c>
    </row>
    <row r="8" spans="1:8" hidden="1" x14ac:dyDescent="0.25">
      <c r="D8" t="s">
        <v>14</v>
      </c>
      <c r="E8">
        <v>2</v>
      </c>
      <c r="F8">
        <f>E8*10000</f>
        <v>20000</v>
      </c>
      <c r="G8">
        <f>E8*5500</f>
        <v>11000</v>
      </c>
      <c r="H8">
        <f>E8*4500</f>
        <v>9000</v>
      </c>
    </row>
    <row r="9" spans="1:8" hidden="1" x14ac:dyDescent="0.25">
      <c r="C9" t="s">
        <v>217</v>
      </c>
      <c r="D9" t="s">
        <v>11</v>
      </c>
      <c r="E9">
        <v>7</v>
      </c>
      <c r="F9">
        <f>E9*1500</f>
        <v>10500</v>
      </c>
      <c r="G9">
        <f>E9*500</f>
        <v>3500</v>
      </c>
      <c r="H9">
        <v>7000</v>
      </c>
    </row>
    <row r="10" spans="1:8" hidden="1" x14ac:dyDescent="0.25">
      <c r="D10" t="s">
        <v>13</v>
      </c>
      <c r="E10">
        <v>12</v>
      </c>
      <c r="F10">
        <f>E10*6500</f>
        <v>78000</v>
      </c>
      <c r="G10">
        <f>E10*4500</f>
        <v>54000</v>
      </c>
      <c r="H10">
        <f>E10*2000</f>
        <v>24000</v>
      </c>
    </row>
    <row r="11" spans="1:8" hidden="1" x14ac:dyDescent="0.25">
      <c r="D11" t="s">
        <v>14</v>
      </c>
      <c r="E11">
        <v>10</v>
      </c>
      <c r="F11">
        <f>E11*10000</f>
        <v>100000</v>
      </c>
      <c r="G11">
        <f>E11*5500</f>
        <v>55000</v>
      </c>
      <c r="H11">
        <f>E11*4500</f>
        <v>45000</v>
      </c>
    </row>
    <row r="12" spans="1:8" hidden="1" x14ac:dyDescent="0.25">
      <c r="C12" t="s">
        <v>846</v>
      </c>
      <c r="D12" t="s">
        <v>13</v>
      </c>
      <c r="E12">
        <v>10</v>
      </c>
      <c r="F12">
        <f>E12*8000</f>
        <v>80000</v>
      </c>
      <c r="G12">
        <f>E12*4500</f>
        <v>45000</v>
      </c>
      <c r="H12">
        <f>E12*3500</f>
        <v>35000</v>
      </c>
    </row>
    <row r="13" spans="1:8" hidden="1" x14ac:dyDescent="0.25">
      <c r="D13" t="s">
        <v>14</v>
      </c>
      <c r="E13">
        <v>5</v>
      </c>
      <c r="F13">
        <f>E13*10000</f>
        <v>50000</v>
      </c>
      <c r="G13">
        <f>E13*5500</f>
        <v>27500</v>
      </c>
      <c r="H13">
        <f>E13*4500</f>
        <v>22500</v>
      </c>
    </row>
    <row r="14" spans="1:8" hidden="1" x14ac:dyDescent="0.25">
      <c r="D14" t="s">
        <v>424</v>
      </c>
      <c r="E14">
        <v>2</v>
      </c>
      <c r="F14">
        <f>E14*7000</f>
        <v>14000</v>
      </c>
      <c r="G14">
        <v>7000</v>
      </c>
      <c r="H14">
        <v>7000</v>
      </c>
    </row>
    <row r="15" spans="1:8" hidden="1" x14ac:dyDescent="0.25">
      <c r="A15" s="111" t="s">
        <v>17</v>
      </c>
      <c r="B15" s="111"/>
      <c r="C15" s="111"/>
      <c r="D15" s="111"/>
      <c r="E15" s="1">
        <f>SUM(E2:E14)</f>
        <v>197</v>
      </c>
      <c r="F15" s="13">
        <f t="shared" ref="F15:H15" si="0">SUM(F2:F14)</f>
        <v>824500</v>
      </c>
      <c r="G15" s="13">
        <f t="shared" si="0"/>
        <v>447500</v>
      </c>
      <c r="H15" s="13">
        <f t="shared" si="0"/>
        <v>377000</v>
      </c>
    </row>
    <row r="16" spans="1:8" hidden="1" x14ac:dyDescent="0.25">
      <c r="A16" t="s">
        <v>30</v>
      </c>
      <c r="B16" s="3">
        <v>45331</v>
      </c>
      <c r="C16" t="s">
        <v>104</v>
      </c>
      <c r="D16" t="s">
        <v>11</v>
      </c>
      <c r="E16">
        <f>49300/1700</f>
        <v>29</v>
      </c>
      <c r="F16">
        <f>E16*1700</f>
        <v>49300</v>
      </c>
      <c r="G16">
        <f>E16*500</f>
        <v>14500</v>
      </c>
      <c r="H16">
        <f>E16*1200</f>
        <v>34800</v>
      </c>
    </row>
    <row r="17" spans="1:8" hidden="1" x14ac:dyDescent="0.25">
      <c r="C17" t="s">
        <v>338</v>
      </c>
      <c r="D17" t="s">
        <v>11</v>
      </c>
      <c r="E17">
        <f>90000/1800</f>
        <v>50</v>
      </c>
      <c r="F17">
        <f>E17*1800</f>
        <v>90000</v>
      </c>
      <c r="G17">
        <f>E17*500</f>
        <v>25000</v>
      </c>
      <c r="H17">
        <f>E17*1300</f>
        <v>65000</v>
      </c>
    </row>
    <row r="18" spans="1:8" hidden="1" x14ac:dyDescent="0.25">
      <c r="C18" t="s">
        <v>306</v>
      </c>
      <c r="D18" t="s">
        <v>11</v>
      </c>
      <c r="E18">
        <v>20</v>
      </c>
      <c r="F18">
        <f>E18*1800</f>
        <v>36000</v>
      </c>
      <c r="G18">
        <f>E18*500</f>
        <v>10000</v>
      </c>
      <c r="H18">
        <f>E18*1300</f>
        <v>26000</v>
      </c>
    </row>
    <row r="19" spans="1:8" hidden="1" x14ac:dyDescent="0.25">
      <c r="C19" t="s">
        <v>16</v>
      </c>
      <c r="D19" t="s">
        <v>11</v>
      </c>
      <c r="E19">
        <v>26</v>
      </c>
      <c r="F19">
        <f>E19*1500</f>
        <v>39000</v>
      </c>
      <c r="G19">
        <f>E19*500</f>
        <v>13000</v>
      </c>
      <c r="H19">
        <f>E19*1000</f>
        <v>26000</v>
      </c>
    </row>
    <row r="20" spans="1:8" hidden="1" x14ac:dyDescent="0.25">
      <c r="D20" t="s">
        <v>12</v>
      </c>
      <c r="E20">
        <v>1</v>
      </c>
      <c r="F20">
        <v>3000</v>
      </c>
      <c r="G20">
        <v>2000</v>
      </c>
      <c r="H20">
        <v>1000</v>
      </c>
    </row>
    <row r="21" spans="1:8" hidden="1" x14ac:dyDescent="0.25">
      <c r="C21" t="s">
        <v>571</v>
      </c>
      <c r="D21" t="s">
        <v>11</v>
      </c>
      <c r="E21">
        <v>18</v>
      </c>
      <c r="F21">
        <f>E21*1700</f>
        <v>30600</v>
      </c>
      <c r="G21">
        <f>E21*500</f>
        <v>9000</v>
      </c>
      <c r="H21">
        <f>E21*1200</f>
        <v>21600</v>
      </c>
    </row>
    <row r="22" spans="1:8" hidden="1" x14ac:dyDescent="0.25">
      <c r="C22" t="s">
        <v>846</v>
      </c>
      <c r="D22" t="s">
        <v>14</v>
      </c>
      <c r="E22">
        <v>1</v>
      </c>
      <c r="F22">
        <v>12000</v>
      </c>
      <c r="G22">
        <v>5500</v>
      </c>
      <c r="H22">
        <v>6500</v>
      </c>
    </row>
    <row r="23" spans="1:8" hidden="1" x14ac:dyDescent="0.25">
      <c r="C23" t="s">
        <v>24</v>
      </c>
      <c r="D23" t="s">
        <v>13</v>
      </c>
      <c r="E23">
        <v>5</v>
      </c>
      <c r="F23">
        <f>E23*8000</f>
        <v>40000</v>
      </c>
      <c r="G23">
        <f>E23*4500</f>
        <v>22500</v>
      </c>
      <c r="H23">
        <f>E23*3500</f>
        <v>17500</v>
      </c>
    </row>
    <row r="24" spans="1:8" hidden="1" x14ac:dyDescent="0.25">
      <c r="A24" s="142" t="s">
        <v>17</v>
      </c>
      <c r="B24" s="142"/>
      <c r="C24" s="142"/>
      <c r="D24" s="142"/>
      <c r="E24" s="13">
        <f>SUM(E16:E23)</f>
        <v>150</v>
      </c>
      <c r="F24" s="13">
        <f t="shared" ref="F24:H24" si="1">SUM(F16:F23)</f>
        <v>299900</v>
      </c>
      <c r="G24" s="13">
        <f t="shared" si="1"/>
        <v>101500</v>
      </c>
      <c r="H24" s="13">
        <f t="shared" si="1"/>
        <v>198400</v>
      </c>
    </row>
    <row r="25" spans="1:8" hidden="1" x14ac:dyDescent="0.25">
      <c r="A25" t="s">
        <v>32</v>
      </c>
      <c r="B25" s="3">
        <v>45360</v>
      </c>
      <c r="C25" t="s">
        <v>338</v>
      </c>
      <c r="D25" t="s">
        <v>11</v>
      </c>
      <c r="E25">
        <v>57</v>
      </c>
      <c r="F25">
        <f>E25*1800</f>
        <v>102600</v>
      </c>
      <c r="G25">
        <f>E25*500</f>
        <v>28500</v>
      </c>
      <c r="H25">
        <f>E25*1200</f>
        <v>68400</v>
      </c>
    </row>
    <row r="26" spans="1:8" hidden="1" x14ac:dyDescent="0.25">
      <c r="C26" t="s">
        <v>104</v>
      </c>
      <c r="D26" t="s">
        <v>11</v>
      </c>
      <c r="E26">
        <v>40</v>
      </c>
      <c r="F26">
        <f>E26*1700</f>
        <v>68000</v>
      </c>
      <c r="G26">
        <f>E26*500</f>
        <v>20000</v>
      </c>
      <c r="H26">
        <f>E26*1200</f>
        <v>48000</v>
      </c>
    </row>
    <row r="27" spans="1:8" hidden="1" x14ac:dyDescent="0.25">
      <c r="C27" t="s">
        <v>874</v>
      </c>
      <c r="D27" t="s">
        <v>11</v>
      </c>
      <c r="E27">
        <v>21</v>
      </c>
      <c r="F27">
        <f>E27*1700</f>
        <v>35700</v>
      </c>
      <c r="G27">
        <f>E27*500</f>
        <v>10500</v>
      </c>
      <c r="H27">
        <f>E27*700</f>
        <v>14700</v>
      </c>
    </row>
    <row r="28" spans="1:8" hidden="1" x14ac:dyDescent="0.25">
      <c r="C28" t="s">
        <v>306</v>
      </c>
      <c r="D28" t="s">
        <v>11</v>
      </c>
      <c r="E28">
        <v>11</v>
      </c>
      <c r="F28">
        <f>E28*1800</f>
        <v>19800</v>
      </c>
      <c r="G28">
        <f>E28*500</f>
        <v>5500</v>
      </c>
      <c r="H28">
        <f>E28*1000</f>
        <v>11000</v>
      </c>
    </row>
    <row r="29" spans="1:8" hidden="1" x14ac:dyDescent="0.25">
      <c r="C29" t="s">
        <v>16</v>
      </c>
      <c r="D29" t="s">
        <v>11</v>
      </c>
      <c r="E29">
        <v>37</v>
      </c>
      <c r="F29">
        <f>E29*1500</f>
        <v>55500</v>
      </c>
      <c r="G29">
        <f>E29*500</f>
        <v>18500</v>
      </c>
      <c r="H29">
        <f>E29*2000</f>
        <v>74000</v>
      </c>
    </row>
    <row r="30" spans="1:8" hidden="1" x14ac:dyDescent="0.25">
      <c r="A30" s="111" t="s">
        <v>17</v>
      </c>
      <c r="B30" s="111"/>
      <c r="C30" s="111"/>
      <c r="D30" s="111"/>
      <c r="E30" s="1">
        <f>SUM(E25:E29)</f>
        <v>166</v>
      </c>
      <c r="F30" s="13">
        <f t="shared" ref="F30:H30" si="2">SUM(F25:F29)</f>
        <v>281600</v>
      </c>
      <c r="G30" s="13">
        <f t="shared" si="2"/>
        <v>83000</v>
      </c>
      <c r="H30" s="13">
        <f t="shared" si="2"/>
        <v>216100</v>
      </c>
    </row>
    <row r="31" spans="1:8" hidden="1" x14ac:dyDescent="0.25">
      <c r="A31" t="s">
        <v>8</v>
      </c>
      <c r="B31" s="3">
        <v>45391</v>
      </c>
      <c r="C31" t="s">
        <v>338</v>
      </c>
      <c r="D31" t="s">
        <v>11</v>
      </c>
      <c r="E31">
        <v>40</v>
      </c>
      <c r="F31">
        <f>E31*1800</f>
        <v>72000</v>
      </c>
      <c r="G31">
        <f>E31*500</f>
        <v>20000</v>
      </c>
      <c r="H31">
        <f>E31*1300</f>
        <v>52000</v>
      </c>
    </row>
    <row r="32" spans="1:8" hidden="1" x14ac:dyDescent="0.25">
      <c r="C32" t="s">
        <v>571</v>
      </c>
      <c r="D32" t="s">
        <v>11</v>
      </c>
      <c r="E32">
        <v>20</v>
      </c>
      <c r="F32">
        <f>E32*1700</f>
        <v>34000</v>
      </c>
      <c r="G32">
        <f>E32*500</f>
        <v>10000</v>
      </c>
      <c r="H32">
        <f>E32*1200</f>
        <v>24000</v>
      </c>
    </row>
    <row r="33" spans="1:12 16384:16384" hidden="1" x14ac:dyDescent="0.25">
      <c r="C33" t="s">
        <v>306</v>
      </c>
      <c r="D33" t="s">
        <v>11</v>
      </c>
      <c r="E33">
        <v>20</v>
      </c>
      <c r="F33">
        <f>E33*1800</f>
        <v>36000</v>
      </c>
      <c r="G33">
        <f>E33*500</f>
        <v>10000</v>
      </c>
      <c r="H33">
        <f>E33*1300</f>
        <v>26000</v>
      </c>
    </row>
    <row r="34" spans="1:12 16384:16384" hidden="1" x14ac:dyDescent="0.25">
      <c r="C34" t="s">
        <v>16</v>
      </c>
      <c r="D34" t="s">
        <v>11</v>
      </c>
      <c r="E34">
        <v>37</v>
      </c>
      <c r="F34">
        <f>E34*1500</f>
        <v>55500</v>
      </c>
      <c r="G34">
        <f>E34*500</f>
        <v>18500</v>
      </c>
      <c r="H34">
        <f>E34*1000</f>
        <v>37000</v>
      </c>
      <c r="L34" s="35">
        <f>E5+E19+E29+E34+E43+E57+E61+E73+E87+E98+E112+E120+E132+E145+E152+E157+E165+E175+E185+E193+E204+E218+E227+E234+E244+E244+E261+E275+E285</f>
        <v>1189</v>
      </c>
      <c r="XFD34" t="s">
        <v>875</v>
      </c>
    </row>
    <row r="35" spans="1:12 16384:16384" hidden="1" x14ac:dyDescent="0.25">
      <c r="D35" t="s">
        <v>13</v>
      </c>
      <c r="E35">
        <v>1</v>
      </c>
      <c r="F35">
        <v>6500</v>
      </c>
      <c r="G35">
        <v>4500</v>
      </c>
      <c r="H35">
        <v>2000</v>
      </c>
    </row>
    <row r="36" spans="1:12 16384:16384" hidden="1" x14ac:dyDescent="0.25">
      <c r="C36" t="s">
        <v>846</v>
      </c>
      <c r="D36" t="s">
        <v>13</v>
      </c>
      <c r="E36">
        <v>1</v>
      </c>
      <c r="F36">
        <v>8000</v>
      </c>
      <c r="G36">
        <v>4500</v>
      </c>
      <c r="H36">
        <v>3500</v>
      </c>
    </row>
    <row r="37" spans="1:12 16384:16384" hidden="1" x14ac:dyDescent="0.25">
      <c r="D37" t="s">
        <v>14</v>
      </c>
      <c r="E37">
        <v>2</v>
      </c>
      <c r="F37">
        <v>20000</v>
      </c>
      <c r="G37">
        <v>9000</v>
      </c>
      <c r="H37">
        <v>11000</v>
      </c>
    </row>
    <row r="38" spans="1:12 16384:16384" hidden="1" x14ac:dyDescent="0.25">
      <c r="D38" t="s">
        <v>876</v>
      </c>
      <c r="E38">
        <v>1</v>
      </c>
      <c r="F38">
        <v>7000</v>
      </c>
      <c r="G38">
        <v>4500</v>
      </c>
      <c r="H38">
        <v>5500</v>
      </c>
    </row>
    <row r="39" spans="1:12 16384:16384" hidden="1" x14ac:dyDescent="0.25">
      <c r="C39" t="s">
        <v>24</v>
      </c>
      <c r="D39" t="s">
        <v>243</v>
      </c>
      <c r="E39">
        <v>2</v>
      </c>
      <c r="F39">
        <v>30000</v>
      </c>
      <c r="G39">
        <v>20000</v>
      </c>
      <c r="H39">
        <v>10000</v>
      </c>
    </row>
    <row r="40" spans="1:12 16384:16384" hidden="1" x14ac:dyDescent="0.25">
      <c r="A40" s="142" t="s">
        <v>17</v>
      </c>
      <c r="B40" s="142"/>
      <c r="C40" s="142"/>
      <c r="D40" s="142"/>
      <c r="E40" s="13">
        <f>SUM(E31:E39)</f>
        <v>124</v>
      </c>
      <c r="F40" s="13">
        <f t="shared" ref="F40:H40" si="3">SUM(F31:F39)</f>
        <v>269000</v>
      </c>
      <c r="G40" s="13">
        <f t="shared" si="3"/>
        <v>101000</v>
      </c>
      <c r="H40" s="13">
        <f t="shared" si="3"/>
        <v>171000</v>
      </c>
    </row>
    <row r="41" spans="1:12 16384:16384" hidden="1" x14ac:dyDescent="0.25">
      <c r="A41" s="89" t="s">
        <v>18</v>
      </c>
      <c r="B41" s="90">
        <v>45421</v>
      </c>
      <c r="C41" s="89" t="s">
        <v>338</v>
      </c>
      <c r="D41" s="89" t="s">
        <v>11</v>
      </c>
      <c r="E41" s="4">
        <v>47</v>
      </c>
      <c r="F41" s="89">
        <f>E41*1800</f>
        <v>84600</v>
      </c>
      <c r="G41" s="89">
        <f>E41*500</f>
        <v>23500</v>
      </c>
      <c r="H41" s="89">
        <f>E41*1300</f>
        <v>61100</v>
      </c>
    </row>
    <row r="42" spans="1:12 16384:16384" hidden="1" x14ac:dyDescent="0.25">
      <c r="C42" t="s">
        <v>571</v>
      </c>
      <c r="D42" t="s">
        <v>11</v>
      </c>
      <c r="E42">
        <v>18</v>
      </c>
      <c r="F42">
        <f>E42*1700</f>
        <v>30600</v>
      </c>
      <c r="G42">
        <f>E42*500</f>
        <v>9000</v>
      </c>
      <c r="H42">
        <f>E42*1200</f>
        <v>21600</v>
      </c>
    </row>
    <row r="43" spans="1:12 16384:16384" hidden="1" x14ac:dyDescent="0.25">
      <c r="C43" t="s">
        <v>16</v>
      </c>
      <c r="D43" t="s">
        <v>11</v>
      </c>
      <c r="E43">
        <f>65-27</f>
        <v>38</v>
      </c>
      <c r="F43">
        <f>E43*1500</f>
        <v>57000</v>
      </c>
      <c r="G43">
        <f>E43*500</f>
        <v>19000</v>
      </c>
      <c r="H43">
        <v>38000</v>
      </c>
    </row>
    <row r="44" spans="1:12 16384:16384" hidden="1" x14ac:dyDescent="0.25">
      <c r="D44" t="s">
        <v>12</v>
      </c>
      <c r="E44">
        <v>2</v>
      </c>
      <c r="F44">
        <v>6000</v>
      </c>
      <c r="G44">
        <v>4000</v>
      </c>
      <c r="H44">
        <v>2000</v>
      </c>
    </row>
    <row r="45" spans="1:12 16384:16384" hidden="1" x14ac:dyDescent="0.25">
      <c r="C45" t="s">
        <v>846</v>
      </c>
      <c r="D45" t="s">
        <v>13</v>
      </c>
      <c r="E45">
        <v>9</v>
      </c>
      <c r="F45">
        <f>E45*8000</f>
        <v>72000</v>
      </c>
      <c r="G45">
        <f>E45*4500</f>
        <v>40500</v>
      </c>
      <c r="H45">
        <f>E45*3500</f>
        <v>31500</v>
      </c>
    </row>
    <row r="46" spans="1:12 16384:16384" hidden="1" x14ac:dyDescent="0.25">
      <c r="D46" t="s">
        <v>14</v>
      </c>
      <c r="E46">
        <v>4</v>
      </c>
      <c r="F46">
        <f>E46*12000</f>
        <v>48000</v>
      </c>
      <c r="G46">
        <f>E46*5500</f>
        <v>22000</v>
      </c>
      <c r="H46">
        <f>E46*6500</f>
        <v>26000</v>
      </c>
    </row>
    <row r="47" spans="1:12 16384:16384" hidden="1" x14ac:dyDescent="0.25">
      <c r="D47" t="s">
        <v>877</v>
      </c>
      <c r="E47">
        <v>1</v>
      </c>
      <c r="F47">
        <v>7000</v>
      </c>
      <c r="G47">
        <v>3500</v>
      </c>
      <c r="H47">
        <v>3500</v>
      </c>
    </row>
    <row r="48" spans="1:12 16384:16384" hidden="1" x14ac:dyDescent="0.25">
      <c r="D48" t="s">
        <v>432</v>
      </c>
      <c r="E48">
        <v>1</v>
      </c>
      <c r="F48">
        <v>7000</v>
      </c>
      <c r="G48">
        <v>3500</v>
      </c>
      <c r="H48">
        <v>3500</v>
      </c>
    </row>
    <row r="49" spans="1:8" hidden="1" x14ac:dyDescent="0.25">
      <c r="C49" t="s">
        <v>24</v>
      </c>
      <c r="D49" t="s">
        <v>243</v>
      </c>
      <c r="E49">
        <v>2</v>
      </c>
      <c r="F49">
        <v>30000</v>
      </c>
      <c r="G49">
        <v>20000</v>
      </c>
      <c r="H49">
        <v>10000</v>
      </c>
    </row>
    <row r="50" spans="1:8" hidden="1" x14ac:dyDescent="0.25">
      <c r="A50" s="142" t="s">
        <v>17</v>
      </c>
      <c r="B50" s="142"/>
      <c r="C50" s="142"/>
      <c r="D50" s="142"/>
      <c r="E50" s="13">
        <f>SUM(E41:E49)</f>
        <v>122</v>
      </c>
      <c r="F50" s="13">
        <f t="shared" ref="F50:H50" si="4">SUM(F41:F49)</f>
        <v>342200</v>
      </c>
      <c r="G50" s="13">
        <f t="shared" si="4"/>
        <v>145000</v>
      </c>
      <c r="H50" s="13">
        <f t="shared" si="4"/>
        <v>197200</v>
      </c>
    </row>
    <row r="51" spans="1:8" hidden="1" x14ac:dyDescent="0.25">
      <c r="A51" t="s">
        <v>22</v>
      </c>
      <c r="B51" s="3">
        <v>45452</v>
      </c>
      <c r="C51" t="s">
        <v>338</v>
      </c>
      <c r="D51" t="s">
        <v>11</v>
      </c>
      <c r="E51">
        <v>47</v>
      </c>
      <c r="F51">
        <f>E51*1800</f>
        <v>84600</v>
      </c>
      <c r="G51">
        <f>E51*500</f>
        <v>23500</v>
      </c>
      <c r="H51">
        <f>E51*1300</f>
        <v>61100</v>
      </c>
    </row>
    <row r="52" spans="1:8" hidden="1" x14ac:dyDescent="0.25">
      <c r="C52" t="s">
        <v>571</v>
      </c>
      <c r="D52" t="s">
        <v>11</v>
      </c>
      <c r="E52">
        <v>18</v>
      </c>
      <c r="F52">
        <f>E52*1700</f>
        <v>30600</v>
      </c>
      <c r="G52">
        <f>E52*500</f>
        <v>9000</v>
      </c>
      <c r="H52">
        <f>E52*1200</f>
        <v>21600</v>
      </c>
    </row>
    <row r="53" spans="1:8" hidden="1" x14ac:dyDescent="0.25">
      <c r="C53" t="s">
        <v>647</v>
      </c>
      <c r="D53" t="s">
        <v>11</v>
      </c>
      <c r="E53">
        <v>45</v>
      </c>
      <c r="F53">
        <f>E53*1700</f>
        <v>76500</v>
      </c>
      <c r="G53">
        <f>E53*500</f>
        <v>22500</v>
      </c>
      <c r="H53">
        <f>E53*1200</f>
        <v>54000</v>
      </c>
    </row>
    <row r="54" spans="1:8" hidden="1" x14ac:dyDescent="0.25">
      <c r="C54" t="s">
        <v>306</v>
      </c>
      <c r="D54" t="s">
        <v>11</v>
      </c>
      <c r="E54">
        <v>8</v>
      </c>
      <c r="F54">
        <f>E54*1800</f>
        <v>14400</v>
      </c>
      <c r="G54">
        <f>E54*500</f>
        <v>4000</v>
      </c>
      <c r="H54">
        <f>E54*1300</f>
        <v>10400</v>
      </c>
    </row>
    <row r="55" spans="1:8" hidden="1" x14ac:dyDescent="0.25">
      <c r="C55" t="s">
        <v>846</v>
      </c>
      <c r="D55" t="s">
        <v>13</v>
      </c>
      <c r="E55">
        <v>4</v>
      </c>
      <c r="F55">
        <f>E55*8000</f>
        <v>32000</v>
      </c>
      <c r="G55">
        <f>E55*4500</f>
        <v>18000</v>
      </c>
      <c r="H55">
        <f>E55*2000</f>
        <v>8000</v>
      </c>
    </row>
    <row r="56" spans="1:8" hidden="1" x14ac:dyDescent="0.25">
      <c r="D56" t="s">
        <v>243</v>
      </c>
      <c r="E56">
        <v>1</v>
      </c>
      <c r="F56">
        <v>17000</v>
      </c>
      <c r="G56">
        <v>10000</v>
      </c>
      <c r="H56">
        <v>7000</v>
      </c>
    </row>
    <row r="57" spans="1:8" hidden="1" x14ac:dyDescent="0.25">
      <c r="C57" t="s">
        <v>16</v>
      </c>
      <c r="D57" t="s">
        <v>11</v>
      </c>
      <c r="E57">
        <v>35</v>
      </c>
      <c r="F57">
        <f>E57*1500</f>
        <v>52500</v>
      </c>
      <c r="G57">
        <f>E57*500</f>
        <v>17500</v>
      </c>
      <c r="H57">
        <v>35000</v>
      </c>
    </row>
    <row r="58" spans="1:8" hidden="1" x14ac:dyDescent="0.25">
      <c r="A58" s="142" t="s">
        <v>17</v>
      </c>
      <c r="B58" s="142"/>
      <c r="C58" s="142"/>
      <c r="D58" s="142"/>
      <c r="E58" s="13">
        <f>SUM(E51:E57)</f>
        <v>158</v>
      </c>
      <c r="F58" s="13">
        <f t="shared" ref="F58:H58" si="5">SUM(F51:F57)</f>
        <v>307600</v>
      </c>
      <c r="G58" s="13">
        <f t="shared" si="5"/>
        <v>104500</v>
      </c>
      <c r="H58" s="13">
        <f t="shared" si="5"/>
        <v>197100</v>
      </c>
    </row>
    <row r="59" spans="1:8" hidden="1" x14ac:dyDescent="0.25">
      <c r="A59" t="s">
        <v>26</v>
      </c>
      <c r="B59" s="3">
        <v>45482</v>
      </c>
      <c r="C59" t="s">
        <v>846</v>
      </c>
      <c r="D59" t="s">
        <v>13</v>
      </c>
      <c r="E59">
        <v>3</v>
      </c>
      <c r="F59">
        <f>E59*8000</f>
        <v>24000</v>
      </c>
      <c r="G59">
        <f>E59*4500</f>
        <v>13500</v>
      </c>
      <c r="H59">
        <f>E59*3500</f>
        <v>10500</v>
      </c>
    </row>
    <row r="60" spans="1:8" hidden="1" x14ac:dyDescent="0.25">
      <c r="D60" t="s">
        <v>14</v>
      </c>
      <c r="E60">
        <v>4</v>
      </c>
      <c r="F60">
        <f>E60*12000</f>
        <v>48000</v>
      </c>
      <c r="G60">
        <f>E60*5500</f>
        <v>22000</v>
      </c>
      <c r="H60">
        <f>E60*6500</f>
        <v>26000</v>
      </c>
    </row>
    <row r="61" spans="1:8" hidden="1" x14ac:dyDescent="0.25">
      <c r="C61" t="s">
        <v>16</v>
      </c>
      <c r="D61" t="s">
        <v>11</v>
      </c>
      <c r="E61">
        <v>12</v>
      </c>
      <c r="F61">
        <f>E61*1500</f>
        <v>18000</v>
      </c>
      <c r="G61">
        <f>E61*500</f>
        <v>6000</v>
      </c>
      <c r="H61">
        <f>E61*1000</f>
        <v>12000</v>
      </c>
    </row>
    <row r="62" spans="1:8" hidden="1" x14ac:dyDescent="0.25">
      <c r="D62" t="s">
        <v>12</v>
      </c>
      <c r="E62">
        <v>3</v>
      </c>
      <c r="F62">
        <f>E62*3000</f>
        <v>9000</v>
      </c>
      <c r="G62">
        <v>6000</v>
      </c>
      <c r="H62">
        <v>3000</v>
      </c>
    </row>
    <row r="63" spans="1:8" hidden="1" x14ac:dyDescent="0.25">
      <c r="C63" t="s">
        <v>24</v>
      </c>
      <c r="D63" t="s">
        <v>243</v>
      </c>
      <c r="E63">
        <v>2</v>
      </c>
      <c r="F63">
        <v>30000</v>
      </c>
      <c r="G63">
        <v>20000</v>
      </c>
      <c r="H63">
        <v>10000</v>
      </c>
    </row>
    <row r="64" spans="1:8" hidden="1" x14ac:dyDescent="0.25">
      <c r="A64" s="142" t="s">
        <v>17</v>
      </c>
      <c r="B64" s="142"/>
      <c r="C64" s="142"/>
      <c r="D64" s="142"/>
      <c r="E64" s="13">
        <f>SUM(E59:E63)</f>
        <v>24</v>
      </c>
      <c r="F64" s="13">
        <f t="shared" ref="F64:H64" si="6">SUM(F59:F63)</f>
        <v>129000</v>
      </c>
      <c r="G64" s="13">
        <f t="shared" si="6"/>
        <v>67500</v>
      </c>
      <c r="H64" s="13">
        <f t="shared" si="6"/>
        <v>61500</v>
      </c>
    </row>
    <row r="65" spans="1:8" hidden="1" x14ac:dyDescent="0.25">
      <c r="A65" t="s">
        <v>28</v>
      </c>
      <c r="B65" s="3">
        <v>45513</v>
      </c>
      <c r="C65" t="s">
        <v>693</v>
      </c>
      <c r="D65" t="s">
        <v>13</v>
      </c>
      <c r="E65">
        <v>41</v>
      </c>
      <c r="F65">
        <f>E65*7000</f>
        <v>287000</v>
      </c>
      <c r="G65">
        <f>E65*4500</f>
        <v>184500</v>
      </c>
      <c r="H65">
        <f>E65*2500</f>
        <v>102500</v>
      </c>
    </row>
    <row r="66" spans="1:8" hidden="1" x14ac:dyDescent="0.25">
      <c r="D66" t="s">
        <v>14</v>
      </c>
      <c r="E66">
        <v>28</v>
      </c>
      <c r="F66">
        <f>E66*10000</f>
        <v>280000</v>
      </c>
      <c r="G66">
        <f>E66*5500</f>
        <v>154000</v>
      </c>
      <c r="H66">
        <f>E66*4500</f>
        <v>126000</v>
      </c>
    </row>
    <row r="67" spans="1:8" hidden="1" x14ac:dyDescent="0.25">
      <c r="D67" t="s">
        <v>11</v>
      </c>
      <c r="E67">
        <v>11</v>
      </c>
      <c r="F67">
        <f>E67*2000</f>
        <v>22000</v>
      </c>
      <c r="G67">
        <f>E67*500</f>
        <v>5500</v>
      </c>
      <c r="H67">
        <f>E67*1500</f>
        <v>16500</v>
      </c>
    </row>
    <row r="68" spans="1:8" hidden="1" x14ac:dyDescent="0.25">
      <c r="C68" t="s">
        <v>217</v>
      </c>
      <c r="D68" t="s">
        <v>11</v>
      </c>
      <c r="E68">
        <v>7</v>
      </c>
      <c r="F68">
        <f>E68*1500</f>
        <v>10500</v>
      </c>
      <c r="G68">
        <f>E68*500</f>
        <v>3500</v>
      </c>
      <c r="H68">
        <v>7000</v>
      </c>
    </row>
    <row r="69" spans="1:8" hidden="1" x14ac:dyDescent="0.25">
      <c r="D69" t="s">
        <v>13</v>
      </c>
      <c r="E69">
        <v>12</v>
      </c>
      <c r="F69">
        <f>E69*6500</f>
        <v>78000</v>
      </c>
      <c r="G69">
        <f>E69*4500</f>
        <v>54000</v>
      </c>
      <c r="H69">
        <f>E69*2000</f>
        <v>24000</v>
      </c>
    </row>
    <row r="70" spans="1:8" hidden="1" x14ac:dyDescent="0.25">
      <c r="D70" t="s">
        <v>14</v>
      </c>
      <c r="E70">
        <v>11</v>
      </c>
      <c r="F70">
        <f>E70*10000</f>
        <v>110000</v>
      </c>
      <c r="G70">
        <f>E70*5500</f>
        <v>60500</v>
      </c>
      <c r="H70">
        <f>E70*4500</f>
        <v>49500</v>
      </c>
    </row>
    <row r="71" spans="1:8" hidden="1" x14ac:dyDescent="0.25">
      <c r="C71" t="s">
        <v>846</v>
      </c>
      <c r="D71" t="s">
        <v>13</v>
      </c>
      <c r="E71">
        <v>4</v>
      </c>
      <c r="F71">
        <f>E71*8000</f>
        <v>32000</v>
      </c>
      <c r="G71">
        <f>E71*4500</f>
        <v>18000</v>
      </c>
      <c r="H71">
        <f>E71*2500</f>
        <v>10000</v>
      </c>
    </row>
    <row r="72" spans="1:8" hidden="1" x14ac:dyDescent="0.25">
      <c r="A72" s="142" t="s">
        <v>17</v>
      </c>
      <c r="B72" s="142"/>
      <c r="C72" s="142"/>
      <c r="D72" s="142"/>
      <c r="E72" s="13">
        <f>SUM(E65:E71)</f>
        <v>114</v>
      </c>
      <c r="F72" s="13">
        <f t="shared" ref="F72:H72" si="7">SUM(F65:F71)</f>
        <v>819500</v>
      </c>
      <c r="G72" s="13">
        <f t="shared" si="7"/>
        <v>480000</v>
      </c>
      <c r="H72" s="13">
        <f t="shared" si="7"/>
        <v>335500</v>
      </c>
    </row>
    <row r="73" spans="1:8" hidden="1" x14ac:dyDescent="0.25">
      <c r="A73" t="s">
        <v>30</v>
      </c>
      <c r="B73" s="3">
        <v>45544</v>
      </c>
      <c r="C73" t="s">
        <v>16</v>
      </c>
      <c r="D73" t="s">
        <v>11</v>
      </c>
      <c r="E73">
        <v>24</v>
      </c>
      <c r="F73">
        <f>E73*1500</f>
        <v>36000</v>
      </c>
      <c r="G73">
        <f>E73*500</f>
        <v>12000</v>
      </c>
      <c r="H73">
        <f>E73*1000</f>
        <v>24000</v>
      </c>
    </row>
    <row r="74" spans="1:8" hidden="1" x14ac:dyDescent="0.25">
      <c r="C74" t="s">
        <v>338</v>
      </c>
      <c r="D74" t="s">
        <v>11</v>
      </c>
      <c r="E74">
        <v>84</v>
      </c>
      <c r="F74">
        <f>E74*1800</f>
        <v>151200</v>
      </c>
      <c r="G74">
        <f>E74*500</f>
        <v>42000</v>
      </c>
      <c r="H74">
        <f>E74*1300</f>
        <v>109200</v>
      </c>
    </row>
    <row r="75" spans="1:8" hidden="1" x14ac:dyDescent="0.25">
      <c r="C75" t="s">
        <v>571</v>
      </c>
      <c r="D75" t="s">
        <v>11</v>
      </c>
      <c r="E75">
        <v>21</v>
      </c>
      <c r="F75">
        <f>E75*1700</f>
        <v>35700</v>
      </c>
      <c r="G75">
        <f>E75*500</f>
        <v>10500</v>
      </c>
      <c r="H75">
        <f>E75*1200</f>
        <v>25200</v>
      </c>
    </row>
    <row r="76" spans="1:8" hidden="1" x14ac:dyDescent="0.25">
      <c r="C76" t="s">
        <v>104</v>
      </c>
      <c r="D76" t="s">
        <v>11</v>
      </c>
      <c r="E76">
        <v>113</v>
      </c>
      <c r="F76">
        <f>E76*1700</f>
        <v>192100</v>
      </c>
      <c r="G76">
        <f>E76*500</f>
        <v>56500</v>
      </c>
      <c r="H76">
        <f>E76*1200</f>
        <v>135600</v>
      </c>
    </row>
    <row r="77" spans="1:8" hidden="1" x14ac:dyDescent="0.25">
      <c r="C77" t="s">
        <v>306</v>
      </c>
      <c r="D77" t="s">
        <v>11</v>
      </c>
      <c r="E77">
        <v>11</v>
      </c>
      <c r="F77">
        <f>E77*1800</f>
        <v>19800</v>
      </c>
      <c r="G77">
        <f>E77*500</f>
        <v>5500</v>
      </c>
      <c r="H77">
        <f>E77*1300</f>
        <v>14300</v>
      </c>
    </row>
    <row r="78" spans="1:8" hidden="1" x14ac:dyDescent="0.25">
      <c r="C78" t="s">
        <v>24</v>
      </c>
      <c r="D78" t="s">
        <v>13</v>
      </c>
      <c r="E78">
        <v>1</v>
      </c>
      <c r="F78">
        <v>8000</v>
      </c>
      <c r="G78">
        <v>4500</v>
      </c>
      <c r="H78">
        <v>3500</v>
      </c>
    </row>
    <row r="79" spans="1:8" hidden="1" x14ac:dyDescent="0.25">
      <c r="D79" t="s">
        <v>14</v>
      </c>
      <c r="E79">
        <v>2</v>
      </c>
      <c r="F79">
        <v>20000</v>
      </c>
      <c r="G79">
        <v>11000</v>
      </c>
      <c r="H79">
        <v>9000</v>
      </c>
    </row>
    <row r="80" spans="1:8" hidden="1" x14ac:dyDescent="0.25">
      <c r="C80" t="s">
        <v>846</v>
      </c>
      <c r="D80" t="s">
        <v>13</v>
      </c>
      <c r="E80">
        <v>8</v>
      </c>
      <c r="F80">
        <f>E80*8000</f>
        <v>64000</v>
      </c>
      <c r="G80">
        <f>E80*4500</f>
        <v>36000</v>
      </c>
      <c r="H80">
        <f>E80*3500</f>
        <v>28000</v>
      </c>
    </row>
    <row r="81" spans="1:8" hidden="1" x14ac:dyDescent="0.25">
      <c r="D81" t="s">
        <v>14</v>
      </c>
      <c r="E81">
        <v>3</v>
      </c>
      <c r="F81">
        <f>E81*12000</f>
        <v>36000</v>
      </c>
      <c r="G81">
        <f>E81*5500</f>
        <v>16500</v>
      </c>
      <c r="H81">
        <f>E81*6500</f>
        <v>19500</v>
      </c>
    </row>
    <row r="82" spans="1:8" hidden="1" x14ac:dyDescent="0.25">
      <c r="D82" t="s">
        <v>686</v>
      </c>
      <c r="E82">
        <v>1</v>
      </c>
      <c r="F82">
        <v>7000</v>
      </c>
      <c r="G82">
        <v>3500</v>
      </c>
      <c r="H82">
        <v>3500</v>
      </c>
    </row>
    <row r="83" spans="1:8" hidden="1" x14ac:dyDescent="0.25">
      <c r="D83" t="s">
        <v>432</v>
      </c>
      <c r="E83">
        <v>1</v>
      </c>
      <c r="F83">
        <v>7000</v>
      </c>
      <c r="G83">
        <v>3500</v>
      </c>
      <c r="H83">
        <v>3500</v>
      </c>
    </row>
    <row r="84" spans="1:8" hidden="1" x14ac:dyDescent="0.25">
      <c r="A84" s="142" t="s">
        <v>17</v>
      </c>
      <c r="B84" s="142"/>
      <c r="C84" s="142"/>
      <c r="D84" s="142"/>
      <c r="E84" s="13">
        <f>SUM(E73:E83)</f>
        <v>269</v>
      </c>
      <c r="F84" s="13">
        <f t="shared" ref="F84:H84" si="8">SUM(F73:F83)</f>
        <v>576800</v>
      </c>
      <c r="G84" s="13">
        <f t="shared" si="8"/>
        <v>201500</v>
      </c>
      <c r="H84" s="13">
        <f t="shared" si="8"/>
        <v>375300</v>
      </c>
    </row>
    <row r="85" spans="1:8" hidden="1" x14ac:dyDescent="0.25">
      <c r="A85" t="s">
        <v>32</v>
      </c>
      <c r="B85" s="3">
        <v>45574</v>
      </c>
      <c r="C85" t="s">
        <v>571</v>
      </c>
      <c r="D85" t="s">
        <v>11</v>
      </c>
      <c r="E85">
        <v>25</v>
      </c>
      <c r="F85">
        <f>E85*1700</f>
        <v>42500</v>
      </c>
      <c r="G85">
        <f>E85*500</f>
        <v>12500</v>
      </c>
      <c r="H85">
        <f>E85*1200</f>
        <v>30000</v>
      </c>
    </row>
    <row r="86" spans="1:8" hidden="1" x14ac:dyDescent="0.25">
      <c r="C86" t="s">
        <v>306</v>
      </c>
      <c r="D86" t="s">
        <v>11</v>
      </c>
      <c r="E86">
        <v>20</v>
      </c>
      <c r="F86">
        <f>E86*1800</f>
        <v>36000</v>
      </c>
      <c r="G86">
        <f>E86*500</f>
        <v>10000</v>
      </c>
      <c r="H86">
        <f>E86*1300</f>
        <v>26000</v>
      </c>
    </row>
    <row r="87" spans="1:8" hidden="1" x14ac:dyDescent="0.25">
      <c r="C87" t="s">
        <v>16</v>
      </c>
      <c r="D87" t="s">
        <v>11</v>
      </c>
      <c r="E87">
        <v>50</v>
      </c>
      <c r="F87">
        <f>E87*1500</f>
        <v>75000</v>
      </c>
      <c r="G87">
        <f>E87*500</f>
        <v>25000</v>
      </c>
      <c r="H87">
        <f>E87*1000</f>
        <v>50000</v>
      </c>
    </row>
    <row r="88" spans="1:8" hidden="1" x14ac:dyDescent="0.25">
      <c r="D88" t="s">
        <v>12</v>
      </c>
      <c r="E88">
        <v>2</v>
      </c>
      <c r="F88">
        <f>E88*3000</f>
        <v>6000</v>
      </c>
      <c r="G88">
        <v>4000</v>
      </c>
      <c r="H88">
        <v>2000</v>
      </c>
    </row>
    <row r="89" spans="1:8" hidden="1" x14ac:dyDescent="0.25">
      <c r="D89" t="s">
        <v>13</v>
      </c>
      <c r="E89">
        <v>1</v>
      </c>
      <c r="F89">
        <v>6500</v>
      </c>
      <c r="G89">
        <v>4500</v>
      </c>
      <c r="H89">
        <v>2000</v>
      </c>
    </row>
    <row r="90" spans="1:8" hidden="1" x14ac:dyDescent="0.25">
      <c r="D90" t="s">
        <v>243</v>
      </c>
      <c r="E90">
        <v>1</v>
      </c>
      <c r="F90">
        <v>13000</v>
      </c>
      <c r="G90">
        <v>10000</v>
      </c>
      <c r="H90">
        <v>3000</v>
      </c>
    </row>
    <row r="91" spans="1:8" hidden="1" x14ac:dyDescent="0.25">
      <c r="C91" t="s">
        <v>846</v>
      </c>
      <c r="D91" t="s">
        <v>13</v>
      </c>
      <c r="E91">
        <v>13</v>
      </c>
      <c r="F91">
        <f>E91*8000</f>
        <v>104000</v>
      </c>
      <c r="G91">
        <f>E91*4500</f>
        <v>58500</v>
      </c>
      <c r="H91">
        <f>E91*2500</f>
        <v>32500</v>
      </c>
    </row>
    <row r="92" spans="1:8" hidden="1" x14ac:dyDescent="0.25">
      <c r="D92" t="s">
        <v>14</v>
      </c>
      <c r="E92">
        <v>3</v>
      </c>
      <c r="F92">
        <f>E92*12000</f>
        <v>36000</v>
      </c>
      <c r="G92">
        <f>E92*5500</f>
        <v>16500</v>
      </c>
      <c r="H92">
        <f>E92*6500</f>
        <v>19500</v>
      </c>
    </row>
    <row r="93" spans="1:8" hidden="1" x14ac:dyDescent="0.25">
      <c r="C93" t="s">
        <v>24</v>
      </c>
      <c r="D93" t="s">
        <v>11</v>
      </c>
      <c r="E93">
        <v>150</v>
      </c>
      <c r="F93">
        <f>E93*2000</f>
        <v>300000</v>
      </c>
      <c r="G93">
        <f>E93*500</f>
        <v>75000</v>
      </c>
      <c r="H93">
        <f>E93*1500</f>
        <v>225000</v>
      </c>
    </row>
    <row r="94" spans="1:8" hidden="1" x14ac:dyDescent="0.25">
      <c r="C94" t="s">
        <v>24</v>
      </c>
      <c r="D94" t="s">
        <v>878</v>
      </c>
      <c r="E94">
        <v>3</v>
      </c>
      <c r="F94">
        <f>E94*20000</f>
        <v>60000</v>
      </c>
      <c r="G94">
        <f>E94*15000</f>
        <v>45000</v>
      </c>
      <c r="H94">
        <f>E94*5000</f>
        <v>15000</v>
      </c>
    </row>
    <row r="95" spans="1:8" hidden="1" x14ac:dyDescent="0.25">
      <c r="A95" s="142" t="s">
        <v>17</v>
      </c>
      <c r="B95" s="142"/>
      <c r="C95" s="142"/>
      <c r="D95" s="142"/>
      <c r="E95" s="13">
        <f>SUM(E85:E94)</f>
        <v>268</v>
      </c>
      <c r="F95" s="13">
        <f t="shared" ref="F95:H95" si="9">SUM(F85:F94)</f>
        <v>679000</v>
      </c>
      <c r="G95" s="13">
        <f t="shared" si="9"/>
        <v>261000</v>
      </c>
      <c r="H95" s="13">
        <f t="shared" si="9"/>
        <v>405000</v>
      </c>
    </row>
    <row r="96" spans="1:8" hidden="1" x14ac:dyDescent="0.25">
      <c r="A96" t="s">
        <v>8</v>
      </c>
      <c r="B96" s="3">
        <v>45605</v>
      </c>
      <c r="C96" t="s">
        <v>338</v>
      </c>
      <c r="D96" t="s">
        <v>11</v>
      </c>
      <c r="E96">
        <v>55</v>
      </c>
      <c r="F96">
        <f>E96*1800</f>
        <v>99000</v>
      </c>
      <c r="G96">
        <f>E96*500</f>
        <v>27500</v>
      </c>
      <c r="H96">
        <f>E96*1300</f>
        <v>71500</v>
      </c>
    </row>
    <row r="97" spans="1:12" hidden="1" x14ac:dyDescent="0.25">
      <c r="C97" t="s">
        <v>571</v>
      </c>
      <c r="D97" t="s">
        <v>11</v>
      </c>
      <c r="E97">
        <v>27</v>
      </c>
      <c r="F97">
        <f>E97*1700</f>
        <v>45900</v>
      </c>
      <c r="G97">
        <f>E97*500</f>
        <v>13500</v>
      </c>
      <c r="H97">
        <f>E97*1200</f>
        <v>32400</v>
      </c>
    </row>
    <row r="98" spans="1:12" hidden="1" x14ac:dyDescent="0.25">
      <c r="C98" t="s">
        <v>16</v>
      </c>
      <c r="D98" t="s">
        <v>11</v>
      </c>
      <c r="E98">
        <v>40</v>
      </c>
      <c r="F98">
        <f>E98*1500</f>
        <v>60000</v>
      </c>
      <c r="G98">
        <f>E98*500</f>
        <v>20000</v>
      </c>
      <c r="H98">
        <f>E98*1000</f>
        <v>40000</v>
      </c>
    </row>
    <row r="99" spans="1:12" hidden="1" x14ac:dyDescent="0.25">
      <c r="D99" t="s">
        <v>879</v>
      </c>
      <c r="E99">
        <v>12</v>
      </c>
      <c r="F99">
        <f>E99*1500</f>
        <v>18000</v>
      </c>
      <c r="G99">
        <f>E99*750</f>
        <v>9000</v>
      </c>
      <c r="H99">
        <f>E99*750</f>
        <v>9000</v>
      </c>
    </row>
    <row r="100" spans="1:12" hidden="1" x14ac:dyDescent="0.25">
      <c r="D100" t="s">
        <v>12</v>
      </c>
      <c r="E100">
        <v>10</v>
      </c>
      <c r="F100">
        <f>E100*3000</f>
        <v>30000</v>
      </c>
      <c r="G100">
        <f>E100*2000</f>
        <v>20000</v>
      </c>
      <c r="H100">
        <v>8000</v>
      </c>
    </row>
    <row r="101" spans="1:12" hidden="1" x14ac:dyDescent="0.25">
      <c r="D101" t="s">
        <v>13</v>
      </c>
      <c r="E101">
        <v>1</v>
      </c>
      <c r="F101">
        <v>6500</v>
      </c>
      <c r="G101">
        <v>4500</v>
      </c>
      <c r="H101">
        <v>2000</v>
      </c>
    </row>
    <row r="102" spans="1:12" hidden="1" x14ac:dyDescent="0.25">
      <c r="D102" t="s">
        <v>14</v>
      </c>
      <c r="E102">
        <v>2</v>
      </c>
      <c r="F102">
        <v>20000</v>
      </c>
      <c r="G102">
        <v>11000</v>
      </c>
      <c r="H102">
        <v>9000</v>
      </c>
    </row>
    <row r="103" spans="1:12" hidden="1" x14ac:dyDescent="0.25">
      <c r="C103" t="s">
        <v>846</v>
      </c>
      <c r="D103" t="s">
        <v>879</v>
      </c>
      <c r="E103">
        <v>1</v>
      </c>
      <c r="F103">
        <v>2000</v>
      </c>
      <c r="G103">
        <v>750</v>
      </c>
      <c r="H103">
        <v>1250</v>
      </c>
    </row>
    <row r="104" spans="1:12" hidden="1" x14ac:dyDescent="0.25">
      <c r="D104" t="s">
        <v>13</v>
      </c>
      <c r="E104">
        <v>15</v>
      </c>
      <c r="F104">
        <f>E104*8000</f>
        <v>120000</v>
      </c>
      <c r="G104">
        <f>E104*4500</f>
        <v>67500</v>
      </c>
      <c r="H104">
        <f>E104*3500</f>
        <v>52500</v>
      </c>
    </row>
    <row r="105" spans="1:12" hidden="1" x14ac:dyDescent="0.25">
      <c r="D105" t="s">
        <v>14</v>
      </c>
      <c r="E105">
        <v>5</v>
      </c>
      <c r="F105">
        <f>E105*12000</f>
        <v>60000</v>
      </c>
      <c r="G105">
        <f>E105*5500</f>
        <v>27500</v>
      </c>
      <c r="H105">
        <f>E105*6500</f>
        <v>32500</v>
      </c>
    </row>
    <row r="106" spans="1:12" hidden="1" x14ac:dyDescent="0.25">
      <c r="D106" t="s">
        <v>243</v>
      </c>
      <c r="E106">
        <v>1</v>
      </c>
      <c r="F106">
        <v>17000</v>
      </c>
      <c r="G106">
        <v>12000</v>
      </c>
      <c r="H106">
        <v>5000</v>
      </c>
    </row>
    <row r="107" spans="1:12" hidden="1" x14ac:dyDescent="0.25">
      <c r="A107" s="142" t="s">
        <v>17</v>
      </c>
      <c r="B107" s="142"/>
      <c r="C107" s="142"/>
      <c r="D107" s="142"/>
      <c r="E107" s="13">
        <f>SUM(E96:E106)</f>
        <v>169</v>
      </c>
      <c r="F107" s="13">
        <f t="shared" ref="F107:H107" si="10">SUM(F96:F106)</f>
        <v>478400</v>
      </c>
      <c r="G107" s="13">
        <f t="shared" si="10"/>
        <v>213250</v>
      </c>
      <c r="H107" s="13">
        <f t="shared" si="10"/>
        <v>263150</v>
      </c>
    </row>
    <row r="108" spans="1:12" hidden="1" x14ac:dyDescent="0.25">
      <c r="A108" t="s">
        <v>18</v>
      </c>
      <c r="B108" s="3">
        <v>45635</v>
      </c>
      <c r="C108" t="s">
        <v>338</v>
      </c>
      <c r="D108" t="s">
        <v>11</v>
      </c>
      <c r="E108">
        <v>49</v>
      </c>
      <c r="F108">
        <f>E108*1800</f>
        <v>88200</v>
      </c>
      <c r="G108">
        <f>E108*500</f>
        <v>24500</v>
      </c>
      <c r="H108">
        <f>E108*1300</f>
        <v>63700</v>
      </c>
      <c r="J108" s="35">
        <f>E17+E25+E31+E41+E51+E74+E96+E108+E117+E127+E163+E180+E211+E223+E231+E247+E279</f>
        <v>1214</v>
      </c>
    </row>
    <row r="109" spans="1:12" hidden="1" x14ac:dyDescent="0.25">
      <c r="C109" t="s">
        <v>571</v>
      </c>
      <c r="D109" t="s">
        <v>11</v>
      </c>
      <c r="E109">
        <v>25</v>
      </c>
      <c r="F109">
        <f>E109*1700</f>
        <v>42500</v>
      </c>
      <c r="G109">
        <f>E109*500</f>
        <v>12500</v>
      </c>
      <c r="H109">
        <f>E109*1200</f>
        <v>30000</v>
      </c>
    </row>
    <row r="110" spans="1:12" hidden="1" x14ac:dyDescent="0.25">
      <c r="C110" t="s">
        <v>104</v>
      </c>
      <c r="D110" t="s">
        <v>11</v>
      </c>
      <c r="E110">
        <v>109</v>
      </c>
      <c r="F110">
        <f>E110*1700</f>
        <v>185300</v>
      </c>
      <c r="G110">
        <f>E110*500</f>
        <v>54500</v>
      </c>
      <c r="H110">
        <f>E110*1200</f>
        <v>130800</v>
      </c>
      <c r="L110">
        <f>E16+E26+E76+E110+E119+E128+E214+E242+E249+E280</f>
        <v>620</v>
      </c>
    </row>
    <row r="111" spans="1:12" hidden="1" x14ac:dyDescent="0.25">
      <c r="C111" t="s">
        <v>306</v>
      </c>
      <c r="D111" t="s">
        <v>11</v>
      </c>
      <c r="E111">
        <v>15</v>
      </c>
      <c r="F111">
        <f>E111*1800</f>
        <v>27000</v>
      </c>
      <c r="G111">
        <f>E111*500</f>
        <v>7500</v>
      </c>
      <c r="H111">
        <f>E111*1300</f>
        <v>19500</v>
      </c>
    </row>
    <row r="112" spans="1:12" hidden="1" x14ac:dyDescent="0.25">
      <c r="C112" t="s">
        <v>16</v>
      </c>
      <c r="D112" t="s">
        <v>11</v>
      </c>
      <c r="E112">
        <v>33</v>
      </c>
      <c r="F112">
        <f>E112*1500</f>
        <v>49500</v>
      </c>
      <c r="G112">
        <f>E112*500</f>
        <v>16500</v>
      </c>
      <c r="H112">
        <v>33000</v>
      </c>
    </row>
    <row r="113" spans="1:8" hidden="1" x14ac:dyDescent="0.25">
      <c r="D113" t="s">
        <v>879</v>
      </c>
      <c r="E113">
        <v>8</v>
      </c>
      <c r="F113">
        <f>E113*1500</f>
        <v>12000</v>
      </c>
      <c r="G113">
        <f>E113*750</f>
        <v>6000</v>
      </c>
      <c r="H113">
        <f>E113*750</f>
        <v>6000</v>
      </c>
    </row>
    <row r="114" spans="1:8" hidden="1" x14ac:dyDescent="0.25">
      <c r="C114" t="s">
        <v>846</v>
      </c>
      <c r="D114" t="s">
        <v>13</v>
      </c>
      <c r="E114">
        <v>6</v>
      </c>
      <c r="F114">
        <f>E114*8000</f>
        <v>48000</v>
      </c>
      <c r="G114">
        <f>E114*4500</f>
        <v>27000</v>
      </c>
      <c r="H114">
        <f>E114*3500</f>
        <v>21000</v>
      </c>
    </row>
    <row r="115" spans="1:8" hidden="1" x14ac:dyDescent="0.25">
      <c r="D115" t="s">
        <v>14</v>
      </c>
      <c r="E115">
        <v>4</v>
      </c>
      <c r="F115">
        <f>E115*12000</f>
        <v>48000</v>
      </c>
      <c r="G115">
        <f>E115*5500</f>
        <v>22000</v>
      </c>
      <c r="H115">
        <f>E115*6500</f>
        <v>26000</v>
      </c>
    </row>
    <row r="116" spans="1:8" hidden="1" x14ac:dyDescent="0.25">
      <c r="A116" s="142" t="s">
        <v>17</v>
      </c>
      <c r="B116" s="142"/>
      <c r="C116" s="142"/>
      <c r="D116" s="142"/>
      <c r="E116" s="13">
        <f>SUM(E108:E115)</f>
        <v>249</v>
      </c>
      <c r="F116" s="13">
        <f t="shared" ref="F116:H116" si="11">SUM(F108:F115)</f>
        <v>500500</v>
      </c>
      <c r="G116" s="13">
        <f t="shared" si="11"/>
        <v>170500</v>
      </c>
      <c r="H116" s="13">
        <f t="shared" si="11"/>
        <v>330000</v>
      </c>
    </row>
    <row r="117" spans="1:8" hidden="1" x14ac:dyDescent="0.25">
      <c r="A117" t="s">
        <v>22</v>
      </c>
      <c r="B117" t="s">
        <v>880</v>
      </c>
      <c r="C117" t="s">
        <v>338</v>
      </c>
      <c r="D117" t="s">
        <v>11</v>
      </c>
      <c r="E117">
        <f>60-8</f>
        <v>52</v>
      </c>
      <c r="F117">
        <f>E117*1800</f>
        <v>93600</v>
      </c>
      <c r="G117">
        <f>E117*500</f>
        <v>26000</v>
      </c>
      <c r="H117">
        <f>E117*1300</f>
        <v>67600</v>
      </c>
    </row>
    <row r="118" spans="1:8" hidden="1" x14ac:dyDescent="0.25">
      <c r="C118" t="s">
        <v>571</v>
      </c>
      <c r="D118" t="s">
        <v>11</v>
      </c>
      <c r="E118">
        <v>25</v>
      </c>
      <c r="F118">
        <f>E118*1700</f>
        <v>42500</v>
      </c>
      <c r="G118">
        <f>E118*500</f>
        <v>12500</v>
      </c>
      <c r="H118">
        <f>E118*1200</f>
        <v>30000</v>
      </c>
    </row>
    <row r="119" spans="1:8" hidden="1" x14ac:dyDescent="0.25">
      <c r="C119" t="s">
        <v>104</v>
      </c>
      <c r="D119" t="s">
        <v>11</v>
      </c>
      <c r="E119">
        <v>30</v>
      </c>
      <c r="F119">
        <f>E119*1700</f>
        <v>51000</v>
      </c>
      <c r="G119">
        <f>E119*500</f>
        <v>15000</v>
      </c>
      <c r="H119">
        <f>E119*1200</f>
        <v>36000</v>
      </c>
    </row>
    <row r="120" spans="1:8" hidden="1" x14ac:dyDescent="0.25">
      <c r="C120" t="s">
        <v>16</v>
      </c>
      <c r="D120" t="s">
        <v>11</v>
      </c>
      <c r="E120">
        <v>41</v>
      </c>
      <c r="F120">
        <f>E120*1500</f>
        <v>61500</v>
      </c>
      <c r="G120">
        <f>E120*500</f>
        <v>20500</v>
      </c>
      <c r="H120">
        <f>E120*1000</f>
        <v>41000</v>
      </c>
    </row>
    <row r="121" spans="1:8" hidden="1" x14ac:dyDescent="0.25">
      <c r="D121" t="s">
        <v>879</v>
      </c>
      <c r="E121">
        <v>7</v>
      </c>
      <c r="F121">
        <f>E121*1500</f>
        <v>10500</v>
      </c>
      <c r="G121">
        <f>E121*750</f>
        <v>5250</v>
      </c>
      <c r="H121">
        <v>5250</v>
      </c>
    </row>
    <row r="122" spans="1:8" hidden="1" x14ac:dyDescent="0.25">
      <c r="D122" t="s">
        <v>12</v>
      </c>
      <c r="E122">
        <v>3</v>
      </c>
      <c r="F122">
        <v>9000</v>
      </c>
      <c r="G122">
        <v>6000</v>
      </c>
      <c r="H122">
        <v>3000</v>
      </c>
    </row>
    <row r="123" spans="1:8" hidden="1" x14ac:dyDescent="0.25">
      <c r="C123" t="s">
        <v>846</v>
      </c>
      <c r="D123" t="s">
        <v>13</v>
      </c>
      <c r="E123">
        <v>2</v>
      </c>
      <c r="F123">
        <v>16000</v>
      </c>
      <c r="G123">
        <f>E123*4500</f>
        <v>9000</v>
      </c>
      <c r="H123">
        <f>E123*3500</f>
        <v>7000</v>
      </c>
    </row>
    <row r="124" spans="1:8" hidden="1" x14ac:dyDescent="0.25">
      <c r="D124" t="s">
        <v>14</v>
      </c>
      <c r="E124">
        <v>5</v>
      </c>
      <c r="F124">
        <f>E124*12000</f>
        <v>60000</v>
      </c>
      <c r="G124">
        <f>E124*5500</f>
        <v>27500</v>
      </c>
      <c r="H124">
        <f>E124*6500</f>
        <v>32500</v>
      </c>
    </row>
    <row r="125" spans="1:8" hidden="1" x14ac:dyDescent="0.25">
      <c r="C125" t="s">
        <v>24</v>
      </c>
      <c r="D125" t="s">
        <v>243</v>
      </c>
      <c r="E125">
        <v>1</v>
      </c>
      <c r="F125">
        <v>15000</v>
      </c>
      <c r="G125">
        <v>10000</v>
      </c>
      <c r="H125">
        <v>5000</v>
      </c>
    </row>
    <row r="126" spans="1:8" hidden="1" x14ac:dyDescent="0.25">
      <c r="A126" s="142" t="s">
        <v>17</v>
      </c>
      <c r="B126" s="142"/>
      <c r="C126" s="142"/>
      <c r="D126" s="142"/>
      <c r="E126" s="13">
        <f>SUM(E117:E125)</f>
        <v>166</v>
      </c>
      <c r="F126" s="13">
        <f t="shared" ref="F126:H126" si="12">SUM(F117:F125)</f>
        <v>359100</v>
      </c>
      <c r="G126" s="13">
        <f t="shared" si="12"/>
        <v>131750</v>
      </c>
      <c r="H126" s="13">
        <f t="shared" si="12"/>
        <v>227350</v>
      </c>
    </row>
    <row r="127" spans="1:8" hidden="1" x14ac:dyDescent="0.25">
      <c r="A127" t="s">
        <v>26</v>
      </c>
      <c r="B127" t="s">
        <v>881</v>
      </c>
      <c r="C127" t="s">
        <v>338</v>
      </c>
      <c r="D127" t="s">
        <v>11</v>
      </c>
      <c r="E127">
        <v>115</v>
      </c>
      <c r="F127">
        <f>E127*1800</f>
        <v>207000</v>
      </c>
      <c r="G127">
        <f>E127*500</f>
        <v>57500</v>
      </c>
      <c r="H127">
        <f>E127*1300</f>
        <v>149500</v>
      </c>
    </row>
    <row r="128" spans="1:8" hidden="1" x14ac:dyDescent="0.25">
      <c r="C128" t="s">
        <v>104</v>
      </c>
      <c r="D128" t="s">
        <v>11</v>
      </c>
      <c r="E128">
        <v>30</v>
      </c>
      <c r="F128">
        <f>E128*1700</f>
        <v>51000</v>
      </c>
      <c r="G128">
        <f>E128*500</f>
        <v>15000</v>
      </c>
      <c r="H128">
        <f>E128*1200</f>
        <v>36000</v>
      </c>
    </row>
    <row r="129" spans="1:8" hidden="1" x14ac:dyDescent="0.25">
      <c r="C129" t="s">
        <v>846</v>
      </c>
      <c r="D129" t="s">
        <v>13</v>
      </c>
      <c r="E129">
        <v>7</v>
      </c>
      <c r="F129">
        <f>E129*8000</f>
        <v>56000</v>
      </c>
      <c r="G129">
        <f>E129*4500</f>
        <v>31500</v>
      </c>
      <c r="H129">
        <f>E129*3500</f>
        <v>24500</v>
      </c>
    </row>
    <row r="130" spans="1:8" hidden="1" x14ac:dyDescent="0.25">
      <c r="D130" t="s">
        <v>14</v>
      </c>
      <c r="E130">
        <v>5</v>
      </c>
      <c r="F130">
        <f>E130*12000</f>
        <v>60000</v>
      </c>
      <c r="G130">
        <f>E130*5500</f>
        <v>27500</v>
      </c>
      <c r="H130">
        <f>E130*4500</f>
        <v>22500</v>
      </c>
    </row>
    <row r="131" spans="1:8" hidden="1" x14ac:dyDescent="0.25">
      <c r="D131" t="s">
        <v>243</v>
      </c>
      <c r="E131">
        <v>1</v>
      </c>
      <c r="F131">
        <v>17000</v>
      </c>
      <c r="G131">
        <v>10000</v>
      </c>
      <c r="H131">
        <v>7000</v>
      </c>
    </row>
    <row r="132" spans="1:8" hidden="1" x14ac:dyDescent="0.25">
      <c r="C132" t="s">
        <v>16</v>
      </c>
      <c r="D132" t="s">
        <v>11</v>
      </c>
      <c r="E132">
        <v>20</v>
      </c>
      <c r="F132">
        <f>E132*1500</f>
        <v>30000</v>
      </c>
      <c r="G132">
        <f>E132*500</f>
        <v>10000</v>
      </c>
      <c r="H132">
        <f>E132*1000</f>
        <v>20000</v>
      </c>
    </row>
    <row r="133" spans="1:8" hidden="1" x14ac:dyDescent="0.25">
      <c r="D133" t="s">
        <v>879</v>
      </c>
      <c r="E133">
        <v>2</v>
      </c>
      <c r="F133">
        <v>3000</v>
      </c>
      <c r="G133">
        <v>1500</v>
      </c>
      <c r="H133">
        <v>1500</v>
      </c>
    </row>
    <row r="134" spans="1:8" hidden="1" x14ac:dyDescent="0.25">
      <c r="D134" t="s">
        <v>13</v>
      </c>
      <c r="E134">
        <v>1</v>
      </c>
      <c r="F134">
        <v>6500</v>
      </c>
      <c r="G134">
        <v>4500</v>
      </c>
      <c r="H134">
        <v>2000</v>
      </c>
    </row>
    <row r="135" spans="1:8" hidden="1" x14ac:dyDescent="0.25">
      <c r="D135" t="s">
        <v>14</v>
      </c>
      <c r="E135">
        <v>1</v>
      </c>
      <c r="F135">
        <v>10000</v>
      </c>
      <c r="G135">
        <v>5500</v>
      </c>
      <c r="H135">
        <v>4500</v>
      </c>
    </row>
    <row r="136" spans="1:8" hidden="1" x14ac:dyDescent="0.25">
      <c r="C136" t="s">
        <v>24</v>
      </c>
      <c r="D136" t="s">
        <v>243</v>
      </c>
      <c r="E136">
        <v>1</v>
      </c>
      <c r="F136">
        <v>15000</v>
      </c>
      <c r="G136">
        <v>10000</v>
      </c>
      <c r="H136">
        <v>5000</v>
      </c>
    </row>
    <row r="137" spans="1:8" hidden="1" x14ac:dyDescent="0.25">
      <c r="A137" s="142" t="s">
        <v>17</v>
      </c>
      <c r="B137" s="142"/>
      <c r="C137" s="142"/>
      <c r="D137" s="142"/>
      <c r="E137" s="13">
        <f>SUM(E127:E136)</f>
        <v>183</v>
      </c>
      <c r="F137" s="13">
        <f t="shared" ref="F137:H137" si="13">SUM(F127:F136)</f>
        <v>455500</v>
      </c>
      <c r="G137" s="13">
        <f t="shared" si="13"/>
        <v>173000</v>
      </c>
      <c r="H137" s="13">
        <f t="shared" si="13"/>
        <v>272500</v>
      </c>
    </row>
    <row r="138" spans="1:8" hidden="1" x14ac:dyDescent="0.25">
      <c r="A138" t="s">
        <v>28</v>
      </c>
      <c r="B138" t="s">
        <v>882</v>
      </c>
      <c r="C138" t="s">
        <v>693</v>
      </c>
      <c r="D138" t="s">
        <v>11</v>
      </c>
      <c r="E138">
        <v>7</v>
      </c>
      <c r="F138">
        <f>E138*2000</f>
        <v>14000</v>
      </c>
      <c r="G138">
        <f>E138*500</f>
        <v>3500</v>
      </c>
      <c r="H138">
        <f>E138*1500</f>
        <v>10500</v>
      </c>
    </row>
    <row r="139" spans="1:8" hidden="1" x14ac:dyDescent="0.25">
      <c r="D139" t="s">
        <v>13</v>
      </c>
      <c r="E139">
        <v>30</v>
      </c>
      <c r="F139">
        <f>E139*7000</f>
        <v>210000</v>
      </c>
      <c r="G139">
        <f>E139*4500</f>
        <v>135000</v>
      </c>
      <c r="H139">
        <f>E139*2500</f>
        <v>75000</v>
      </c>
    </row>
    <row r="140" spans="1:8" hidden="1" x14ac:dyDescent="0.25">
      <c r="D140" t="s">
        <v>14</v>
      </c>
      <c r="E140">
        <v>31</v>
      </c>
      <c r="F140">
        <f>E140*10000</f>
        <v>310000</v>
      </c>
      <c r="G140">
        <f>E140*5500</f>
        <v>170500</v>
      </c>
      <c r="H140">
        <f>E140*4500</f>
        <v>139500</v>
      </c>
    </row>
    <row r="141" spans="1:8" hidden="1" x14ac:dyDescent="0.25">
      <c r="D141" t="s">
        <v>404</v>
      </c>
      <c r="E141">
        <v>10</v>
      </c>
      <c r="F141">
        <v>30000</v>
      </c>
      <c r="G141">
        <v>15000</v>
      </c>
      <c r="H141">
        <v>15000</v>
      </c>
    </row>
    <row r="142" spans="1:8" hidden="1" x14ac:dyDescent="0.25">
      <c r="C142" t="s">
        <v>217</v>
      </c>
      <c r="D142" t="s">
        <v>11</v>
      </c>
      <c r="E142">
        <v>5</v>
      </c>
      <c r="F142">
        <f>E142*1500</f>
        <v>7500</v>
      </c>
      <c r="G142">
        <f>E142*500</f>
        <v>2500</v>
      </c>
      <c r="H142">
        <v>5000</v>
      </c>
    </row>
    <row r="143" spans="1:8" hidden="1" x14ac:dyDescent="0.25">
      <c r="D143" t="s">
        <v>13</v>
      </c>
      <c r="E143">
        <v>10</v>
      </c>
      <c r="F143">
        <f>E143*6500</f>
        <v>65000</v>
      </c>
      <c r="G143">
        <f>E143*4500</f>
        <v>45000</v>
      </c>
      <c r="H143">
        <f>E143*2000</f>
        <v>20000</v>
      </c>
    </row>
    <row r="144" spans="1:8" hidden="1" x14ac:dyDescent="0.25">
      <c r="D144" t="s">
        <v>14</v>
      </c>
      <c r="E144">
        <v>9</v>
      </c>
      <c r="F144">
        <f>E144*10000</f>
        <v>90000</v>
      </c>
      <c r="G144">
        <f>E144*5500</f>
        <v>49500</v>
      </c>
      <c r="H144">
        <f>E144*4500</f>
        <v>40500</v>
      </c>
    </row>
    <row r="145" spans="1:8" hidden="1" x14ac:dyDescent="0.25">
      <c r="C145" t="s">
        <v>16</v>
      </c>
      <c r="D145" t="s">
        <v>11</v>
      </c>
      <c r="E145">
        <v>48</v>
      </c>
      <c r="F145">
        <f>E145*1500</f>
        <v>72000</v>
      </c>
      <c r="G145">
        <f>E145*500</f>
        <v>24000</v>
      </c>
      <c r="H145">
        <f>E145*1000</f>
        <v>48000</v>
      </c>
    </row>
    <row r="146" spans="1:8" hidden="1" x14ac:dyDescent="0.25">
      <c r="D146" t="s">
        <v>12</v>
      </c>
      <c r="E146">
        <v>1</v>
      </c>
      <c r="F146">
        <v>3000</v>
      </c>
      <c r="G146">
        <v>2000</v>
      </c>
      <c r="H146">
        <v>1000</v>
      </c>
    </row>
    <row r="147" spans="1:8" hidden="1" x14ac:dyDescent="0.25">
      <c r="C147" t="s">
        <v>846</v>
      </c>
      <c r="D147" t="s">
        <v>11</v>
      </c>
      <c r="E147">
        <v>3</v>
      </c>
      <c r="F147">
        <f>E147*3000</f>
        <v>9000</v>
      </c>
      <c r="G147">
        <f>E147*500</f>
        <v>1500</v>
      </c>
      <c r="H147">
        <f>E147*1500</f>
        <v>4500</v>
      </c>
    </row>
    <row r="148" spans="1:8" hidden="1" x14ac:dyDescent="0.25">
      <c r="D148" t="s">
        <v>13</v>
      </c>
      <c r="E148">
        <v>13</v>
      </c>
      <c r="F148">
        <f>E148*8000</f>
        <v>104000</v>
      </c>
      <c r="G148">
        <f>E148*4500</f>
        <v>58500</v>
      </c>
      <c r="H148">
        <f>E148*3500</f>
        <v>45500</v>
      </c>
    </row>
    <row r="149" spans="1:8" hidden="1" x14ac:dyDescent="0.25">
      <c r="D149" t="s">
        <v>243</v>
      </c>
      <c r="E149">
        <v>1</v>
      </c>
      <c r="F149">
        <v>17000</v>
      </c>
      <c r="G149">
        <v>10000</v>
      </c>
      <c r="H149">
        <v>7000</v>
      </c>
    </row>
    <row r="150" spans="1:8" x14ac:dyDescent="0.25">
      <c r="C150" t="s">
        <v>24</v>
      </c>
      <c r="D150" t="s">
        <v>21</v>
      </c>
      <c r="E150">
        <v>1</v>
      </c>
      <c r="F150">
        <v>15000</v>
      </c>
      <c r="G150">
        <v>12000</v>
      </c>
      <c r="H150">
        <v>3000</v>
      </c>
    </row>
    <row r="151" spans="1:8" hidden="1" x14ac:dyDescent="0.25">
      <c r="A151" s="142" t="s">
        <v>17</v>
      </c>
      <c r="B151" s="142"/>
      <c r="C151" s="142"/>
      <c r="D151" s="142"/>
      <c r="E151" s="13">
        <f>SUM(E138:E150)</f>
        <v>169</v>
      </c>
      <c r="F151" s="13">
        <f t="shared" ref="F151:H151" si="14">SUM(F138:F150)</f>
        <v>946500</v>
      </c>
      <c r="G151" s="13">
        <f t="shared" si="14"/>
        <v>529000</v>
      </c>
      <c r="H151" s="13">
        <f t="shared" si="14"/>
        <v>414500</v>
      </c>
    </row>
    <row r="152" spans="1:8" hidden="1" x14ac:dyDescent="0.25">
      <c r="A152" t="s">
        <v>30</v>
      </c>
      <c r="B152" t="s">
        <v>883</v>
      </c>
      <c r="C152" t="s">
        <v>16</v>
      </c>
      <c r="D152" t="s">
        <v>11</v>
      </c>
      <c r="E152">
        <v>36</v>
      </c>
      <c r="F152">
        <f>E152*1500</f>
        <v>54000</v>
      </c>
      <c r="G152">
        <f>E152*500</f>
        <v>18000</v>
      </c>
      <c r="H152">
        <f>E152*1000</f>
        <v>36000</v>
      </c>
    </row>
    <row r="153" spans="1:8" hidden="1" x14ac:dyDescent="0.25">
      <c r="D153" t="s">
        <v>12</v>
      </c>
      <c r="E153">
        <v>3</v>
      </c>
      <c r="F153">
        <v>9000</v>
      </c>
      <c r="G153">
        <v>6000</v>
      </c>
      <c r="H153">
        <v>3000</v>
      </c>
    </row>
    <row r="154" spans="1:8" hidden="1" x14ac:dyDescent="0.25">
      <c r="D154" t="s">
        <v>13</v>
      </c>
      <c r="E154">
        <v>1</v>
      </c>
      <c r="F154">
        <v>6500</v>
      </c>
      <c r="G154">
        <v>4500</v>
      </c>
      <c r="H154">
        <v>2000</v>
      </c>
    </row>
    <row r="155" spans="1:8" hidden="1" x14ac:dyDescent="0.25">
      <c r="D155" t="s">
        <v>243</v>
      </c>
      <c r="E155">
        <v>1</v>
      </c>
      <c r="F155">
        <v>13000</v>
      </c>
      <c r="G155">
        <v>10000</v>
      </c>
      <c r="H155">
        <v>3000</v>
      </c>
    </row>
    <row r="156" spans="1:8" hidden="1" x14ac:dyDescent="0.25">
      <c r="A156" s="142" t="s">
        <v>17</v>
      </c>
      <c r="B156" s="142"/>
      <c r="C156" s="142"/>
      <c r="D156" s="142"/>
      <c r="E156" s="13">
        <f>SUM(E152:E155)</f>
        <v>41</v>
      </c>
      <c r="F156" s="13">
        <f t="shared" ref="F156:H156" si="15">SUM(F152:F155)</f>
        <v>82500</v>
      </c>
      <c r="G156" s="13">
        <f t="shared" si="15"/>
        <v>38500</v>
      </c>
      <c r="H156" s="13">
        <f t="shared" si="15"/>
        <v>44000</v>
      </c>
    </row>
    <row r="157" spans="1:8" hidden="1" x14ac:dyDescent="0.25">
      <c r="A157" t="s">
        <v>32</v>
      </c>
      <c r="B157" t="s">
        <v>884</v>
      </c>
      <c r="C157" t="s">
        <v>16</v>
      </c>
      <c r="D157" t="s">
        <v>11</v>
      </c>
      <c r="E157">
        <v>31</v>
      </c>
      <c r="F157">
        <f>E157*1500</f>
        <v>46500</v>
      </c>
      <c r="G157">
        <f>E157*500</f>
        <v>15500</v>
      </c>
      <c r="H157">
        <f>E157*1000</f>
        <v>31000</v>
      </c>
    </row>
    <row r="158" spans="1:8" hidden="1" x14ac:dyDescent="0.25">
      <c r="D158" t="s">
        <v>13</v>
      </c>
      <c r="E158">
        <v>5</v>
      </c>
      <c r="F158">
        <f>E158*6500</f>
        <v>32500</v>
      </c>
      <c r="G158">
        <f>E158*4500</f>
        <v>22500</v>
      </c>
      <c r="H158">
        <f>E158*2000</f>
        <v>10000</v>
      </c>
    </row>
    <row r="159" spans="1:8" hidden="1" x14ac:dyDescent="0.25">
      <c r="D159" t="s">
        <v>14</v>
      </c>
      <c r="E159">
        <v>3</v>
      </c>
      <c r="F159">
        <f>E159*10000</f>
        <v>30000</v>
      </c>
      <c r="G159">
        <f>E159*5500</f>
        <v>16500</v>
      </c>
      <c r="H159">
        <f>E159*4500</f>
        <v>13500</v>
      </c>
    </row>
    <row r="160" spans="1:8" hidden="1" x14ac:dyDescent="0.25">
      <c r="C160" t="s">
        <v>846</v>
      </c>
      <c r="D160" t="s">
        <v>13</v>
      </c>
      <c r="E160">
        <v>7</v>
      </c>
      <c r="F160">
        <f>E160*8000</f>
        <v>56000</v>
      </c>
      <c r="G160">
        <f>E160*4500</f>
        <v>31500</v>
      </c>
      <c r="H160">
        <f>E160*3500</f>
        <v>24500</v>
      </c>
    </row>
    <row r="161" spans="1:13" hidden="1" x14ac:dyDescent="0.25">
      <c r="C161" t="s">
        <v>24</v>
      </c>
      <c r="D161" t="s">
        <v>243</v>
      </c>
      <c r="E161">
        <v>1</v>
      </c>
      <c r="F161">
        <v>15000</v>
      </c>
      <c r="G161">
        <v>10000</v>
      </c>
      <c r="H161">
        <v>5000</v>
      </c>
    </row>
    <row r="162" spans="1:13" hidden="1" x14ac:dyDescent="0.25">
      <c r="A162" s="142" t="s">
        <v>17</v>
      </c>
      <c r="B162" s="142"/>
      <c r="C162" s="142"/>
      <c r="D162" s="142"/>
      <c r="E162" s="13">
        <f>SUM(E157:E161)</f>
        <v>47</v>
      </c>
      <c r="F162" s="13">
        <f t="shared" ref="F162:H162" si="16">SUM(F157:F161)</f>
        <v>180000</v>
      </c>
      <c r="G162" s="13">
        <f t="shared" si="16"/>
        <v>96000</v>
      </c>
      <c r="H162" s="13">
        <f t="shared" si="16"/>
        <v>84000</v>
      </c>
    </row>
    <row r="163" spans="1:13" hidden="1" x14ac:dyDescent="0.25">
      <c r="A163" t="s">
        <v>8</v>
      </c>
      <c r="B163" t="s">
        <v>885</v>
      </c>
      <c r="C163" t="s">
        <v>338</v>
      </c>
      <c r="D163" t="s">
        <v>11</v>
      </c>
      <c r="E163">
        <v>113</v>
      </c>
      <c r="F163">
        <f>E163*1800</f>
        <v>203400</v>
      </c>
      <c r="G163">
        <f>E163*500</f>
        <v>56500</v>
      </c>
      <c r="H163">
        <f>E163*1300</f>
        <v>146900</v>
      </c>
    </row>
    <row r="164" spans="1:13" hidden="1" x14ac:dyDescent="0.25">
      <c r="C164" t="s">
        <v>571</v>
      </c>
      <c r="D164" t="s">
        <v>11</v>
      </c>
      <c r="E164">
        <v>29</v>
      </c>
      <c r="F164">
        <f>E164*1700</f>
        <v>49300</v>
      </c>
      <c r="G164">
        <f>E164*500</f>
        <v>14500</v>
      </c>
      <c r="H164">
        <f>E164*1200</f>
        <v>34800</v>
      </c>
      <c r="J164">
        <f>E21+E27+E32+E42+E52+E75+E85+E97+E109+E118+E164+E173+E181+E212+E224+E232+E243+E248+E281</f>
        <v>437</v>
      </c>
    </row>
    <row r="165" spans="1:13" hidden="1" x14ac:dyDescent="0.25">
      <c r="C165" t="s">
        <v>16</v>
      </c>
      <c r="D165" t="s">
        <v>11</v>
      </c>
      <c r="E165">
        <v>40</v>
      </c>
      <c r="F165">
        <f>E165*1500</f>
        <v>60000</v>
      </c>
      <c r="G165">
        <f>E165*500</f>
        <v>20000</v>
      </c>
      <c r="H165">
        <f>E165*1000</f>
        <v>40000</v>
      </c>
    </row>
    <row r="166" spans="1:13" hidden="1" x14ac:dyDescent="0.25">
      <c r="D166" t="s">
        <v>12</v>
      </c>
      <c r="E166">
        <v>2</v>
      </c>
      <c r="F166">
        <v>6000</v>
      </c>
      <c r="G166">
        <v>4000</v>
      </c>
      <c r="H166">
        <v>2000</v>
      </c>
      <c r="M166" t="s">
        <v>612</v>
      </c>
    </row>
    <row r="167" spans="1:13" hidden="1" x14ac:dyDescent="0.25">
      <c r="D167" t="s">
        <v>13</v>
      </c>
      <c r="E167">
        <v>1</v>
      </c>
      <c r="F167">
        <v>6500</v>
      </c>
      <c r="G167">
        <v>4500</v>
      </c>
      <c r="H167">
        <v>2000</v>
      </c>
    </row>
    <row r="168" spans="1:13" hidden="1" x14ac:dyDescent="0.25">
      <c r="D168" t="s">
        <v>14</v>
      </c>
      <c r="E168">
        <v>1</v>
      </c>
      <c r="F168">
        <v>10000</v>
      </c>
      <c r="G168">
        <v>5500</v>
      </c>
      <c r="H168">
        <v>4500</v>
      </c>
    </row>
    <row r="169" spans="1:13" hidden="1" x14ac:dyDescent="0.25">
      <c r="D169" t="s">
        <v>243</v>
      </c>
      <c r="E169">
        <v>1</v>
      </c>
      <c r="F169">
        <v>13000</v>
      </c>
      <c r="G169">
        <v>10000</v>
      </c>
      <c r="H169">
        <v>3000</v>
      </c>
    </row>
    <row r="170" spans="1:13" hidden="1" x14ac:dyDescent="0.25">
      <c r="C170" t="s">
        <v>20</v>
      </c>
      <c r="D170" t="s">
        <v>13</v>
      </c>
      <c r="E170">
        <v>5</v>
      </c>
      <c r="F170">
        <f>E170*8000</f>
        <v>40000</v>
      </c>
      <c r="G170">
        <f>E170*4500</f>
        <v>22500</v>
      </c>
      <c r="H170">
        <f>E170*3500</f>
        <v>17500</v>
      </c>
    </row>
    <row r="171" spans="1:13" hidden="1" x14ac:dyDescent="0.25">
      <c r="D171" t="s">
        <v>14</v>
      </c>
      <c r="E171">
        <v>4</v>
      </c>
      <c r="F171">
        <f>E171*12000</f>
        <v>48000</v>
      </c>
      <c r="G171">
        <f>E171*5500</f>
        <v>22000</v>
      </c>
      <c r="H171">
        <f>E171*6500</f>
        <v>26000</v>
      </c>
    </row>
    <row r="172" spans="1:13" hidden="1" x14ac:dyDescent="0.25">
      <c r="A172" s="142" t="s">
        <v>17</v>
      </c>
      <c r="B172" s="142"/>
      <c r="C172" s="142"/>
      <c r="D172" s="142"/>
      <c r="E172" s="13">
        <f>SUM(E163:E171)</f>
        <v>196</v>
      </c>
      <c r="F172" s="13">
        <f t="shared" ref="F172:H172" si="17">SUM(F163:F171)</f>
        <v>436200</v>
      </c>
      <c r="G172" s="13">
        <f t="shared" si="17"/>
        <v>159500</v>
      </c>
      <c r="H172" s="13">
        <f t="shared" si="17"/>
        <v>276700</v>
      </c>
    </row>
    <row r="173" spans="1:13" hidden="1" x14ac:dyDescent="0.25">
      <c r="A173" t="s">
        <v>18</v>
      </c>
      <c r="B173" t="s">
        <v>886</v>
      </c>
      <c r="C173" t="s">
        <v>571</v>
      </c>
      <c r="D173" t="s">
        <v>11</v>
      </c>
      <c r="E173">
        <v>24</v>
      </c>
      <c r="F173">
        <f>E173*1700</f>
        <v>40800</v>
      </c>
      <c r="G173">
        <f>E173*500</f>
        <v>12000</v>
      </c>
      <c r="H173">
        <f>E173*1200</f>
        <v>28800</v>
      </c>
    </row>
    <row r="174" spans="1:13" hidden="1" x14ac:dyDescent="0.25">
      <c r="C174" t="s">
        <v>306</v>
      </c>
      <c r="D174" t="s">
        <v>11</v>
      </c>
      <c r="E174">
        <v>20</v>
      </c>
      <c r="F174">
        <f>E174*1800</f>
        <v>36000</v>
      </c>
      <c r="G174">
        <f>E174*500</f>
        <v>10000</v>
      </c>
      <c r="H174">
        <f>E174*1300</f>
        <v>26000</v>
      </c>
    </row>
    <row r="175" spans="1:13" hidden="1" x14ac:dyDescent="0.25">
      <c r="C175" t="s">
        <v>16</v>
      </c>
      <c r="D175" t="s">
        <v>11</v>
      </c>
      <c r="E175">
        <v>48</v>
      </c>
      <c r="F175">
        <f>E175*1500</f>
        <v>72000</v>
      </c>
      <c r="G175">
        <f>E175*500</f>
        <v>24000</v>
      </c>
      <c r="H175">
        <v>48000</v>
      </c>
    </row>
    <row r="176" spans="1:13" hidden="1" x14ac:dyDescent="0.25">
      <c r="C176" t="s">
        <v>846</v>
      </c>
      <c r="D176" t="s">
        <v>13</v>
      </c>
      <c r="E176">
        <v>4</v>
      </c>
      <c r="F176">
        <f>E176*8000</f>
        <v>32000</v>
      </c>
      <c r="G176">
        <f>E176*4500</f>
        <v>18000</v>
      </c>
      <c r="H176">
        <f>E176*3500</f>
        <v>14000</v>
      </c>
    </row>
    <row r="177" spans="1:8" hidden="1" x14ac:dyDescent="0.25">
      <c r="D177" t="s">
        <v>14</v>
      </c>
      <c r="E177">
        <v>2</v>
      </c>
      <c r="F177">
        <f>E177*12000</f>
        <v>24000</v>
      </c>
      <c r="G177">
        <f>E177*5500</f>
        <v>11000</v>
      </c>
      <c r="H177">
        <f>E177*6500</f>
        <v>13000</v>
      </c>
    </row>
    <row r="178" spans="1:8" hidden="1" x14ac:dyDescent="0.25">
      <c r="C178" t="s">
        <v>24</v>
      </c>
      <c r="D178" t="s">
        <v>243</v>
      </c>
      <c r="E178">
        <v>5</v>
      </c>
      <c r="F178">
        <f>E178*13000</f>
        <v>65000</v>
      </c>
      <c r="G178">
        <f>E178*10000</f>
        <v>50000</v>
      </c>
      <c r="H178">
        <v>15000</v>
      </c>
    </row>
    <row r="179" spans="1:8" hidden="1" x14ac:dyDescent="0.25">
      <c r="A179" s="142" t="s">
        <v>17</v>
      </c>
      <c r="B179" s="142"/>
      <c r="C179" s="142"/>
      <c r="D179" s="142"/>
      <c r="E179" s="13">
        <f>SUM(E173:E177)</f>
        <v>98</v>
      </c>
      <c r="F179" s="13">
        <f t="shared" ref="F179:H179" si="18">SUM(F173:F177)</f>
        <v>204800</v>
      </c>
      <c r="G179" s="13">
        <f t="shared" si="18"/>
        <v>75000</v>
      </c>
      <c r="H179" s="13">
        <f t="shared" si="18"/>
        <v>129800</v>
      </c>
    </row>
    <row r="180" spans="1:8" hidden="1" x14ac:dyDescent="0.25">
      <c r="A180" t="s">
        <v>22</v>
      </c>
      <c r="B180" t="s">
        <v>887</v>
      </c>
      <c r="C180" t="s">
        <v>338</v>
      </c>
      <c r="D180" t="s">
        <v>11</v>
      </c>
      <c r="E180">
        <v>60</v>
      </c>
      <c r="F180">
        <f>E180*1800</f>
        <v>108000</v>
      </c>
      <c r="G180">
        <f>E180*500</f>
        <v>30000</v>
      </c>
      <c r="H180">
        <f>E180*1300</f>
        <v>78000</v>
      </c>
    </row>
    <row r="181" spans="1:8" hidden="1" x14ac:dyDescent="0.25">
      <c r="C181" t="s">
        <v>571</v>
      </c>
      <c r="D181" t="s">
        <v>11</v>
      </c>
      <c r="E181">
        <v>24</v>
      </c>
      <c r="F181">
        <f>E181*1700</f>
        <v>40800</v>
      </c>
      <c r="G181">
        <f>E181*500</f>
        <v>12000</v>
      </c>
      <c r="H181">
        <f>E181*1200</f>
        <v>28800</v>
      </c>
    </row>
    <row r="182" spans="1:8" hidden="1" x14ac:dyDescent="0.25">
      <c r="C182" t="s">
        <v>503</v>
      </c>
      <c r="D182" t="s">
        <v>13</v>
      </c>
      <c r="E182">
        <f>32+25+20+10</f>
        <v>87</v>
      </c>
      <c r="F182">
        <f>E182*8000</f>
        <v>696000</v>
      </c>
      <c r="G182">
        <f>E182*4500</f>
        <v>391500</v>
      </c>
      <c r="H182">
        <f>E182*3500</f>
        <v>304500</v>
      </c>
    </row>
    <row r="183" spans="1:8" hidden="1" x14ac:dyDescent="0.25">
      <c r="D183" t="s">
        <v>14</v>
      </c>
      <c r="E183">
        <v>35</v>
      </c>
      <c r="F183">
        <f>E183*10000</f>
        <v>350000</v>
      </c>
      <c r="G183">
        <f>E183*5500</f>
        <v>192500</v>
      </c>
      <c r="H183">
        <f>E183*4500</f>
        <v>157500</v>
      </c>
    </row>
    <row r="184" spans="1:8" hidden="1" x14ac:dyDescent="0.25">
      <c r="C184" t="s">
        <v>24</v>
      </c>
      <c r="D184" t="s">
        <v>243</v>
      </c>
      <c r="E184">
        <v>4</v>
      </c>
      <c r="F184">
        <f>E184*15000</f>
        <v>60000</v>
      </c>
      <c r="G184">
        <f>E184*10000</f>
        <v>40000</v>
      </c>
      <c r="H184">
        <f>E184*5000</f>
        <v>20000</v>
      </c>
    </row>
    <row r="185" spans="1:8" hidden="1" x14ac:dyDescent="0.25">
      <c r="C185" t="s">
        <v>16</v>
      </c>
      <c r="D185" t="s">
        <v>11</v>
      </c>
      <c r="E185">
        <v>54</v>
      </c>
      <c r="F185">
        <f>E185*1500</f>
        <v>81000</v>
      </c>
      <c r="G185">
        <f>E185*500</f>
        <v>27000</v>
      </c>
      <c r="H185">
        <v>54000</v>
      </c>
    </row>
    <row r="186" spans="1:8" hidden="1" x14ac:dyDescent="0.25">
      <c r="D186" t="s">
        <v>12</v>
      </c>
      <c r="E186">
        <v>1</v>
      </c>
      <c r="F186">
        <v>3000</v>
      </c>
      <c r="G186">
        <v>2000</v>
      </c>
      <c r="H186">
        <v>1000</v>
      </c>
    </row>
    <row r="187" spans="1:8" hidden="1" x14ac:dyDescent="0.25">
      <c r="D187" t="s">
        <v>13</v>
      </c>
      <c r="E187">
        <v>1</v>
      </c>
      <c r="F187">
        <v>6500</v>
      </c>
      <c r="G187">
        <v>4500</v>
      </c>
      <c r="H187">
        <v>2000</v>
      </c>
    </row>
    <row r="188" spans="1:8" hidden="1" x14ac:dyDescent="0.25">
      <c r="A188" s="142" t="s">
        <v>17</v>
      </c>
      <c r="B188" s="142"/>
      <c r="C188" s="142"/>
      <c r="D188" s="142"/>
      <c r="E188" s="13">
        <f>SUM(E180:E187)</f>
        <v>266</v>
      </c>
      <c r="F188" s="13">
        <f t="shared" ref="F188:H188" si="19">SUM(F180:F187)</f>
        <v>1345300</v>
      </c>
      <c r="G188" s="13">
        <f t="shared" si="19"/>
        <v>699500</v>
      </c>
      <c r="H188" s="13">
        <f t="shared" si="19"/>
        <v>645800</v>
      </c>
    </row>
    <row r="189" spans="1:8" hidden="1" x14ac:dyDescent="0.25">
      <c r="A189" s="75" t="s">
        <v>26</v>
      </c>
      <c r="B189" s="75" t="s">
        <v>888</v>
      </c>
      <c r="C189" s="75" t="s">
        <v>846</v>
      </c>
      <c r="D189" s="75" t="s">
        <v>13</v>
      </c>
      <c r="E189" s="14">
        <v>8</v>
      </c>
      <c r="F189" s="14">
        <f>E189*8000</f>
        <v>64000</v>
      </c>
      <c r="G189" s="14">
        <f>E189*4500</f>
        <v>36000</v>
      </c>
      <c r="H189" s="14">
        <f>E189*3500</f>
        <v>28000</v>
      </c>
    </row>
    <row r="190" spans="1:8" hidden="1" x14ac:dyDescent="0.25">
      <c r="A190" s="74"/>
      <c r="B190" s="74"/>
      <c r="C190" s="75"/>
      <c r="D190" s="75" t="s">
        <v>14</v>
      </c>
      <c r="E190" s="14">
        <v>3</v>
      </c>
      <c r="F190" s="14">
        <f>E190*10000</f>
        <v>30000</v>
      </c>
      <c r="G190" s="14">
        <f>E190*5500</f>
        <v>16500</v>
      </c>
      <c r="H190" s="14">
        <f>E190*4500</f>
        <v>13500</v>
      </c>
    </row>
    <row r="191" spans="1:8" hidden="1" x14ac:dyDescent="0.25">
      <c r="A191" s="74"/>
      <c r="B191" s="74"/>
      <c r="C191" s="75"/>
      <c r="D191" s="75" t="s">
        <v>686</v>
      </c>
      <c r="E191" s="14">
        <v>1</v>
      </c>
      <c r="F191" s="14">
        <v>7000</v>
      </c>
      <c r="G191" s="14">
        <v>3500</v>
      </c>
      <c r="H191" s="14">
        <v>3500</v>
      </c>
    </row>
    <row r="192" spans="1:8" hidden="1" x14ac:dyDescent="0.25">
      <c r="A192" s="74"/>
      <c r="B192" s="74"/>
      <c r="C192" s="75" t="s">
        <v>606</v>
      </c>
      <c r="D192" s="75" t="s">
        <v>11</v>
      </c>
      <c r="E192" s="14">
        <f>23+26+35+26+35+27+20+23+35+22+28+35+16</f>
        <v>351</v>
      </c>
      <c r="F192" s="14">
        <f>E192*1500</f>
        <v>526500</v>
      </c>
      <c r="G192" s="14">
        <f>E192*500</f>
        <v>175500</v>
      </c>
      <c r="H192" s="14">
        <f>E192*1000</f>
        <v>351000</v>
      </c>
    </row>
    <row r="193" spans="1:8" hidden="1" x14ac:dyDescent="0.25">
      <c r="A193" s="74"/>
      <c r="B193" s="74"/>
      <c r="C193" s="75" t="s">
        <v>16</v>
      </c>
      <c r="D193" s="75" t="s">
        <v>11</v>
      </c>
      <c r="E193" s="14">
        <v>45</v>
      </c>
      <c r="F193" s="14">
        <f>E193*1500</f>
        <v>67500</v>
      </c>
      <c r="G193" s="14">
        <f>E193*500</f>
        <v>22500</v>
      </c>
      <c r="H193" s="14">
        <f>E193*1000</f>
        <v>45000</v>
      </c>
    </row>
    <row r="194" spans="1:8" hidden="1" x14ac:dyDescent="0.25">
      <c r="A194" s="74"/>
      <c r="B194" s="74"/>
      <c r="C194" s="75"/>
      <c r="D194" s="75" t="s">
        <v>12</v>
      </c>
      <c r="E194" s="14">
        <v>1</v>
      </c>
      <c r="F194" s="14">
        <v>3000</v>
      </c>
      <c r="G194" s="14">
        <v>2000</v>
      </c>
      <c r="H194" s="14">
        <v>1000</v>
      </c>
    </row>
    <row r="195" spans="1:8" hidden="1" x14ac:dyDescent="0.25">
      <c r="A195" s="74"/>
      <c r="B195" s="74"/>
      <c r="C195" s="75" t="s">
        <v>24</v>
      </c>
      <c r="D195" s="75" t="s">
        <v>14</v>
      </c>
      <c r="E195" s="14">
        <v>7</v>
      </c>
      <c r="F195" s="14">
        <f>E195*12000</f>
        <v>84000</v>
      </c>
      <c r="G195" s="14">
        <f>E195*5500</f>
        <v>38500</v>
      </c>
      <c r="H195" s="14">
        <f>E195*6500</f>
        <v>45500</v>
      </c>
    </row>
    <row r="196" spans="1:8" hidden="1" x14ac:dyDescent="0.25">
      <c r="A196" s="74"/>
      <c r="B196" s="74"/>
      <c r="C196" s="75" t="s">
        <v>24</v>
      </c>
      <c r="D196" s="75" t="s">
        <v>243</v>
      </c>
      <c r="E196" s="14">
        <v>1</v>
      </c>
      <c r="F196" s="14">
        <v>15000</v>
      </c>
      <c r="G196" s="14">
        <v>10000</v>
      </c>
      <c r="H196" s="14">
        <v>5000</v>
      </c>
    </row>
    <row r="197" spans="1:8" hidden="1" x14ac:dyDescent="0.25">
      <c r="A197" s="142" t="s">
        <v>17</v>
      </c>
      <c r="B197" s="142"/>
      <c r="C197" s="142"/>
      <c r="D197" s="142"/>
      <c r="E197" s="13">
        <f>SUM(E189:E196)</f>
        <v>417</v>
      </c>
      <c r="F197" s="13">
        <f t="shared" ref="F197:H197" si="20">SUM(F189:F196)</f>
        <v>797000</v>
      </c>
      <c r="G197" s="13">
        <f t="shared" si="20"/>
        <v>304500</v>
      </c>
      <c r="H197" s="13">
        <f t="shared" si="20"/>
        <v>492500</v>
      </c>
    </row>
    <row r="198" spans="1:8" hidden="1" x14ac:dyDescent="0.25">
      <c r="A198" t="s">
        <v>28</v>
      </c>
      <c r="B198" t="s">
        <v>889</v>
      </c>
      <c r="C198" t="s">
        <v>693</v>
      </c>
      <c r="D198" t="s">
        <v>11</v>
      </c>
      <c r="E198">
        <v>11</v>
      </c>
      <c r="F198">
        <f>E198*2000</f>
        <v>22000</v>
      </c>
      <c r="G198">
        <f>E198*500</f>
        <v>5500</v>
      </c>
      <c r="H198">
        <f>E198*1500</f>
        <v>16500</v>
      </c>
    </row>
    <row r="199" spans="1:8" hidden="1" x14ac:dyDescent="0.25">
      <c r="D199" t="s">
        <v>13</v>
      </c>
      <c r="E199">
        <v>51</v>
      </c>
      <c r="F199">
        <f>E199*7000</f>
        <v>357000</v>
      </c>
      <c r="G199">
        <f>E199*4500</f>
        <v>229500</v>
      </c>
      <c r="H199">
        <f>E199*2500</f>
        <v>127500</v>
      </c>
    </row>
    <row r="200" spans="1:8" hidden="1" x14ac:dyDescent="0.25">
      <c r="D200" t="s">
        <v>14</v>
      </c>
      <c r="E200">
        <v>31</v>
      </c>
      <c r="F200">
        <f>E200*10000</f>
        <v>310000</v>
      </c>
      <c r="G200">
        <f>E200*5500</f>
        <v>170500</v>
      </c>
      <c r="H200">
        <f>E200*4500</f>
        <v>139500</v>
      </c>
    </row>
    <row r="201" spans="1:8" hidden="1" x14ac:dyDescent="0.25">
      <c r="C201" t="s">
        <v>217</v>
      </c>
      <c r="D201" t="s">
        <v>11</v>
      </c>
      <c r="E201">
        <v>11</v>
      </c>
      <c r="F201">
        <f>E201*1500</f>
        <v>16500</v>
      </c>
      <c r="G201">
        <f>E201*500</f>
        <v>5500</v>
      </c>
      <c r="H201">
        <f>E201*1000</f>
        <v>11000</v>
      </c>
    </row>
    <row r="202" spans="1:8" hidden="1" x14ac:dyDescent="0.25">
      <c r="D202" t="s">
        <v>13</v>
      </c>
      <c r="E202">
        <v>16</v>
      </c>
      <c r="F202">
        <f>E202*6500</f>
        <v>104000</v>
      </c>
      <c r="G202">
        <f>E202*4500</f>
        <v>72000</v>
      </c>
      <c r="H202">
        <f>E202*2000</f>
        <v>32000</v>
      </c>
    </row>
    <row r="203" spans="1:8" hidden="1" x14ac:dyDescent="0.25">
      <c r="D203" t="s">
        <v>14</v>
      </c>
      <c r="E203">
        <v>12</v>
      </c>
      <c r="F203">
        <f>E203*10000</f>
        <v>120000</v>
      </c>
      <c r="G203">
        <f>E203*5500</f>
        <v>66000</v>
      </c>
      <c r="H203" t="s">
        <v>612</v>
      </c>
    </row>
    <row r="204" spans="1:8" hidden="1" x14ac:dyDescent="0.25">
      <c r="C204" t="s">
        <v>16</v>
      </c>
      <c r="D204" t="s">
        <v>11</v>
      </c>
      <c r="E204">
        <v>44</v>
      </c>
      <c r="F204">
        <f>E204*1500</f>
        <v>66000</v>
      </c>
      <c r="G204">
        <f>E204*500</f>
        <v>22000</v>
      </c>
      <c r="H204">
        <v>44000</v>
      </c>
    </row>
    <row r="205" spans="1:8" hidden="1" x14ac:dyDescent="0.25">
      <c r="D205" t="s">
        <v>12</v>
      </c>
      <c r="E205">
        <v>6</v>
      </c>
      <c r="F205">
        <f>E205*3000</f>
        <v>18000</v>
      </c>
      <c r="G205">
        <v>12000</v>
      </c>
      <c r="H205">
        <v>6000</v>
      </c>
    </row>
    <row r="206" spans="1:8" hidden="1" x14ac:dyDescent="0.25">
      <c r="D206" t="s">
        <v>13</v>
      </c>
      <c r="E206">
        <v>2</v>
      </c>
      <c r="F206">
        <v>13000</v>
      </c>
      <c r="G206">
        <v>9000</v>
      </c>
      <c r="H206">
        <v>4000</v>
      </c>
    </row>
    <row r="207" spans="1:8" hidden="1" x14ac:dyDescent="0.25">
      <c r="C207" t="s">
        <v>24</v>
      </c>
      <c r="D207" t="s">
        <v>243</v>
      </c>
      <c r="E207">
        <v>8</v>
      </c>
      <c r="F207">
        <f>E207*12000</f>
        <v>96000</v>
      </c>
      <c r="G207">
        <f>E207*10000</f>
        <v>80000</v>
      </c>
      <c r="H207">
        <f>E207*2000</f>
        <v>16000</v>
      </c>
    </row>
    <row r="208" spans="1:8" hidden="1" x14ac:dyDescent="0.25">
      <c r="C208" t="s">
        <v>846</v>
      </c>
      <c r="D208" t="s">
        <v>13</v>
      </c>
      <c r="E208">
        <v>2</v>
      </c>
      <c r="F208">
        <f>E208*8000</f>
        <v>16000</v>
      </c>
      <c r="G208">
        <f>E208*4500</f>
        <v>9000</v>
      </c>
      <c r="H208">
        <f>E208*3500</f>
        <v>7000</v>
      </c>
    </row>
    <row r="209" spans="1:10" hidden="1" x14ac:dyDescent="0.25">
      <c r="D209" t="s">
        <v>14</v>
      </c>
      <c r="E209">
        <v>3</v>
      </c>
      <c r="F209">
        <f>E209*12000</f>
        <v>36000</v>
      </c>
      <c r="G209">
        <f>E209*5500</f>
        <v>16500</v>
      </c>
      <c r="H209">
        <f>E209*6500</f>
        <v>19500</v>
      </c>
    </row>
    <row r="210" spans="1:10" hidden="1" x14ac:dyDescent="0.25">
      <c r="A210" s="142" t="s">
        <v>17</v>
      </c>
      <c r="B210" s="142"/>
      <c r="C210" s="142"/>
      <c r="D210" s="142"/>
      <c r="E210" s="13">
        <f>SUM(E198:E209)</f>
        <v>197</v>
      </c>
      <c r="F210" s="13">
        <f t="shared" ref="F210:H210" si="21">SUM(F198:F209)</f>
        <v>1174500</v>
      </c>
      <c r="G210" s="13">
        <f t="shared" si="21"/>
        <v>697500</v>
      </c>
      <c r="H210" s="13">
        <f t="shared" si="21"/>
        <v>423000</v>
      </c>
    </row>
    <row r="211" spans="1:10" hidden="1" x14ac:dyDescent="0.25">
      <c r="A211" t="s">
        <v>30</v>
      </c>
      <c r="B211" t="s">
        <v>890</v>
      </c>
      <c r="C211" t="s">
        <v>338</v>
      </c>
      <c r="D211" t="s">
        <v>11</v>
      </c>
      <c r="E211">
        <v>158</v>
      </c>
      <c r="F211">
        <f>E211*1800</f>
        <v>284400</v>
      </c>
      <c r="G211">
        <f>E211*500</f>
        <v>79000</v>
      </c>
      <c r="H211">
        <f>E211*1300</f>
        <v>205400</v>
      </c>
    </row>
    <row r="212" spans="1:10" hidden="1" x14ac:dyDescent="0.25">
      <c r="C212" t="s">
        <v>571</v>
      </c>
      <c r="D212" t="s">
        <v>11</v>
      </c>
      <c r="E212">
        <v>19</v>
      </c>
      <c r="F212">
        <f>E212*1700</f>
        <v>32300</v>
      </c>
      <c r="G212">
        <f>E212*500</f>
        <v>9500</v>
      </c>
      <c r="H212">
        <f>E212*1200</f>
        <v>22800</v>
      </c>
    </row>
    <row r="213" spans="1:10" hidden="1" x14ac:dyDescent="0.25">
      <c r="C213" t="s">
        <v>572</v>
      </c>
      <c r="D213" t="s">
        <v>11</v>
      </c>
      <c r="E213">
        <v>118</v>
      </c>
      <c r="F213">
        <f>E213*1700</f>
        <v>200600</v>
      </c>
      <c r="G213">
        <f>E213*500</f>
        <v>59000</v>
      </c>
      <c r="H213">
        <f>E213*1200</f>
        <v>141600</v>
      </c>
    </row>
    <row r="214" spans="1:10" hidden="1" x14ac:dyDescent="0.25">
      <c r="C214" t="s">
        <v>104</v>
      </c>
      <c r="D214" t="s">
        <v>11</v>
      </c>
      <c r="E214">
        <v>119</v>
      </c>
      <c r="F214">
        <f>E214*1700</f>
        <v>202300</v>
      </c>
      <c r="G214">
        <f>E214*500</f>
        <v>59500</v>
      </c>
      <c r="H214">
        <f>E214*1200</f>
        <v>142800</v>
      </c>
    </row>
    <row r="215" spans="1:10" hidden="1" x14ac:dyDescent="0.25">
      <c r="C215" t="s">
        <v>306</v>
      </c>
      <c r="D215" t="s">
        <v>11</v>
      </c>
      <c r="E215">
        <v>14</v>
      </c>
      <c r="F215">
        <f>E215*1800</f>
        <v>25200</v>
      </c>
      <c r="G215">
        <f>E215*500</f>
        <v>7000</v>
      </c>
      <c r="H215">
        <f>E215*1300</f>
        <v>18200</v>
      </c>
      <c r="J215">
        <f>E18+E28+E33+E54+E77+E86+E111+E174+E215+E233+E250</f>
        <v>172</v>
      </c>
    </row>
    <row r="216" spans="1:10" hidden="1" x14ac:dyDescent="0.25">
      <c r="C216" t="s">
        <v>846</v>
      </c>
      <c r="D216" t="s">
        <v>13</v>
      </c>
      <c r="E216">
        <v>8</v>
      </c>
      <c r="F216">
        <f>E216*8000</f>
        <v>64000</v>
      </c>
      <c r="G216">
        <f>E216*4500</f>
        <v>36000</v>
      </c>
      <c r="H216">
        <f>E216*3500</f>
        <v>28000</v>
      </c>
    </row>
    <row r="217" spans="1:10" hidden="1" x14ac:dyDescent="0.25">
      <c r="D217" t="s">
        <v>686</v>
      </c>
      <c r="E217">
        <v>1</v>
      </c>
      <c r="F217">
        <v>7000</v>
      </c>
      <c r="G217">
        <v>3500</v>
      </c>
      <c r="H217">
        <v>3500</v>
      </c>
    </row>
    <row r="218" spans="1:10" hidden="1" x14ac:dyDescent="0.25">
      <c r="C218" t="s">
        <v>16</v>
      </c>
      <c r="D218" t="s">
        <v>11</v>
      </c>
      <c r="E218">
        <v>54</v>
      </c>
      <c r="F218">
        <f>E218*1500</f>
        <v>81000</v>
      </c>
      <c r="G218">
        <f>E218*500</f>
        <v>27000</v>
      </c>
      <c r="H218">
        <f>E218*1000</f>
        <v>54000</v>
      </c>
    </row>
    <row r="219" spans="1:10" hidden="1" x14ac:dyDescent="0.25">
      <c r="D219" t="s">
        <v>12</v>
      </c>
      <c r="E219">
        <v>1</v>
      </c>
      <c r="F219">
        <v>3000</v>
      </c>
      <c r="G219">
        <v>2000</v>
      </c>
      <c r="H219">
        <v>1000</v>
      </c>
    </row>
    <row r="220" spans="1:10" hidden="1" x14ac:dyDescent="0.25">
      <c r="D220" t="s">
        <v>13</v>
      </c>
      <c r="E220">
        <v>2</v>
      </c>
      <c r="F220">
        <v>13000</v>
      </c>
      <c r="G220">
        <v>9000</v>
      </c>
      <c r="H220">
        <v>4000</v>
      </c>
    </row>
    <row r="221" spans="1:10" hidden="1" x14ac:dyDescent="0.25">
      <c r="D221" t="s">
        <v>14</v>
      </c>
      <c r="E221">
        <v>1</v>
      </c>
      <c r="F221">
        <v>10000</v>
      </c>
      <c r="G221">
        <v>5500</v>
      </c>
      <c r="H221">
        <v>4500</v>
      </c>
    </row>
    <row r="222" spans="1:10" hidden="1" x14ac:dyDescent="0.25">
      <c r="A222" s="142" t="s">
        <v>17</v>
      </c>
      <c r="B222" s="142"/>
      <c r="C222" s="142"/>
      <c r="D222" s="142"/>
      <c r="E222" s="13">
        <f>SUM(E211:E221)</f>
        <v>495</v>
      </c>
      <c r="F222" s="13">
        <f t="shared" ref="F222:H222" si="22">SUM(F211:F221)</f>
        <v>922800</v>
      </c>
      <c r="G222" s="13">
        <f t="shared" si="22"/>
        <v>297000</v>
      </c>
      <c r="H222" s="13">
        <f t="shared" si="22"/>
        <v>625800</v>
      </c>
    </row>
    <row r="223" spans="1:10" hidden="1" x14ac:dyDescent="0.25">
      <c r="A223" t="s">
        <v>32</v>
      </c>
      <c r="B223" t="s">
        <v>891</v>
      </c>
      <c r="C223" t="s">
        <v>338</v>
      </c>
      <c r="D223" t="s">
        <v>11</v>
      </c>
      <c r="E223">
        <v>59</v>
      </c>
      <c r="F223">
        <f>E223*1800</f>
        <v>106200</v>
      </c>
      <c r="G223">
        <f>E223*500</f>
        <v>29500</v>
      </c>
      <c r="H223">
        <f>E223*1300</f>
        <v>76700</v>
      </c>
    </row>
    <row r="224" spans="1:10" hidden="1" x14ac:dyDescent="0.25">
      <c r="C224" t="s">
        <v>571</v>
      </c>
      <c r="D224" t="s">
        <v>11</v>
      </c>
      <c r="E224">
        <v>24</v>
      </c>
      <c r="F224">
        <f>E224*1700</f>
        <v>40800</v>
      </c>
      <c r="G224">
        <f>E224*500</f>
        <v>12000</v>
      </c>
      <c r="H224">
        <f>E224*1200</f>
        <v>28800</v>
      </c>
    </row>
    <row r="225" spans="1:10" hidden="1" x14ac:dyDescent="0.25">
      <c r="C225" t="s">
        <v>20</v>
      </c>
      <c r="D225" t="s">
        <v>13</v>
      </c>
      <c r="E225">
        <v>7</v>
      </c>
      <c r="F225">
        <f>E225*8000</f>
        <v>56000</v>
      </c>
      <c r="G225">
        <f>E225*4500</f>
        <v>31500</v>
      </c>
      <c r="H225">
        <f>E225*3500</f>
        <v>24500</v>
      </c>
    </row>
    <row r="226" spans="1:10" hidden="1" x14ac:dyDescent="0.25">
      <c r="D226" t="s">
        <v>14</v>
      </c>
      <c r="E226">
        <v>3</v>
      </c>
      <c r="F226">
        <f>E226*12000</f>
        <v>36000</v>
      </c>
      <c r="G226">
        <f>E226*5500</f>
        <v>16500</v>
      </c>
      <c r="H226">
        <f>E226*6500</f>
        <v>19500</v>
      </c>
    </row>
    <row r="227" spans="1:10" hidden="1" x14ac:dyDescent="0.25">
      <c r="C227" t="s">
        <v>16</v>
      </c>
      <c r="D227" t="s">
        <v>11</v>
      </c>
      <c r="E227">
        <v>54</v>
      </c>
      <c r="F227">
        <f>E227*1500</f>
        <v>81000</v>
      </c>
      <c r="G227">
        <f>E227*500</f>
        <v>27000</v>
      </c>
      <c r="H227">
        <v>54000</v>
      </c>
    </row>
    <row r="228" spans="1:10" hidden="1" x14ac:dyDescent="0.25">
      <c r="D228" t="s">
        <v>12</v>
      </c>
      <c r="E228">
        <v>2</v>
      </c>
      <c r="F228">
        <v>6000</v>
      </c>
      <c r="G228">
        <v>3000</v>
      </c>
      <c r="H228">
        <v>2000</v>
      </c>
    </row>
    <row r="229" spans="1:10" hidden="1" x14ac:dyDescent="0.25">
      <c r="C229" t="s">
        <v>554</v>
      </c>
      <c r="D229" t="s">
        <v>243</v>
      </c>
      <c r="E229">
        <v>2</v>
      </c>
    </row>
    <row r="230" spans="1:10" hidden="1" x14ac:dyDescent="0.25">
      <c r="A230" s="142" t="s">
        <v>17</v>
      </c>
      <c r="B230" s="142"/>
      <c r="C230" s="142"/>
      <c r="D230" s="142"/>
      <c r="E230" s="13">
        <f>SUM(E223:E229)</f>
        <v>151</v>
      </c>
      <c r="F230" s="13">
        <f t="shared" ref="F230:H230" si="23">SUM(F223:F229)</f>
        <v>326000</v>
      </c>
      <c r="G230" s="13">
        <f t="shared" si="23"/>
        <v>119500</v>
      </c>
      <c r="H230" s="13">
        <f t="shared" si="23"/>
        <v>205500</v>
      </c>
    </row>
    <row r="231" spans="1:10" hidden="1" x14ac:dyDescent="0.25">
      <c r="A231" t="s">
        <v>8</v>
      </c>
      <c r="B231" t="s">
        <v>892</v>
      </c>
      <c r="C231" t="s">
        <v>338</v>
      </c>
      <c r="D231" t="s">
        <v>11</v>
      </c>
      <c r="E231">
        <f>65-16</f>
        <v>49</v>
      </c>
      <c r="F231">
        <f>E231*1800</f>
        <v>88200</v>
      </c>
      <c r="G231">
        <f>E231*500</f>
        <v>24500</v>
      </c>
      <c r="H231">
        <f>E231*1300</f>
        <v>63700</v>
      </c>
    </row>
    <row r="232" spans="1:10" hidden="1" x14ac:dyDescent="0.25">
      <c r="C232" t="s">
        <v>571</v>
      </c>
      <c r="D232" t="s">
        <v>11</v>
      </c>
      <c r="E232">
        <v>24</v>
      </c>
      <c r="F232">
        <f>E232*1700</f>
        <v>40800</v>
      </c>
      <c r="G232">
        <f>E232*500</f>
        <v>12000</v>
      </c>
      <c r="H232">
        <f>E232*1200</f>
        <v>28800</v>
      </c>
    </row>
    <row r="233" spans="1:10" hidden="1" x14ac:dyDescent="0.25">
      <c r="C233" t="s">
        <v>306</v>
      </c>
      <c r="D233" t="s">
        <v>11</v>
      </c>
      <c r="E233">
        <v>16</v>
      </c>
      <c r="F233">
        <f>E233*1800</f>
        <v>28800</v>
      </c>
      <c r="G233">
        <f>E233*500</f>
        <v>8000</v>
      </c>
      <c r="H233">
        <f>E233*1300</f>
        <v>20800</v>
      </c>
    </row>
    <row r="234" spans="1:10" hidden="1" x14ac:dyDescent="0.25">
      <c r="C234" t="s">
        <v>16</v>
      </c>
      <c r="D234" t="s">
        <v>11</v>
      </c>
      <c r="E234">
        <v>45</v>
      </c>
      <c r="F234">
        <f>E234*1500</f>
        <v>67500</v>
      </c>
      <c r="G234">
        <f>E234*500</f>
        <v>22500</v>
      </c>
      <c r="H234">
        <f>E234*1000</f>
        <v>45000</v>
      </c>
    </row>
    <row r="235" spans="1:10" hidden="1" x14ac:dyDescent="0.25">
      <c r="D235" t="s">
        <v>12</v>
      </c>
      <c r="E235">
        <v>1</v>
      </c>
      <c r="F235">
        <v>3000</v>
      </c>
      <c r="G235">
        <v>2000</v>
      </c>
      <c r="H235">
        <v>1000</v>
      </c>
      <c r="J235" s="35">
        <f>E276+E262+E245+E235+E228+E219+E205+E194+E186+E166+E153+E146+E122+E100+E88+E62+E44+E20+E6</f>
        <v>61</v>
      </c>
    </row>
    <row r="236" spans="1:10" hidden="1" x14ac:dyDescent="0.25">
      <c r="D236" t="s">
        <v>13</v>
      </c>
      <c r="E236">
        <v>2</v>
      </c>
      <c r="F236">
        <v>13000</v>
      </c>
      <c r="G236">
        <v>9000</v>
      </c>
      <c r="H236">
        <v>4000</v>
      </c>
    </row>
    <row r="237" spans="1:10" hidden="1" x14ac:dyDescent="0.25">
      <c r="C237" t="s">
        <v>846</v>
      </c>
      <c r="D237" t="s">
        <v>13</v>
      </c>
      <c r="E237">
        <v>1</v>
      </c>
      <c r="F237">
        <v>8000</v>
      </c>
      <c r="G237">
        <v>4500</v>
      </c>
      <c r="H237">
        <v>3500</v>
      </c>
    </row>
    <row r="238" spans="1:10" hidden="1" x14ac:dyDescent="0.25">
      <c r="D238" t="s">
        <v>14</v>
      </c>
      <c r="E238">
        <v>6</v>
      </c>
      <c r="F238">
        <f>E238*12000</f>
        <v>72000</v>
      </c>
      <c r="G238">
        <f>E238*5500</f>
        <v>33000</v>
      </c>
      <c r="H238">
        <f>E238*6500</f>
        <v>39000</v>
      </c>
    </row>
    <row r="239" spans="1:10" hidden="1" x14ac:dyDescent="0.25">
      <c r="D239" t="s">
        <v>243</v>
      </c>
      <c r="E239">
        <v>3</v>
      </c>
      <c r="F239">
        <f>E239*17000</f>
        <v>51000</v>
      </c>
      <c r="G239">
        <f>E239*10000</f>
        <v>30000</v>
      </c>
      <c r="H239">
        <f>E239*7000</f>
        <v>21000</v>
      </c>
    </row>
    <row r="240" spans="1:10" hidden="1" x14ac:dyDescent="0.25">
      <c r="A240" s="142" t="s">
        <v>17</v>
      </c>
      <c r="B240" s="142"/>
      <c r="C240" s="142"/>
      <c r="D240" s="142"/>
      <c r="E240" s="13">
        <f>SUM(E231:E239)</f>
        <v>147</v>
      </c>
      <c r="F240" s="13">
        <f t="shared" ref="F240:H240" si="24">SUM(F231:F239)</f>
        <v>372300</v>
      </c>
      <c r="G240" s="13">
        <f t="shared" si="24"/>
        <v>145500</v>
      </c>
      <c r="H240" s="13">
        <f t="shared" si="24"/>
        <v>226800</v>
      </c>
    </row>
    <row r="241" spans="1:8" hidden="1" x14ac:dyDescent="0.25">
      <c r="A241" t="s">
        <v>18</v>
      </c>
      <c r="B241" t="s">
        <v>893</v>
      </c>
      <c r="C241" t="s">
        <v>581</v>
      </c>
      <c r="D241" t="s">
        <v>11</v>
      </c>
      <c r="E241">
        <v>264</v>
      </c>
      <c r="F241">
        <f>E241*1500</f>
        <v>396000</v>
      </c>
      <c r="G241">
        <f>E241*500</f>
        <v>132000</v>
      </c>
      <c r="H241">
        <f>E241*1000</f>
        <v>264000</v>
      </c>
    </row>
    <row r="242" spans="1:8" hidden="1" x14ac:dyDescent="0.25">
      <c r="C242" t="s">
        <v>104</v>
      </c>
      <c r="D242" t="s">
        <v>11</v>
      </c>
      <c r="E242">
        <v>90</v>
      </c>
      <c r="F242">
        <f>E242*1700</f>
        <v>153000</v>
      </c>
      <c r="G242">
        <f>E242*500</f>
        <v>45000</v>
      </c>
      <c r="H242">
        <f>E242*1200</f>
        <v>108000</v>
      </c>
    </row>
    <row r="243" spans="1:8" hidden="1" x14ac:dyDescent="0.25">
      <c r="C243" t="s">
        <v>571</v>
      </c>
      <c r="D243" t="s">
        <v>11</v>
      </c>
      <c r="E243">
        <v>29</v>
      </c>
      <c r="F243">
        <f>E243*1700</f>
        <v>49300</v>
      </c>
      <c r="G243">
        <f>E243*500</f>
        <v>14500</v>
      </c>
      <c r="H243">
        <f>E243*1200</f>
        <v>34800</v>
      </c>
    </row>
    <row r="244" spans="1:8" hidden="1" x14ac:dyDescent="0.25">
      <c r="C244" t="s">
        <v>16</v>
      </c>
      <c r="D244" t="s">
        <v>11</v>
      </c>
      <c r="E244">
        <v>56</v>
      </c>
      <c r="F244">
        <f>E244*1500</f>
        <v>84000</v>
      </c>
      <c r="G244">
        <f>E244*500</f>
        <v>28000</v>
      </c>
      <c r="H244">
        <f>E244*1000</f>
        <v>56000</v>
      </c>
    </row>
    <row r="245" spans="1:8" hidden="1" x14ac:dyDescent="0.25">
      <c r="D245" t="s">
        <v>12</v>
      </c>
      <c r="E245">
        <v>2</v>
      </c>
      <c r="F245">
        <v>6000</v>
      </c>
      <c r="G245">
        <v>4000</v>
      </c>
      <c r="H245">
        <v>2000</v>
      </c>
    </row>
    <row r="246" spans="1:8" hidden="1" x14ac:dyDescent="0.25">
      <c r="A246" s="142" t="s">
        <v>17</v>
      </c>
      <c r="B246" s="142"/>
      <c r="C246" s="142"/>
      <c r="D246" s="142"/>
      <c r="E246" s="13">
        <f>SUM(E241:E245)</f>
        <v>441</v>
      </c>
      <c r="F246" s="13">
        <f t="shared" ref="F246:H246" si="25">SUM(F241:F245)</f>
        <v>688300</v>
      </c>
      <c r="G246" s="13">
        <f t="shared" si="25"/>
        <v>223500</v>
      </c>
      <c r="H246" s="13">
        <f t="shared" si="25"/>
        <v>464800</v>
      </c>
    </row>
    <row r="247" spans="1:8" hidden="1" x14ac:dyDescent="0.25">
      <c r="A247" t="s">
        <v>22</v>
      </c>
      <c r="B247" s="3">
        <v>45562</v>
      </c>
      <c r="C247" t="s">
        <v>338</v>
      </c>
      <c r="D247" t="s">
        <v>11</v>
      </c>
      <c r="E247">
        <v>120</v>
      </c>
      <c r="F247" s="79">
        <f>E247*1800</f>
        <v>216000</v>
      </c>
      <c r="G247" s="79">
        <f>E247*500</f>
        <v>60000</v>
      </c>
      <c r="H247" s="79">
        <f>E247*1300</f>
        <v>156000</v>
      </c>
    </row>
    <row r="248" spans="1:8" hidden="1" x14ac:dyDescent="0.25">
      <c r="C248" t="s">
        <v>571</v>
      </c>
      <c r="D248" t="s">
        <v>11</v>
      </c>
      <c r="E248">
        <v>29</v>
      </c>
      <c r="F248" s="79">
        <f>E248*1700</f>
        <v>49300</v>
      </c>
      <c r="G248" s="79">
        <f>E248*500</f>
        <v>14500</v>
      </c>
      <c r="H248" s="79">
        <f>E248*1200</f>
        <v>34800</v>
      </c>
    </row>
    <row r="249" spans="1:8" hidden="1" x14ac:dyDescent="0.25">
      <c r="C249" t="s">
        <v>104</v>
      </c>
      <c r="D249" t="s">
        <v>11</v>
      </c>
      <c r="E249">
        <v>37</v>
      </c>
      <c r="F249" s="79">
        <f>E249*1700</f>
        <v>62900</v>
      </c>
      <c r="G249" s="79">
        <f>E249*500</f>
        <v>18500</v>
      </c>
      <c r="H249" s="79">
        <f>E249*1200</f>
        <v>44400</v>
      </c>
    </row>
    <row r="250" spans="1:8" hidden="1" x14ac:dyDescent="0.25">
      <c r="C250" t="s">
        <v>306</v>
      </c>
      <c r="D250" t="s">
        <v>11</v>
      </c>
      <c r="E250">
        <v>17</v>
      </c>
      <c r="F250" s="79">
        <f>E250*1800</f>
        <v>30600</v>
      </c>
      <c r="G250" s="79">
        <f>E250*500</f>
        <v>8500</v>
      </c>
      <c r="H250" s="79">
        <f>E250*1300</f>
        <v>22100</v>
      </c>
    </row>
    <row r="251" spans="1:8" hidden="1" x14ac:dyDescent="0.25">
      <c r="C251" t="s">
        <v>853</v>
      </c>
      <c r="D251" t="s">
        <v>13</v>
      </c>
      <c r="E251">
        <v>6</v>
      </c>
      <c r="F251" s="79">
        <f>E251*8000</f>
        <v>48000</v>
      </c>
      <c r="G251" s="79">
        <f>E251*4500</f>
        <v>27000</v>
      </c>
      <c r="H251" s="79">
        <f>E251*3500</f>
        <v>21000</v>
      </c>
    </row>
    <row r="252" spans="1:8" hidden="1" x14ac:dyDescent="0.25">
      <c r="D252" t="s">
        <v>14</v>
      </c>
      <c r="E252">
        <v>3</v>
      </c>
      <c r="F252" s="79">
        <f>E252*10000</f>
        <v>30000</v>
      </c>
      <c r="G252" s="79">
        <f>E252*5500</f>
        <v>16500</v>
      </c>
      <c r="H252" s="79">
        <f>E252*4500</f>
        <v>13500</v>
      </c>
    </row>
    <row r="253" spans="1:8" hidden="1" x14ac:dyDescent="0.25">
      <c r="D253" t="s">
        <v>243</v>
      </c>
      <c r="E253">
        <v>2</v>
      </c>
      <c r="F253" s="79">
        <v>24000</v>
      </c>
      <c r="G253" s="79">
        <v>20000</v>
      </c>
      <c r="H253" s="79">
        <v>4000</v>
      </c>
    </row>
    <row r="254" spans="1:8" hidden="1" x14ac:dyDescent="0.25">
      <c r="C254" t="s">
        <v>24</v>
      </c>
      <c r="D254" t="s">
        <v>243</v>
      </c>
      <c r="E254">
        <v>5</v>
      </c>
      <c r="F254" s="79">
        <v>60000</v>
      </c>
      <c r="G254" s="79">
        <v>50000</v>
      </c>
      <c r="H254" s="79">
        <v>10000</v>
      </c>
    </row>
    <row r="255" spans="1:8" hidden="1" x14ac:dyDescent="0.25">
      <c r="C255" t="s">
        <v>846</v>
      </c>
      <c r="D255" t="s">
        <v>13</v>
      </c>
      <c r="E255">
        <v>8</v>
      </c>
      <c r="F255" s="79">
        <f>E255*8000</f>
        <v>64000</v>
      </c>
      <c r="G255" s="79">
        <f>E255*4500</f>
        <v>36000</v>
      </c>
      <c r="H255" s="79">
        <f>E255*3500</f>
        <v>28000</v>
      </c>
    </row>
    <row r="256" spans="1:8" hidden="1" x14ac:dyDescent="0.25">
      <c r="D256" t="s">
        <v>14</v>
      </c>
      <c r="E256">
        <v>1</v>
      </c>
      <c r="F256" s="79">
        <v>12000</v>
      </c>
      <c r="G256" s="79">
        <v>5500</v>
      </c>
      <c r="H256" s="79">
        <v>6500</v>
      </c>
    </row>
    <row r="257" spans="1:8" hidden="1" x14ac:dyDescent="0.25">
      <c r="D257" t="s">
        <v>243</v>
      </c>
      <c r="E257">
        <v>1</v>
      </c>
      <c r="F257" s="79">
        <v>17000</v>
      </c>
      <c r="G257" s="79">
        <v>10000</v>
      </c>
      <c r="H257" s="79">
        <v>7000</v>
      </c>
    </row>
    <row r="258" spans="1:8" hidden="1" x14ac:dyDescent="0.25">
      <c r="D258" t="s">
        <v>11</v>
      </c>
      <c r="E258">
        <v>2</v>
      </c>
      <c r="F258" s="79">
        <v>6000</v>
      </c>
      <c r="G258" s="79">
        <v>1000</v>
      </c>
      <c r="H258" s="79">
        <v>5000</v>
      </c>
    </row>
    <row r="259" spans="1:8" hidden="1" x14ac:dyDescent="0.25">
      <c r="C259" t="s">
        <v>16</v>
      </c>
      <c r="D259" t="s">
        <v>11</v>
      </c>
      <c r="E259">
        <v>35</v>
      </c>
      <c r="F259" s="79">
        <f>E259*1500</f>
        <v>52500</v>
      </c>
      <c r="G259" s="79">
        <f>E259*500</f>
        <v>17500</v>
      </c>
      <c r="H259" s="79">
        <f>E259*1000</f>
        <v>35000</v>
      </c>
    </row>
    <row r="260" spans="1:8" hidden="1" x14ac:dyDescent="0.25">
      <c r="A260" s="111" t="s">
        <v>17</v>
      </c>
      <c r="B260" s="111"/>
      <c r="C260" s="111"/>
      <c r="D260" s="111"/>
      <c r="E260" s="78">
        <f>SUM(E247:E259)</f>
        <v>266</v>
      </c>
      <c r="F260" s="78">
        <f t="shared" ref="F260:H260" si="26">SUM(F247:F259)</f>
        <v>672300</v>
      </c>
      <c r="G260" s="78">
        <f t="shared" si="26"/>
        <v>285000</v>
      </c>
      <c r="H260" s="78">
        <f t="shared" si="26"/>
        <v>387300</v>
      </c>
    </row>
    <row r="261" spans="1:8" hidden="1" x14ac:dyDescent="0.25">
      <c r="A261" t="s">
        <v>26</v>
      </c>
      <c r="B261" s="3">
        <v>45563</v>
      </c>
      <c r="C261" t="s">
        <v>16</v>
      </c>
      <c r="D261" t="s">
        <v>11</v>
      </c>
      <c r="E261">
        <v>24</v>
      </c>
      <c r="F261">
        <f>E261*1500</f>
        <v>36000</v>
      </c>
      <c r="G261">
        <f>E261*500</f>
        <v>12000</v>
      </c>
      <c r="H261" s="79">
        <v>24000</v>
      </c>
    </row>
    <row r="262" spans="1:8" hidden="1" x14ac:dyDescent="0.25">
      <c r="D262" t="s">
        <v>12</v>
      </c>
      <c r="E262">
        <v>2</v>
      </c>
      <c r="F262">
        <v>6000</v>
      </c>
      <c r="G262">
        <v>4000</v>
      </c>
      <c r="H262" s="79">
        <v>2000</v>
      </c>
    </row>
    <row r="263" spans="1:8" hidden="1" x14ac:dyDescent="0.25">
      <c r="C263" t="s">
        <v>846</v>
      </c>
      <c r="D263" t="s">
        <v>13</v>
      </c>
      <c r="E263">
        <v>8</v>
      </c>
      <c r="F263">
        <f>E263*8000</f>
        <v>64000</v>
      </c>
      <c r="G263">
        <f>E263*4500</f>
        <v>36000</v>
      </c>
      <c r="H263">
        <f>E263*3500</f>
        <v>28000</v>
      </c>
    </row>
    <row r="264" spans="1:8" hidden="1" x14ac:dyDescent="0.25">
      <c r="D264" t="s">
        <v>14</v>
      </c>
      <c r="E264">
        <v>4</v>
      </c>
      <c r="F264">
        <f>E264*12000</f>
        <v>48000</v>
      </c>
      <c r="G264">
        <f>E264*5500</f>
        <v>22000</v>
      </c>
      <c r="H264">
        <f>E264*6500</f>
        <v>26000</v>
      </c>
    </row>
    <row r="265" spans="1:8" hidden="1" x14ac:dyDescent="0.25">
      <c r="D265" t="s">
        <v>415</v>
      </c>
      <c r="E265">
        <v>1</v>
      </c>
      <c r="F265">
        <v>7000</v>
      </c>
      <c r="G265">
        <v>3500</v>
      </c>
      <c r="H265">
        <v>3500</v>
      </c>
    </row>
    <row r="266" spans="1:8" hidden="1" x14ac:dyDescent="0.25">
      <c r="A266" s="112" t="s">
        <v>17</v>
      </c>
      <c r="B266" s="112"/>
      <c r="C266" s="112"/>
      <c r="D266" s="112"/>
      <c r="E266" s="78">
        <f>SUM(E261:E265)</f>
        <v>39</v>
      </c>
      <c r="F266" s="78">
        <f t="shared" ref="F266:H266" si="27">SUM(F261:F265)</f>
        <v>161000</v>
      </c>
      <c r="G266" s="78">
        <f t="shared" si="27"/>
        <v>77500</v>
      </c>
      <c r="H266" s="78">
        <f t="shared" si="27"/>
        <v>83500</v>
      </c>
    </row>
    <row r="267" spans="1:8" hidden="1" x14ac:dyDescent="0.25">
      <c r="A267" t="s">
        <v>28</v>
      </c>
      <c r="B267" s="3">
        <v>45564</v>
      </c>
      <c r="C267" t="s">
        <v>693</v>
      </c>
      <c r="D267" t="s">
        <v>11</v>
      </c>
      <c r="E267">
        <v>6</v>
      </c>
      <c r="F267">
        <f>E267*2000</f>
        <v>12000</v>
      </c>
      <c r="G267">
        <f>E267*500</f>
        <v>3000</v>
      </c>
      <c r="H267">
        <f>E267*1500</f>
        <v>9000</v>
      </c>
    </row>
    <row r="268" spans="1:8" hidden="1" x14ac:dyDescent="0.25">
      <c r="D268" t="s">
        <v>13</v>
      </c>
      <c r="E268">
        <v>31</v>
      </c>
      <c r="F268" s="79">
        <f>E268*7000</f>
        <v>217000</v>
      </c>
      <c r="G268" s="79">
        <f>E268*4500</f>
        <v>139500</v>
      </c>
      <c r="H268" s="79">
        <f>E268*2500</f>
        <v>77500</v>
      </c>
    </row>
    <row r="269" spans="1:8" hidden="1" x14ac:dyDescent="0.25">
      <c r="D269" t="s">
        <v>14</v>
      </c>
      <c r="E269">
        <v>22</v>
      </c>
      <c r="F269" s="79">
        <f>E269*10000</f>
        <v>220000</v>
      </c>
      <c r="G269" s="79">
        <f>E269*5500</f>
        <v>121000</v>
      </c>
      <c r="H269" s="79">
        <f>E269*4500</f>
        <v>99000</v>
      </c>
    </row>
    <row r="270" spans="1:8" hidden="1" x14ac:dyDescent="0.25">
      <c r="C270" t="s">
        <v>217</v>
      </c>
      <c r="D270" t="s">
        <v>11</v>
      </c>
      <c r="E270">
        <v>12</v>
      </c>
      <c r="F270" s="79">
        <f>E270*1500</f>
        <v>18000</v>
      </c>
      <c r="G270" s="79">
        <f>E270*500</f>
        <v>6000</v>
      </c>
      <c r="H270" s="79">
        <v>12000</v>
      </c>
    </row>
    <row r="271" spans="1:8" hidden="1" x14ac:dyDescent="0.25">
      <c r="D271" t="s">
        <v>13</v>
      </c>
      <c r="E271">
        <v>22</v>
      </c>
      <c r="F271" s="79">
        <f>E271*6500</f>
        <v>143000</v>
      </c>
      <c r="G271" s="79">
        <f>E271*4500</f>
        <v>99000</v>
      </c>
      <c r="H271" s="79">
        <f>E271*2000</f>
        <v>44000</v>
      </c>
    </row>
    <row r="272" spans="1:8" hidden="1" x14ac:dyDescent="0.25">
      <c r="D272" t="s">
        <v>14</v>
      </c>
      <c r="E272">
        <v>15</v>
      </c>
      <c r="F272" s="79">
        <f>E272*10000</f>
        <v>150000</v>
      </c>
      <c r="G272" s="79">
        <f>E272*5500</f>
        <v>82500</v>
      </c>
      <c r="H272" s="79">
        <f>E272*4500</f>
        <v>67500</v>
      </c>
    </row>
    <row r="273" spans="1:8" hidden="1" x14ac:dyDescent="0.25">
      <c r="C273" t="s">
        <v>846</v>
      </c>
      <c r="D273" t="s">
        <v>13</v>
      </c>
      <c r="E273">
        <v>2</v>
      </c>
      <c r="F273" s="79">
        <f>E273*8000</f>
        <v>16000</v>
      </c>
      <c r="G273" s="79">
        <f>E273*4500</f>
        <v>9000</v>
      </c>
      <c r="H273" s="79">
        <f>E273*3500</f>
        <v>7000</v>
      </c>
    </row>
    <row r="274" spans="1:8" hidden="1" x14ac:dyDescent="0.25">
      <c r="D274" t="s">
        <v>14</v>
      </c>
      <c r="E274">
        <v>3</v>
      </c>
      <c r="F274" s="79">
        <v>36000</v>
      </c>
      <c r="G274" s="79">
        <f>E274*5500</f>
        <v>16500</v>
      </c>
      <c r="H274" s="79">
        <f>E274*6500</f>
        <v>19500</v>
      </c>
    </row>
    <row r="275" spans="1:8" hidden="1" x14ac:dyDescent="0.25">
      <c r="C275" t="s">
        <v>16</v>
      </c>
      <c r="D275" t="s">
        <v>11</v>
      </c>
      <c r="E275">
        <v>36</v>
      </c>
      <c r="F275" s="79">
        <f>E275*1500</f>
        <v>54000</v>
      </c>
      <c r="G275" s="79">
        <f>E275*500</f>
        <v>18000</v>
      </c>
      <c r="H275" s="79">
        <v>36000</v>
      </c>
    </row>
    <row r="276" spans="1:8" hidden="1" x14ac:dyDescent="0.25">
      <c r="D276" t="s">
        <v>12</v>
      </c>
      <c r="E276">
        <v>8</v>
      </c>
      <c r="F276" s="79">
        <v>24000</v>
      </c>
      <c r="G276" s="79">
        <v>12000</v>
      </c>
      <c r="H276" s="79">
        <v>8000</v>
      </c>
    </row>
    <row r="277" spans="1:8" hidden="1" x14ac:dyDescent="0.25">
      <c r="D277" t="s">
        <v>13</v>
      </c>
      <c r="E277">
        <v>1</v>
      </c>
      <c r="F277" s="79">
        <v>6500</v>
      </c>
      <c r="G277" s="79">
        <v>4500</v>
      </c>
      <c r="H277" s="79">
        <v>2000</v>
      </c>
    </row>
    <row r="278" spans="1:8" hidden="1" x14ac:dyDescent="0.25">
      <c r="A278" s="112" t="s">
        <v>17</v>
      </c>
      <c r="B278" s="112"/>
      <c r="C278" s="112"/>
      <c r="D278" s="112"/>
      <c r="E278" s="78">
        <f>SUM(E267:E277)</f>
        <v>158</v>
      </c>
      <c r="F278" s="78">
        <f t="shared" ref="F278:H278" si="28">SUM(F267:F277)</f>
        <v>896500</v>
      </c>
      <c r="G278" s="78">
        <f t="shared" si="28"/>
        <v>511000</v>
      </c>
      <c r="H278" s="78">
        <f t="shared" si="28"/>
        <v>381500</v>
      </c>
    </row>
    <row r="279" spans="1:8" hidden="1" x14ac:dyDescent="0.25">
      <c r="A279" t="s">
        <v>30</v>
      </c>
      <c r="B279" s="3">
        <v>45565</v>
      </c>
      <c r="C279" t="s">
        <v>338</v>
      </c>
      <c r="D279" t="s">
        <v>11</v>
      </c>
      <c r="E279">
        <v>59</v>
      </c>
      <c r="F279" s="79">
        <f>E279*1800</f>
        <v>106200</v>
      </c>
      <c r="G279" s="79">
        <f>E279*500</f>
        <v>29500</v>
      </c>
      <c r="H279" s="79">
        <f>E279*1300</f>
        <v>76700</v>
      </c>
    </row>
    <row r="280" spans="1:8" hidden="1" x14ac:dyDescent="0.25">
      <c r="C280" t="s">
        <v>104</v>
      </c>
      <c r="D280" t="s">
        <v>11</v>
      </c>
      <c r="E280">
        <v>23</v>
      </c>
      <c r="F280" s="79">
        <f>E280*1700</f>
        <v>39100</v>
      </c>
      <c r="G280" s="79">
        <f>E280*500</f>
        <v>11500</v>
      </c>
      <c r="H280" s="79">
        <f>E280*1200</f>
        <v>27600</v>
      </c>
    </row>
    <row r="281" spans="1:8" hidden="1" x14ac:dyDescent="0.25">
      <c r="C281" t="s">
        <v>571</v>
      </c>
      <c r="D281" t="s">
        <v>11</v>
      </c>
      <c r="E281">
        <v>17</v>
      </c>
      <c r="F281" s="79">
        <f>E281*1700</f>
        <v>28900</v>
      </c>
      <c r="G281" s="79">
        <f>E281*500</f>
        <v>8500</v>
      </c>
      <c r="H281" s="79">
        <f>E281*1200</f>
        <v>20400</v>
      </c>
    </row>
    <row r="282" spans="1:8" hidden="1" x14ac:dyDescent="0.25">
      <c r="C282" t="s">
        <v>846</v>
      </c>
      <c r="D282" t="s">
        <v>13</v>
      </c>
      <c r="E282">
        <v>3</v>
      </c>
      <c r="F282" s="79">
        <f>E282*8000</f>
        <v>24000</v>
      </c>
      <c r="G282" s="79">
        <f>E282*4500</f>
        <v>13500</v>
      </c>
      <c r="H282" s="79">
        <f>E282*3500</f>
        <v>10500</v>
      </c>
    </row>
    <row r="283" spans="1:8" hidden="1" x14ac:dyDescent="0.25">
      <c r="D283" t="s">
        <v>14</v>
      </c>
      <c r="E283">
        <v>4</v>
      </c>
      <c r="F283" s="79">
        <f>E283*12000</f>
        <v>48000</v>
      </c>
      <c r="G283" s="79">
        <f>E283*5500</f>
        <v>22000</v>
      </c>
      <c r="H283" s="79">
        <f>E283*6500</f>
        <v>26000</v>
      </c>
    </row>
    <row r="284" spans="1:8" hidden="1" x14ac:dyDescent="0.25">
      <c r="D284" t="s">
        <v>243</v>
      </c>
      <c r="E284">
        <v>1</v>
      </c>
      <c r="F284" s="79">
        <v>17000</v>
      </c>
      <c r="G284" s="79">
        <v>10000</v>
      </c>
      <c r="H284" s="79">
        <v>7000</v>
      </c>
    </row>
    <row r="285" spans="1:8" hidden="1" x14ac:dyDescent="0.25">
      <c r="C285" t="s">
        <v>16</v>
      </c>
      <c r="D285" t="s">
        <v>11</v>
      </c>
      <c r="E285">
        <v>29</v>
      </c>
      <c r="F285" s="79">
        <f>E285*1500</f>
        <v>43500</v>
      </c>
      <c r="G285" s="79">
        <f>E285*500</f>
        <v>14500</v>
      </c>
      <c r="H285" s="79">
        <v>29000</v>
      </c>
    </row>
    <row r="286" spans="1:8" hidden="1" x14ac:dyDescent="0.25">
      <c r="D286" t="s">
        <v>13</v>
      </c>
      <c r="E286">
        <v>2</v>
      </c>
      <c r="F286" s="79">
        <v>13000</v>
      </c>
      <c r="G286" s="79">
        <v>9000</v>
      </c>
      <c r="H286" s="79">
        <v>4000</v>
      </c>
    </row>
    <row r="287" spans="1:8" hidden="1" x14ac:dyDescent="0.25">
      <c r="D287" t="s">
        <v>243</v>
      </c>
      <c r="E287">
        <v>1</v>
      </c>
      <c r="F287" s="79">
        <v>13000</v>
      </c>
      <c r="G287" s="79">
        <v>10000</v>
      </c>
      <c r="H287" s="79">
        <v>3000</v>
      </c>
    </row>
    <row r="288" spans="1:8" hidden="1" x14ac:dyDescent="0.25">
      <c r="A288" s="112" t="s">
        <v>17</v>
      </c>
      <c r="B288" s="112"/>
      <c r="C288" s="112"/>
      <c r="D288" s="112"/>
      <c r="E288" s="78">
        <f>SUM(E279:E287)</f>
        <v>139</v>
      </c>
      <c r="F288" s="78">
        <f t="shared" ref="F288:H288" si="29">SUM(F279:F287)</f>
        <v>332700</v>
      </c>
      <c r="G288" s="78">
        <f t="shared" si="29"/>
        <v>128500</v>
      </c>
      <c r="H288" s="78">
        <f t="shared" si="29"/>
        <v>204200</v>
      </c>
    </row>
    <row r="289" spans="10:11" x14ac:dyDescent="0.25">
      <c r="K289">
        <f>E9+E68+E142+E201+E270</f>
        <v>42</v>
      </c>
    </row>
    <row r="290" spans="10:11" x14ac:dyDescent="0.25">
      <c r="K290">
        <f>24+7</f>
        <v>31</v>
      </c>
    </row>
    <row r="294" spans="10:11" x14ac:dyDescent="0.25">
      <c r="J294">
        <f>E53+E213</f>
        <v>163</v>
      </c>
    </row>
  </sheetData>
  <autoFilter ref="A1:H288" xr:uid="{00000000-0001-0000-2200-000000000000}">
    <filterColumn colId="3">
      <filters>
        <filter val="TAWAR"/>
      </filters>
    </filterColumn>
  </autoFilter>
  <mergeCells count="30">
    <mergeCell ref="A288:D288"/>
    <mergeCell ref="A58:D58"/>
    <mergeCell ref="A107:D107"/>
    <mergeCell ref="A95:D95"/>
    <mergeCell ref="A188:D188"/>
    <mergeCell ref="A84:D84"/>
    <mergeCell ref="A64:D64"/>
    <mergeCell ref="A179:D179"/>
    <mergeCell ref="A72:D72"/>
    <mergeCell ref="A172:D172"/>
    <mergeCell ref="A156:D156"/>
    <mergeCell ref="A162:D162"/>
    <mergeCell ref="A137:D137"/>
    <mergeCell ref="A151:D151"/>
    <mergeCell ref="A260:D260"/>
    <mergeCell ref="A266:D266"/>
    <mergeCell ref="A15:D15"/>
    <mergeCell ref="A24:D24"/>
    <mergeCell ref="A30:D30"/>
    <mergeCell ref="A40:D40"/>
    <mergeCell ref="A50:D50"/>
    <mergeCell ref="A278:D278"/>
    <mergeCell ref="A126:D126"/>
    <mergeCell ref="A116:D116"/>
    <mergeCell ref="A197:D197"/>
    <mergeCell ref="A230:D230"/>
    <mergeCell ref="A222:D222"/>
    <mergeCell ref="A246:D246"/>
    <mergeCell ref="A240:D240"/>
    <mergeCell ref="A210:D210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F27-859B-4836-8000-275247A7E771}">
  <sheetPr filterMode="1"/>
  <dimension ref="A1:M321"/>
  <sheetViews>
    <sheetView topLeftCell="A119" zoomScaleNormal="100" workbookViewId="0">
      <selection activeCell="L241" sqref="L241"/>
    </sheetView>
  </sheetViews>
  <sheetFormatPr defaultRowHeight="15" x14ac:dyDescent="0.25"/>
  <cols>
    <col min="2" max="2" width="13" customWidth="1"/>
    <col min="5" max="5" width="9.28515625" bestFit="1" customWidth="1"/>
    <col min="6" max="6" width="10.5703125" bestFit="1" customWidth="1"/>
    <col min="7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32</v>
      </c>
      <c r="B2" s="3">
        <v>45566</v>
      </c>
      <c r="C2" t="s">
        <v>571</v>
      </c>
      <c r="D2" t="s">
        <v>11</v>
      </c>
      <c r="E2">
        <v>25</v>
      </c>
      <c r="F2">
        <f>E2*1700</f>
        <v>42500</v>
      </c>
      <c r="G2">
        <f>E2*500</f>
        <v>12500</v>
      </c>
      <c r="H2">
        <f>E2*1200</f>
        <v>30000</v>
      </c>
    </row>
    <row r="3" spans="1:8" hidden="1" x14ac:dyDescent="0.25">
      <c r="C3" t="s">
        <v>846</v>
      </c>
      <c r="D3" t="s">
        <v>13</v>
      </c>
      <c r="E3">
        <v>2</v>
      </c>
      <c r="F3">
        <v>16000</v>
      </c>
      <c r="G3">
        <v>9000</v>
      </c>
      <c r="H3">
        <v>7000</v>
      </c>
    </row>
    <row r="4" spans="1:8" hidden="1" x14ac:dyDescent="0.25">
      <c r="D4" t="s">
        <v>14</v>
      </c>
      <c r="E4">
        <v>4</v>
      </c>
      <c r="F4">
        <f>E4*12000</f>
        <v>48000</v>
      </c>
      <c r="G4">
        <f>E4*5500</f>
        <v>22000</v>
      </c>
      <c r="H4">
        <f>E4*6500</f>
        <v>26000</v>
      </c>
    </row>
    <row r="5" spans="1:8" hidden="1" x14ac:dyDescent="0.25">
      <c r="D5" t="s">
        <v>11</v>
      </c>
      <c r="E5">
        <v>1</v>
      </c>
      <c r="F5">
        <v>3000</v>
      </c>
      <c r="G5">
        <f>E5*500</f>
        <v>500</v>
      </c>
      <c r="H5">
        <v>2000</v>
      </c>
    </row>
    <row r="6" spans="1:8" hidden="1" x14ac:dyDescent="0.25">
      <c r="C6" t="s">
        <v>16</v>
      </c>
      <c r="D6" t="s">
        <v>11</v>
      </c>
      <c r="E6">
        <v>64</v>
      </c>
      <c r="F6">
        <f>E6*1500</f>
        <v>96000</v>
      </c>
      <c r="G6">
        <f>E6*2000</f>
        <v>128000</v>
      </c>
      <c r="H6">
        <v>64000</v>
      </c>
    </row>
    <row r="7" spans="1:8" hidden="1" x14ac:dyDescent="0.25">
      <c r="D7" t="s">
        <v>12</v>
      </c>
      <c r="E7">
        <v>1</v>
      </c>
      <c r="F7">
        <v>3000</v>
      </c>
      <c r="G7">
        <v>2000</v>
      </c>
      <c r="H7">
        <v>1000</v>
      </c>
    </row>
    <row r="8" spans="1:8" hidden="1" x14ac:dyDescent="0.25">
      <c r="A8" s="112" t="s">
        <v>17</v>
      </c>
      <c r="B8" s="112"/>
      <c r="C8" s="112"/>
      <c r="D8" s="112"/>
      <c r="E8" s="78">
        <f>SUM(E2:E7)</f>
        <v>97</v>
      </c>
      <c r="F8" s="78">
        <f t="shared" ref="F8:H8" si="0">SUM(F2:F7)</f>
        <v>208500</v>
      </c>
      <c r="G8" s="78">
        <f t="shared" si="0"/>
        <v>174000</v>
      </c>
      <c r="H8" s="78">
        <f t="shared" si="0"/>
        <v>130000</v>
      </c>
    </row>
    <row r="9" spans="1:8" hidden="1" x14ac:dyDescent="0.25">
      <c r="A9" t="s">
        <v>8</v>
      </c>
      <c r="B9" s="3">
        <v>45567</v>
      </c>
      <c r="C9" t="s">
        <v>338</v>
      </c>
      <c r="D9" t="s">
        <v>11</v>
      </c>
      <c r="E9">
        <v>47</v>
      </c>
      <c r="F9">
        <f>E9*1800</f>
        <v>84600</v>
      </c>
      <c r="G9">
        <f>E9*500</f>
        <v>23500</v>
      </c>
      <c r="H9">
        <f>E9*1300</f>
        <v>61100</v>
      </c>
    </row>
    <row r="10" spans="1:8" hidden="1" x14ac:dyDescent="0.25">
      <c r="C10" t="s">
        <v>571</v>
      </c>
      <c r="D10" t="s">
        <v>11</v>
      </c>
      <c r="E10">
        <v>17</v>
      </c>
      <c r="F10">
        <f>E10*1700</f>
        <v>28900</v>
      </c>
      <c r="G10">
        <f>E10*500</f>
        <v>8500</v>
      </c>
      <c r="H10">
        <f>E10*1200</f>
        <v>20400</v>
      </c>
    </row>
    <row r="11" spans="1:8" hidden="1" x14ac:dyDescent="0.25">
      <c r="C11" t="s">
        <v>306</v>
      </c>
      <c r="D11" t="s">
        <v>11</v>
      </c>
      <c r="E11">
        <v>13</v>
      </c>
      <c r="F11">
        <f>E11*1800</f>
        <v>23400</v>
      </c>
      <c r="G11">
        <f>E11*500</f>
        <v>6500</v>
      </c>
      <c r="H11">
        <f>E11*1300</f>
        <v>16900</v>
      </c>
    </row>
    <row r="12" spans="1:8" hidden="1" x14ac:dyDescent="0.25">
      <c r="C12" t="s">
        <v>846</v>
      </c>
      <c r="D12" t="s">
        <v>13</v>
      </c>
      <c r="E12">
        <v>6</v>
      </c>
      <c r="F12">
        <f>E12*8000</f>
        <v>48000</v>
      </c>
      <c r="G12">
        <f>E12*4500</f>
        <v>27000</v>
      </c>
      <c r="H12">
        <f>E12*3500</f>
        <v>21000</v>
      </c>
    </row>
    <row r="13" spans="1:8" hidden="1" x14ac:dyDescent="0.25">
      <c r="D13" t="s">
        <v>14</v>
      </c>
      <c r="E13">
        <v>2</v>
      </c>
      <c r="F13">
        <v>24000</v>
      </c>
      <c r="G13">
        <f>E13*5500</f>
        <v>11000</v>
      </c>
      <c r="H13">
        <f>E13*6500</f>
        <v>13000</v>
      </c>
    </row>
    <row r="14" spans="1:8" hidden="1" x14ac:dyDescent="0.25">
      <c r="D14" t="s">
        <v>686</v>
      </c>
      <c r="E14">
        <v>1</v>
      </c>
      <c r="F14">
        <f>E14*7000</f>
        <v>7000</v>
      </c>
      <c r="G14">
        <v>3500</v>
      </c>
      <c r="H14">
        <v>3500</v>
      </c>
    </row>
    <row r="15" spans="1:8" hidden="1" x14ac:dyDescent="0.25">
      <c r="A15" s="1"/>
      <c r="B15" s="1"/>
      <c r="C15" t="s">
        <v>16</v>
      </c>
      <c r="D15" t="s">
        <v>11</v>
      </c>
      <c r="E15">
        <v>64</v>
      </c>
      <c r="F15" s="14">
        <f>E15*1500</f>
        <v>96000</v>
      </c>
      <c r="G15" s="14">
        <f>E15*500</f>
        <v>32000</v>
      </c>
      <c r="H15" s="14">
        <v>64000</v>
      </c>
    </row>
    <row r="16" spans="1:8" hidden="1" x14ac:dyDescent="0.25">
      <c r="B16" s="3"/>
      <c r="D16" t="s">
        <v>12</v>
      </c>
      <c r="E16">
        <v>3</v>
      </c>
      <c r="F16">
        <v>9000</v>
      </c>
      <c r="G16">
        <v>6000</v>
      </c>
      <c r="H16">
        <v>3000</v>
      </c>
    </row>
    <row r="17" spans="1:11" hidden="1" x14ac:dyDescent="0.25">
      <c r="D17" t="s">
        <v>13</v>
      </c>
      <c r="E17">
        <v>2</v>
      </c>
      <c r="F17">
        <v>13000</v>
      </c>
      <c r="G17">
        <v>9000</v>
      </c>
      <c r="H17">
        <v>4000</v>
      </c>
    </row>
    <row r="18" spans="1:11" hidden="1" x14ac:dyDescent="0.25">
      <c r="A18" s="112" t="s">
        <v>17</v>
      </c>
      <c r="B18" s="112"/>
      <c r="C18" s="112"/>
      <c r="D18" s="112"/>
      <c r="E18" s="78">
        <f>SUM(E9:E17)</f>
        <v>155</v>
      </c>
      <c r="F18" s="78">
        <f t="shared" ref="F18:H18" si="1">SUM(F9:F17)</f>
        <v>333900</v>
      </c>
      <c r="G18" s="78">
        <f t="shared" si="1"/>
        <v>127000</v>
      </c>
      <c r="H18" s="78">
        <f t="shared" si="1"/>
        <v>206900</v>
      </c>
    </row>
    <row r="19" spans="1:11" hidden="1" x14ac:dyDescent="0.25">
      <c r="A19" t="s">
        <v>18</v>
      </c>
      <c r="B19" s="3">
        <v>45568</v>
      </c>
      <c r="C19" t="s">
        <v>338</v>
      </c>
      <c r="D19" t="s">
        <v>11</v>
      </c>
      <c r="E19">
        <v>53</v>
      </c>
      <c r="F19">
        <f>E19*1800</f>
        <v>95400</v>
      </c>
      <c r="G19">
        <f>E19*500</f>
        <v>26500</v>
      </c>
      <c r="H19">
        <f>E19*1300</f>
        <v>68900</v>
      </c>
    </row>
    <row r="20" spans="1:11" hidden="1" x14ac:dyDescent="0.25">
      <c r="C20" t="s">
        <v>104</v>
      </c>
      <c r="D20" t="s">
        <v>11</v>
      </c>
      <c r="E20">
        <v>82</v>
      </c>
      <c r="F20">
        <f>E20*1700</f>
        <v>139400</v>
      </c>
      <c r="G20">
        <f>E20*500</f>
        <v>41000</v>
      </c>
      <c r="H20">
        <f>E20*1200</f>
        <v>98400</v>
      </c>
    </row>
    <row r="21" spans="1:11" hidden="1" x14ac:dyDescent="0.25">
      <c r="C21" t="s">
        <v>846</v>
      </c>
      <c r="D21" t="s">
        <v>13</v>
      </c>
      <c r="E21">
        <v>2</v>
      </c>
      <c r="F21">
        <v>16000</v>
      </c>
      <c r="G21">
        <v>9000</v>
      </c>
      <c r="H21">
        <v>7000</v>
      </c>
      <c r="K21" s="92">
        <f>E3+E12+E17+E21+E25+E33+E36+E44+E47+E52+E55+E59+E71+E72+E80+E82+E87+E98+E109+E120+E122+E126+E129+E135+E138+E148+E154+E172+E180+E183+E196+E200+E204+E212+E214+E225+E232+E243+E246+E250+E256+E260+E266+E273+E277+E281+E293+E295+E302+E310+E313</f>
        <v>473</v>
      </c>
    </row>
    <row r="22" spans="1:11" hidden="1" x14ac:dyDescent="0.25">
      <c r="D22" t="s">
        <v>14</v>
      </c>
      <c r="E22">
        <v>5</v>
      </c>
      <c r="F22">
        <f>E22*12000</f>
        <v>60000</v>
      </c>
      <c r="G22">
        <f>E22*5500</f>
        <v>27500</v>
      </c>
      <c r="H22">
        <f>E22*6500</f>
        <v>32500</v>
      </c>
    </row>
    <row r="23" spans="1:11" hidden="1" x14ac:dyDescent="0.25">
      <c r="C23" t="s">
        <v>16</v>
      </c>
      <c r="D23" t="s">
        <v>11</v>
      </c>
      <c r="E23">
        <v>51</v>
      </c>
      <c r="F23">
        <f>E23*1500</f>
        <v>76500</v>
      </c>
      <c r="G23">
        <f>E23*500</f>
        <v>25500</v>
      </c>
      <c r="H23">
        <f>E23*1000</f>
        <v>51000</v>
      </c>
    </row>
    <row r="24" spans="1:11" hidden="1" x14ac:dyDescent="0.25">
      <c r="D24" t="s">
        <v>12</v>
      </c>
      <c r="E24">
        <v>5</v>
      </c>
      <c r="F24">
        <f>E24*3000</f>
        <v>15000</v>
      </c>
      <c r="G24">
        <v>10000</v>
      </c>
      <c r="H24">
        <v>5000</v>
      </c>
    </row>
    <row r="25" spans="1:11" hidden="1" x14ac:dyDescent="0.25">
      <c r="D25" t="s">
        <v>13</v>
      </c>
      <c r="E25">
        <v>1</v>
      </c>
      <c r="F25">
        <v>6500</v>
      </c>
      <c r="G25">
        <v>4500</v>
      </c>
      <c r="H25">
        <v>2000</v>
      </c>
    </row>
    <row r="26" spans="1:11" hidden="1" x14ac:dyDescent="0.25">
      <c r="A26" s="112" t="s">
        <v>17</v>
      </c>
      <c r="B26" s="112"/>
      <c r="C26" s="112"/>
      <c r="D26" s="112"/>
      <c r="E26" s="78">
        <f>SUM(E19:E25)</f>
        <v>199</v>
      </c>
      <c r="F26" s="78">
        <f t="shared" ref="F26:H26" si="2">SUM(F19:F25)</f>
        <v>408800</v>
      </c>
      <c r="G26" s="78">
        <f t="shared" si="2"/>
        <v>144000</v>
      </c>
      <c r="H26" s="78">
        <f t="shared" si="2"/>
        <v>264800</v>
      </c>
    </row>
    <row r="27" spans="1:11" hidden="1" x14ac:dyDescent="0.25">
      <c r="A27" t="s">
        <v>22</v>
      </c>
      <c r="B27" s="3">
        <v>45569</v>
      </c>
      <c r="C27" t="s">
        <v>338</v>
      </c>
      <c r="D27" t="s">
        <v>11</v>
      </c>
      <c r="E27">
        <v>102</v>
      </c>
      <c r="F27" s="79">
        <f>E27*1800</f>
        <v>183600</v>
      </c>
      <c r="G27" s="79">
        <f t="shared" ref="G27:G32" si="3">E27*500</f>
        <v>51000</v>
      </c>
      <c r="H27" s="79">
        <f>E27*1300</f>
        <v>132600</v>
      </c>
    </row>
    <row r="28" spans="1:11" hidden="1" x14ac:dyDescent="0.25">
      <c r="C28" t="s">
        <v>581</v>
      </c>
      <c r="D28" t="s">
        <v>11</v>
      </c>
      <c r="E28">
        <v>215</v>
      </c>
      <c r="F28" s="79">
        <f>E28*1500</f>
        <v>322500</v>
      </c>
      <c r="G28" s="79">
        <f t="shared" si="3"/>
        <v>107500</v>
      </c>
      <c r="H28" s="79">
        <v>215000</v>
      </c>
    </row>
    <row r="29" spans="1:11" hidden="1" x14ac:dyDescent="0.25">
      <c r="C29" t="s">
        <v>571</v>
      </c>
      <c r="D29" t="s">
        <v>11</v>
      </c>
      <c r="E29">
        <v>16</v>
      </c>
      <c r="F29" s="79">
        <f>E29*1700</f>
        <v>27200</v>
      </c>
      <c r="G29" s="79">
        <f t="shared" si="3"/>
        <v>8000</v>
      </c>
      <c r="H29" s="79">
        <f>E29*1200</f>
        <v>19200</v>
      </c>
    </row>
    <row r="30" spans="1:11" hidden="1" x14ac:dyDescent="0.25">
      <c r="C30" t="s">
        <v>306</v>
      </c>
      <c r="D30" t="s">
        <v>11</v>
      </c>
      <c r="E30">
        <v>20</v>
      </c>
      <c r="F30" s="79">
        <f>E30*1700</f>
        <v>34000</v>
      </c>
      <c r="G30" s="79">
        <f t="shared" si="3"/>
        <v>10000</v>
      </c>
      <c r="H30" s="79">
        <f>E30*1200</f>
        <v>24000</v>
      </c>
    </row>
    <row r="31" spans="1:11" hidden="1" x14ac:dyDescent="0.25">
      <c r="C31" t="s">
        <v>104</v>
      </c>
      <c r="D31" t="s">
        <v>11</v>
      </c>
      <c r="E31">
        <v>19</v>
      </c>
      <c r="F31" s="79">
        <f>E31*1700</f>
        <v>32300</v>
      </c>
      <c r="G31" s="79">
        <f t="shared" si="3"/>
        <v>9500</v>
      </c>
      <c r="H31" s="79">
        <f>E31*1200</f>
        <v>22800</v>
      </c>
    </row>
    <row r="32" spans="1:11" hidden="1" x14ac:dyDescent="0.25">
      <c r="C32" t="s">
        <v>894</v>
      </c>
      <c r="D32" t="s">
        <v>11</v>
      </c>
      <c r="E32">
        <v>80</v>
      </c>
      <c r="F32" s="79">
        <f>E32*1500</f>
        <v>120000</v>
      </c>
      <c r="G32" s="79">
        <f t="shared" si="3"/>
        <v>40000</v>
      </c>
      <c r="H32" s="79">
        <v>80000</v>
      </c>
    </row>
    <row r="33" spans="1:13" hidden="1" x14ac:dyDescent="0.25">
      <c r="C33" t="s">
        <v>846</v>
      </c>
      <c r="D33" t="s">
        <v>13</v>
      </c>
      <c r="E33">
        <v>8</v>
      </c>
      <c r="F33" s="79">
        <f>E33*8000</f>
        <v>64000</v>
      </c>
      <c r="G33" s="79">
        <f>E33*4500</f>
        <v>36000</v>
      </c>
      <c r="H33" s="79">
        <f>E33*3500</f>
        <v>28000</v>
      </c>
    </row>
    <row r="34" spans="1:13" hidden="1" x14ac:dyDescent="0.25">
      <c r="D34" t="s">
        <v>14</v>
      </c>
      <c r="E34">
        <v>5</v>
      </c>
      <c r="F34" s="79">
        <f>E34*12000</f>
        <v>60000</v>
      </c>
      <c r="G34" s="79">
        <f>E34*5500</f>
        <v>27500</v>
      </c>
      <c r="H34" s="79">
        <f>E34*6500</f>
        <v>32500</v>
      </c>
    </row>
    <row r="35" spans="1:13" hidden="1" x14ac:dyDescent="0.25">
      <c r="D35" t="s">
        <v>243</v>
      </c>
      <c r="E35">
        <v>1</v>
      </c>
      <c r="F35" s="79">
        <v>17000</v>
      </c>
      <c r="G35" s="79">
        <v>10000</v>
      </c>
      <c r="H35" s="79">
        <v>7000</v>
      </c>
    </row>
    <row r="36" spans="1:13" hidden="1" x14ac:dyDescent="0.25">
      <c r="C36" t="s">
        <v>20</v>
      </c>
      <c r="D36" t="s">
        <v>13</v>
      </c>
      <c r="E36">
        <v>12</v>
      </c>
      <c r="F36" s="79">
        <f>E36*8000</f>
        <v>96000</v>
      </c>
      <c r="G36" s="79">
        <f>E36*4500</f>
        <v>54000</v>
      </c>
      <c r="H36" s="79">
        <f>E36*3500</f>
        <v>42000</v>
      </c>
    </row>
    <row r="37" spans="1:13" hidden="1" x14ac:dyDescent="0.25">
      <c r="D37" t="s">
        <v>14</v>
      </c>
      <c r="E37">
        <v>6</v>
      </c>
      <c r="F37" s="79">
        <f>E37*12000</f>
        <v>72000</v>
      </c>
      <c r="G37" s="79">
        <f>E37*5500</f>
        <v>33000</v>
      </c>
      <c r="H37" s="79">
        <f>E37*6500</f>
        <v>39000</v>
      </c>
      <c r="M37" s="92">
        <f>E4+E13+E22+E34+E37+E45+E48+E53+E56+E60+E61+E73+E81+E88+E99+E110+E121+E127+E130+E136+E139+E149+E155+E173+E184+E189+E197+E201+E205+E213+E223+E233+E235+E244+E247+E251+E252+E261+E267+E274+E279+E282+E285+E294+E296+E303+E311</f>
        <v>306</v>
      </c>
    </row>
    <row r="38" spans="1:13" hidden="1" x14ac:dyDescent="0.25">
      <c r="C38" t="s">
        <v>16</v>
      </c>
      <c r="D38" t="s">
        <v>11</v>
      </c>
      <c r="E38">
        <v>63</v>
      </c>
      <c r="F38" s="79">
        <f>E38*1500</f>
        <v>94500</v>
      </c>
      <c r="G38" s="79">
        <f>E38*500</f>
        <v>31500</v>
      </c>
      <c r="H38" s="79">
        <f>E38*1000</f>
        <v>63000</v>
      </c>
    </row>
    <row r="39" spans="1:13" hidden="1" x14ac:dyDescent="0.25">
      <c r="D39" t="s">
        <v>12</v>
      </c>
      <c r="E39">
        <v>1</v>
      </c>
      <c r="F39" s="79">
        <v>3000</v>
      </c>
      <c r="G39" s="79">
        <v>2000</v>
      </c>
      <c r="H39" s="79">
        <v>1000</v>
      </c>
    </row>
    <row r="40" spans="1:13" hidden="1" x14ac:dyDescent="0.25">
      <c r="C40" t="s">
        <v>24</v>
      </c>
      <c r="D40" t="s">
        <v>243</v>
      </c>
      <c r="E40">
        <v>21</v>
      </c>
      <c r="F40" s="79">
        <f>E40*12000</f>
        <v>252000</v>
      </c>
      <c r="G40" s="79">
        <f>E40*9000</f>
        <v>189000</v>
      </c>
      <c r="H40" s="79">
        <f>E40*3000</f>
        <v>63000</v>
      </c>
    </row>
    <row r="41" spans="1:13" hidden="1" x14ac:dyDescent="0.25">
      <c r="A41" s="112" t="s">
        <v>17</v>
      </c>
      <c r="B41" s="112"/>
      <c r="C41" s="112"/>
      <c r="D41" s="112"/>
      <c r="E41" s="78">
        <f>SUM(E27:E40)</f>
        <v>569</v>
      </c>
      <c r="F41" s="78">
        <f t="shared" ref="F41:H41" si="4">SUM(F27:F40)</f>
        <v>1378100</v>
      </c>
      <c r="G41" s="78">
        <f t="shared" si="4"/>
        <v>609000</v>
      </c>
      <c r="H41" s="78">
        <f t="shared" si="4"/>
        <v>769100</v>
      </c>
    </row>
    <row r="42" spans="1:13" hidden="1" x14ac:dyDescent="0.25">
      <c r="A42" t="s">
        <v>895</v>
      </c>
      <c r="B42" s="3">
        <v>45570</v>
      </c>
      <c r="C42" t="s">
        <v>338</v>
      </c>
      <c r="D42" t="s">
        <v>11</v>
      </c>
      <c r="E42">
        <f>54+60</f>
        <v>114</v>
      </c>
      <c r="F42" s="79">
        <f>E42*1800</f>
        <v>205200</v>
      </c>
      <c r="G42" s="79">
        <f>E42*500</f>
        <v>57000</v>
      </c>
      <c r="H42" s="79">
        <f>E42*1300</f>
        <v>148200</v>
      </c>
    </row>
    <row r="43" spans="1:13" hidden="1" x14ac:dyDescent="0.25">
      <c r="C43" t="s">
        <v>104</v>
      </c>
      <c r="D43" t="s">
        <v>11</v>
      </c>
      <c r="E43">
        <v>19</v>
      </c>
      <c r="F43" s="79">
        <f>E43*1700</f>
        <v>32300</v>
      </c>
      <c r="G43" s="79">
        <f>E43*500</f>
        <v>9500</v>
      </c>
      <c r="H43" s="79">
        <f>E43*1200</f>
        <v>22800</v>
      </c>
    </row>
    <row r="44" spans="1:13" hidden="1" x14ac:dyDescent="0.25">
      <c r="C44" t="s">
        <v>846</v>
      </c>
      <c r="D44" t="s">
        <v>13</v>
      </c>
      <c r="E44">
        <v>3</v>
      </c>
      <c r="F44" s="79">
        <f>E44*8000</f>
        <v>24000</v>
      </c>
      <c r="G44" s="79">
        <f>E44*4500</f>
        <v>13500</v>
      </c>
      <c r="H44" s="79">
        <f>E44*3500</f>
        <v>10500</v>
      </c>
    </row>
    <row r="45" spans="1:13" hidden="1" x14ac:dyDescent="0.25">
      <c r="D45" t="s">
        <v>14</v>
      </c>
      <c r="E45">
        <v>8</v>
      </c>
      <c r="F45" s="79">
        <f>E45*12000</f>
        <v>96000</v>
      </c>
      <c r="G45" s="79">
        <f>E45*5500</f>
        <v>44000</v>
      </c>
      <c r="H45" s="79">
        <f>E45*6500</f>
        <v>52000</v>
      </c>
    </row>
    <row r="46" spans="1:13" hidden="1" x14ac:dyDescent="0.25">
      <c r="C46" t="s">
        <v>896</v>
      </c>
      <c r="D46" t="s">
        <v>11</v>
      </c>
      <c r="E46">
        <v>6</v>
      </c>
      <c r="F46" s="79">
        <f>E46*3000</f>
        <v>18000</v>
      </c>
      <c r="G46" s="79">
        <f>E46*500</f>
        <v>3000</v>
      </c>
      <c r="H46" s="79">
        <f>E46*2500</f>
        <v>15000</v>
      </c>
    </row>
    <row r="47" spans="1:13" hidden="1" x14ac:dyDescent="0.25">
      <c r="D47" t="s">
        <v>13</v>
      </c>
      <c r="E47">
        <v>13</v>
      </c>
      <c r="F47" s="79">
        <f>E47*8000</f>
        <v>104000</v>
      </c>
      <c r="G47" s="79">
        <f>E47*4500</f>
        <v>58500</v>
      </c>
      <c r="H47" s="79">
        <f>E47*3500</f>
        <v>45500</v>
      </c>
    </row>
    <row r="48" spans="1:13" hidden="1" x14ac:dyDescent="0.25">
      <c r="D48" t="s">
        <v>14</v>
      </c>
      <c r="E48">
        <v>2</v>
      </c>
      <c r="F48" s="79">
        <v>24000</v>
      </c>
      <c r="G48" s="79">
        <f>E48*5500</f>
        <v>11000</v>
      </c>
      <c r="H48" s="79">
        <f>E48*6500</f>
        <v>13000</v>
      </c>
    </row>
    <row r="49" spans="1:8" hidden="1" x14ac:dyDescent="0.25">
      <c r="C49" t="s">
        <v>24</v>
      </c>
      <c r="D49" t="s">
        <v>243</v>
      </c>
      <c r="E49">
        <v>5</v>
      </c>
      <c r="F49" s="79">
        <f>E49*12000</f>
        <v>60000</v>
      </c>
      <c r="G49" s="79">
        <f>E49*9000</f>
        <v>45000</v>
      </c>
      <c r="H49" s="79">
        <f>E49*3000</f>
        <v>15000</v>
      </c>
    </row>
    <row r="50" spans="1:8" hidden="1" x14ac:dyDescent="0.25">
      <c r="A50" s="112" t="s">
        <v>17</v>
      </c>
      <c r="B50" s="112"/>
      <c r="C50" s="112"/>
      <c r="D50" s="112"/>
      <c r="E50" s="78">
        <f>SUM(E42:E49)</f>
        <v>170</v>
      </c>
      <c r="F50" s="78">
        <f t="shared" ref="F50:H50" si="5">SUM(F42:F49)</f>
        <v>563500</v>
      </c>
      <c r="G50" s="78">
        <f t="shared" si="5"/>
        <v>241500</v>
      </c>
      <c r="H50" s="78">
        <f t="shared" si="5"/>
        <v>322000</v>
      </c>
    </row>
    <row r="51" spans="1:8" hidden="1" x14ac:dyDescent="0.25">
      <c r="A51" t="s">
        <v>28</v>
      </c>
      <c r="B51" s="3">
        <v>45571</v>
      </c>
      <c r="C51" t="s">
        <v>693</v>
      </c>
      <c r="D51" t="s">
        <v>11</v>
      </c>
      <c r="E51">
        <v>14</v>
      </c>
      <c r="F51" s="79">
        <f>E51*2000</f>
        <v>28000</v>
      </c>
      <c r="G51" s="79">
        <f>E51*500</f>
        <v>7000</v>
      </c>
      <c r="H51" s="79">
        <f>E51*1500</f>
        <v>21000</v>
      </c>
    </row>
    <row r="52" spans="1:8" hidden="1" x14ac:dyDescent="0.25">
      <c r="D52" t="s">
        <v>13</v>
      </c>
      <c r="E52">
        <v>47</v>
      </c>
      <c r="F52" s="79">
        <f>E52*7000</f>
        <v>329000</v>
      </c>
      <c r="G52" s="79">
        <f>E52*4500</f>
        <v>211500</v>
      </c>
      <c r="H52" s="79">
        <f>E52*2500</f>
        <v>117500</v>
      </c>
    </row>
    <row r="53" spans="1:8" hidden="1" x14ac:dyDescent="0.25">
      <c r="D53" t="s">
        <v>14</v>
      </c>
      <c r="E53">
        <v>36</v>
      </c>
      <c r="F53" s="79">
        <f>E53*10000</f>
        <v>360000</v>
      </c>
      <c r="G53" s="79">
        <f>E53*5500</f>
        <v>198000</v>
      </c>
      <c r="H53" s="79">
        <f>E53*4500</f>
        <v>162000</v>
      </c>
    </row>
    <row r="54" spans="1:8" hidden="1" x14ac:dyDescent="0.25">
      <c r="C54" t="s">
        <v>217</v>
      </c>
      <c r="D54" t="s">
        <v>11</v>
      </c>
      <c r="E54">
        <v>12</v>
      </c>
      <c r="F54" s="79">
        <f>E54*1500</f>
        <v>18000</v>
      </c>
      <c r="G54" s="79">
        <f>E54*500</f>
        <v>6000</v>
      </c>
      <c r="H54" s="79">
        <f>E54*1000</f>
        <v>12000</v>
      </c>
    </row>
    <row r="55" spans="1:8" hidden="1" x14ac:dyDescent="0.25">
      <c r="D55" t="s">
        <v>13</v>
      </c>
      <c r="E55">
        <v>17</v>
      </c>
      <c r="F55" s="79">
        <f>E55*6500</f>
        <v>110500</v>
      </c>
      <c r="G55" s="79">
        <f>E55*4500</f>
        <v>76500</v>
      </c>
      <c r="H55" s="79">
        <f>E55*2000</f>
        <v>34000</v>
      </c>
    </row>
    <row r="56" spans="1:8" hidden="1" x14ac:dyDescent="0.25">
      <c r="D56" t="s">
        <v>14</v>
      </c>
      <c r="E56">
        <v>8</v>
      </c>
      <c r="F56" s="79">
        <f>E56*10000</f>
        <v>80000</v>
      </c>
      <c r="G56" s="79">
        <f>E56*5500</f>
        <v>44000</v>
      </c>
      <c r="H56" s="79">
        <f>E56*4500</f>
        <v>36000</v>
      </c>
    </row>
    <row r="57" spans="1:8" hidden="1" x14ac:dyDescent="0.25">
      <c r="D57" t="s">
        <v>243</v>
      </c>
      <c r="E57">
        <v>1</v>
      </c>
      <c r="F57" s="79">
        <v>13000</v>
      </c>
      <c r="G57" s="79">
        <v>10000</v>
      </c>
      <c r="H57" s="79">
        <v>3000</v>
      </c>
    </row>
    <row r="58" spans="1:8" hidden="1" x14ac:dyDescent="0.25">
      <c r="C58" t="s">
        <v>896</v>
      </c>
      <c r="D58" t="s">
        <v>11</v>
      </c>
      <c r="E58">
        <v>36</v>
      </c>
      <c r="F58" s="79">
        <f>E58*3000</f>
        <v>108000</v>
      </c>
      <c r="G58" s="79">
        <f>E58*500</f>
        <v>18000</v>
      </c>
      <c r="H58" s="79">
        <f>E58*2500</f>
        <v>90000</v>
      </c>
    </row>
    <row r="59" spans="1:8" hidden="1" x14ac:dyDescent="0.25">
      <c r="D59" t="s">
        <v>13</v>
      </c>
      <c r="E59">
        <v>48</v>
      </c>
      <c r="F59" s="79">
        <f>E59*8000</f>
        <v>384000</v>
      </c>
      <c r="G59" s="79">
        <f>E59*4500</f>
        <v>216000</v>
      </c>
      <c r="H59" s="79">
        <f>E59*3500</f>
        <v>168000</v>
      </c>
    </row>
    <row r="60" spans="1:8" hidden="1" x14ac:dyDescent="0.25">
      <c r="D60" t="s">
        <v>14</v>
      </c>
      <c r="E60">
        <v>19</v>
      </c>
      <c r="F60" s="79">
        <f>E60*13000</f>
        <v>247000</v>
      </c>
      <c r="G60" s="79">
        <f>E60*5500</f>
        <v>104500</v>
      </c>
      <c r="H60" s="79">
        <f>E60*7500</f>
        <v>142500</v>
      </c>
    </row>
    <row r="61" spans="1:8" hidden="1" x14ac:dyDescent="0.25">
      <c r="C61" t="s">
        <v>846</v>
      </c>
      <c r="D61" t="s">
        <v>14</v>
      </c>
      <c r="E61">
        <v>7</v>
      </c>
      <c r="F61" s="79">
        <f>E61*10000</f>
        <v>70000</v>
      </c>
      <c r="G61" s="79">
        <f>E61*5500</f>
        <v>38500</v>
      </c>
      <c r="H61" s="79">
        <f>E61*4500</f>
        <v>31500</v>
      </c>
    </row>
    <row r="62" spans="1:8" hidden="1" x14ac:dyDescent="0.25">
      <c r="C62" t="s">
        <v>16</v>
      </c>
      <c r="D62" t="s">
        <v>11</v>
      </c>
      <c r="E62">
        <v>36</v>
      </c>
      <c r="F62" s="79">
        <f>E62*1500</f>
        <v>54000</v>
      </c>
      <c r="G62" s="79">
        <f>E62*500</f>
        <v>18000</v>
      </c>
      <c r="H62" s="79">
        <f>E62*1000</f>
        <v>36000</v>
      </c>
    </row>
    <row r="63" spans="1:8" hidden="1" x14ac:dyDescent="0.25">
      <c r="D63" t="s">
        <v>12</v>
      </c>
      <c r="E63">
        <v>2</v>
      </c>
      <c r="F63" s="79">
        <v>6000</v>
      </c>
      <c r="G63" s="79">
        <v>4000</v>
      </c>
      <c r="H63" s="79">
        <v>2000</v>
      </c>
    </row>
    <row r="64" spans="1:8" hidden="1" x14ac:dyDescent="0.25">
      <c r="A64" s="111" t="s">
        <v>17</v>
      </c>
      <c r="B64" s="111"/>
      <c r="C64" s="111"/>
      <c r="D64" s="111"/>
      <c r="E64" s="1">
        <f>SUM(E51:E63)</f>
        <v>283</v>
      </c>
      <c r="F64" s="78">
        <f t="shared" ref="F64:H64" si="6">SUM(F51:F63)</f>
        <v>1807500</v>
      </c>
      <c r="G64" s="78">
        <f t="shared" si="6"/>
        <v>952000</v>
      </c>
      <c r="H64" s="78">
        <f t="shared" si="6"/>
        <v>855500</v>
      </c>
    </row>
    <row r="65" spans="1:11" hidden="1" x14ac:dyDescent="0.25">
      <c r="A65" t="s">
        <v>30</v>
      </c>
      <c r="B65" s="3">
        <v>45572</v>
      </c>
      <c r="C65" t="s">
        <v>571</v>
      </c>
      <c r="D65" t="s">
        <v>11</v>
      </c>
      <c r="E65">
        <v>18</v>
      </c>
      <c r="F65">
        <f>E65*1700</f>
        <v>30600</v>
      </c>
      <c r="G65">
        <f t="shared" ref="G65:G70" si="7">E65*500</f>
        <v>9000</v>
      </c>
      <c r="H65">
        <f>E65*1200</f>
        <v>21600</v>
      </c>
    </row>
    <row r="66" spans="1:11" hidden="1" x14ac:dyDescent="0.25">
      <c r="C66" t="s">
        <v>306</v>
      </c>
      <c r="D66" t="s">
        <v>11</v>
      </c>
      <c r="E66">
        <v>10</v>
      </c>
      <c r="F66">
        <f>E66*1800</f>
        <v>18000</v>
      </c>
      <c r="G66">
        <f t="shared" si="7"/>
        <v>5000</v>
      </c>
      <c r="H66">
        <f>E66*1300</f>
        <v>13000</v>
      </c>
    </row>
    <row r="67" spans="1:11" hidden="1" x14ac:dyDescent="0.25">
      <c r="C67" t="s">
        <v>104</v>
      </c>
      <c r="D67" t="s">
        <v>11</v>
      </c>
      <c r="E67">
        <v>37</v>
      </c>
      <c r="F67">
        <f>E67*1700</f>
        <v>62900</v>
      </c>
      <c r="G67">
        <f t="shared" si="7"/>
        <v>18500</v>
      </c>
      <c r="H67">
        <f>E67*1200</f>
        <v>44400</v>
      </c>
    </row>
    <row r="68" spans="1:11" hidden="1" x14ac:dyDescent="0.25">
      <c r="C68" t="s">
        <v>572</v>
      </c>
      <c r="D68" t="s">
        <v>11</v>
      </c>
      <c r="E68">
        <v>58</v>
      </c>
      <c r="F68">
        <f>E68*1700</f>
        <v>98600</v>
      </c>
      <c r="G68">
        <f t="shared" si="7"/>
        <v>29000</v>
      </c>
      <c r="H68">
        <f>E68*1200</f>
        <v>69600</v>
      </c>
    </row>
    <row r="69" spans="1:11" hidden="1" x14ac:dyDescent="0.25">
      <c r="C69" t="s">
        <v>894</v>
      </c>
      <c r="D69" t="s">
        <v>11</v>
      </c>
      <c r="E69">
        <v>50</v>
      </c>
      <c r="F69">
        <f>E69*1500</f>
        <v>75000</v>
      </c>
      <c r="G69">
        <f t="shared" si="7"/>
        <v>25000</v>
      </c>
      <c r="H69">
        <v>50000</v>
      </c>
    </row>
    <row r="70" spans="1:11" hidden="1" x14ac:dyDescent="0.25">
      <c r="C70" t="s">
        <v>16</v>
      </c>
      <c r="D70" t="s">
        <v>11</v>
      </c>
      <c r="E70">
        <v>49</v>
      </c>
      <c r="F70">
        <f>E70*1500</f>
        <v>73500</v>
      </c>
      <c r="G70">
        <f t="shared" si="7"/>
        <v>24500</v>
      </c>
      <c r="H70">
        <v>49000</v>
      </c>
    </row>
    <row r="71" spans="1:11" hidden="1" x14ac:dyDescent="0.25">
      <c r="D71" t="s">
        <v>13</v>
      </c>
      <c r="E71">
        <v>2</v>
      </c>
      <c r="F71">
        <v>13000</v>
      </c>
      <c r="G71">
        <v>9000</v>
      </c>
      <c r="H71">
        <v>4000</v>
      </c>
    </row>
    <row r="72" spans="1:11" hidden="1" x14ac:dyDescent="0.25">
      <c r="C72" t="s">
        <v>846</v>
      </c>
      <c r="D72" t="s">
        <v>13</v>
      </c>
      <c r="E72">
        <v>2</v>
      </c>
      <c r="F72">
        <v>16000</v>
      </c>
      <c r="G72">
        <v>9000</v>
      </c>
      <c r="H72">
        <v>7000</v>
      </c>
    </row>
    <row r="73" spans="1:11" hidden="1" x14ac:dyDescent="0.25">
      <c r="D73" t="s">
        <v>14</v>
      </c>
      <c r="E73">
        <v>1</v>
      </c>
      <c r="F73">
        <v>12000</v>
      </c>
      <c r="G73">
        <v>5500</v>
      </c>
      <c r="H73">
        <v>6500</v>
      </c>
    </row>
    <row r="74" spans="1:11" hidden="1" x14ac:dyDescent="0.25">
      <c r="D74" t="s">
        <v>243</v>
      </c>
      <c r="E74">
        <v>0</v>
      </c>
      <c r="F74">
        <v>0</v>
      </c>
      <c r="G74">
        <v>0</v>
      </c>
      <c r="H74">
        <v>0</v>
      </c>
    </row>
    <row r="75" spans="1:11" hidden="1" x14ac:dyDescent="0.25">
      <c r="C75" t="s">
        <v>24</v>
      </c>
      <c r="D75" t="s">
        <v>243</v>
      </c>
      <c r="E75">
        <v>2</v>
      </c>
      <c r="F75">
        <v>26000</v>
      </c>
      <c r="G75">
        <v>20000</v>
      </c>
      <c r="H75">
        <v>6000</v>
      </c>
    </row>
    <row r="76" spans="1:11" hidden="1" x14ac:dyDescent="0.25">
      <c r="A76" s="112" t="s">
        <v>17</v>
      </c>
      <c r="B76" s="112"/>
      <c r="C76" s="112"/>
      <c r="D76" s="112"/>
      <c r="E76" s="78">
        <f>SUM(E65:E75)</f>
        <v>229</v>
      </c>
      <c r="F76" s="78">
        <f t="shared" ref="F76:H76" si="8">SUM(F65:F75)</f>
        <v>425600</v>
      </c>
      <c r="G76" s="78">
        <f t="shared" si="8"/>
        <v>154500</v>
      </c>
      <c r="H76" s="78">
        <f t="shared" si="8"/>
        <v>271100</v>
      </c>
    </row>
    <row r="77" spans="1:11" hidden="1" x14ac:dyDescent="0.25">
      <c r="A77" s="79" t="s">
        <v>32</v>
      </c>
      <c r="B77" s="91">
        <v>45573</v>
      </c>
      <c r="C77" s="79" t="s">
        <v>338</v>
      </c>
      <c r="D77" s="79" t="s">
        <v>11</v>
      </c>
      <c r="E77" s="79">
        <v>60</v>
      </c>
      <c r="F77" s="79">
        <f>E77*1800</f>
        <v>108000</v>
      </c>
      <c r="G77" s="79">
        <f>E77*500</f>
        <v>30000</v>
      </c>
      <c r="H77" s="79">
        <f>E77*1300</f>
        <v>78000</v>
      </c>
      <c r="K77" s="92">
        <f>E9+E19+E27+E42+E77+E95+E113+E141+E160+E167+E186+E208+E217+E237+E259+E287+E298+E306</f>
        <v>1434</v>
      </c>
    </row>
    <row r="78" spans="1:11" hidden="1" x14ac:dyDescent="0.25">
      <c r="A78" s="79"/>
      <c r="B78" s="79"/>
      <c r="C78" s="79" t="s">
        <v>571</v>
      </c>
      <c r="D78" s="79" t="s">
        <v>11</v>
      </c>
      <c r="E78" s="79">
        <v>31</v>
      </c>
      <c r="F78" s="79">
        <f>E78*1700</f>
        <v>52700</v>
      </c>
      <c r="G78" s="79">
        <f>E78*500</f>
        <v>15500</v>
      </c>
      <c r="H78" s="79">
        <f>E78*1200</f>
        <v>37200</v>
      </c>
    </row>
    <row r="79" spans="1:11" hidden="1" x14ac:dyDescent="0.25">
      <c r="A79" s="79"/>
      <c r="B79" s="79"/>
      <c r="C79" s="79" t="s">
        <v>104</v>
      </c>
      <c r="D79" s="79" t="s">
        <v>11</v>
      </c>
      <c r="E79" s="79">
        <v>31</v>
      </c>
      <c r="F79" s="79">
        <f>E79*1700</f>
        <v>52700</v>
      </c>
      <c r="G79" s="79">
        <f>E79*500</f>
        <v>15500</v>
      </c>
      <c r="H79" s="79">
        <f>E79*1200</f>
        <v>37200</v>
      </c>
    </row>
    <row r="80" spans="1:11" hidden="1" x14ac:dyDescent="0.25">
      <c r="A80" s="79"/>
      <c r="B80" s="79"/>
      <c r="C80" s="79" t="s">
        <v>853</v>
      </c>
      <c r="D80" s="79" t="s">
        <v>13</v>
      </c>
      <c r="E80" s="79">
        <v>4</v>
      </c>
      <c r="F80" s="79">
        <f>E80*8000</f>
        <v>32000</v>
      </c>
      <c r="G80" s="79">
        <f>E80*4500</f>
        <v>18000</v>
      </c>
      <c r="H80" s="79">
        <f>E80*3500</f>
        <v>14000</v>
      </c>
    </row>
    <row r="81" spans="1:8" hidden="1" x14ac:dyDescent="0.25">
      <c r="A81" s="79"/>
      <c r="B81" s="79"/>
      <c r="C81" s="79"/>
      <c r="D81" s="79" t="s">
        <v>14</v>
      </c>
      <c r="E81" s="79">
        <v>3</v>
      </c>
      <c r="F81" s="79">
        <v>30000</v>
      </c>
      <c r="G81" s="79">
        <f>E81*5500</f>
        <v>16500</v>
      </c>
      <c r="H81" s="79">
        <f>E81*4500</f>
        <v>13500</v>
      </c>
    </row>
    <row r="82" spans="1:8" hidden="1" x14ac:dyDescent="0.25">
      <c r="A82" s="79"/>
      <c r="B82" s="79"/>
      <c r="C82" s="79" t="s">
        <v>846</v>
      </c>
      <c r="D82" s="79" t="s">
        <v>13</v>
      </c>
      <c r="E82" s="79">
        <v>4</v>
      </c>
      <c r="F82" s="79">
        <f>E82*8000</f>
        <v>32000</v>
      </c>
      <c r="G82" s="79">
        <f>E82*4500</f>
        <v>18000</v>
      </c>
      <c r="H82" s="79">
        <f>E82*3500</f>
        <v>14000</v>
      </c>
    </row>
    <row r="83" spans="1:8" hidden="1" x14ac:dyDescent="0.25">
      <c r="A83" s="79"/>
      <c r="B83" s="79"/>
      <c r="C83" s="79" t="s">
        <v>894</v>
      </c>
      <c r="D83" s="79" t="s">
        <v>11</v>
      </c>
      <c r="E83" s="79">
        <v>50</v>
      </c>
      <c r="F83" s="79">
        <f>E83*1500</f>
        <v>75000</v>
      </c>
      <c r="G83" s="79">
        <f>E83*500</f>
        <v>25000</v>
      </c>
      <c r="H83" s="79">
        <v>50000</v>
      </c>
    </row>
    <row r="84" spans="1:8" hidden="1" x14ac:dyDescent="0.25">
      <c r="A84" s="79"/>
      <c r="B84" s="79"/>
      <c r="C84" s="79" t="s">
        <v>24</v>
      </c>
      <c r="D84" s="79" t="s">
        <v>243</v>
      </c>
      <c r="E84" s="79">
        <v>2</v>
      </c>
      <c r="F84" s="79">
        <v>24000</v>
      </c>
      <c r="G84" s="79">
        <v>20000</v>
      </c>
      <c r="H84" s="79">
        <v>4000</v>
      </c>
    </row>
    <row r="85" spans="1:8" hidden="1" x14ac:dyDescent="0.25">
      <c r="A85" s="79"/>
      <c r="B85" s="79"/>
      <c r="C85" s="79" t="s">
        <v>16</v>
      </c>
      <c r="D85" s="79" t="s">
        <v>11</v>
      </c>
      <c r="E85" s="79">
        <v>65</v>
      </c>
      <c r="F85" s="79">
        <f>E85*1500</f>
        <v>97500</v>
      </c>
      <c r="G85" s="79">
        <f>E85*500</f>
        <v>32500</v>
      </c>
      <c r="H85" s="79">
        <v>65000</v>
      </c>
    </row>
    <row r="86" spans="1:8" hidden="1" x14ac:dyDescent="0.25">
      <c r="A86" s="79"/>
      <c r="B86" s="79"/>
      <c r="C86" s="79"/>
      <c r="D86" s="79" t="s">
        <v>12</v>
      </c>
      <c r="E86" s="79">
        <v>4</v>
      </c>
      <c r="F86" s="79">
        <v>12000</v>
      </c>
      <c r="G86" s="79">
        <v>8000</v>
      </c>
      <c r="H86" s="79">
        <v>4000</v>
      </c>
    </row>
    <row r="87" spans="1:8" hidden="1" x14ac:dyDescent="0.25">
      <c r="A87" s="79"/>
      <c r="B87" s="79"/>
      <c r="C87" s="79"/>
      <c r="D87" s="79" t="s">
        <v>13</v>
      </c>
      <c r="E87" s="79">
        <v>2</v>
      </c>
      <c r="F87" s="79">
        <v>13000</v>
      </c>
      <c r="G87" s="79">
        <v>9000</v>
      </c>
      <c r="H87" s="79">
        <v>4000</v>
      </c>
    </row>
    <row r="88" spans="1:8" hidden="1" x14ac:dyDescent="0.25">
      <c r="A88" s="79"/>
      <c r="B88" s="79"/>
      <c r="C88" s="79"/>
      <c r="D88" s="79" t="s">
        <v>14</v>
      </c>
      <c r="E88" s="79">
        <v>2</v>
      </c>
      <c r="F88" s="79">
        <v>20000</v>
      </c>
      <c r="G88" s="79">
        <v>11000</v>
      </c>
      <c r="H88" s="79">
        <v>9000</v>
      </c>
    </row>
    <row r="89" spans="1:8" hidden="1" x14ac:dyDescent="0.25">
      <c r="A89" s="112" t="s">
        <v>17</v>
      </c>
      <c r="B89" s="112"/>
      <c r="C89" s="112"/>
      <c r="D89" s="112"/>
      <c r="E89" s="78">
        <f>SUM(E77:E88)</f>
        <v>258</v>
      </c>
      <c r="F89" s="78">
        <f t="shared" ref="F89:H89" si="9">SUM(F77:F88)</f>
        <v>548900</v>
      </c>
      <c r="G89" s="78">
        <f t="shared" si="9"/>
        <v>219000</v>
      </c>
      <c r="H89" s="78">
        <f t="shared" si="9"/>
        <v>329900</v>
      </c>
    </row>
    <row r="90" spans="1:8" hidden="1" x14ac:dyDescent="0.25">
      <c r="A90" t="s">
        <v>8</v>
      </c>
      <c r="B90" s="3">
        <v>45574</v>
      </c>
      <c r="C90" t="s">
        <v>306</v>
      </c>
      <c r="D90" s="81" t="s">
        <v>11</v>
      </c>
      <c r="E90" s="79">
        <v>20</v>
      </c>
      <c r="F90" s="92">
        <f>E90*1800</f>
        <v>36000</v>
      </c>
      <c r="G90" s="92">
        <f>E90*500</f>
        <v>10000</v>
      </c>
      <c r="H90" s="92">
        <f>E90*1300</f>
        <v>26000</v>
      </c>
    </row>
    <row r="91" spans="1:8" hidden="1" x14ac:dyDescent="0.25">
      <c r="C91" t="s">
        <v>104</v>
      </c>
      <c r="D91" s="81" t="s">
        <v>11</v>
      </c>
      <c r="E91" s="79">
        <v>31</v>
      </c>
      <c r="F91" s="92">
        <f>E91*1700</f>
        <v>52700</v>
      </c>
      <c r="G91" s="92">
        <f>E91*500</f>
        <v>15500</v>
      </c>
      <c r="H91" s="92">
        <f>E91*1200</f>
        <v>37200</v>
      </c>
    </row>
    <row r="92" spans="1:8" hidden="1" x14ac:dyDescent="0.25">
      <c r="C92" t="s">
        <v>16</v>
      </c>
      <c r="D92" s="81" t="s">
        <v>11</v>
      </c>
      <c r="E92" s="79">
        <v>37</v>
      </c>
      <c r="F92" s="92">
        <f>E92*1500</f>
        <v>55500</v>
      </c>
      <c r="G92" s="92">
        <f>E92*500</f>
        <v>18500</v>
      </c>
      <c r="H92">
        <v>37000</v>
      </c>
    </row>
    <row r="93" spans="1:8" hidden="1" x14ac:dyDescent="0.25">
      <c r="D93" s="81" t="s">
        <v>12</v>
      </c>
      <c r="E93" s="79">
        <v>1</v>
      </c>
      <c r="F93">
        <v>3000</v>
      </c>
      <c r="G93">
        <v>2000</v>
      </c>
      <c r="H93">
        <v>1000</v>
      </c>
    </row>
    <row r="94" spans="1:8" hidden="1" x14ac:dyDescent="0.25">
      <c r="A94" s="112" t="s">
        <v>17</v>
      </c>
      <c r="B94" s="112"/>
      <c r="C94" s="112"/>
      <c r="D94" s="112"/>
      <c r="E94" s="78">
        <f>SUM(E90:E93)</f>
        <v>89</v>
      </c>
      <c r="F94" s="78">
        <f t="shared" ref="F94:H94" si="10">SUM(F90:F93)</f>
        <v>147200</v>
      </c>
      <c r="G94" s="78">
        <f t="shared" si="10"/>
        <v>46000</v>
      </c>
      <c r="H94" s="78">
        <f t="shared" si="10"/>
        <v>101200</v>
      </c>
    </row>
    <row r="95" spans="1:8" hidden="1" x14ac:dyDescent="0.25">
      <c r="A95" t="s">
        <v>18</v>
      </c>
      <c r="B95" s="3">
        <v>45575</v>
      </c>
      <c r="C95" t="s">
        <v>338</v>
      </c>
      <c r="D95" s="81" t="s">
        <v>11</v>
      </c>
      <c r="E95" s="79">
        <v>104</v>
      </c>
      <c r="F95" s="92">
        <f>E95*1800</f>
        <v>187200</v>
      </c>
      <c r="G95" s="92">
        <f>E95*500</f>
        <v>52000</v>
      </c>
      <c r="H95" s="92">
        <f>E95*1300</f>
        <v>135200</v>
      </c>
    </row>
    <row r="96" spans="1:8" hidden="1" x14ac:dyDescent="0.25">
      <c r="C96" t="s">
        <v>571</v>
      </c>
      <c r="D96" s="81" t="s">
        <v>11</v>
      </c>
      <c r="E96" s="79">
        <v>48</v>
      </c>
      <c r="F96" s="92">
        <f>E96*1700</f>
        <v>81600</v>
      </c>
      <c r="G96" s="92">
        <f>E96*500</f>
        <v>24000</v>
      </c>
      <c r="H96" s="92">
        <f>E96*1200</f>
        <v>57600</v>
      </c>
    </row>
    <row r="97" spans="1:12" hidden="1" x14ac:dyDescent="0.25">
      <c r="C97" t="s">
        <v>104</v>
      </c>
      <c r="D97" s="81" t="s">
        <v>11</v>
      </c>
      <c r="E97" s="79">
        <v>16</v>
      </c>
      <c r="F97" s="92">
        <f>E97*1700</f>
        <v>27200</v>
      </c>
      <c r="G97" s="92">
        <f>E97*500</f>
        <v>8000</v>
      </c>
      <c r="H97" s="92">
        <f>E97*1200</f>
        <v>19200</v>
      </c>
    </row>
    <row r="98" spans="1:12" hidden="1" x14ac:dyDescent="0.25">
      <c r="C98" t="s">
        <v>846</v>
      </c>
      <c r="D98" s="81" t="s">
        <v>13</v>
      </c>
      <c r="E98" s="79">
        <v>3</v>
      </c>
      <c r="F98" s="92">
        <f>E98*8000</f>
        <v>24000</v>
      </c>
      <c r="G98" s="92">
        <f>E98*4500</f>
        <v>13500</v>
      </c>
      <c r="H98" s="92">
        <f>E98*3500</f>
        <v>10500</v>
      </c>
    </row>
    <row r="99" spans="1:12" hidden="1" x14ac:dyDescent="0.25">
      <c r="D99" s="81" t="s">
        <v>14</v>
      </c>
      <c r="E99" s="79">
        <v>3</v>
      </c>
      <c r="F99">
        <v>36000</v>
      </c>
      <c r="G99" s="92">
        <f>E99*5500</f>
        <v>16500</v>
      </c>
      <c r="H99" s="92">
        <f>E99*6500</f>
        <v>19500</v>
      </c>
    </row>
    <row r="100" spans="1:12" x14ac:dyDescent="0.25">
      <c r="D100" s="81" t="s">
        <v>879</v>
      </c>
      <c r="E100" s="79">
        <v>1</v>
      </c>
      <c r="F100">
        <v>2000</v>
      </c>
      <c r="G100">
        <v>750</v>
      </c>
      <c r="H100">
        <v>1250</v>
      </c>
    </row>
    <row r="101" spans="1:12" hidden="1" x14ac:dyDescent="0.25">
      <c r="C101" t="s">
        <v>16</v>
      </c>
      <c r="D101" s="81" t="s">
        <v>11</v>
      </c>
      <c r="E101" s="79">
        <v>55</v>
      </c>
      <c r="F101" s="92">
        <f>E101*1500</f>
        <v>82500</v>
      </c>
      <c r="G101" s="92">
        <f>E101*500</f>
        <v>27500</v>
      </c>
      <c r="H101">
        <v>55000</v>
      </c>
      <c r="L101" s="92">
        <f>E6+E15+E23+E38+E62+E70+E85+E92+E101+E106+E115+E133+E144+E157+E163+E169+E178+E187+E192+E209+E220+E229+E240+E253+E262+E275+E283+E291+E300+E308</f>
        <v>1364</v>
      </c>
    </row>
    <row r="102" spans="1:12" x14ac:dyDescent="0.25">
      <c r="C102" t="s">
        <v>24</v>
      </c>
      <c r="D102" s="81" t="s">
        <v>56</v>
      </c>
      <c r="E102" s="79">
        <v>2</v>
      </c>
      <c r="F102" s="92">
        <f>E102*17000</f>
        <v>34000</v>
      </c>
      <c r="G102" s="92">
        <f>E102*10000</f>
        <v>20000</v>
      </c>
      <c r="H102" s="92">
        <f>E102*7000</f>
        <v>14000</v>
      </c>
    </row>
    <row r="103" spans="1:12" hidden="1" x14ac:dyDescent="0.25">
      <c r="A103" s="111" t="s">
        <v>17</v>
      </c>
      <c r="B103" s="111"/>
      <c r="C103" s="111"/>
      <c r="D103" s="111"/>
      <c r="E103" s="93">
        <f>SUM(E95:E102)</f>
        <v>232</v>
      </c>
      <c r="F103" s="93">
        <f t="shared" ref="F103:G103" si="11">SUM(F95:F102)</f>
        <v>474500</v>
      </c>
      <c r="G103" s="93">
        <f t="shared" si="11"/>
        <v>162250</v>
      </c>
      <c r="H103" s="93">
        <f>SUM(H95:H102)</f>
        <v>312250</v>
      </c>
    </row>
    <row r="104" spans="1:12" hidden="1" x14ac:dyDescent="0.25">
      <c r="A104" t="s">
        <v>22</v>
      </c>
      <c r="B104" s="3">
        <v>45576</v>
      </c>
      <c r="C104" t="s">
        <v>703</v>
      </c>
      <c r="D104" s="81" t="s">
        <v>11</v>
      </c>
      <c r="E104" s="79">
        <v>25</v>
      </c>
      <c r="F104" s="92">
        <f>E104*1700</f>
        <v>42500</v>
      </c>
      <c r="G104" s="92">
        <f>E104*500</f>
        <v>12500</v>
      </c>
      <c r="H104" s="92">
        <f>E104*1200</f>
        <v>30000</v>
      </c>
    </row>
    <row r="105" spans="1:12" hidden="1" x14ac:dyDescent="0.25">
      <c r="C105" t="s">
        <v>572</v>
      </c>
      <c r="D105" s="81" t="s">
        <v>11</v>
      </c>
      <c r="E105" s="79">
        <v>68</v>
      </c>
      <c r="F105" s="92">
        <f>E105*1700</f>
        <v>115600</v>
      </c>
      <c r="G105" s="92">
        <f>E105*500</f>
        <v>34000</v>
      </c>
      <c r="H105" s="92">
        <f>E105*1200</f>
        <v>81600</v>
      </c>
    </row>
    <row r="106" spans="1:12" hidden="1" x14ac:dyDescent="0.25">
      <c r="C106" t="s">
        <v>16</v>
      </c>
      <c r="D106" s="81" t="s">
        <v>11</v>
      </c>
      <c r="E106" s="79">
        <v>32</v>
      </c>
      <c r="F106" s="92">
        <f>E106*1500</f>
        <v>48000</v>
      </c>
      <c r="G106" s="92">
        <f>E106*500</f>
        <v>16000</v>
      </c>
      <c r="H106">
        <v>32000</v>
      </c>
    </row>
    <row r="107" spans="1:12" x14ac:dyDescent="0.25">
      <c r="D107" s="81" t="s">
        <v>879</v>
      </c>
      <c r="E107" s="79">
        <v>10</v>
      </c>
      <c r="F107" s="92">
        <f>E107*1500</f>
        <v>15000</v>
      </c>
      <c r="G107" s="92">
        <f>E107*500</f>
        <v>5000</v>
      </c>
      <c r="H107">
        <v>10000</v>
      </c>
    </row>
    <row r="108" spans="1:12" hidden="1" x14ac:dyDescent="0.25">
      <c r="D108" s="81" t="s">
        <v>12</v>
      </c>
      <c r="E108" s="79">
        <v>2</v>
      </c>
      <c r="F108">
        <v>6000</v>
      </c>
      <c r="G108" s="92">
        <v>4000</v>
      </c>
      <c r="H108" s="92">
        <v>2000</v>
      </c>
      <c r="K108" s="92">
        <f>E7+E16+E24+E39+E63+E86+E93+E108+E117+E134+E146+E165+E188+E194+E211+E222+E231+E242+E255+E276+E292+E301</f>
        <v>53</v>
      </c>
    </row>
    <row r="109" spans="1:12" hidden="1" x14ac:dyDescent="0.25">
      <c r="C109" t="s">
        <v>20</v>
      </c>
      <c r="D109" s="81" t="s">
        <v>13</v>
      </c>
      <c r="E109" s="79">
        <v>5</v>
      </c>
      <c r="F109" s="92">
        <f>E109*8000</f>
        <v>40000</v>
      </c>
      <c r="G109" s="92">
        <f>E109*4500</f>
        <v>22500</v>
      </c>
      <c r="H109" s="92">
        <f>E109*3500</f>
        <v>17500</v>
      </c>
    </row>
    <row r="110" spans="1:12" hidden="1" x14ac:dyDescent="0.25">
      <c r="D110" s="81" t="s">
        <v>14</v>
      </c>
      <c r="E110" s="79">
        <v>4</v>
      </c>
      <c r="F110" s="92">
        <f>E110*10000</f>
        <v>40000</v>
      </c>
      <c r="G110" s="92">
        <f>E110*5500</f>
        <v>22000</v>
      </c>
      <c r="H110" s="92">
        <f>E110*4500</f>
        <v>18000</v>
      </c>
    </row>
    <row r="111" spans="1:12" hidden="1" x14ac:dyDescent="0.25">
      <c r="D111" s="81" t="s">
        <v>243</v>
      </c>
      <c r="E111" s="79">
        <v>2</v>
      </c>
      <c r="F111">
        <v>30000</v>
      </c>
      <c r="G111">
        <v>20000</v>
      </c>
      <c r="H111" s="92">
        <v>10000</v>
      </c>
    </row>
    <row r="112" spans="1:12" hidden="1" x14ac:dyDescent="0.25">
      <c r="A112" s="112" t="s">
        <v>17</v>
      </c>
      <c r="B112" s="112"/>
      <c r="C112" s="112"/>
      <c r="D112" s="112"/>
      <c r="E112" s="78">
        <f>SUM(E104:E111)</f>
        <v>148</v>
      </c>
      <c r="F112" s="78">
        <f>SUM(F104:F111)</f>
        <v>337100</v>
      </c>
      <c r="G112" s="78">
        <f>SUM(G104:G111)</f>
        <v>136000</v>
      </c>
      <c r="H112" s="78">
        <f>SUM(H104:H111)</f>
        <v>201100</v>
      </c>
    </row>
    <row r="113" spans="1:11" hidden="1" x14ac:dyDescent="0.25">
      <c r="A113" t="s">
        <v>895</v>
      </c>
      <c r="B113" s="3">
        <v>45577</v>
      </c>
      <c r="C113" t="s">
        <v>338</v>
      </c>
      <c r="D113" s="81" t="s">
        <v>11</v>
      </c>
      <c r="E113">
        <f>59+58</f>
        <v>117</v>
      </c>
      <c r="F113" s="79">
        <f>E113*1800</f>
        <v>210600</v>
      </c>
      <c r="G113" s="79">
        <f>E113*500</f>
        <v>58500</v>
      </c>
      <c r="H113" s="79">
        <f>E113*1300</f>
        <v>152100</v>
      </c>
    </row>
    <row r="114" spans="1:11" hidden="1" x14ac:dyDescent="0.25">
      <c r="C114" t="s">
        <v>104</v>
      </c>
      <c r="D114" s="81" t="s">
        <v>11</v>
      </c>
      <c r="E114">
        <f>42500/1700</f>
        <v>25</v>
      </c>
      <c r="F114" s="79">
        <f>E114*1700</f>
        <v>42500</v>
      </c>
      <c r="G114" s="79">
        <f>E114*500</f>
        <v>12500</v>
      </c>
      <c r="H114" s="79">
        <f>E114*1200</f>
        <v>30000</v>
      </c>
      <c r="K114" s="92">
        <f>E20+E31+E43+E67+E79+E91+E97+E114+E142+E176+E219+E290</f>
        <v>492</v>
      </c>
    </row>
    <row r="115" spans="1:11" hidden="1" x14ac:dyDescent="0.25">
      <c r="C115" t="s">
        <v>16</v>
      </c>
      <c r="D115" s="81" t="s">
        <v>11</v>
      </c>
      <c r="E115">
        <v>43</v>
      </c>
      <c r="F115" s="79">
        <f>E115*1500</f>
        <v>64500</v>
      </c>
      <c r="G115" s="79">
        <f>E115*500</f>
        <v>21500</v>
      </c>
      <c r="H115" s="79">
        <f>E115*1000</f>
        <v>43000</v>
      </c>
    </row>
    <row r="116" spans="1:11" x14ac:dyDescent="0.25">
      <c r="D116" s="81" t="s">
        <v>879</v>
      </c>
      <c r="E116">
        <v>11</v>
      </c>
      <c r="F116" s="79">
        <f>E116*1500</f>
        <v>16500</v>
      </c>
      <c r="G116" s="79">
        <f>E116*500</f>
        <v>5500</v>
      </c>
      <c r="H116" s="79">
        <v>11000</v>
      </c>
    </row>
    <row r="117" spans="1:11" hidden="1" x14ac:dyDescent="0.25">
      <c r="D117" s="81" t="s">
        <v>12</v>
      </c>
      <c r="E117">
        <v>3</v>
      </c>
      <c r="F117" s="79">
        <v>9000</v>
      </c>
      <c r="G117" s="79">
        <v>6000</v>
      </c>
      <c r="H117" s="79">
        <v>3000</v>
      </c>
    </row>
    <row r="118" spans="1:11" hidden="1" x14ac:dyDescent="0.25">
      <c r="C118" t="s">
        <v>846</v>
      </c>
      <c r="D118" s="81" t="s">
        <v>11</v>
      </c>
      <c r="E118">
        <v>2</v>
      </c>
      <c r="F118" s="79">
        <f>E118*3000</f>
        <v>6000</v>
      </c>
      <c r="G118" s="79">
        <f>E118*500</f>
        <v>1000</v>
      </c>
      <c r="H118" s="79">
        <f>E118*2500</f>
        <v>5000</v>
      </c>
    </row>
    <row r="119" spans="1:11" x14ac:dyDescent="0.25">
      <c r="D119" s="81" t="s">
        <v>879</v>
      </c>
      <c r="E119">
        <v>7</v>
      </c>
      <c r="F119" s="79">
        <f>E119*2000</f>
        <v>14000</v>
      </c>
      <c r="G119" s="79">
        <v>750</v>
      </c>
      <c r="H119" s="79">
        <v>13250</v>
      </c>
    </row>
    <row r="120" spans="1:11" hidden="1" x14ac:dyDescent="0.25">
      <c r="D120" s="81" t="s">
        <v>13</v>
      </c>
      <c r="E120">
        <v>10</v>
      </c>
      <c r="F120" s="79">
        <f>E120*8000</f>
        <v>80000</v>
      </c>
      <c r="G120" s="79">
        <f>E120*4500</f>
        <v>45000</v>
      </c>
      <c r="H120" s="79">
        <f>E120*3500</f>
        <v>35000</v>
      </c>
    </row>
    <row r="121" spans="1:11" hidden="1" x14ac:dyDescent="0.25">
      <c r="D121" s="81" t="s">
        <v>14</v>
      </c>
      <c r="E121">
        <v>3</v>
      </c>
      <c r="F121" s="79">
        <f>E121*12000</f>
        <v>36000</v>
      </c>
      <c r="G121" s="79">
        <f>E121*5500</f>
        <v>16500</v>
      </c>
      <c r="H121" s="79">
        <f>E121*6500</f>
        <v>19500</v>
      </c>
    </row>
    <row r="122" spans="1:11" hidden="1" x14ac:dyDescent="0.25">
      <c r="C122" t="s">
        <v>554</v>
      </c>
      <c r="D122" s="81" t="s">
        <v>13</v>
      </c>
      <c r="E122">
        <v>3</v>
      </c>
      <c r="F122" s="79"/>
      <c r="G122" s="79"/>
      <c r="H122" s="79"/>
    </row>
    <row r="123" spans="1:11" hidden="1" x14ac:dyDescent="0.25">
      <c r="A123" s="112" t="s">
        <v>17</v>
      </c>
      <c r="B123" s="112"/>
      <c r="C123" s="112"/>
      <c r="D123" s="112"/>
      <c r="E123" s="78">
        <f>SUM(E113:E122)</f>
        <v>224</v>
      </c>
      <c r="F123" s="78">
        <f t="shared" ref="F123:H123" si="12">SUM(F113:F122)</f>
        <v>479100</v>
      </c>
      <c r="G123" s="78">
        <f t="shared" si="12"/>
        <v>167250</v>
      </c>
      <c r="H123" s="78">
        <f t="shared" si="12"/>
        <v>311850</v>
      </c>
    </row>
    <row r="124" spans="1:11" hidden="1" x14ac:dyDescent="0.25">
      <c r="A124" t="s">
        <v>28</v>
      </c>
      <c r="B124" s="3">
        <v>45578</v>
      </c>
      <c r="C124" t="s">
        <v>693</v>
      </c>
      <c r="D124" s="81" t="s">
        <v>11</v>
      </c>
      <c r="E124">
        <v>4</v>
      </c>
      <c r="F124" s="79">
        <f>E124*2000</f>
        <v>8000</v>
      </c>
      <c r="G124" s="79">
        <f>E124*500</f>
        <v>2000</v>
      </c>
      <c r="H124" s="79">
        <f>E124*1500</f>
        <v>6000</v>
      </c>
    </row>
    <row r="125" spans="1:11" x14ac:dyDescent="0.25">
      <c r="D125" s="81" t="s">
        <v>879</v>
      </c>
      <c r="E125">
        <v>18</v>
      </c>
      <c r="F125" s="79">
        <f>E125*1500</f>
        <v>27000</v>
      </c>
      <c r="G125" s="79">
        <f>E125*750</f>
        <v>13500</v>
      </c>
      <c r="H125" s="79">
        <f>E125*750</f>
        <v>13500</v>
      </c>
    </row>
    <row r="126" spans="1:11" hidden="1" x14ac:dyDescent="0.25">
      <c r="D126" s="81" t="s">
        <v>13</v>
      </c>
      <c r="E126">
        <v>45</v>
      </c>
      <c r="F126" s="79">
        <f>E126*7000</f>
        <v>315000</v>
      </c>
      <c r="G126" s="79">
        <f>E126*4500</f>
        <v>202500</v>
      </c>
      <c r="H126" s="79">
        <f>E126*2500</f>
        <v>112500</v>
      </c>
    </row>
    <row r="127" spans="1:11" hidden="1" x14ac:dyDescent="0.25">
      <c r="D127" s="81" t="s">
        <v>14</v>
      </c>
      <c r="E127">
        <v>29</v>
      </c>
      <c r="F127" s="79">
        <f>E127*10000</f>
        <v>290000</v>
      </c>
      <c r="G127" s="79">
        <f>E127*5500</f>
        <v>159500</v>
      </c>
      <c r="H127" s="79">
        <f>E127*4500</f>
        <v>130500</v>
      </c>
    </row>
    <row r="128" spans="1:11" hidden="1" x14ac:dyDescent="0.25">
      <c r="C128" t="s">
        <v>217</v>
      </c>
      <c r="D128" s="81" t="s">
        <v>11</v>
      </c>
      <c r="E128">
        <v>12</v>
      </c>
      <c r="F128" s="79">
        <f>E128*1500</f>
        <v>18000</v>
      </c>
      <c r="G128" s="79">
        <f>E128*500</f>
        <v>6000</v>
      </c>
      <c r="H128" s="79">
        <v>12000</v>
      </c>
    </row>
    <row r="129" spans="1:11" hidden="1" x14ac:dyDescent="0.25">
      <c r="D129" s="81" t="s">
        <v>13</v>
      </c>
      <c r="E129">
        <v>23</v>
      </c>
      <c r="F129" s="79">
        <f>E129*6500</f>
        <v>149500</v>
      </c>
      <c r="G129" s="79">
        <f>E129*4500</f>
        <v>103500</v>
      </c>
      <c r="H129" s="79">
        <f>E129*2000</f>
        <v>46000</v>
      </c>
    </row>
    <row r="130" spans="1:11" hidden="1" x14ac:dyDescent="0.25">
      <c r="D130" s="81" t="s">
        <v>14</v>
      </c>
      <c r="E130">
        <v>16</v>
      </c>
      <c r="F130" s="79">
        <f>E130*10000</f>
        <v>160000</v>
      </c>
      <c r="G130" s="79">
        <f>E130*5500</f>
        <v>88000</v>
      </c>
      <c r="H130" s="79">
        <f>E130*4500</f>
        <v>72000</v>
      </c>
    </row>
    <row r="131" spans="1:11" hidden="1" x14ac:dyDescent="0.25">
      <c r="C131" t="s">
        <v>24</v>
      </c>
      <c r="D131" s="81" t="s">
        <v>21</v>
      </c>
      <c r="E131">
        <v>1</v>
      </c>
      <c r="F131" s="79">
        <v>15000</v>
      </c>
      <c r="G131" s="79">
        <v>10000</v>
      </c>
      <c r="H131" s="79">
        <v>5000</v>
      </c>
    </row>
    <row r="132" spans="1:11" hidden="1" x14ac:dyDescent="0.25">
      <c r="C132" t="s">
        <v>24</v>
      </c>
      <c r="D132" s="81" t="s">
        <v>243</v>
      </c>
      <c r="E132">
        <v>1</v>
      </c>
      <c r="F132" s="79">
        <v>13000</v>
      </c>
      <c r="G132" s="79">
        <v>10000</v>
      </c>
      <c r="H132" s="79">
        <v>3000</v>
      </c>
      <c r="J132" s="92">
        <f>E35+E40+E49+E57+E75+E84+E111+E132+E150+E190+E224+E226+E257+E269+E278+E304+E309+E314</f>
        <v>51</v>
      </c>
    </row>
    <row r="133" spans="1:11" hidden="1" x14ac:dyDescent="0.25">
      <c r="C133" t="s">
        <v>16</v>
      </c>
      <c r="D133" s="81" t="s">
        <v>11</v>
      </c>
      <c r="E133">
        <v>56</v>
      </c>
      <c r="F133" s="79">
        <f>E133*1500</f>
        <v>84000</v>
      </c>
      <c r="G133" s="79">
        <f>E133*500</f>
        <v>28000</v>
      </c>
      <c r="H133" s="79">
        <v>56000</v>
      </c>
    </row>
    <row r="134" spans="1:11" hidden="1" x14ac:dyDescent="0.25">
      <c r="D134" s="81" t="s">
        <v>12</v>
      </c>
      <c r="E134">
        <v>7</v>
      </c>
      <c r="F134" s="79">
        <f>E134*3000</f>
        <v>21000</v>
      </c>
      <c r="G134" s="79">
        <v>14000</v>
      </c>
      <c r="H134" s="79">
        <v>7000</v>
      </c>
    </row>
    <row r="135" spans="1:11" hidden="1" x14ac:dyDescent="0.25">
      <c r="D135" s="81" t="s">
        <v>13</v>
      </c>
      <c r="E135">
        <v>2</v>
      </c>
      <c r="F135" s="79">
        <v>13000</v>
      </c>
      <c r="G135" s="79">
        <v>9000</v>
      </c>
      <c r="H135" s="79">
        <v>4000</v>
      </c>
    </row>
    <row r="136" spans="1:11" hidden="1" x14ac:dyDescent="0.25">
      <c r="D136" s="81" t="s">
        <v>14</v>
      </c>
      <c r="E136">
        <v>2</v>
      </c>
      <c r="F136" s="79">
        <v>20000</v>
      </c>
      <c r="G136" s="79">
        <v>11000</v>
      </c>
      <c r="H136" s="79">
        <v>9000</v>
      </c>
    </row>
    <row r="137" spans="1:11" x14ac:dyDescent="0.25">
      <c r="C137" t="s">
        <v>846</v>
      </c>
      <c r="D137" s="81" t="s">
        <v>879</v>
      </c>
      <c r="E137">
        <v>2</v>
      </c>
      <c r="F137" s="79">
        <v>4000</v>
      </c>
      <c r="G137" s="79">
        <v>1500</v>
      </c>
      <c r="H137" s="79">
        <f>E137*1250</f>
        <v>2500</v>
      </c>
      <c r="K137" s="92">
        <f>E100+E102+E107+E116+E119+E125+E137+E145+E147+E158+E164+E171+E179+E182+E193+E198+E203+E210+E215+E221+E230+E241+E254+E263+E268+E270+E272+E284+E312</f>
        <v>213</v>
      </c>
    </row>
    <row r="138" spans="1:11" hidden="1" x14ac:dyDescent="0.25">
      <c r="D138" s="81" t="s">
        <v>13</v>
      </c>
      <c r="E138">
        <v>6</v>
      </c>
      <c r="F138" s="79">
        <f>E138*8000</f>
        <v>48000</v>
      </c>
      <c r="G138" s="79">
        <f>E138*4500</f>
        <v>27000</v>
      </c>
      <c r="H138" s="79">
        <f>E138*3500</f>
        <v>21000</v>
      </c>
    </row>
    <row r="139" spans="1:11" hidden="1" x14ac:dyDescent="0.25">
      <c r="D139" s="81" t="s">
        <v>14</v>
      </c>
      <c r="E139">
        <v>6</v>
      </c>
      <c r="F139" s="79">
        <f>E139*12000</f>
        <v>72000</v>
      </c>
      <c r="G139" s="79">
        <f>E139*5500</f>
        <v>33000</v>
      </c>
      <c r="H139" s="79">
        <f>E139*6500</f>
        <v>39000</v>
      </c>
    </row>
    <row r="140" spans="1:11" hidden="1" x14ac:dyDescent="0.25">
      <c r="A140" s="112" t="s">
        <v>17</v>
      </c>
      <c r="B140" s="112"/>
      <c r="C140" s="112"/>
      <c r="D140" s="112"/>
      <c r="E140" s="78">
        <f>SUM(E124:E139)</f>
        <v>230</v>
      </c>
      <c r="F140" s="78">
        <f>SUM(F124:F139)</f>
        <v>1257500</v>
      </c>
      <c r="G140" s="78">
        <f>SUM(G124:G139)</f>
        <v>718500</v>
      </c>
      <c r="H140" s="78">
        <f>SUM(H124:H139)</f>
        <v>539000</v>
      </c>
    </row>
    <row r="141" spans="1:11" hidden="1" x14ac:dyDescent="0.25">
      <c r="A141" t="s">
        <v>30</v>
      </c>
      <c r="B141" s="3">
        <v>45579</v>
      </c>
      <c r="C141" t="s">
        <v>338</v>
      </c>
      <c r="D141" t="s">
        <v>11</v>
      </c>
      <c r="E141">
        <v>49</v>
      </c>
      <c r="F141" s="79">
        <f>E141*1800</f>
        <v>88200</v>
      </c>
      <c r="G141" s="79">
        <f>E141*500</f>
        <v>24500</v>
      </c>
      <c r="H141" s="79">
        <f>E141*1300</f>
        <v>63700</v>
      </c>
    </row>
    <row r="142" spans="1:11" hidden="1" x14ac:dyDescent="0.25">
      <c r="C142" t="s">
        <v>104</v>
      </c>
      <c r="D142" t="s">
        <v>11</v>
      </c>
      <c r="E142">
        <v>45</v>
      </c>
      <c r="F142" s="79">
        <f>E142*1700</f>
        <v>76500</v>
      </c>
      <c r="G142" s="79">
        <f>E142*500</f>
        <v>22500</v>
      </c>
      <c r="H142" s="79">
        <f>E142*1200</f>
        <v>54000</v>
      </c>
    </row>
    <row r="143" spans="1:11" hidden="1" x14ac:dyDescent="0.25">
      <c r="C143" t="s">
        <v>306</v>
      </c>
      <c r="D143" t="s">
        <v>11</v>
      </c>
      <c r="E143">
        <v>5</v>
      </c>
      <c r="F143" s="79">
        <f>E143*1800</f>
        <v>9000</v>
      </c>
      <c r="G143" s="79">
        <f>E143*500</f>
        <v>2500</v>
      </c>
      <c r="H143" s="79">
        <f>E143*1300</f>
        <v>6500</v>
      </c>
    </row>
    <row r="144" spans="1:11" hidden="1" x14ac:dyDescent="0.25">
      <c r="C144" t="s">
        <v>16</v>
      </c>
      <c r="D144" t="s">
        <v>11</v>
      </c>
      <c r="E144">
        <v>42</v>
      </c>
      <c r="F144" s="79">
        <f>E144*1500</f>
        <v>63000</v>
      </c>
      <c r="G144" s="79">
        <f>E144*500</f>
        <v>21000</v>
      </c>
      <c r="H144" s="79">
        <v>42000</v>
      </c>
    </row>
    <row r="145" spans="1:8" x14ac:dyDescent="0.25">
      <c r="D145" t="s">
        <v>879</v>
      </c>
      <c r="E145">
        <v>6</v>
      </c>
      <c r="F145" s="79">
        <f>E145*1500</f>
        <v>9000</v>
      </c>
      <c r="G145" s="79">
        <f>E145*750</f>
        <v>4500</v>
      </c>
      <c r="H145" s="79">
        <f>E145*1250</f>
        <v>7500</v>
      </c>
    </row>
    <row r="146" spans="1:8" hidden="1" x14ac:dyDescent="0.25">
      <c r="D146" t="s">
        <v>12</v>
      </c>
      <c r="E146">
        <v>1</v>
      </c>
      <c r="F146" s="79">
        <v>3000</v>
      </c>
      <c r="G146" s="79">
        <v>2000</v>
      </c>
      <c r="H146" s="79">
        <v>1000</v>
      </c>
    </row>
    <row r="147" spans="1:8" x14ac:dyDescent="0.25">
      <c r="C147" t="s">
        <v>846</v>
      </c>
      <c r="D147" t="s">
        <v>879</v>
      </c>
      <c r="E147">
        <v>7</v>
      </c>
      <c r="F147">
        <f>E147*2000</f>
        <v>14000</v>
      </c>
      <c r="G147">
        <f>E147*750</f>
        <v>5250</v>
      </c>
      <c r="H147">
        <f>E147*1250</f>
        <v>8750</v>
      </c>
    </row>
    <row r="148" spans="1:8" hidden="1" x14ac:dyDescent="0.25">
      <c r="D148" t="s">
        <v>13</v>
      </c>
      <c r="E148">
        <v>4</v>
      </c>
      <c r="F148">
        <f>E148*8000</f>
        <v>32000</v>
      </c>
      <c r="G148">
        <f>E148*4500</f>
        <v>18000</v>
      </c>
      <c r="H148">
        <f>E148*3500</f>
        <v>14000</v>
      </c>
    </row>
    <row r="149" spans="1:8" hidden="1" x14ac:dyDescent="0.25">
      <c r="D149" t="s">
        <v>14</v>
      </c>
      <c r="E149">
        <v>5</v>
      </c>
      <c r="F149">
        <f>E149*12000</f>
        <v>60000</v>
      </c>
      <c r="G149">
        <f>E149*5500</f>
        <v>27500</v>
      </c>
      <c r="H149">
        <f>E149*6500</f>
        <v>32500</v>
      </c>
    </row>
    <row r="150" spans="1:8" hidden="1" x14ac:dyDescent="0.25">
      <c r="C150" t="s">
        <v>24</v>
      </c>
      <c r="D150" t="s">
        <v>243</v>
      </c>
      <c r="E150">
        <v>1</v>
      </c>
      <c r="F150">
        <v>15000</v>
      </c>
      <c r="G150">
        <v>10000</v>
      </c>
      <c r="H150">
        <v>5000</v>
      </c>
    </row>
    <row r="151" spans="1:8" hidden="1" x14ac:dyDescent="0.25">
      <c r="A151" s="112" t="s">
        <v>17</v>
      </c>
      <c r="B151" s="112"/>
      <c r="C151" s="112"/>
      <c r="D151" s="112"/>
      <c r="E151" s="78">
        <f>SUM(E141:E150)</f>
        <v>165</v>
      </c>
      <c r="F151" s="78">
        <f>SUM(F141:F150)</f>
        <v>369700</v>
      </c>
      <c r="G151" s="78">
        <f t="shared" ref="G151:H151" si="13">SUM(G141:G150)</f>
        <v>137750</v>
      </c>
      <c r="H151" s="78">
        <f t="shared" si="13"/>
        <v>234950</v>
      </c>
    </row>
    <row r="152" spans="1:8" hidden="1" x14ac:dyDescent="0.25">
      <c r="A152" t="s">
        <v>32</v>
      </c>
      <c r="B152" s="3">
        <v>45580</v>
      </c>
      <c r="C152" t="s">
        <v>306</v>
      </c>
      <c r="D152" t="s">
        <v>11</v>
      </c>
      <c r="E152">
        <v>5</v>
      </c>
      <c r="F152">
        <f>E152*1800</f>
        <v>9000</v>
      </c>
      <c r="G152">
        <f>E152*500</f>
        <v>2500</v>
      </c>
      <c r="H152">
        <f>E152*1300</f>
        <v>6500</v>
      </c>
    </row>
    <row r="153" spans="1:8" hidden="1" x14ac:dyDescent="0.25">
      <c r="C153" t="s">
        <v>846</v>
      </c>
      <c r="D153" t="s">
        <v>11</v>
      </c>
      <c r="E153">
        <v>5</v>
      </c>
      <c r="F153">
        <f>E153*3000</f>
        <v>15000</v>
      </c>
      <c r="G153">
        <f>E153*500</f>
        <v>2500</v>
      </c>
      <c r="H153">
        <f>E153*2500</f>
        <v>12500</v>
      </c>
    </row>
    <row r="154" spans="1:8" hidden="1" x14ac:dyDescent="0.25">
      <c r="D154" t="s">
        <v>13</v>
      </c>
      <c r="E154">
        <v>7</v>
      </c>
      <c r="F154">
        <f>E154*8000</f>
        <v>56000</v>
      </c>
      <c r="G154">
        <f>E154*4500</f>
        <v>31500</v>
      </c>
      <c r="H154">
        <f>E154*3500</f>
        <v>24500</v>
      </c>
    </row>
    <row r="155" spans="1:8" hidden="1" x14ac:dyDescent="0.25">
      <c r="D155" t="s">
        <v>14</v>
      </c>
      <c r="E155">
        <v>6</v>
      </c>
      <c r="F155">
        <f>E155*12000</f>
        <v>72000</v>
      </c>
      <c r="G155">
        <f>E155*5500</f>
        <v>33000</v>
      </c>
      <c r="H155">
        <f>E155*6500</f>
        <v>39000</v>
      </c>
    </row>
    <row r="156" spans="1:8" hidden="1" x14ac:dyDescent="0.25">
      <c r="D156" t="s">
        <v>686</v>
      </c>
      <c r="E156">
        <v>1</v>
      </c>
      <c r="F156">
        <v>7000</v>
      </c>
      <c r="G156">
        <v>3500</v>
      </c>
      <c r="H156">
        <v>3500</v>
      </c>
    </row>
    <row r="157" spans="1:8" hidden="1" x14ac:dyDescent="0.25">
      <c r="C157" t="s">
        <v>16</v>
      </c>
      <c r="D157" t="s">
        <v>11</v>
      </c>
      <c r="E157">
        <v>44</v>
      </c>
      <c r="F157">
        <f>E157*1500</f>
        <v>66000</v>
      </c>
      <c r="G157">
        <f>E157*500</f>
        <v>22000</v>
      </c>
      <c r="H157">
        <v>44000</v>
      </c>
    </row>
    <row r="158" spans="1:8" x14ac:dyDescent="0.25">
      <c r="D158" t="s">
        <v>879</v>
      </c>
      <c r="E158">
        <v>5</v>
      </c>
      <c r="F158">
        <f>E158*1500</f>
        <v>7500</v>
      </c>
      <c r="G158">
        <f>E158*500</f>
        <v>2500</v>
      </c>
      <c r="H158">
        <v>5000</v>
      </c>
    </row>
    <row r="159" spans="1:8" hidden="1" x14ac:dyDescent="0.25">
      <c r="A159" s="112" t="s">
        <v>17</v>
      </c>
      <c r="B159" s="112"/>
      <c r="C159" s="112"/>
      <c r="D159" s="112"/>
      <c r="E159" s="78">
        <f>SUM(E152:E158)</f>
        <v>73</v>
      </c>
      <c r="F159" s="78">
        <f t="shared" ref="F159:H159" si="14">SUM(F152:F158)</f>
        <v>232500</v>
      </c>
      <c r="G159" s="78">
        <f t="shared" si="14"/>
        <v>97500</v>
      </c>
      <c r="H159" s="78">
        <f t="shared" si="14"/>
        <v>135000</v>
      </c>
    </row>
    <row r="160" spans="1:8" hidden="1" x14ac:dyDescent="0.25">
      <c r="A160" t="s">
        <v>8</v>
      </c>
      <c r="B160" s="3">
        <v>45581</v>
      </c>
      <c r="C160" t="s">
        <v>338</v>
      </c>
      <c r="D160" t="s">
        <v>11</v>
      </c>
      <c r="E160">
        <v>60</v>
      </c>
      <c r="F160">
        <f>E160*1800</f>
        <v>108000</v>
      </c>
      <c r="G160">
        <f>E160*500</f>
        <v>30000</v>
      </c>
      <c r="H160">
        <f>E160*1300</f>
        <v>78000</v>
      </c>
    </row>
    <row r="161" spans="1:8" hidden="1" x14ac:dyDescent="0.25">
      <c r="C161" t="s">
        <v>571</v>
      </c>
      <c r="D161" t="s">
        <v>11</v>
      </c>
      <c r="E161">
        <v>30</v>
      </c>
      <c r="F161">
        <f>E161*1700</f>
        <v>51000</v>
      </c>
      <c r="G161">
        <f>E161*500</f>
        <v>15000</v>
      </c>
      <c r="H161">
        <f>E161*1200</f>
        <v>36000</v>
      </c>
    </row>
    <row r="162" spans="1:8" hidden="1" x14ac:dyDescent="0.25">
      <c r="C162" t="s">
        <v>894</v>
      </c>
      <c r="D162" t="s">
        <v>11</v>
      </c>
      <c r="E162">
        <v>50</v>
      </c>
      <c r="F162">
        <f>E162*1500</f>
        <v>75000</v>
      </c>
      <c r="G162">
        <f>E162*500</f>
        <v>25000</v>
      </c>
      <c r="H162">
        <v>50000</v>
      </c>
    </row>
    <row r="163" spans="1:8" hidden="1" x14ac:dyDescent="0.25">
      <c r="C163" t="s">
        <v>16</v>
      </c>
      <c r="D163" t="s">
        <v>11</v>
      </c>
      <c r="E163">
        <v>53</v>
      </c>
      <c r="F163">
        <f>E163*1500</f>
        <v>79500</v>
      </c>
      <c r="G163">
        <f>E163*500</f>
        <v>26500</v>
      </c>
      <c r="H163">
        <v>53000</v>
      </c>
    </row>
    <row r="164" spans="1:8" x14ac:dyDescent="0.25">
      <c r="D164" t="s">
        <v>879</v>
      </c>
      <c r="E164">
        <v>8</v>
      </c>
      <c r="F164">
        <f>E164*1500</f>
        <v>12000</v>
      </c>
      <c r="G164">
        <f>E164*750</f>
        <v>6000</v>
      </c>
      <c r="H164">
        <f>E164*1250</f>
        <v>10000</v>
      </c>
    </row>
    <row r="165" spans="1:8" hidden="1" x14ac:dyDescent="0.25">
      <c r="D165" t="s">
        <v>12</v>
      </c>
      <c r="E165">
        <v>6</v>
      </c>
      <c r="F165">
        <v>18000</v>
      </c>
      <c r="G165">
        <v>12000</v>
      </c>
      <c r="H165">
        <v>6000</v>
      </c>
    </row>
    <row r="166" spans="1:8" hidden="1" x14ac:dyDescent="0.25">
      <c r="A166" s="112" t="s">
        <v>17</v>
      </c>
      <c r="B166" s="112"/>
      <c r="C166" s="112"/>
      <c r="D166" s="112"/>
      <c r="E166" s="78">
        <f>SUM(E160:E165)</f>
        <v>207</v>
      </c>
      <c r="F166" s="78">
        <f t="shared" ref="F166:H166" si="15">SUM(F160:F165)</f>
        <v>343500</v>
      </c>
      <c r="G166" s="78">
        <f t="shared" si="15"/>
        <v>114500</v>
      </c>
      <c r="H166" s="78">
        <f t="shared" si="15"/>
        <v>233000</v>
      </c>
    </row>
    <row r="167" spans="1:8" hidden="1" x14ac:dyDescent="0.25">
      <c r="A167" t="s">
        <v>18</v>
      </c>
      <c r="B167" s="3">
        <v>45582</v>
      </c>
      <c r="C167" t="s">
        <v>338</v>
      </c>
      <c r="D167" t="s">
        <v>11</v>
      </c>
      <c r="E167">
        <v>98</v>
      </c>
      <c r="F167" s="79">
        <f>E167*1800</f>
        <v>176400</v>
      </c>
      <c r="G167" s="79">
        <f>E167*500</f>
        <v>49000</v>
      </c>
      <c r="H167" s="79">
        <f>E167*1300</f>
        <v>127400</v>
      </c>
    </row>
    <row r="168" spans="1:8" hidden="1" x14ac:dyDescent="0.25">
      <c r="C168" t="s">
        <v>571</v>
      </c>
      <c r="D168" t="s">
        <v>11</v>
      </c>
      <c r="E168">
        <v>65</v>
      </c>
      <c r="F168" s="79">
        <f>E168*1700</f>
        <v>110500</v>
      </c>
      <c r="G168" s="79">
        <f>E168*500</f>
        <v>32500</v>
      </c>
      <c r="H168" s="79">
        <f>E168*1200</f>
        <v>78000</v>
      </c>
    </row>
    <row r="169" spans="1:8" hidden="1" x14ac:dyDescent="0.25">
      <c r="C169" t="s">
        <v>16</v>
      </c>
      <c r="D169" t="s">
        <v>11</v>
      </c>
      <c r="E169">
        <v>60</v>
      </c>
      <c r="F169" s="79">
        <f>E169*1500</f>
        <v>90000</v>
      </c>
      <c r="G169" s="79">
        <f>E169*500</f>
        <v>30000</v>
      </c>
      <c r="H169" s="79">
        <v>60000</v>
      </c>
    </row>
    <row r="170" spans="1:8" hidden="1" x14ac:dyDescent="0.25">
      <c r="C170" t="s">
        <v>846</v>
      </c>
      <c r="D170" t="s">
        <v>11</v>
      </c>
      <c r="E170">
        <v>4</v>
      </c>
      <c r="F170" s="79">
        <f>E170*3000</f>
        <v>12000</v>
      </c>
      <c r="G170" s="79">
        <f>E170*500</f>
        <v>2000</v>
      </c>
      <c r="H170" s="79">
        <f>E170*2500</f>
        <v>10000</v>
      </c>
    </row>
    <row r="171" spans="1:8" x14ac:dyDescent="0.25">
      <c r="D171" t="s">
        <v>879</v>
      </c>
      <c r="E171">
        <v>4</v>
      </c>
      <c r="F171" s="79">
        <f>E171*2000</f>
        <v>8000</v>
      </c>
      <c r="G171" s="79">
        <f>E171*750</f>
        <v>3000</v>
      </c>
      <c r="H171" s="79">
        <f>E171*1250</f>
        <v>5000</v>
      </c>
    </row>
    <row r="172" spans="1:8" hidden="1" x14ac:dyDescent="0.25">
      <c r="D172" t="s">
        <v>13</v>
      </c>
      <c r="E172">
        <v>1</v>
      </c>
      <c r="F172" s="79">
        <v>8000</v>
      </c>
      <c r="G172" s="79">
        <v>4500</v>
      </c>
      <c r="H172" s="79">
        <v>3500</v>
      </c>
    </row>
    <row r="173" spans="1:8" hidden="1" x14ac:dyDescent="0.25">
      <c r="D173" t="s">
        <v>14</v>
      </c>
      <c r="E173">
        <v>5</v>
      </c>
      <c r="F173" s="79">
        <f>E173*12000</f>
        <v>60000</v>
      </c>
      <c r="G173" s="79">
        <f>E173*5500</f>
        <v>27500</v>
      </c>
      <c r="H173" s="79">
        <f>E173*6500</f>
        <v>32500</v>
      </c>
    </row>
    <row r="174" spans="1:8" hidden="1" x14ac:dyDescent="0.25">
      <c r="A174" s="112" t="s">
        <v>897</v>
      </c>
      <c r="B174" s="112"/>
      <c r="C174" s="112"/>
      <c r="D174" s="112"/>
      <c r="E174" s="78">
        <f>SUM(E167:E173)</f>
        <v>237</v>
      </c>
      <c r="F174" s="78">
        <f t="shared" ref="F174:H174" si="16">SUM(F167:F173)</f>
        <v>464900</v>
      </c>
      <c r="G174" s="78">
        <f t="shared" si="16"/>
        <v>148500</v>
      </c>
      <c r="H174" s="78">
        <f t="shared" si="16"/>
        <v>316400</v>
      </c>
    </row>
    <row r="175" spans="1:8" hidden="1" x14ac:dyDescent="0.25">
      <c r="A175" t="s">
        <v>22</v>
      </c>
      <c r="B175" s="3">
        <v>45583</v>
      </c>
      <c r="C175" t="s">
        <v>571</v>
      </c>
      <c r="D175" t="s">
        <v>11</v>
      </c>
      <c r="E175">
        <v>45</v>
      </c>
      <c r="F175" s="79">
        <f>E175*1700</f>
        <v>76500</v>
      </c>
      <c r="G175" s="79">
        <f>E175*500</f>
        <v>22500</v>
      </c>
      <c r="H175" s="79">
        <f>E175*1200</f>
        <v>54000</v>
      </c>
    </row>
    <row r="176" spans="1:8" hidden="1" x14ac:dyDescent="0.25">
      <c r="C176" t="s">
        <v>104</v>
      </c>
      <c r="D176" t="s">
        <v>11</v>
      </c>
      <c r="E176">
        <v>72</v>
      </c>
      <c r="F176" s="79">
        <f>E176*1700</f>
        <v>122400</v>
      </c>
      <c r="G176" s="79">
        <f>E176*500</f>
        <v>36000</v>
      </c>
      <c r="H176" s="79">
        <f>E176*1200</f>
        <v>86400</v>
      </c>
    </row>
    <row r="177" spans="1:11" hidden="1" x14ac:dyDescent="0.25">
      <c r="C177" t="s">
        <v>306</v>
      </c>
      <c r="D177" t="s">
        <v>11</v>
      </c>
      <c r="E177">
        <v>15</v>
      </c>
      <c r="F177" s="79">
        <f>E177*1800</f>
        <v>27000</v>
      </c>
      <c r="G177" s="79">
        <f>E177*500</f>
        <v>7500</v>
      </c>
      <c r="H177" s="79">
        <f>E177*1300</f>
        <v>19500</v>
      </c>
    </row>
    <row r="178" spans="1:11" hidden="1" x14ac:dyDescent="0.25">
      <c r="C178" t="s">
        <v>16</v>
      </c>
      <c r="D178" t="s">
        <v>11</v>
      </c>
      <c r="E178">
        <v>45</v>
      </c>
      <c r="F178" s="79">
        <f>E178*1500</f>
        <v>67500</v>
      </c>
      <c r="G178" s="79">
        <f>E178*500</f>
        <v>22500</v>
      </c>
      <c r="H178" s="79">
        <f>E178*1000</f>
        <v>45000</v>
      </c>
    </row>
    <row r="179" spans="1:11" x14ac:dyDescent="0.25">
      <c r="D179" t="s">
        <v>879</v>
      </c>
      <c r="E179">
        <v>13</v>
      </c>
      <c r="F179" s="79">
        <f>E179*1500</f>
        <v>19500</v>
      </c>
      <c r="G179" s="79">
        <f>E179*750</f>
        <v>9750</v>
      </c>
      <c r="H179" s="79">
        <f>E179*1250</f>
        <v>16250</v>
      </c>
    </row>
    <row r="180" spans="1:11" hidden="1" x14ac:dyDescent="0.25">
      <c r="D180" t="s">
        <v>13</v>
      </c>
      <c r="E180">
        <v>1</v>
      </c>
      <c r="F180" s="79">
        <v>6500</v>
      </c>
      <c r="G180" s="79">
        <v>4500</v>
      </c>
      <c r="H180" s="79">
        <v>2000</v>
      </c>
    </row>
    <row r="181" spans="1:11" hidden="1" x14ac:dyDescent="0.25">
      <c r="C181" t="s">
        <v>20</v>
      </c>
      <c r="D181" t="s">
        <v>11</v>
      </c>
      <c r="E181">
        <v>7</v>
      </c>
      <c r="F181" s="79">
        <f>E181*3000</f>
        <v>21000</v>
      </c>
      <c r="G181" s="79">
        <f>E181*500</f>
        <v>3500</v>
      </c>
      <c r="H181" s="79">
        <f>E181*2500</f>
        <v>17500</v>
      </c>
      <c r="K181" s="92">
        <f>E32+E46+E58+E69+E83+E118+E153+E162+E170+E181+E202+E206+E234+E245+E271</f>
        <v>389</v>
      </c>
    </row>
    <row r="182" spans="1:11" x14ac:dyDescent="0.25">
      <c r="D182" t="s">
        <v>879</v>
      </c>
      <c r="E182">
        <v>10</v>
      </c>
      <c r="F182" s="79">
        <v>20000</v>
      </c>
      <c r="G182" s="79">
        <f>E182*750</f>
        <v>7500</v>
      </c>
      <c r="H182" s="79">
        <f>E182*1250</f>
        <v>12500</v>
      </c>
    </row>
    <row r="183" spans="1:11" hidden="1" x14ac:dyDescent="0.25">
      <c r="D183" t="s">
        <v>13</v>
      </c>
      <c r="E183">
        <v>1</v>
      </c>
      <c r="F183" s="79">
        <v>8000</v>
      </c>
      <c r="G183" s="79">
        <v>4500</v>
      </c>
      <c r="H183" s="79">
        <v>3500</v>
      </c>
    </row>
    <row r="184" spans="1:11" hidden="1" x14ac:dyDescent="0.25">
      <c r="D184" t="s">
        <v>14</v>
      </c>
      <c r="E184">
        <v>6</v>
      </c>
      <c r="F184" s="79">
        <f>E184*12000</f>
        <v>72000</v>
      </c>
      <c r="G184" s="79">
        <f>E184*5500</f>
        <v>33000</v>
      </c>
      <c r="H184" s="79">
        <f>E184*6500</f>
        <v>39000</v>
      </c>
    </row>
    <row r="185" spans="1:11" hidden="1" x14ac:dyDescent="0.25">
      <c r="A185" s="111" t="s">
        <v>17</v>
      </c>
      <c r="B185" s="111"/>
      <c r="C185" s="111"/>
      <c r="D185" s="111"/>
      <c r="E185" s="1">
        <f>SUM(E175:E184)</f>
        <v>215</v>
      </c>
      <c r="F185" s="78">
        <f t="shared" ref="F185:H185" si="17">SUM(F175:F184)</f>
        <v>440400</v>
      </c>
      <c r="G185" s="78">
        <f t="shared" si="17"/>
        <v>151250</v>
      </c>
      <c r="H185" s="78">
        <f t="shared" si="17"/>
        <v>295650</v>
      </c>
    </row>
    <row r="186" spans="1:11" hidden="1" x14ac:dyDescent="0.25">
      <c r="A186" t="s">
        <v>895</v>
      </c>
      <c r="B186" s="3">
        <v>45584</v>
      </c>
      <c r="C186" t="s">
        <v>338</v>
      </c>
      <c r="D186" t="s">
        <v>11</v>
      </c>
      <c r="E186">
        <v>109</v>
      </c>
      <c r="F186" s="79">
        <f>E186*1800</f>
        <v>196200</v>
      </c>
      <c r="G186" s="79">
        <f>E186*500</f>
        <v>54500</v>
      </c>
      <c r="H186" s="79">
        <f>E186*1300</f>
        <v>141700</v>
      </c>
    </row>
    <row r="187" spans="1:11" hidden="1" x14ac:dyDescent="0.25">
      <c r="C187" t="s">
        <v>16</v>
      </c>
      <c r="D187" t="s">
        <v>11</v>
      </c>
      <c r="E187">
        <v>11</v>
      </c>
      <c r="F187" s="79">
        <f>E187*1500</f>
        <v>16500</v>
      </c>
      <c r="G187" s="79">
        <f>E187*500</f>
        <v>5500</v>
      </c>
      <c r="H187" s="79">
        <v>11000</v>
      </c>
    </row>
    <row r="188" spans="1:11" hidden="1" x14ac:dyDescent="0.25">
      <c r="D188" t="s">
        <v>12</v>
      </c>
      <c r="E188">
        <v>1</v>
      </c>
      <c r="F188" s="79">
        <v>3000</v>
      </c>
      <c r="G188" s="79">
        <v>2000</v>
      </c>
      <c r="H188" s="79">
        <v>1000</v>
      </c>
    </row>
    <row r="189" spans="1:11" hidden="1" x14ac:dyDescent="0.25">
      <c r="C189" t="s">
        <v>846</v>
      </c>
      <c r="D189" t="s">
        <v>14</v>
      </c>
      <c r="E189">
        <v>1</v>
      </c>
      <c r="F189" s="79">
        <v>12000</v>
      </c>
      <c r="G189" s="79">
        <v>5500</v>
      </c>
      <c r="H189" s="79">
        <v>6500</v>
      </c>
    </row>
    <row r="190" spans="1:11" hidden="1" x14ac:dyDescent="0.25">
      <c r="D190" t="s">
        <v>243</v>
      </c>
      <c r="E190">
        <v>1</v>
      </c>
      <c r="F190" s="79">
        <v>17000</v>
      </c>
      <c r="G190" s="79">
        <v>10000</v>
      </c>
      <c r="H190" s="79">
        <v>7000</v>
      </c>
    </row>
    <row r="191" spans="1:11" hidden="1" x14ac:dyDescent="0.25">
      <c r="A191" s="112" t="s">
        <v>17</v>
      </c>
      <c r="B191" s="112"/>
      <c r="C191" s="112"/>
      <c r="D191" s="112"/>
      <c r="E191" s="78">
        <f>SUM(E186:E190)</f>
        <v>123</v>
      </c>
      <c r="F191" s="78">
        <f t="shared" ref="F191:G191" si="18">SUM(F186:F190)</f>
        <v>244700</v>
      </c>
      <c r="G191" s="78">
        <f t="shared" si="18"/>
        <v>77500</v>
      </c>
      <c r="H191" s="78">
        <f>SUM(H186:H190)</f>
        <v>167200</v>
      </c>
    </row>
    <row r="192" spans="1:11" hidden="1" x14ac:dyDescent="0.25">
      <c r="A192" t="s">
        <v>28</v>
      </c>
      <c r="B192" s="3">
        <v>45585</v>
      </c>
      <c r="C192" t="s">
        <v>16</v>
      </c>
      <c r="D192" t="s">
        <v>11</v>
      </c>
      <c r="E192">
        <v>48</v>
      </c>
      <c r="F192" s="79">
        <f>E192*1500</f>
        <v>72000</v>
      </c>
      <c r="G192" s="79">
        <f>E192*500</f>
        <v>24000</v>
      </c>
      <c r="H192" s="79">
        <v>48000</v>
      </c>
    </row>
    <row r="193" spans="1:8" x14ac:dyDescent="0.25">
      <c r="D193" t="s">
        <v>879</v>
      </c>
      <c r="E193">
        <v>9</v>
      </c>
      <c r="F193" s="79">
        <f>E193*1500</f>
        <v>13500</v>
      </c>
      <c r="G193" s="79">
        <f>E193*750</f>
        <v>6750</v>
      </c>
      <c r="H193" s="79">
        <f>E193*1250</f>
        <v>11250</v>
      </c>
    </row>
    <row r="194" spans="1:8" hidden="1" x14ac:dyDescent="0.25">
      <c r="D194" t="s">
        <v>12</v>
      </c>
      <c r="E194">
        <v>4</v>
      </c>
      <c r="F194" s="79">
        <v>12000</v>
      </c>
      <c r="G194" s="79">
        <v>8000</v>
      </c>
      <c r="H194" s="79">
        <v>4000</v>
      </c>
    </row>
    <row r="195" spans="1:8" hidden="1" x14ac:dyDescent="0.25">
      <c r="C195" t="s">
        <v>693</v>
      </c>
      <c r="D195" t="s">
        <v>11</v>
      </c>
      <c r="E195">
        <v>6</v>
      </c>
      <c r="F195" s="79">
        <f>E195*2000</f>
        <v>12000</v>
      </c>
      <c r="G195" s="79">
        <f>E195*500</f>
        <v>3000</v>
      </c>
      <c r="H195" s="79">
        <f>E195*1500</f>
        <v>9000</v>
      </c>
    </row>
    <row r="196" spans="1:8" hidden="1" x14ac:dyDescent="0.25">
      <c r="D196" t="s">
        <v>13</v>
      </c>
      <c r="E196">
        <v>35</v>
      </c>
      <c r="F196" s="79">
        <f>E196*7000</f>
        <v>245000</v>
      </c>
      <c r="G196" s="79">
        <f>E196*4500</f>
        <v>157500</v>
      </c>
      <c r="H196" s="79">
        <f>E196*2500</f>
        <v>87500</v>
      </c>
    </row>
    <row r="197" spans="1:8" hidden="1" x14ac:dyDescent="0.25">
      <c r="D197" t="s">
        <v>14</v>
      </c>
      <c r="E197">
        <v>24</v>
      </c>
      <c r="F197" s="79">
        <f>E197*10000</f>
        <v>240000</v>
      </c>
      <c r="G197" s="79">
        <f>E197*5500</f>
        <v>132000</v>
      </c>
      <c r="H197" s="79">
        <f>E197*4500</f>
        <v>108000</v>
      </c>
    </row>
    <row r="198" spans="1:8" x14ac:dyDescent="0.25">
      <c r="D198" t="s">
        <v>879</v>
      </c>
      <c r="E198">
        <v>10</v>
      </c>
      <c r="F198" s="79">
        <f>E198*1500</f>
        <v>15000</v>
      </c>
      <c r="G198" s="79">
        <f>E198*750</f>
        <v>7500</v>
      </c>
      <c r="H198" s="79">
        <v>7500</v>
      </c>
    </row>
    <row r="199" spans="1:8" hidden="1" x14ac:dyDescent="0.25">
      <c r="C199" t="s">
        <v>217</v>
      </c>
      <c r="D199" t="s">
        <v>11</v>
      </c>
      <c r="E199">
        <v>13</v>
      </c>
      <c r="F199" s="79">
        <f>E199*1500</f>
        <v>19500</v>
      </c>
      <c r="G199" s="79">
        <f>E199*500</f>
        <v>6500</v>
      </c>
      <c r="H199" s="79">
        <f>E199*1000</f>
        <v>13000</v>
      </c>
    </row>
    <row r="200" spans="1:8" hidden="1" x14ac:dyDescent="0.25">
      <c r="D200" t="s">
        <v>13</v>
      </c>
      <c r="E200">
        <v>12</v>
      </c>
      <c r="F200" s="79">
        <f>E200*6500</f>
        <v>78000</v>
      </c>
      <c r="G200" s="79">
        <f>E200*4500</f>
        <v>54000</v>
      </c>
      <c r="H200" s="79">
        <f>E200*2500</f>
        <v>30000</v>
      </c>
    </row>
    <row r="201" spans="1:8" hidden="1" x14ac:dyDescent="0.25">
      <c r="D201" t="s">
        <v>14</v>
      </c>
      <c r="E201">
        <v>4</v>
      </c>
      <c r="F201" s="79">
        <f>E201*10000</f>
        <v>40000</v>
      </c>
      <c r="G201" s="79">
        <f>E201*5500</f>
        <v>22000</v>
      </c>
      <c r="H201" s="79">
        <f>E201*4500</f>
        <v>18000</v>
      </c>
    </row>
    <row r="202" spans="1:8" hidden="1" x14ac:dyDescent="0.25">
      <c r="C202" t="s">
        <v>846</v>
      </c>
      <c r="D202" t="s">
        <v>11</v>
      </c>
      <c r="E202">
        <v>3</v>
      </c>
      <c r="F202" s="79">
        <f>E202*2000</f>
        <v>6000</v>
      </c>
      <c r="G202" s="79">
        <f>E202*500</f>
        <v>1500</v>
      </c>
      <c r="H202" s="79">
        <f>E202*1500</f>
        <v>4500</v>
      </c>
    </row>
    <row r="203" spans="1:8" x14ac:dyDescent="0.25">
      <c r="D203" t="s">
        <v>879</v>
      </c>
      <c r="E203">
        <v>5</v>
      </c>
      <c r="F203" s="79">
        <f>E203*2000</f>
        <v>10000</v>
      </c>
      <c r="G203" s="79">
        <f>E203*750</f>
        <v>3750</v>
      </c>
      <c r="H203" s="79">
        <f>E203*1250</f>
        <v>6250</v>
      </c>
    </row>
    <row r="204" spans="1:8" hidden="1" x14ac:dyDescent="0.25">
      <c r="D204" t="s">
        <v>13</v>
      </c>
      <c r="E204">
        <v>4</v>
      </c>
      <c r="F204" s="79">
        <f>E204*8000</f>
        <v>32000</v>
      </c>
      <c r="G204" s="79">
        <f>E204*4500</f>
        <v>18000</v>
      </c>
      <c r="H204" s="79">
        <f>E204*3500</f>
        <v>14000</v>
      </c>
    </row>
    <row r="205" spans="1:8" hidden="1" x14ac:dyDescent="0.25">
      <c r="D205" t="s">
        <v>14</v>
      </c>
      <c r="E205">
        <v>4</v>
      </c>
      <c r="F205" s="79">
        <f>E205*12000</f>
        <v>48000</v>
      </c>
      <c r="G205" s="79">
        <f>E205*5500</f>
        <v>22000</v>
      </c>
      <c r="H205" s="79">
        <f>E205*6500</f>
        <v>26000</v>
      </c>
    </row>
    <row r="206" spans="1:8" hidden="1" x14ac:dyDescent="0.25">
      <c r="C206" t="s">
        <v>894</v>
      </c>
      <c r="D206" t="s">
        <v>11</v>
      </c>
      <c r="E206">
        <v>30</v>
      </c>
      <c r="F206" s="79">
        <f>E206*1500</f>
        <v>45000</v>
      </c>
      <c r="G206" s="79">
        <f>E206*500</f>
        <v>15000</v>
      </c>
      <c r="H206" s="79">
        <v>30000</v>
      </c>
    </row>
    <row r="207" spans="1:8" hidden="1" x14ac:dyDescent="0.25">
      <c r="A207" s="112" t="s">
        <v>17</v>
      </c>
      <c r="B207" s="112"/>
      <c r="C207" s="112"/>
      <c r="D207" s="112"/>
      <c r="E207" s="78">
        <f>SUM(E192:E206)</f>
        <v>211</v>
      </c>
      <c r="F207" s="78">
        <f t="shared" ref="F207:H207" si="19">SUM(F192:F206)</f>
        <v>888000</v>
      </c>
      <c r="G207" s="78">
        <f t="shared" si="19"/>
        <v>481500</v>
      </c>
      <c r="H207" s="78">
        <f t="shared" si="19"/>
        <v>417000</v>
      </c>
    </row>
    <row r="208" spans="1:8" hidden="1" x14ac:dyDescent="0.25">
      <c r="A208" t="s">
        <v>30</v>
      </c>
      <c r="B208" s="3">
        <v>45586</v>
      </c>
      <c r="C208" t="s">
        <v>338</v>
      </c>
      <c r="D208" t="s">
        <v>11</v>
      </c>
      <c r="E208">
        <f>60-18</f>
        <v>42</v>
      </c>
      <c r="F208" s="79">
        <f>E208*1800</f>
        <v>75600</v>
      </c>
      <c r="G208" s="79">
        <f>E208*500</f>
        <v>21000</v>
      </c>
      <c r="H208" s="79">
        <f>E208*1300</f>
        <v>54600</v>
      </c>
    </row>
    <row r="209" spans="1:8" hidden="1" x14ac:dyDescent="0.25">
      <c r="C209" t="s">
        <v>16</v>
      </c>
      <c r="D209" t="s">
        <v>11</v>
      </c>
      <c r="E209">
        <v>38</v>
      </c>
      <c r="F209" s="79">
        <f>E209*1500</f>
        <v>57000</v>
      </c>
      <c r="G209" s="79">
        <f>E209*500</f>
        <v>19000</v>
      </c>
      <c r="H209" s="79">
        <v>38000</v>
      </c>
    </row>
    <row r="210" spans="1:8" x14ac:dyDescent="0.25">
      <c r="D210" t="s">
        <v>879</v>
      </c>
      <c r="E210">
        <v>2</v>
      </c>
      <c r="F210" s="79">
        <v>3000</v>
      </c>
      <c r="G210" s="79">
        <f>E210*750</f>
        <v>1500</v>
      </c>
      <c r="H210" s="79">
        <f>E210*1250</f>
        <v>2500</v>
      </c>
    </row>
    <row r="211" spans="1:8" hidden="1" x14ac:dyDescent="0.25">
      <c r="D211" t="s">
        <v>12</v>
      </c>
      <c r="E211">
        <v>1</v>
      </c>
      <c r="F211" s="79">
        <v>3000</v>
      </c>
      <c r="G211" s="79">
        <v>2000</v>
      </c>
      <c r="H211" s="79">
        <v>1000</v>
      </c>
    </row>
    <row r="212" spans="1:8" hidden="1" x14ac:dyDescent="0.25">
      <c r="D212" t="s">
        <v>13</v>
      </c>
      <c r="E212">
        <v>2</v>
      </c>
      <c r="F212" s="79">
        <v>13000</v>
      </c>
      <c r="G212" s="79">
        <f>E212*4500</f>
        <v>9000</v>
      </c>
      <c r="H212" s="79">
        <f>E212*2000</f>
        <v>4000</v>
      </c>
    </row>
    <row r="213" spans="1:8" hidden="1" x14ac:dyDescent="0.25">
      <c r="D213" t="s">
        <v>14</v>
      </c>
      <c r="E213">
        <v>1</v>
      </c>
      <c r="F213" s="79">
        <v>10000</v>
      </c>
      <c r="G213" s="79">
        <v>5500</v>
      </c>
      <c r="H213" s="79">
        <v>4500</v>
      </c>
    </row>
    <row r="214" spans="1:8" hidden="1" x14ac:dyDescent="0.25">
      <c r="C214" t="s">
        <v>846</v>
      </c>
      <c r="D214" t="s">
        <v>13</v>
      </c>
      <c r="E214">
        <v>3</v>
      </c>
      <c r="F214" s="79">
        <v>24000</v>
      </c>
      <c r="G214" s="79">
        <f>E214*4500</f>
        <v>13500</v>
      </c>
      <c r="H214" s="79">
        <f>E214*3500</f>
        <v>10500</v>
      </c>
    </row>
    <row r="215" spans="1:8" x14ac:dyDescent="0.25">
      <c r="D215" t="s">
        <v>879</v>
      </c>
      <c r="E215">
        <v>1</v>
      </c>
      <c r="F215" s="79">
        <v>2000</v>
      </c>
      <c r="G215" s="79">
        <v>750</v>
      </c>
      <c r="H215" s="79">
        <v>1250</v>
      </c>
    </row>
    <row r="216" spans="1:8" hidden="1" x14ac:dyDescent="0.25">
      <c r="A216" s="112" t="s">
        <v>17</v>
      </c>
      <c r="B216" s="112"/>
      <c r="C216" s="112"/>
      <c r="D216" s="112"/>
      <c r="E216" s="78">
        <f>SUM(E208:E215)</f>
        <v>90</v>
      </c>
      <c r="F216" s="78">
        <f t="shared" ref="F216:G216" si="20">SUM(F208:F215)</f>
        <v>187600</v>
      </c>
      <c r="G216" s="78">
        <f t="shared" si="20"/>
        <v>72250</v>
      </c>
      <c r="H216" s="78">
        <f>SUM(H208:H215)</f>
        <v>116350</v>
      </c>
    </row>
    <row r="217" spans="1:8" hidden="1" x14ac:dyDescent="0.25">
      <c r="A217" t="s">
        <v>32</v>
      </c>
      <c r="B217" s="3">
        <v>45587</v>
      </c>
      <c r="C217" t="s">
        <v>338</v>
      </c>
      <c r="D217" t="s">
        <v>11</v>
      </c>
      <c r="E217">
        <f>60-20</f>
        <v>40</v>
      </c>
      <c r="F217" s="79">
        <f>E217*1800</f>
        <v>72000</v>
      </c>
      <c r="G217" s="79">
        <f>E217*500</f>
        <v>20000</v>
      </c>
      <c r="H217" s="79">
        <f>E217*1300</f>
        <v>52000</v>
      </c>
    </row>
    <row r="218" spans="1:8" hidden="1" x14ac:dyDescent="0.25">
      <c r="C218" t="s">
        <v>571</v>
      </c>
      <c r="D218" t="s">
        <v>11</v>
      </c>
      <c r="E218">
        <v>25</v>
      </c>
      <c r="F218" s="79">
        <f>E218*1700</f>
        <v>42500</v>
      </c>
      <c r="G218" s="79">
        <f>E218*500</f>
        <v>12500</v>
      </c>
      <c r="H218" s="79">
        <f>E218*1200</f>
        <v>30000</v>
      </c>
    </row>
    <row r="219" spans="1:8" hidden="1" x14ac:dyDescent="0.25">
      <c r="C219" t="s">
        <v>104</v>
      </c>
      <c r="D219" t="s">
        <v>11</v>
      </c>
      <c r="E219">
        <v>34</v>
      </c>
      <c r="F219" s="79">
        <f>E219*1700</f>
        <v>57800</v>
      </c>
      <c r="G219" s="79">
        <f>E219*500</f>
        <v>17000</v>
      </c>
      <c r="H219" s="79">
        <f>E219*1200</f>
        <v>40800</v>
      </c>
    </row>
    <row r="220" spans="1:8" hidden="1" x14ac:dyDescent="0.25">
      <c r="C220" t="s">
        <v>16</v>
      </c>
      <c r="D220" t="s">
        <v>11</v>
      </c>
      <c r="E220">
        <v>38</v>
      </c>
      <c r="F220" s="79">
        <f>E220*1500</f>
        <v>57000</v>
      </c>
      <c r="G220" s="79">
        <f>E220*500</f>
        <v>19000</v>
      </c>
      <c r="H220" s="79">
        <f>E220*1000</f>
        <v>38000</v>
      </c>
    </row>
    <row r="221" spans="1:8" x14ac:dyDescent="0.25">
      <c r="D221" t="s">
        <v>879</v>
      </c>
      <c r="E221">
        <v>10</v>
      </c>
      <c r="F221" s="79">
        <f>E221*1500</f>
        <v>15000</v>
      </c>
      <c r="G221" s="79">
        <f>E221*750</f>
        <v>7500</v>
      </c>
      <c r="H221" s="79">
        <f>E221*1250</f>
        <v>12500</v>
      </c>
    </row>
    <row r="222" spans="1:8" hidden="1" x14ac:dyDescent="0.25">
      <c r="D222" t="s">
        <v>12</v>
      </c>
      <c r="E222">
        <v>2</v>
      </c>
      <c r="F222" s="79">
        <v>6000</v>
      </c>
      <c r="G222" s="79">
        <v>4000</v>
      </c>
      <c r="H222" s="79">
        <v>2000</v>
      </c>
    </row>
    <row r="223" spans="1:8" hidden="1" x14ac:dyDescent="0.25">
      <c r="D223" t="s">
        <v>14</v>
      </c>
      <c r="E223">
        <v>1</v>
      </c>
      <c r="F223" s="79">
        <v>10000</v>
      </c>
      <c r="G223" s="79">
        <v>5500</v>
      </c>
      <c r="H223" s="79">
        <v>4500</v>
      </c>
    </row>
    <row r="224" spans="1:8" hidden="1" x14ac:dyDescent="0.25">
      <c r="D224" t="s">
        <v>243</v>
      </c>
      <c r="E224">
        <v>1</v>
      </c>
      <c r="F224" s="79">
        <v>13000</v>
      </c>
      <c r="G224" s="79">
        <v>10000</v>
      </c>
      <c r="H224" s="79">
        <v>3000</v>
      </c>
    </row>
    <row r="225" spans="1:11" hidden="1" x14ac:dyDescent="0.25">
      <c r="C225" t="s">
        <v>853</v>
      </c>
      <c r="D225" t="s">
        <v>13</v>
      </c>
      <c r="E225">
        <v>4</v>
      </c>
      <c r="F225" s="79">
        <f>E225*8000</f>
        <v>32000</v>
      </c>
      <c r="G225" s="79">
        <f>E225*4500</f>
        <v>18000</v>
      </c>
      <c r="H225" s="79">
        <f>E225*3500</f>
        <v>14000</v>
      </c>
    </row>
    <row r="226" spans="1:11" hidden="1" x14ac:dyDescent="0.25">
      <c r="D226" t="s">
        <v>243</v>
      </c>
      <c r="E226">
        <v>4</v>
      </c>
      <c r="F226" s="79">
        <f>E226*12000</f>
        <v>48000</v>
      </c>
      <c r="G226" s="79">
        <f>E226*10000</f>
        <v>40000</v>
      </c>
      <c r="H226" s="79">
        <f>E226*2000</f>
        <v>8000</v>
      </c>
    </row>
    <row r="227" spans="1:11" hidden="1" x14ac:dyDescent="0.25">
      <c r="A227" s="112" t="s">
        <v>17</v>
      </c>
      <c r="B227" s="112"/>
      <c r="C227" s="112"/>
      <c r="D227" s="112"/>
      <c r="E227" s="78">
        <f>SUM(E217:E226)</f>
        <v>159</v>
      </c>
      <c r="F227" s="78">
        <f t="shared" ref="F227:H227" si="21">SUM(F217:F226)</f>
        <v>353300</v>
      </c>
      <c r="G227" s="78">
        <f t="shared" si="21"/>
        <v>153500</v>
      </c>
      <c r="H227" s="78">
        <f t="shared" si="21"/>
        <v>204800</v>
      </c>
    </row>
    <row r="228" spans="1:11" hidden="1" x14ac:dyDescent="0.25">
      <c r="A228" t="s">
        <v>8</v>
      </c>
      <c r="B228" s="3">
        <v>45588</v>
      </c>
      <c r="C228" t="s">
        <v>571</v>
      </c>
      <c r="D228" t="s">
        <v>11</v>
      </c>
      <c r="E228">
        <v>25</v>
      </c>
      <c r="F228" s="79">
        <f>E228*1700</f>
        <v>42500</v>
      </c>
      <c r="G228" s="79">
        <f>E228*500</f>
        <v>12500</v>
      </c>
      <c r="H228" s="79">
        <f>E228*1200</f>
        <v>30000</v>
      </c>
      <c r="K228" s="92">
        <f>E2+E10+E29+E65+E78+E96+E104+E161+E168+E175+E218+E228+E238+E288+E299+E307</f>
        <v>529</v>
      </c>
    </row>
    <row r="229" spans="1:11" hidden="1" x14ac:dyDescent="0.25">
      <c r="C229" t="s">
        <v>16</v>
      </c>
      <c r="D229" t="s">
        <v>11</v>
      </c>
      <c r="E229">
        <v>39</v>
      </c>
      <c r="F229" s="79">
        <f>E229*1500</f>
        <v>58500</v>
      </c>
      <c r="G229" s="79">
        <f>E229*500</f>
        <v>19500</v>
      </c>
      <c r="H229" s="79">
        <v>39000</v>
      </c>
    </row>
    <row r="230" spans="1:11" x14ac:dyDescent="0.25">
      <c r="D230" t="s">
        <v>879</v>
      </c>
      <c r="E230">
        <v>13</v>
      </c>
      <c r="F230" s="79">
        <f>E230*1500</f>
        <v>19500</v>
      </c>
      <c r="G230" s="79">
        <f>E230*750</f>
        <v>9750</v>
      </c>
      <c r="H230" s="79">
        <f>E230*1250</f>
        <v>16250</v>
      </c>
    </row>
    <row r="231" spans="1:11" hidden="1" x14ac:dyDescent="0.25">
      <c r="D231" t="s">
        <v>12</v>
      </c>
      <c r="E231">
        <v>2</v>
      </c>
      <c r="F231" s="79">
        <v>6000</v>
      </c>
      <c r="G231" s="79">
        <v>4000</v>
      </c>
      <c r="H231" s="79">
        <v>2000</v>
      </c>
    </row>
    <row r="232" spans="1:11" hidden="1" x14ac:dyDescent="0.25">
      <c r="C232" t="s">
        <v>846</v>
      </c>
      <c r="D232" t="s">
        <v>13</v>
      </c>
      <c r="E232">
        <v>4</v>
      </c>
      <c r="F232" s="79">
        <f>E232*8000</f>
        <v>32000</v>
      </c>
      <c r="G232" s="79">
        <f>E232*4500</f>
        <v>18000</v>
      </c>
      <c r="H232" s="79">
        <f>E232*3500</f>
        <v>14000</v>
      </c>
    </row>
    <row r="233" spans="1:11" hidden="1" x14ac:dyDescent="0.25">
      <c r="D233" t="s">
        <v>14</v>
      </c>
      <c r="E233">
        <v>7</v>
      </c>
      <c r="F233" s="79">
        <f>E233*12000</f>
        <v>84000</v>
      </c>
      <c r="G233" s="79">
        <f>E233*5500</f>
        <v>38500</v>
      </c>
      <c r="H233" s="79">
        <f>E233*6500</f>
        <v>45500</v>
      </c>
    </row>
    <row r="234" spans="1:11" hidden="1" x14ac:dyDescent="0.25">
      <c r="C234" t="s">
        <v>894</v>
      </c>
      <c r="D234" t="s">
        <v>11</v>
      </c>
      <c r="E234">
        <v>50</v>
      </c>
      <c r="F234" s="79">
        <f>E234*1500</f>
        <v>75000</v>
      </c>
      <c r="G234" s="79">
        <f>E234*500</f>
        <v>25000</v>
      </c>
      <c r="H234" s="79">
        <v>50000</v>
      </c>
    </row>
    <row r="235" spans="1:11" hidden="1" x14ac:dyDescent="0.25">
      <c r="C235" t="s">
        <v>24</v>
      </c>
      <c r="D235" t="s">
        <v>14</v>
      </c>
      <c r="E235">
        <v>5</v>
      </c>
      <c r="F235" s="79">
        <f>E235*10000</f>
        <v>50000</v>
      </c>
      <c r="G235" s="79">
        <f>E235*5500</f>
        <v>27500</v>
      </c>
      <c r="H235" s="79">
        <f>E235*4500</f>
        <v>22500</v>
      </c>
    </row>
    <row r="236" spans="1:11" hidden="1" x14ac:dyDescent="0.25">
      <c r="A236" s="112" t="s">
        <v>17</v>
      </c>
      <c r="B236" s="112"/>
      <c r="C236" s="112"/>
      <c r="D236" s="112"/>
      <c r="E236" s="78">
        <f>SUM(E228:E235)</f>
        <v>145</v>
      </c>
      <c r="F236" s="78">
        <f t="shared" ref="F236:H236" si="22">SUM(F228:F235)</f>
        <v>367500</v>
      </c>
      <c r="G236" s="78">
        <f t="shared" si="22"/>
        <v>154750</v>
      </c>
      <c r="H236" s="78">
        <f t="shared" si="22"/>
        <v>219250</v>
      </c>
    </row>
    <row r="237" spans="1:11" hidden="1" x14ac:dyDescent="0.25">
      <c r="A237" t="s">
        <v>18</v>
      </c>
      <c r="B237" s="3">
        <v>45589</v>
      </c>
      <c r="C237" t="s">
        <v>338</v>
      </c>
      <c r="D237" t="s">
        <v>11</v>
      </c>
      <c r="E237">
        <v>140</v>
      </c>
      <c r="F237" s="79">
        <f>E237*1800</f>
        <v>252000</v>
      </c>
      <c r="G237" s="79">
        <f>E237*500</f>
        <v>70000</v>
      </c>
      <c r="H237" s="79">
        <f>E237*1300</f>
        <v>182000</v>
      </c>
    </row>
    <row r="238" spans="1:11" hidden="1" x14ac:dyDescent="0.25">
      <c r="C238" t="s">
        <v>571</v>
      </c>
      <c r="D238" t="s">
        <v>11</v>
      </c>
      <c r="E238">
        <v>30</v>
      </c>
      <c r="F238" s="79">
        <f>E238*1700</f>
        <v>51000</v>
      </c>
      <c r="G238" s="79">
        <f>E238*500</f>
        <v>15000</v>
      </c>
      <c r="H238" s="79">
        <f>E238*1200</f>
        <v>36000</v>
      </c>
    </row>
    <row r="239" spans="1:11" hidden="1" x14ac:dyDescent="0.25">
      <c r="C239" t="s">
        <v>306</v>
      </c>
      <c r="D239" t="s">
        <v>11</v>
      </c>
      <c r="E239">
        <v>23</v>
      </c>
      <c r="F239" s="79">
        <f>E239*1800</f>
        <v>41400</v>
      </c>
      <c r="G239" s="79">
        <f>E239*500</f>
        <v>11500</v>
      </c>
      <c r="H239" s="79">
        <f>E239*1300</f>
        <v>29900</v>
      </c>
    </row>
    <row r="240" spans="1:11" hidden="1" x14ac:dyDescent="0.25">
      <c r="C240" t="s">
        <v>16</v>
      </c>
      <c r="D240" t="s">
        <v>11</v>
      </c>
      <c r="E240">
        <v>35</v>
      </c>
      <c r="F240" s="79">
        <f>E240*1500</f>
        <v>52500</v>
      </c>
      <c r="G240" s="79">
        <f>E240*500</f>
        <v>17500</v>
      </c>
      <c r="H240" s="79">
        <f>E240*1000</f>
        <v>35000</v>
      </c>
    </row>
    <row r="241" spans="1:8" x14ac:dyDescent="0.25">
      <c r="D241" t="s">
        <v>879</v>
      </c>
      <c r="E241">
        <v>15</v>
      </c>
      <c r="F241" s="79">
        <f>E241*1500</f>
        <v>22500</v>
      </c>
      <c r="G241" s="79">
        <f>E241*759</f>
        <v>11385</v>
      </c>
      <c r="H241" s="79">
        <f>E241*1250</f>
        <v>18750</v>
      </c>
    </row>
    <row r="242" spans="1:8" hidden="1" x14ac:dyDescent="0.25">
      <c r="D242" t="s">
        <v>12</v>
      </c>
      <c r="E242">
        <v>1</v>
      </c>
      <c r="F242" s="79">
        <v>3000</v>
      </c>
      <c r="G242" s="79">
        <v>2000</v>
      </c>
      <c r="H242" s="79">
        <v>1000</v>
      </c>
    </row>
    <row r="243" spans="1:8" hidden="1" x14ac:dyDescent="0.25">
      <c r="D243" t="s">
        <v>13</v>
      </c>
      <c r="E243">
        <v>1</v>
      </c>
      <c r="F243" s="79">
        <v>6500</v>
      </c>
      <c r="G243" s="79">
        <v>4500</v>
      </c>
      <c r="H243" s="79">
        <v>2000</v>
      </c>
    </row>
    <row r="244" spans="1:8" hidden="1" x14ac:dyDescent="0.25">
      <c r="D244" t="s">
        <v>14</v>
      </c>
      <c r="E244">
        <v>1</v>
      </c>
      <c r="F244" s="79">
        <v>10000</v>
      </c>
      <c r="G244" s="79">
        <v>5500</v>
      </c>
      <c r="H244" s="79">
        <v>4500</v>
      </c>
    </row>
    <row r="245" spans="1:8" hidden="1" x14ac:dyDescent="0.25">
      <c r="C245" t="s">
        <v>846</v>
      </c>
      <c r="D245" t="s">
        <v>11</v>
      </c>
      <c r="E245">
        <v>2</v>
      </c>
      <c r="F245" s="79">
        <f>E245*3000</f>
        <v>6000</v>
      </c>
      <c r="G245" s="79">
        <f>E245*500</f>
        <v>1000</v>
      </c>
      <c r="H245" s="79">
        <f>E245*2500</f>
        <v>5000</v>
      </c>
    </row>
    <row r="246" spans="1:8" hidden="1" x14ac:dyDescent="0.25">
      <c r="D246" t="s">
        <v>13</v>
      </c>
      <c r="E246">
        <v>1</v>
      </c>
      <c r="F246" s="79">
        <v>8000</v>
      </c>
      <c r="G246" s="79">
        <v>4500</v>
      </c>
      <c r="H246" s="79">
        <v>3500</v>
      </c>
    </row>
    <row r="247" spans="1:8" hidden="1" x14ac:dyDescent="0.25">
      <c r="D247" t="s">
        <v>14</v>
      </c>
      <c r="E247">
        <v>4</v>
      </c>
      <c r="F247" s="79">
        <f>E247*12000</f>
        <v>48000</v>
      </c>
      <c r="G247" s="79">
        <f>E247*5500</f>
        <v>22000</v>
      </c>
      <c r="H247" s="79">
        <f>E247*6500</f>
        <v>26000</v>
      </c>
    </row>
    <row r="248" spans="1:8" hidden="1" x14ac:dyDescent="0.25">
      <c r="A248" s="112" t="s">
        <v>17</v>
      </c>
      <c r="B248" s="112"/>
      <c r="C248" s="112"/>
      <c r="D248" s="112"/>
      <c r="E248" s="78">
        <f>SUM(E237:E247)</f>
        <v>253</v>
      </c>
      <c r="F248" s="78">
        <f t="shared" ref="F248:H248" si="23">SUM(F237:F247)</f>
        <v>500900</v>
      </c>
      <c r="G248" s="78">
        <f t="shared" si="23"/>
        <v>164885</v>
      </c>
      <c r="H248" s="78">
        <f t="shared" si="23"/>
        <v>343650</v>
      </c>
    </row>
    <row r="249" spans="1:8" hidden="1" x14ac:dyDescent="0.25">
      <c r="A249" t="s">
        <v>22</v>
      </c>
      <c r="B249" s="3">
        <v>45590</v>
      </c>
      <c r="C249" t="s">
        <v>572</v>
      </c>
      <c r="D249" t="s">
        <v>11</v>
      </c>
      <c r="E249">
        <v>119</v>
      </c>
      <c r="F249" s="79">
        <f>E249*1700</f>
        <v>202300</v>
      </c>
      <c r="G249" s="79">
        <f>E249*500</f>
        <v>59500</v>
      </c>
      <c r="H249" s="79">
        <f>E249*1200</f>
        <v>142800</v>
      </c>
    </row>
    <row r="250" spans="1:8" hidden="1" x14ac:dyDescent="0.25">
      <c r="C250" t="s">
        <v>20</v>
      </c>
      <c r="D250" t="s">
        <v>13</v>
      </c>
      <c r="E250">
        <v>7</v>
      </c>
      <c r="F250" s="79">
        <f>E250*8000</f>
        <v>56000</v>
      </c>
      <c r="G250" s="79">
        <f>E250*4500</f>
        <v>31500</v>
      </c>
      <c r="H250" s="79">
        <f>E250*3500</f>
        <v>24500</v>
      </c>
    </row>
    <row r="251" spans="1:8" hidden="1" x14ac:dyDescent="0.25">
      <c r="D251" t="s">
        <v>14</v>
      </c>
      <c r="E251">
        <v>3</v>
      </c>
      <c r="F251" s="79">
        <f>E251*12000</f>
        <v>36000</v>
      </c>
      <c r="G251" s="79">
        <f>E251*5500</f>
        <v>16500</v>
      </c>
      <c r="H251" s="79">
        <f>E251*6500</f>
        <v>19500</v>
      </c>
    </row>
    <row r="252" spans="1:8" hidden="1" x14ac:dyDescent="0.25">
      <c r="C252" t="s">
        <v>846</v>
      </c>
      <c r="D252" t="s">
        <v>14</v>
      </c>
      <c r="E252">
        <v>2</v>
      </c>
      <c r="F252" s="79">
        <f>E252*12000</f>
        <v>24000</v>
      </c>
      <c r="G252" s="79">
        <f>E252*5500</f>
        <v>11000</v>
      </c>
      <c r="H252" s="79">
        <f>E252*6500</f>
        <v>13000</v>
      </c>
    </row>
    <row r="253" spans="1:8" hidden="1" x14ac:dyDescent="0.25">
      <c r="C253" t="s">
        <v>16</v>
      </c>
      <c r="D253" t="s">
        <v>11</v>
      </c>
      <c r="E253">
        <v>81</v>
      </c>
      <c r="F253" s="79">
        <f>E253*1500</f>
        <v>121500</v>
      </c>
      <c r="G253" s="79">
        <f>E253*500</f>
        <v>40500</v>
      </c>
      <c r="H253" s="79">
        <v>81000</v>
      </c>
    </row>
    <row r="254" spans="1:8" x14ac:dyDescent="0.25">
      <c r="D254" t="s">
        <v>879</v>
      </c>
      <c r="E254">
        <v>20</v>
      </c>
      <c r="F254" s="79">
        <f>E254*1500</f>
        <v>30000</v>
      </c>
      <c r="G254" s="79">
        <f>E254*500</f>
        <v>10000</v>
      </c>
      <c r="H254" s="79">
        <v>20000</v>
      </c>
    </row>
    <row r="255" spans="1:8" hidden="1" x14ac:dyDescent="0.25">
      <c r="D255" t="s">
        <v>12</v>
      </c>
      <c r="E255">
        <v>2</v>
      </c>
      <c r="F255" s="79">
        <v>6000</v>
      </c>
      <c r="G255" s="79">
        <v>4000</v>
      </c>
      <c r="H255" s="79">
        <v>2000</v>
      </c>
    </row>
    <row r="256" spans="1:8" hidden="1" x14ac:dyDescent="0.25">
      <c r="D256" t="s">
        <v>13</v>
      </c>
      <c r="E256">
        <v>1</v>
      </c>
      <c r="F256" s="79">
        <v>6500</v>
      </c>
      <c r="G256" s="79">
        <v>4500</v>
      </c>
      <c r="H256" s="79">
        <v>2000</v>
      </c>
    </row>
    <row r="257" spans="1:13" hidden="1" x14ac:dyDescent="0.25">
      <c r="C257" t="s">
        <v>24</v>
      </c>
      <c r="D257" t="s">
        <v>243</v>
      </c>
      <c r="E257">
        <v>3</v>
      </c>
      <c r="F257" s="79">
        <v>45000</v>
      </c>
      <c r="G257" s="79">
        <v>30000</v>
      </c>
      <c r="H257" s="79">
        <v>15000</v>
      </c>
    </row>
    <row r="258" spans="1:13" hidden="1" x14ac:dyDescent="0.25">
      <c r="A258" s="112" t="s">
        <v>17</v>
      </c>
      <c r="B258" s="112"/>
      <c r="C258" s="112"/>
      <c r="D258" s="112"/>
      <c r="E258" s="78">
        <f>SUM(E249:E257)</f>
        <v>238</v>
      </c>
      <c r="F258" s="78">
        <f t="shared" ref="F258:H258" si="24">SUM(F249:F257)</f>
        <v>527300</v>
      </c>
      <c r="G258" s="78">
        <f t="shared" si="24"/>
        <v>207500</v>
      </c>
      <c r="H258" s="78">
        <f t="shared" si="24"/>
        <v>319800</v>
      </c>
    </row>
    <row r="259" spans="1:13" hidden="1" x14ac:dyDescent="0.25">
      <c r="A259" t="s">
        <v>26</v>
      </c>
      <c r="B259" s="3">
        <v>45591</v>
      </c>
      <c r="C259" t="s">
        <v>338</v>
      </c>
      <c r="D259" t="s">
        <v>11</v>
      </c>
      <c r="E259">
        <v>120</v>
      </c>
      <c r="F259" s="79">
        <f>E259*1800</f>
        <v>216000</v>
      </c>
      <c r="G259" s="79">
        <f>E259*500</f>
        <v>60000</v>
      </c>
      <c r="H259" s="79">
        <f>E259*1300</f>
        <v>156000</v>
      </c>
    </row>
    <row r="260" spans="1:13" hidden="1" x14ac:dyDescent="0.25">
      <c r="C260" t="s">
        <v>20</v>
      </c>
      <c r="D260" t="s">
        <v>13</v>
      </c>
      <c r="E260">
        <v>36</v>
      </c>
      <c r="F260" s="79">
        <f>E260*8000</f>
        <v>288000</v>
      </c>
      <c r="G260" s="79">
        <f>E260*4500</f>
        <v>162000</v>
      </c>
      <c r="H260" s="79">
        <f>E260*3500</f>
        <v>126000</v>
      </c>
    </row>
    <row r="261" spans="1:13" hidden="1" x14ac:dyDescent="0.25">
      <c r="D261" t="s">
        <v>14</v>
      </c>
      <c r="E261">
        <v>17</v>
      </c>
      <c r="F261" s="79">
        <f>E261*12000</f>
        <v>204000</v>
      </c>
      <c r="G261" s="79">
        <f>E261*5500</f>
        <v>93500</v>
      </c>
      <c r="H261" s="79">
        <f>E261*6500</f>
        <v>110500</v>
      </c>
      <c r="I261" t="s">
        <v>612</v>
      </c>
    </row>
    <row r="262" spans="1:13" hidden="1" x14ac:dyDescent="0.25">
      <c r="C262" t="s">
        <v>16</v>
      </c>
      <c r="D262" t="s">
        <v>11</v>
      </c>
      <c r="E262">
        <v>7</v>
      </c>
      <c r="F262" s="79">
        <f>E262*1500</f>
        <v>10500</v>
      </c>
      <c r="G262" s="79">
        <f>E262*500</f>
        <v>3500</v>
      </c>
      <c r="H262" s="79">
        <v>7000</v>
      </c>
    </row>
    <row r="263" spans="1:13" x14ac:dyDescent="0.25">
      <c r="D263" t="s">
        <v>879</v>
      </c>
      <c r="E263">
        <v>5</v>
      </c>
      <c r="F263" s="79">
        <f>E263*1500</f>
        <v>7500</v>
      </c>
      <c r="G263" s="79">
        <f>E263*750</f>
        <v>3750</v>
      </c>
      <c r="H263" s="79">
        <f>E263*1250</f>
        <v>6250</v>
      </c>
    </row>
    <row r="264" spans="1:13" hidden="1" x14ac:dyDescent="0.25">
      <c r="A264" s="112" t="s">
        <v>17</v>
      </c>
      <c r="B264" s="112"/>
      <c r="C264" s="112"/>
      <c r="D264" s="112"/>
      <c r="E264" s="78">
        <f>SUM(E259:E263)</f>
        <v>185</v>
      </c>
      <c r="F264" s="78">
        <f>SUM(F259:F263)</f>
        <v>726000</v>
      </c>
      <c r="G264" s="78">
        <f t="shared" ref="G264:H264" si="25">SUM(G259:G263)</f>
        <v>322750</v>
      </c>
      <c r="H264" s="78">
        <f t="shared" si="25"/>
        <v>405750</v>
      </c>
    </row>
    <row r="265" spans="1:13" hidden="1" x14ac:dyDescent="0.25">
      <c r="A265" t="s">
        <v>28</v>
      </c>
      <c r="B265" s="3">
        <v>45592</v>
      </c>
      <c r="C265" t="s">
        <v>693</v>
      </c>
      <c r="D265" t="s">
        <v>11</v>
      </c>
      <c r="E265">
        <v>10</v>
      </c>
      <c r="F265" s="79">
        <f>E265*2000</f>
        <v>20000</v>
      </c>
      <c r="G265" s="79">
        <f>E265*500</f>
        <v>5000</v>
      </c>
      <c r="H265" s="79">
        <f>E265*1500</f>
        <v>15000</v>
      </c>
    </row>
    <row r="266" spans="1:13" hidden="1" x14ac:dyDescent="0.25">
      <c r="D266" t="s">
        <v>13</v>
      </c>
      <c r="E266">
        <v>46</v>
      </c>
      <c r="F266" s="79">
        <f>E266*7000</f>
        <v>322000</v>
      </c>
      <c r="G266" s="79">
        <f>E266*4500</f>
        <v>207000</v>
      </c>
      <c r="H266" s="79">
        <f>E266*2500</f>
        <v>115000</v>
      </c>
    </row>
    <row r="267" spans="1:13" hidden="1" x14ac:dyDescent="0.25">
      <c r="D267" t="s">
        <v>14</v>
      </c>
      <c r="E267">
        <v>17</v>
      </c>
      <c r="F267" s="79">
        <f>E267*10000</f>
        <v>170000</v>
      </c>
      <c r="G267" s="79">
        <f>E267*5500</f>
        <v>93500</v>
      </c>
      <c r="H267" s="79">
        <f>E267*4500</f>
        <v>76500</v>
      </c>
    </row>
    <row r="268" spans="1:13" x14ac:dyDescent="0.25">
      <c r="D268" t="s">
        <v>879</v>
      </c>
      <c r="E268">
        <v>4</v>
      </c>
      <c r="F268" s="79">
        <f>E268*1500</f>
        <v>6000</v>
      </c>
      <c r="G268" s="79">
        <f>E268*750</f>
        <v>3000</v>
      </c>
      <c r="H268" s="79">
        <f>E268*750</f>
        <v>3000</v>
      </c>
    </row>
    <row r="269" spans="1:13" hidden="1" x14ac:dyDescent="0.25">
      <c r="D269" t="s">
        <v>243</v>
      </c>
      <c r="E269">
        <v>2</v>
      </c>
      <c r="F269" s="79">
        <v>26000</v>
      </c>
      <c r="G269" s="79">
        <v>20000</v>
      </c>
      <c r="H269" s="79">
        <v>6000</v>
      </c>
    </row>
    <row r="270" spans="1:13" x14ac:dyDescent="0.25">
      <c r="D270" t="s">
        <v>898</v>
      </c>
      <c r="E270">
        <v>1</v>
      </c>
      <c r="F270" s="79">
        <v>7000</v>
      </c>
      <c r="G270" s="79">
        <v>3500</v>
      </c>
      <c r="H270" s="79">
        <v>3500</v>
      </c>
    </row>
    <row r="271" spans="1:13" hidden="1" x14ac:dyDescent="0.25">
      <c r="C271" t="s">
        <v>896</v>
      </c>
      <c r="D271" t="s">
        <v>11</v>
      </c>
      <c r="E271">
        <v>14</v>
      </c>
      <c r="F271" s="79">
        <f>E271*2000</f>
        <v>28000</v>
      </c>
      <c r="G271" s="79">
        <f>E271*500</f>
        <v>7000</v>
      </c>
      <c r="H271" s="79">
        <f>E271*1500</f>
        <v>21000</v>
      </c>
      <c r="M271" t="s">
        <v>612</v>
      </c>
    </row>
    <row r="272" spans="1:13" x14ac:dyDescent="0.25">
      <c r="D272" t="s">
        <v>879</v>
      </c>
      <c r="E272">
        <v>4</v>
      </c>
      <c r="F272" s="79">
        <f>E272*1500</f>
        <v>6000</v>
      </c>
      <c r="G272" s="79">
        <f>E272*500</f>
        <v>2000</v>
      </c>
      <c r="H272" s="79">
        <v>4000</v>
      </c>
    </row>
    <row r="273" spans="1:8" hidden="1" x14ac:dyDescent="0.25">
      <c r="D273" t="s">
        <v>13</v>
      </c>
      <c r="E273">
        <v>12</v>
      </c>
      <c r="F273" s="79">
        <f>E273*7000</f>
        <v>84000</v>
      </c>
      <c r="G273" s="79">
        <f>E273*4500</f>
        <v>54000</v>
      </c>
      <c r="H273" s="79">
        <f>E273*2500</f>
        <v>30000</v>
      </c>
    </row>
    <row r="274" spans="1:8" hidden="1" x14ac:dyDescent="0.25">
      <c r="D274" t="s">
        <v>14</v>
      </c>
      <c r="E274">
        <v>8</v>
      </c>
      <c r="F274" s="79">
        <f>E274*10000</f>
        <v>80000</v>
      </c>
      <c r="G274" s="79">
        <f>E274*5500</f>
        <v>44000</v>
      </c>
      <c r="H274" s="79">
        <f>E274*4500</f>
        <v>36000</v>
      </c>
    </row>
    <row r="275" spans="1:8" hidden="1" x14ac:dyDescent="0.25">
      <c r="C275" t="s">
        <v>16</v>
      </c>
      <c r="D275" t="s">
        <v>11</v>
      </c>
      <c r="E275">
        <v>34</v>
      </c>
      <c r="F275" s="79">
        <f>E275*1500</f>
        <v>51000</v>
      </c>
      <c r="G275" s="79">
        <f>E275*500</f>
        <v>17000</v>
      </c>
      <c r="H275" s="79">
        <f>E275*1000</f>
        <v>34000</v>
      </c>
    </row>
    <row r="276" spans="1:8" hidden="1" x14ac:dyDescent="0.25">
      <c r="D276" t="s">
        <v>12</v>
      </c>
      <c r="E276">
        <v>2</v>
      </c>
      <c r="F276" s="79">
        <f>E276*3000</f>
        <v>6000</v>
      </c>
      <c r="G276" s="79">
        <v>4000</v>
      </c>
      <c r="H276" s="79">
        <v>2000</v>
      </c>
    </row>
    <row r="277" spans="1:8" hidden="1" x14ac:dyDescent="0.25">
      <c r="D277" t="s">
        <v>13</v>
      </c>
      <c r="E277">
        <v>1</v>
      </c>
      <c r="F277" s="79">
        <v>6500</v>
      </c>
      <c r="G277" s="79">
        <v>4500</v>
      </c>
      <c r="H277" s="79">
        <v>2000</v>
      </c>
    </row>
    <row r="278" spans="1:8" hidden="1" x14ac:dyDescent="0.25">
      <c r="D278" t="s">
        <v>243</v>
      </c>
      <c r="E278">
        <v>1</v>
      </c>
      <c r="F278" s="79">
        <v>13000</v>
      </c>
      <c r="G278" s="79">
        <v>10000</v>
      </c>
      <c r="H278" s="79">
        <v>3000</v>
      </c>
    </row>
    <row r="279" spans="1:8" hidden="1" x14ac:dyDescent="0.25">
      <c r="C279" t="s">
        <v>24</v>
      </c>
      <c r="D279" t="s">
        <v>14</v>
      </c>
      <c r="E279">
        <v>3</v>
      </c>
      <c r="F279" s="79">
        <v>30000</v>
      </c>
      <c r="G279" s="79">
        <f>E279*5500</f>
        <v>16500</v>
      </c>
      <c r="H279" s="79">
        <f>E279*4500</f>
        <v>13500</v>
      </c>
    </row>
    <row r="280" spans="1:8" hidden="1" x14ac:dyDescent="0.25">
      <c r="A280" s="112" t="s">
        <v>17</v>
      </c>
      <c r="B280" s="112"/>
      <c r="C280" s="112"/>
      <c r="D280" s="112"/>
      <c r="E280" s="78">
        <f>SUM(E265:E279)</f>
        <v>159</v>
      </c>
      <c r="F280" s="78">
        <f t="shared" ref="F280:H280" si="26">SUM(F265:F279)</f>
        <v>855500</v>
      </c>
      <c r="G280" s="78">
        <f t="shared" si="26"/>
        <v>491000</v>
      </c>
      <c r="H280" s="78">
        <f t="shared" si="26"/>
        <v>364500</v>
      </c>
    </row>
    <row r="281" spans="1:8" hidden="1" x14ac:dyDescent="0.25">
      <c r="A281" t="s">
        <v>30</v>
      </c>
      <c r="B281" s="3">
        <v>45593</v>
      </c>
      <c r="C281" t="s">
        <v>846</v>
      </c>
      <c r="D281" t="s">
        <v>13</v>
      </c>
      <c r="E281">
        <v>6</v>
      </c>
      <c r="F281">
        <f>E281*8000</f>
        <v>48000</v>
      </c>
      <c r="G281">
        <f>E281*4500</f>
        <v>27000</v>
      </c>
      <c r="H281">
        <f>E281*3500</f>
        <v>21000</v>
      </c>
    </row>
    <row r="282" spans="1:8" hidden="1" x14ac:dyDescent="0.25">
      <c r="D282" t="s">
        <v>14</v>
      </c>
      <c r="E282">
        <v>4</v>
      </c>
      <c r="F282">
        <f>E282*12000</f>
        <v>48000</v>
      </c>
      <c r="G282">
        <f>E282*5500</f>
        <v>22000</v>
      </c>
      <c r="H282">
        <f>E282*6500</f>
        <v>26000</v>
      </c>
    </row>
    <row r="283" spans="1:8" hidden="1" x14ac:dyDescent="0.25">
      <c r="C283" t="s">
        <v>16</v>
      </c>
      <c r="D283" t="s">
        <v>11</v>
      </c>
      <c r="E283">
        <v>41</v>
      </c>
      <c r="F283">
        <f>E283*1500</f>
        <v>61500</v>
      </c>
      <c r="G283">
        <f>E283*500</f>
        <v>20500</v>
      </c>
      <c r="H283">
        <v>41000</v>
      </c>
    </row>
    <row r="284" spans="1:8" x14ac:dyDescent="0.25">
      <c r="D284" t="s">
        <v>879</v>
      </c>
      <c r="E284">
        <v>8</v>
      </c>
      <c r="F284">
        <f>E284*1500</f>
        <v>12000</v>
      </c>
      <c r="G284">
        <f>E284*750</f>
        <v>6000</v>
      </c>
      <c r="H284">
        <f>E284*750</f>
        <v>6000</v>
      </c>
    </row>
    <row r="285" spans="1:8" hidden="1" x14ac:dyDescent="0.25">
      <c r="D285" t="s">
        <v>14</v>
      </c>
      <c r="E285">
        <v>1</v>
      </c>
      <c r="F285">
        <v>10000</v>
      </c>
      <c r="G285">
        <v>5500</v>
      </c>
      <c r="H285">
        <v>4500</v>
      </c>
    </row>
    <row r="286" spans="1:8" hidden="1" x14ac:dyDescent="0.25">
      <c r="A286" s="112" t="s">
        <v>17</v>
      </c>
      <c r="B286" s="112"/>
      <c r="C286" s="112"/>
      <c r="D286" s="112"/>
      <c r="E286" s="78">
        <f>SUM(E281:E285)</f>
        <v>60</v>
      </c>
      <c r="F286" s="78">
        <f t="shared" ref="F286:H286" si="27">SUM(F281:F285)</f>
        <v>179500</v>
      </c>
      <c r="G286" s="78">
        <f t="shared" si="27"/>
        <v>81000</v>
      </c>
      <c r="H286" s="78">
        <f t="shared" si="27"/>
        <v>98500</v>
      </c>
    </row>
    <row r="287" spans="1:8" hidden="1" x14ac:dyDescent="0.25">
      <c r="A287" t="s">
        <v>32</v>
      </c>
      <c r="B287" s="3">
        <v>45594</v>
      </c>
      <c r="C287" t="s">
        <v>338</v>
      </c>
      <c r="D287" t="s">
        <v>11</v>
      </c>
      <c r="E287">
        <v>59</v>
      </c>
      <c r="F287">
        <f>E287*1800</f>
        <v>106200</v>
      </c>
      <c r="G287">
        <f>E287*500</f>
        <v>29500</v>
      </c>
      <c r="H287">
        <f>E287*1300</f>
        <v>76700</v>
      </c>
    </row>
    <row r="288" spans="1:8" hidden="1" x14ac:dyDescent="0.25">
      <c r="C288" t="s">
        <v>571</v>
      </c>
      <c r="D288" t="s">
        <v>11</v>
      </c>
      <c r="E288">
        <v>85</v>
      </c>
      <c r="F288">
        <f>E288*1700</f>
        <v>144500</v>
      </c>
      <c r="G288">
        <f>E288*500</f>
        <v>42500</v>
      </c>
      <c r="H288">
        <f>E288*1200</f>
        <v>102000</v>
      </c>
    </row>
    <row r="289" spans="1:8" hidden="1" x14ac:dyDescent="0.25">
      <c r="C289" t="s">
        <v>899</v>
      </c>
      <c r="D289" t="s">
        <v>11</v>
      </c>
      <c r="E289">
        <v>23</v>
      </c>
      <c r="F289">
        <f>E289*1800</f>
        <v>41400</v>
      </c>
      <c r="G289">
        <f>E289*500</f>
        <v>11500</v>
      </c>
      <c r="H289">
        <f>E289*1300</f>
        <v>29900</v>
      </c>
    </row>
    <row r="290" spans="1:8" hidden="1" x14ac:dyDescent="0.25">
      <c r="C290" t="s">
        <v>900</v>
      </c>
      <c r="D290" t="s">
        <v>11</v>
      </c>
      <c r="E290">
        <v>81</v>
      </c>
      <c r="F290">
        <f>E290*1700</f>
        <v>137700</v>
      </c>
      <c r="G290">
        <f>E290*500</f>
        <v>40500</v>
      </c>
      <c r="H290">
        <f>E290*1200</f>
        <v>97200</v>
      </c>
    </row>
    <row r="291" spans="1:8" hidden="1" x14ac:dyDescent="0.25">
      <c r="C291" t="s">
        <v>16</v>
      </c>
      <c r="D291" t="s">
        <v>11</v>
      </c>
      <c r="E291">
        <v>48</v>
      </c>
      <c r="F291">
        <f>E291*1500</f>
        <v>72000</v>
      </c>
      <c r="G291">
        <f>E291*500</f>
        <v>24000</v>
      </c>
      <c r="H291">
        <v>48000</v>
      </c>
    </row>
    <row r="292" spans="1:8" hidden="1" x14ac:dyDescent="0.25">
      <c r="D292" t="s">
        <v>12</v>
      </c>
      <c r="E292">
        <v>1</v>
      </c>
      <c r="F292">
        <v>3000</v>
      </c>
      <c r="G292">
        <v>2000</v>
      </c>
      <c r="H292">
        <v>1000</v>
      </c>
    </row>
    <row r="293" spans="1:8" hidden="1" x14ac:dyDescent="0.25">
      <c r="D293" t="s">
        <v>13</v>
      </c>
      <c r="E293">
        <v>2</v>
      </c>
      <c r="F293">
        <v>13000</v>
      </c>
      <c r="G293">
        <v>9000</v>
      </c>
      <c r="H293">
        <v>4000</v>
      </c>
    </row>
    <row r="294" spans="1:8" hidden="1" x14ac:dyDescent="0.25">
      <c r="D294" t="s">
        <v>14</v>
      </c>
      <c r="E294">
        <v>2</v>
      </c>
      <c r="F294">
        <v>20000</v>
      </c>
      <c r="G294">
        <v>11000</v>
      </c>
      <c r="H294">
        <v>9000</v>
      </c>
    </row>
    <row r="295" spans="1:8" hidden="1" x14ac:dyDescent="0.25">
      <c r="C295" t="s">
        <v>846</v>
      </c>
      <c r="D295" t="s">
        <v>13</v>
      </c>
      <c r="E295">
        <v>5</v>
      </c>
      <c r="F295">
        <f>E295*8000</f>
        <v>40000</v>
      </c>
      <c r="G295">
        <f>E295*4500</f>
        <v>22500</v>
      </c>
      <c r="H295">
        <f>E295*3500</f>
        <v>17500</v>
      </c>
    </row>
    <row r="296" spans="1:8" hidden="1" x14ac:dyDescent="0.25">
      <c r="D296" t="s">
        <v>14</v>
      </c>
      <c r="E296">
        <v>1</v>
      </c>
      <c r="F296">
        <v>12000</v>
      </c>
      <c r="G296">
        <v>5500</v>
      </c>
      <c r="H296">
        <v>6500</v>
      </c>
    </row>
    <row r="297" spans="1:8" hidden="1" x14ac:dyDescent="0.25">
      <c r="A297" s="112" t="s">
        <v>17</v>
      </c>
      <c r="B297" s="112"/>
      <c r="C297" s="112"/>
      <c r="D297" s="112"/>
      <c r="E297" s="78">
        <f>SUM(E287:E296)</f>
        <v>307</v>
      </c>
      <c r="F297" s="78">
        <f t="shared" ref="F297:H297" si="28">SUM(F287:F296)</f>
        <v>589800</v>
      </c>
      <c r="G297" s="78">
        <f t="shared" si="28"/>
        <v>198000</v>
      </c>
      <c r="H297" s="78">
        <f t="shared" si="28"/>
        <v>391800</v>
      </c>
    </row>
    <row r="298" spans="1:8" hidden="1" x14ac:dyDescent="0.25">
      <c r="A298" t="s">
        <v>8</v>
      </c>
      <c r="B298" s="3">
        <v>45595</v>
      </c>
      <c r="C298" t="s">
        <v>338</v>
      </c>
      <c r="D298" t="s">
        <v>11</v>
      </c>
      <c r="E298">
        <v>60</v>
      </c>
      <c r="F298">
        <f>E298*1800</f>
        <v>108000</v>
      </c>
      <c r="G298">
        <f>E298*500</f>
        <v>30000</v>
      </c>
      <c r="H298">
        <f>E298*1300</f>
        <v>78000</v>
      </c>
    </row>
    <row r="299" spans="1:8" hidden="1" x14ac:dyDescent="0.25">
      <c r="C299" t="s">
        <v>571</v>
      </c>
      <c r="D299" t="s">
        <v>11</v>
      </c>
      <c r="E299">
        <v>27</v>
      </c>
      <c r="F299">
        <f>E299*1700</f>
        <v>45900</v>
      </c>
      <c r="G299">
        <f>E299*500</f>
        <v>13500</v>
      </c>
      <c r="H299">
        <f>E299*1200</f>
        <v>32400</v>
      </c>
    </row>
    <row r="300" spans="1:8" hidden="1" x14ac:dyDescent="0.25">
      <c r="C300" t="s">
        <v>16</v>
      </c>
      <c r="D300" t="s">
        <v>11</v>
      </c>
      <c r="E300">
        <v>53</v>
      </c>
      <c r="F300">
        <f>E300*1500</f>
        <v>79500</v>
      </c>
      <c r="G300">
        <f>E300*500</f>
        <v>26500</v>
      </c>
      <c r="H300">
        <v>53000</v>
      </c>
    </row>
    <row r="301" spans="1:8" hidden="1" x14ac:dyDescent="0.25">
      <c r="D301" t="s">
        <v>12</v>
      </c>
      <c r="E301">
        <v>1</v>
      </c>
      <c r="F301">
        <v>3000</v>
      </c>
      <c r="G301">
        <v>2000</v>
      </c>
      <c r="H301">
        <v>1000</v>
      </c>
    </row>
    <row r="302" spans="1:8" hidden="1" x14ac:dyDescent="0.25">
      <c r="D302" t="s">
        <v>13</v>
      </c>
      <c r="E302">
        <v>2</v>
      </c>
      <c r="F302">
        <v>13000</v>
      </c>
      <c r="G302">
        <v>9000</v>
      </c>
      <c r="H302">
        <v>4000</v>
      </c>
    </row>
    <row r="303" spans="1:8" hidden="1" x14ac:dyDescent="0.25">
      <c r="C303" t="s">
        <v>846</v>
      </c>
      <c r="D303" t="s">
        <v>14</v>
      </c>
      <c r="E303">
        <v>2</v>
      </c>
      <c r="F303">
        <f>E303*10000</f>
        <v>20000</v>
      </c>
      <c r="G303">
        <f>E303*5500</f>
        <v>11000</v>
      </c>
      <c r="H303">
        <f>E303*6500</f>
        <v>13000</v>
      </c>
    </row>
    <row r="304" spans="1:8" hidden="1" x14ac:dyDescent="0.25">
      <c r="C304" t="s">
        <v>24</v>
      </c>
      <c r="D304" t="s">
        <v>243</v>
      </c>
      <c r="E304">
        <v>1</v>
      </c>
      <c r="F304">
        <v>15000</v>
      </c>
      <c r="G304">
        <v>10000</v>
      </c>
      <c r="H304">
        <v>5000</v>
      </c>
    </row>
    <row r="305" spans="1:11" hidden="1" x14ac:dyDescent="0.25">
      <c r="A305" s="112" t="s">
        <v>17</v>
      </c>
      <c r="B305" s="112"/>
      <c r="C305" s="112"/>
      <c r="D305" s="112"/>
      <c r="E305" s="78">
        <f>SUM(E298:E304)</f>
        <v>146</v>
      </c>
      <c r="F305" s="78">
        <f>SUM(F298:F304)</f>
        <v>284400</v>
      </c>
      <c r="G305" s="78">
        <f>SUM(G298:G304)</f>
        <v>102000</v>
      </c>
      <c r="H305" s="78">
        <f>SUM(H298:H304)</f>
        <v>186400</v>
      </c>
    </row>
    <row r="306" spans="1:11" hidden="1" x14ac:dyDescent="0.25">
      <c r="A306" t="s">
        <v>18</v>
      </c>
      <c r="B306" s="3">
        <v>45596</v>
      </c>
      <c r="C306" t="s">
        <v>338</v>
      </c>
      <c r="D306" t="s">
        <v>11</v>
      </c>
      <c r="E306">
        <v>60</v>
      </c>
      <c r="F306" s="79">
        <f>E306*1800</f>
        <v>108000</v>
      </c>
      <c r="G306" s="79">
        <f>E306*500</f>
        <v>30000</v>
      </c>
      <c r="H306" s="79">
        <f>E306*1300</f>
        <v>78000</v>
      </c>
    </row>
    <row r="307" spans="1:11" hidden="1" x14ac:dyDescent="0.25">
      <c r="C307" t="s">
        <v>571</v>
      </c>
      <c r="D307" t="s">
        <v>11</v>
      </c>
      <c r="E307">
        <v>17</v>
      </c>
      <c r="F307" s="79">
        <f>E307*1700</f>
        <v>28900</v>
      </c>
      <c r="G307" s="79">
        <f>E307*500</f>
        <v>8500</v>
      </c>
      <c r="H307" s="79">
        <f>E307*1200</f>
        <v>20400</v>
      </c>
    </row>
    <row r="308" spans="1:11" hidden="1" x14ac:dyDescent="0.25">
      <c r="C308" t="s">
        <v>16</v>
      </c>
      <c r="D308" t="s">
        <v>11</v>
      </c>
      <c r="E308">
        <v>32</v>
      </c>
      <c r="F308" s="79">
        <f>E308*1500</f>
        <v>48000</v>
      </c>
      <c r="G308" s="79">
        <f>E308*500</f>
        <v>16000</v>
      </c>
      <c r="H308" s="79">
        <v>32000</v>
      </c>
    </row>
    <row r="309" spans="1:11" hidden="1" x14ac:dyDescent="0.25">
      <c r="D309" t="s">
        <v>243</v>
      </c>
      <c r="E309">
        <v>1</v>
      </c>
      <c r="F309" s="79">
        <v>13000</v>
      </c>
      <c r="G309" s="79">
        <v>10000</v>
      </c>
      <c r="H309" s="79">
        <v>3000</v>
      </c>
    </row>
    <row r="310" spans="1:11" hidden="1" x14ac:dyDescent="0.25">
      <c r="C310" t="s">
        <v>20</v>
      </c>
      <c r="D310" t="s">
        <v>13</v>
      </c>
      <c r="E310">
        <v>1</v>
      </c>
      <c r="F310" s="79">
        <v>8000</v>
      </c>
      <c r="G310" s="79">
        <v>4500</v>
      </c>
      <c r="H310" s="79">
        <v>3500</v>
      </c>
    </row>
    <row r="311" spans="1:11" hidden="1" x14ac:dyDescent="0.25">
      <c r="D311" t="s">
        <v>14</v>
      </c>
      <c r="E311">
        <v>1</v>
      </c>
      <c r="F311" s="79">
        <v>10000</v>
      </c>
      <c r="G311" s="79">
        <v>5500</v>
      </c>
      <c r="H311" s="79">
        <v>4500</v>
      </c>
    </row>
    <row r="312" spans="1:11" x14ac:dyDescent="0.25">
      <c r="D312" t="s">
        <v>432</v>
      </c>
      <c r="E312">
        <v>2</v>
      </c>
      <c r="F312" s="79">
        <v>14000</v>
      </c>
      <c r="G312" s="79">
        <v>7000</v>
      </c>
      <c r="H312" s="79">
        <v>7000</v>
      </c>
    </row>
    <row r="313" spans="1:11" hidden="1" x14ac:dyDescent="0.25">
      <c r="C313" t="s">
        <v>24</v>
      </c>
      <c r="D313" t="s">
        <v>13</v>
      </c>
      <c r="E313">
        <v>2</v>
      </c>
      <c r="F313" s="79">
        <v>16000</v>
      </c>
      <c r="G313" s="79">
        <v>9000</v>
      </c>
      <c r="H313" s="79">
        <v>7000</v>
      </c>
    </row>
    <row r="314" spans="1:11" hidden="1" x14ac:dyDescent="0.25">
      <c r="D314" t="s">
        <v>243</v>
      </c>
      <c r="E314">
        <v>1</v>
      </c>
      <c r="F314" s="79">
        <v>15000</v>
      </c>
      <c r="G314" s="79">
        <v>10000</v>
      </c>
      <c r="H314" s="79">
        <v>5000</v>
      </c>
    </row>
    <row r="315" spans="1:11" hidden="1" x14ac:dyDescent="0.25">
      <c r="A315" s="112" t="s">
        <v>17</v>
      </c>
      <c r="B315" s="112"/>
      <c r="C315" s="112"/>
      <c r="D315" s="112"/>
      <c r="E315" s="78">
        <f>SUM(E306:E314)</f>
        <v>117</v>
      </c>
      <c r="F315" s="78">
        <f t="shared" ref="F315:H315" si="29">SUM(F306:F314)</f>
        <v>260900</v>
      </c>
      <c r="G315" s="78">
        <f t="shared" si="29"/>
        <v>100500</v>
      </c>
      <c r="H315" s="78">
        <f t="shared" si="29"/>
        <v>160400</v>
      </c>
    </row>
    <row r="316" spans="1:11" hidden="1" x14ac:dyDescent="0.25">
      <c r="K316" s="92">
        <f>E11+E30+E66+E90+E143+E152+E177+E239+E289</f>
        <v>134</v>
      </c>
    </row>
    <row r="318" spans="1:11" x14ac:dyDescent="0.25">
      <c r="K318">
        <f>E51+E124+E195+E265</f>
        <v>34</v>
      </c>
    </row>
    <row r="321" spans="11:11" x14ac:dyDescent="0.25">
      <c r="K321" s="92">
        <f>E68+E105+E249</f>
        <v>245</v>
      </c>
    </row>
  </sheetData>
  <autoFilter ref="A1:H316" xr:uid="{A23F7F27-859B-4836-8000-275247A7E771}">
    <filterColumn colId="3">
      <filters>
        <filter val="ES SUSU COKLAT"/>
        <filter val="MILKSHAKE"/>
        <filter val="RASA2"/>
        <filter val="YOGHURT"/>
      </filters>
    </filterColumn>
  </autoFilter>
  <mergeCells count="31">
    <mergeCell ref="A286:D286"/>
    <mergeCell ref="A297:D297"/>
    <mergeCell ref="A258:D258"/>
    <mergeCell ref="A264:D264"/>
    <mergeCell ref="A280:D280"/>
    <mergeCell ref="A112:D112"/>
    <mergeCell ref="A174:D174"/>
    <mergeCell ref="A103:D103"/>
    <mergeCell ref="A216:D216"/>
    <mergeCell ref="A236:D236"/>
    <mergeCell ref="A227:D227"/>
    <mergeCell ref="A191:D191"/>
    <mergeCell ref="A207:D207"/>
    <mergeCell ref="A166:D166"/>
    <mergeCell ref="A123:D123"/>
    <mergeCell ref="A315:D315"/>
    <mergeCell ref="A305:D305"/>
    <mergeCell ref="A248:D248"/>
    <mergeCell ref="A8:D8"/>
    <mergeCell ref="A18:D18"/>
    <mergeCell ref="A26:D26"/>
    <mergeCell ref="A41:D41"/>
    <mergeCell ref="A50:D50"/>
    <mergeCell ref="A94:D94"/>
    <mergeCell ref="A89:D89"/>
    <mergeCell ref="A185:D185"/>
    <mergeCell ref="A64:D64"/>
    <mergeCell ref="A76:D76"/>
    <mergeCell ref="A159:D159"/>
    <mergeCell ref="A151:D151"/>
    <mergeCell ref="A140:D140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650A-8446-4FAA-95DA-A6EF45B905D9}">
  <dimension ref="A1:M337"/>
  <sheetViews>
    <sheetView topLeftCell="A284" workbookViewId="0">
      <selection activeCell="I304" sqref="I304"/>
    </sheetView>
  </sheetViews>
  <sheetFormatPr defaultRowHeight="15" x14ac:dyDescent="0.25"/>
  <cols>
    <col min="1" max="1" width="10.7109375" bestFit="1" customWidth="1"/>
    <col min="2" max="2" width="13.7109375" customWidth="1"/>
    <col min="3" max="3" width="18" customWidth="1"/>
    <col min="5" max="5" width="9.28515625" bestFit="1" customWidth="1"/>
    <col min="6" max="6" width="10.5703125" bestFit="1" customWidth="1"/>
    <col min="7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22</v>
      </c>
      <c r="B2" s="3">
        <v>45597</v>
      </c>
      <c r="C2" t="s">
        <v>338</v>
      </c>
      <c r="D2" t="s">
        <v>11</v>
      </c>
      <c r="E2">
        <v>59</v>
      </c>
      <c r="F2" s="79">
        <f>E2*1800</f>
        <v>106200</v>
      </c>
      <c r="G2" s="79">
        <f>E2*500</f>
        <v>29500</v>
      </c>
      <c r="H2" s="79">
        <f>E2*1300</f>
        <v>76700</v>
      </c>
    </row>
    <row r="3" spans="1:8" x14ac:dyDescent="0.25">
      <c r="C3" t="s">
        <v>571</v>
      </c>
      <c r="D3" t="s">
        <v>11</v>
      </c>
      <c r="E3">
        <v>17</v>
      </c>
      <c r="F3" s="79">
        <f>E3*1700</f>
        <v>28900</v>
      </c>
      <c r="G3" s="79">
        <f>E3*500</f>
        <v>8500</v>
      </c>
      <c r="H3" s="79">
        <f>E3*1200</f>
        <v>20400</v>
      </c>
    </row>
    <row r="4" spans="1:8" x14ac:dyDescent="0.25">
      <c r="C4" t="s">
        <v>16</v>
      </c>
      <c r="D4" t="s">
        <v>11</v>
      </c>
      <c r="E4">
        <v>53</v>
      </c>
      <c r="F4" s="79">
        <f>E4*1500</f>
        <v>79500</v>
      </c>
      <c r="G4" s="79">
        <f>E4*500</f>
        <v>26500</v>
      </c>
      <c r="H4" s="79">
        <f>E4*1000</f>
        <v>53000</v>
      </c>
    </row>
    <row r="5" spans="1:8" x14ac:dyDescent="0.25">
      <c r="D5" t="s">
        <v>12</v>
      </c>
      <c r="E5">
        <v>1</v>
      </c>
      <c r="F5" s="79">
        <v>3000</v>
      </c>
      <c r="G5" s="79">
        <v>2000</v>
      </c>
      <c r="H5" s="79">
        <v>1000</v>
      </c>
    </row>
    <row r="6" spans="1:8" x14ac:dyDescent="0.25">
      <c r="D6" t="s">
        <v>13</v>
      </c>
      <c r="E6">
        <v>1</v>
      </c>
      <c r="F6" s="79">
        <v>6500</v>
      </c>
      <c r="G6" s="79">
        <v>4500</v>
      </c>
      <c r="H6" s="79">
        <v>2000</v>
      </c>
    </row>
    <row r="7" spans="1:8" x14ac:dyDescent="0.25">
      <c r="C7" t="s">
        <v>846</v>
      </c>
      <c r="D7" t="s">
        <v>13</v>
      </c>
      <c r="E7">
        <v>7</v>
      </c>
      <c r="F7" s="79">
        <f>E7*8000</f>
        <v>56000</v>
      </c>
      <c r="G7" s="79">
        <f>E7*4500</f>
        <v>31500</v>
      </c>
      <c r="H7" s="79">
        <f>E7*3500</f>
        <v>24500</v>
      </c>
    </row>
    <row r="8" spans="1:8" x14ac:dyDescent="0.25">
      <c r="D8" t="s">
        <v>14</v>
      </c>
      <c r="E8">
        <v>1</v>
      </c>
      <c r="F8" s="79">
        <v>12000</v>
      </c>
      <c r="G8" s="79">
        <v>5500</v>
      </c>
      <c r="H8" s="79">
        <v>6500</v>
      </c>
    </row>
    <row r="9" spans="1:8" x14ac:dyDescent="0.25">
      <c r="D9" t="s">
        <v>404</v>
      </c>
      <c r="E9">
        <v>4</v>
      </c>
      <c r="F9" s="79">
        <v>12000</v>
      </c>
      <c r="G9" s="79">
        <v>6000</v>
      </c>
      <c r="H9" s="79">
        <v>6000</v>
      </c>
    </row>
    <row r="10" spans="1:8" x14ac:dyDescent="0.25">
      <c r="A10" s="112" t="s">
        <v>17</v>
      </c>
      <c r="B10" s="112"/>
      <c r="C10" s="112"/>
      <c r="D10" s="112"/>
      <c r="E10" s="78">
        <f>SUM(E2:E9)</f>
        <v>143</v>
      </c>
      <c r="F10" s="78">
        <f t="shared" ref="F10:H10" si="0">SUM(F2:F9)</f>
        <v>304100</v>
      </c>
      <c r="G10" s="78">
        <f t="shared" si="0"/>
        <v>114000</v>
      </c>
      <c r="H10" s="78">
        <f t="shared" si="0"/>
        <v>190100</v>
      </c>
    </row>
    <row r="11" spans="1:8" x14ac:dyDescent="0.25">
      <c r="A11" t="s">
        <v>26</v>
      </c>
      <c r="B11" s="3">
        <v>45598</v>
      </c>
      <c r="C11" t="s">
        <v>581</v>
      </c>
      <c r="D11" t="s">
        <v>11</v>
      </c>
      <c r="E11">
        <f>796500/1500</f>
        <v>531</v>
      </c>
      <c r="F11">
        <f>E11*1500</f>
        <v>796500</v>
      </c>
      <c r="G11">
        <f>E11*500</f>
        <v>265500</v>
      </c>
      <c r="H11">
        <f>E11*1000</f>
        <v>531000</v>
      </c>
    </row>
    <row r="12" spans="1:8" x14ac:dyDescent="0.25">
      <c r="C12" t="s">
        <v>16</v>
      </c>
      <c r="D12" t="s">
        <v>11</v>
      </c>
      <c r="E12">
        <v>39</v>
      </c>
      <c r="F12">
        <f>E12*1500</f>
        <v>58500</v>
      </c>
      <c r="G12">
        <f>E12*500</f>
        <v>19500</v>
      </c>
      <c r="H12">
        <f>E12*1000</f>
        <v>39000</v>
      </c>
    </row>
    <row r="13" spans="1:8" x14ac:dyDescent="0.25">
      <c r="C13" t="s">
        <v>846</v>
      </c>
      <c r="D13" t="s">
        <v>13</v>
      </c>
      <c r="E13">
        <v>2</v>
      </c>
      <c r="F13">
        <f>E13*8000</f>
        <v>16000</v>
      </c>
      <c r="G13">
        <f>E13*4500</f>
        <v>9000</v>
      </c>
      <c r="H13">
        <f>E13*3500</f>
        <v>7000</v>
      </c>
    </row>
    <row r="14" spans="1:8" x14ac:dyDescent="0.25">
      <c r="D14" t="s">
        <v>14</v>
      </c>
      <c r="E14">
        <v>3</v>
      </c>
      <c r="F14">
        <f>E14*12000</f>
        <v>36000</v>
      </c>
      <c r="G14">
        <f>E14*5500</f>
        <v>16500</v>
      </c>
      <c r="H14">
        <f>E14*6500</f>
        <v>19500</v>
      </c>
    </row>
    <row r="15" spans="1:8" x14ac:dyDescent="0.25">
      <c r="A15" s="112" t="s">
        <v>17</v>
      </c>
      <c r="B15" s="112"/>
      <c r="C15" s="112"/>
      <c r="D15" s="112"/>
      <c r="E15" s="78">
        <f>SUM(E11:E14)</f>
        <v>575</v>
      </c>
      <c r="F15" s="78">
        <f t="shared" ref="F15:H15" si="1">SUM(F11:F14)</f>
        <v>907000</v>
      </c>
      <c r="G15" s="78">
        <f t="shared" si="1"/>
        <v>310500</v>
      </c>
      <c r="H15" s="78">
        <f t="shared" si="1"/>
        <v>596500</v>
      </c>
    </row>
    <row r="16" spans="1:8" x14ac:dyDescent="0.25">
      <c r="A16" t="s">
        <v>28</v>
      </c>
      <c r="B16" s="3">
        <v>45599</v>
      </c>
      <c r="C16" t="s">
        <v>693</v>
      </c>
      <c r="D16" t="s">
        <v>11</v>
      </c>
      <c r="E16">
        <v>8</v>
      </c>
      <c r="F16">
        <f>E16*2000</f>
        <v>16000</v>
      </c>
      <c r="G16">
        <f>E16*500</f>
        <v>4000</v>
      </c>
      <c r="H16">
        <f>E16*1500</f>
        <v>12000</v>
      </c>
    </row>
    <row r="17" spans="1:13" x14ac:dyDescent="0.25">
      <c r="D17" t="s">
        <v>13</v>
      </c>
      <c r="E17">
        <v>44</v>
      </c>
      <c r="F17">
        <f>E17*7000</f>
        <v>308000</v>
      </c>
      <c r="G17">
        <f>E17*4500</f>
        <v>198000</v>
      </c>
      <c r="H17">
        <f>E17*2500</f>
        <v>110000</v>
      </c>
    </row>
    <row r="18" spans="1:13" x14ac:dyDescent="0.25">
      <c r="D18" t="s">
        <v>14</v>
      </c>
      <c r="E18">
        <v>26</v>
      </c>
      <c r="F18">
        <f>E18*10000</f>
        <v>260000</v>
      </c>
      <c r="G18">
        <f>E18*5500</f>
        <v>143000</v>
      </c>
      <c r="H18">
        <f>E18*4500</f>
        <v>117000</v>
      </c>
      <c r="K18" s="92"/>
    </row>
    <row r="19" spans="1:13" x14ac:dyDescent="0.25">
      <c r="D19" t="s">
        <v>243</v>
      </c>
      <c r="E19">
        <v>1</v>
      </c>
      <c r="F19">
        <v>13000</v>
      </c>
      <c r="G19">
        <v>10000</v>
      </c>
      <c r="H19">
        <v>3000</v>
      </c>
    </row>
    <row r="20" spans="1:13" x14ac:dyDescent="0.25">
      <c r="C20" t="s">
        <v>217</v>
      </c>
      <c r="D20" t="s">
        <v>11</v>
      </c>
      <c r="E20">
        <v>18</v>
      </c>
      <c r="F20">
        <f>E20*1500</f>
        <v>27000</v>
      </c>
      <c r="G20">
        <f>E20*500</f>
        <v>9000</v>
      </c>
      <c r="H20">
        <f>E20*1000</f>
        <v>18000</v>
      </c>
    </row>
    <row r="21" spans="1:13" x14ac:dyDescent="0.25">
      <c r="D21" t="s">
        <v>13</v>
      </c>
      <c r="E21">
        <v>17</v>
      </c>
      <c r="F21">
        <f>E21*6500</f>
        <v>110500</v>
      </c>
      <c r="G21">
        <f>E21*4500</f>
        <v>76500</v>
      </c>
      <c r="H21">
        <f>E21*2000</f>
        <v>34000</v>
      </c>
    </row>
    <row r="22" spans="1:13" x14ac:dyDescent="0.25">
      <c r="D22" t="s">
        <v>14</v>
      </c>
      <c r="E22">
        <v>18</v>
      </c>
      <c r="F22">
        <f>E22*10000</f>
        <v>180000</v>
      </c>
      <c r="G22">
        <f>E22*5500</f>
        <v>99000</v>
      </c>
      <c r="H22">
        <f>E22*4500</f>
        <v>81000</v>
      </c>
    </row>
    <row r="23" spans="1:13" x14ac:dyDescent="0.25">
      <c r="C23" t="s">
        <v>16</v>
      </c>
      <c r="D23" t="s">
        <v>11</v>
      </c>
      <c r="E23">
        <v>27</v>
      </c>
      <c r="F23">
        <f>E23*1500</f>
        <v>40500</v>
      </c>
      <c r="G23">
        <f>E23*500</f>
        <v>13500</v>
      </c>
      <c r="H23">
        <v>27000</v>
      </c>
      <c r="M23" s="92"/>
    </row>
    <row r="24" spans="1:13" x14ac:dyDescent="0.25">
      <c r="D24" t="s">
        <v>12</v>
      </c>
      <c r="E24">
        <v>9</v>
      </c>
      <c r="F24">
        <f>E24*3000</f>
        <v>27000</v>
      </c>
      <c r="G24">
        <f>E24*2000</f>
        <v>18000</v>
      </c>
      <c r="H24">
        <v>9000</v>
      </c>
    </row>
    <row r="25" spans="1:13" x14ac:dyDescent="0.25">
      <c r="D25" t="s">
        <v>13</v>
      </c>
      <c r="E25">
        <v>2</v>
      </c>
      <c r="F25">
        <v>13000</v>
      </c>
      <c r="G25">
        <v>9000</v>
      </c>
      <c r="H25">
        <v>4000</v>
      </c>
      <c r="K25" s="92"/>
    </row>
    <row r="26" spans="1:13" x14ac:dyDescent="0.25">
      <c r="D26" t="s">
        <v>14</v>
      </c>
      <c r="E26">
        <v>2</v>
      </c>
      <c r="F26">
        <f>E26*10000</f>
        <v>20000</v>
      </c>
      <c r="G26">
        <f>E26*5500</f>
        <v>11000</v>
      </c>
      <c r="H26">
        <f>E26*4500</f>
        <v>9000</v>
      </c>
    </row>
    <row r="27" spans="1:13" x14ac:dyDescent="0.25">
      <c r="C27" t="s">
        <v>24</v>
      </c>
      <c r="D27" t="s">
        <v>14</v>
      </c>
      <c r="E27">
        <v>3</v>
      </c>
      <c r="F27">
        <v>30000</v>
      </c>
      <c r="G27">
        <f>E27*5500</f>
        <v>16500</v>
      </c>
      <c r="H27">
        <f>E27*4500</f>
        <v>13500</v>
      </c>
    </row>
    <row r="28" spans="1:13" x14ac:dyDescent="0.25">
      <c r="C28" t="s">
        <v>846</v>
      </c>
      <c r="D28" t="s">
        <v>13</v>
      </c>
      <c r="E28">
        <v>4</v>
      </c>
      <c r="F28">
        <f>E28*8000</f>
        <v>32000</v>
      </c>
      <c r="G28">
        <f>E28*4500</f>
        <v>18000</v>
      </c>
      <c r="H28">
        <f>E28*3500</f>
        <v>14000</v>
      </c>
    </row>
    <row r="29" spans="1:13" x14ac:dyDescent="0.25">
      <c r="D29" t="s">
        <v>14</v>
      </c>
      <c r="E29">
        <v>3</v>
      </c>
      <c r="F29">
        <f>E29*12000</f>
        <v>36000</v>
      </c>
      <c r="G29">
        <f>E29*5500</f>
        <v>16500</v>
      </c>
      <c r="H29">
        <f>E29*6500</f>
        <v>19500</v>
      </c>
    </row>
    <row r="30" spans="1:13" x14ac:dyDescent="0.25">
      <c r="A30" s="112" t="s">
        <v>17</v>
      </c>
      <c r="B30" s="112"/>
      <c r="C30" s="112"/>
      <c r="D30" s="112"/>
      <c r="E30" s="78">
        <f>SUM(E16:E29)</f>
        <v>182</v>
      </c>
      <c r="F30" s="78">
        <f>SUM(F16:F29)</f>
        <v>1113000</v>
      </c>
      <c r="G30" s="78">
        <f>SUM(G16:G29)</f>
        <v>642000</v>
      </c>
      <c r="H30" s="78">
        <f>SUM(H16:H29)</f>
        <v>471000</v>
      </c>
    </row>
    <row r="31" spans="1:13" x14ac:dyDescent="0.25">
      <c r="A31" t="s">
        <v>30</v>
      </c>
      <c r="B31" s="3">
        <v>45600</v>
      </c>
      <c r="C31" t="s">
        <v>338</v>
      </c>
      <c r="D31" t="s">
        <v>11</v>
      </c>
      <c r="E31">
        <v>60</v>
      </c>
      <c r="F31" s="79">
        <f>E31*1800</f>
        <v>108000</v>
      </c>
      <c r="G31" s="79">
        <f>E31*500</f>
        <v>30000</v>
      </c>
      <c r="H31" s="79">
        <f>E31*1800</f>
        <v>108000</v>
      </c>
    </row>
    <row r="32" spans="1:13" x14ac:dyDescent="0.25">
      <c r="C32" t="s">
        <v>571</v>
      </c>
      <c r="D32" t="s">
        <v>11</v>
      </c>
      <c r="E32">
        <v>25</v>
      </c>
      <c r="F32" s="79">
        <f>E32*1700</f>
        <v>42500</v>
      </c>
      <c r="G32" s="79">
        <f>E32*500</f>
        <v>12500</v>
      </c>
      <c r="H32" s="79">
        <f>E32*1200</f>
        <v>30000</v>
      </c>
    </row>
    <row r="33" spans="1:8" x14ac:dyDescent="0.25">
      <c r="C33" t="s">
        <v>709</v>
      </c>
      <c r="D33" t="s">
        <v>11</v>
      </c>
      <c r="E33">
        <v>15</v>
      </c>
      <c r="F33" s="79">
        <f>E33*1800</f>
        <v>27000</v>
      </c>
      <c r="G33" s="79">
        <f>E33*500</f>
        <v>7500</v>
      </c>
      <c r="H33" s="79">
        <f>E33*1300</f>
        <v>19500</v>
      </c>
    </row>
    <row r="34" spans="1:8" x14ac:dyDescent="0.25">
      <c r="C34" t="s">
        <v>104</v>
      </c>
      <c r="D34" t="s">
        <v>11</v>
      </c>
      <c r="E34">
        <v>48</v>
      </c>
      <c r="F34" s="79">
        <f>E34*1700</f>
        <v>81600</v>
      </c>
      <c r="G34" s="79">
        <f>E34*500</f>
        <v>24000</v>
      </c>
      <c r="H34" s="79">
        <f>E34*1200</f>
        <v>57600</v>
      </c>
    </row>
    <row r="35" spans="1:8" x14ac:dyDescent="0.25">
      <c r="C35" t="s">
        <v>16</v>
      </c>
      <c r="D35" t="s">
        <v>11</v>
      </c>
      <c r="E35">
        <v>63</v>
      </c>
      <c r="F35" s="79">
        <f>E35*1500</f>
        <v>94500</v>
      </c>
      <c r="G35" s="79">
        <f>E35*500</f>
        <v>31500</v>
      </c>
      <c r="H35" s="79">
        <f>E35*1000</f>
        <v>63000</v>
      </c>
    </row>
    <row r="36" spans="1:8" x14ac:dyDescent="0.25">
      <c r="D36" t="s">
        <v>12</v>
      </c>
      <c r="E36">
        <v>2</v>
      </c>
      <c r="F36" s="79">
        <v>6000</v>
      </c>
      <c r="G36" s="79">
        <v>4000</v>
      </c>
      <c r="H36" s="79">
        <v>2000</v>
      </c>
    </row>
    <row r="37" spans="1:8" x14ac:dyDescent="0.25">
      <c r="D37" t="s">
        <v>13</v>
      </c>
      <c r="E37">
        <v>1</v>
      </c>
      <c r="F37" s="79">
        <v>6500</v>
      </c>
      <c r="G37" s="79">
        <v>4500</v>
      </c>
      <c r="H37" s="79">
        <v>2000</v>
      </c>
    </row>
    <row r="38" spans="1:8" x14ac:dyDescent="0.25">
      <c r="C38" t="s">
        <v>846</v>
      </c>
      <c r="D38" t="s">
        <v>13</v>
      </c>
      <c r="E38">
        <v>4</v>
      </c>
      <c r="F38" s="79">
        <f>E38*8000</f>
        <v>32000</v>
      </c>
      <c r="G38" s="79">
        <f>E38*4500</f>
        <v>18000</v>
      </c>
      <c r="H38" s="79">
        <f>E38*3500</f>
        <v>14000</v>
      </c>
    </row>
    <row r="39" spans="1:8" x14ac:dyDescent="0.25">
      <c r="D39" t="s">
        <v>14</v>
      </c>
      <c r="E39">
        <v>8</v>
      </c>
      <c r="F39" s="79">
        <f>E39*10000</f>
        <v>80000</v>
      </c>
      <c r="G39" s="79">
        <f>E39*5500</f>
        <v>44000</v>
      </c>
      <c r="H39" s="79">
        <f>E39*4500</f>
        <v>36000</v>
      </c>
    </row>
    <row r="40" spans="1:8" x14ac:dyDescent="0.25">
      <c r="C40" t="s">
        <v>24</v>
      </c>
      <c r="D40" t="s">
        <v>243</v>
      </c>
      <c r="E40">
        <v>7</v>
      </c>
      <c r="F40" s="79">
        <f>E40*15000</f>
        <v>105000</v>
      </c>
      <c r="G40" s="79">
        <f>E40*10000</f>
        <v>70000</v>
      </c>
      <c r="H40" s="79">
        <v>20000</v>
      </c>
    </row>
    <row r="41" spans="1:8" x14ac:dyDescent="0.25">
      <c r="C41" t="s">
        <v>24</v>
      </c>
      <c r="D41" t="s">
        <v>13</v>
      </c>
      <c r="E41">
        <v>10</v>
      </c>
      <c r="F41" s="79">
        <f>E41*8000</f>
        <v>80000</v>
      </c>
      <c r="G41" s="79">
        <f>E41*4500</f>
        <v>45000</v>
      </c>
      <c r="H41" s="79">
        <f>E41*3500</f>
        <v>35000</v>
      </c>
    </row>
    <row r="42" spans="1:8" x14ac:dyDescent="0.25">
      <c r="D42" t="s">
        <v>21</v>
      </c>
      <c r="E42">
        <v>1</v>
      </c>
      <c r="F42" s="79">
        <v>17000</v>
      </c>
      <c r="G42" s="79">
        <v>10000</v>
      </c>
      <c r="H42" s="79">
        <v>7000</v>
      </c>
    </row>
    <row r="43" spans="1:8" x14ac:dyDescent="0.25">
      <c r="A43" s="112" t="s">
        <v>17</v>
      </c>
      <c r="B43" s="112"/>
      <c r="C43" s="112"/>
      <c r="D43" s="112"/>
      <c r="E43" s="78">
        <f>SUM(E31:E42)</f>
        <v>244</v>
      </c>
      <c r="F43" s="78">
        <f t="shared" ref="F43:H43" si="2">SUM(F31:F42)</f>
        <v>680100</v>
      </c>
      <c r="G43" s="78">
        <f t="shared" si="2"/>
        <v>301000</v>
      </c>
      <c r="H43" s="78">
        <f t="shared" si="2"/>
        <v>394100</v>
      </c>
    </row>
    <row r="44" spans="1:8" x14ac:dyDescent="0.25">
      <c r="A44" t="s">
        <v>32</v>
      </c>
      <c r="B44" s="3">
        <v>45601</v>
      </c>
      <c r="C44" t="s">
        <v>338</v>
      </c>
      <c r="D44" t="s">
        <v>11</v>
      </c>
      <c r="E44">
        <v>60</v>
      </c>
      <c r="F44" s="79">
        <f>E44*1800</f>
        <v>108000</v>
      </c>
      <c r="G44" s="79">
        <f>E44*500</f>
        <v>30000</v>
      </c>
      <c r="H44" s="79">
        <f>E44*1300</f>
        <v>78000</v>
      </c>
    </row>
    <row r="45" spans="1:8" x14ac:dyDescent="0.25">
      <c r="C45" t="s">
        <v>571</v>
      </c>
      <c r="D45" t="s">
        <v>11</v>
      </c>
      <c r="E45">
        <v>27</v>
      </c>
      <c r="F45" s="79">
        <f>E45*1700</f>
        <v>45900</v>
      </c>
      <c r="G45" s="79">
        <f>E45*500</f>
        <v>13500</v>
      </c>
      <c r="H45" s="79">
        <f>E45*1200</f>
        <v>32400</v>
      </c>
    </row>
    <row r="46" spans="1:8" x14ac:dyDescent="0.25">
      <c r="C46" t="s">
        <v>572</v>
      </c>
      <c r="D46" t="s">
        <v>11</v>
      </c>
      <c r="E46">
        <f>11+14+24+15</f>
        <v>64</v>
      </c>
      <c r="F46" s="79">
        <f>E46*1700</f>
        <v>108800</v>
      </c>
      <c r="G46" s="79">
        <f>E46*500</f>
        <v>32000</v>
      </c>
      <c r="H46" s="79">
        <f>E46*1200</f>
        <v>76800</v>
      </c>
    </row>
    <row r="47" spans="1:8" x14ac:dyDescent="0.25">
      <c r="C47" t="s">
        <v>24</v>
      </c>
      <c r="D47" t="s">
        <v>21</v>
      </c>
      <c r="E47">
        <v>1</v>
      </c>
      <c r="F47" s="79">
        <v>15000</v>
      </c>
      <c r="G47" s="79">
        <v>10000</v>
      </c>
      <c r="H47" s="79">
        <v>5000</v>
      </c>
    </row>
    <row r="48" spans="1:8" x14ac:dyDescent="0.25">
      <c r="D48" t="s">
        <v>56</v>
      </c>
      <c r="E48">
        <v>1</v>
      </c>
      <c r="F48" s="79">
        <v>20000</v>
      </c>
      <c r="G48" s="79">
        <v>10000</v>
      </c>
      <c r="H48" s="79">
        <v>10000</v>
      </c>
    </row>
    <row r="49" spans="1:8" x14ac:dyDescent="0.25">
      <c r="D49" t="s">
        <v>14</v>
      </c>
      <c r="E49">
        <v>5</v>
      </c>
      <c r="F49" s="79">
        <v>0</v>
      </c>
      <c r="G49" s="79">
        <v>0</v>
      </c>
      <c r="H49" s="79">
        <v>0</v>
      </c>
    </row>
    <row r="50" spans="1:8" x14ac:dyDescent="0.25">
      <c r="D50" t="s">
        <v>243</v>
      </c>
      <c r="E50">
        <v>6</v>
      </c>
      <c r="F50" s="79">
        <f>E50*15000</f>
        <v>90000</v>
      </c>
      <c r="G50" s="79">
        <f>E50*10000</f>
        <v>60000</v>
      </c>
      <c r="H50" s="79">
        <f>E50*5000</f>
        <v>30000</v>
      </c>
    </row>
    <row r="51" spans="1:8" x14ac:dyDescent="0.25">
      <c r="C51" t="s">
        <v>16</v>
      </c>
      <c r="D51" t="s">
        <v>11</v>
      </c>
      <c r="E51">
        <v>51</v>
      </c>
      <c r="F51" s="79">
        <f>E51*1500</f>
        <v>76500</v>
      </c>
      <c r="G51" s="79">
        <f>E51*500</f>
        <v>25500</v>
      </c>
      <c r="H51" s="79">
        <v>51000</v>
      </c>
    </row>
    <row r="52" spans="1:8" x14ac:dyDescent="0.25">
      <c r="D52" t="s">
        <v>12</v>
      </c>
      <c r="E52">
        <v>2</v>
      </c>
      <c r="F52" s="79">
        <v>6000</v>
      </c>
      <c r="G52" s="79">
        <v>4000</v>
      </c>
      <c r="H52" s="79">
        <v>2000</v>
      </c>
    </row>
    <row r="53" spans="1:8" x14ac:dyDescent="0.25">
      <c r="D53" t="s">
        <v>14</v>
      </c>
      <c r="E53">
        <v>1</v>
      </c>
      <c r="F53" s="79">
        <v>10000</v>
      </c>
      <c r="G53" s="79">
        <v>5500</v>
      </c>
      <c r="H53" s="79">
        <v>4500</v>
      </c>
    </row>
    <row r="54" spans="1:8" x14ac:dyDescent="0.25">
      <c r="C54" t="s">
        <v>846</v>
      </c>
      <c r="D54" t="s">
        <v>13</v>
      </c>
      <c r="E54">
        <v>10</v>
      </c>
      <c r="F54" s="79">
        <f>E54*8000</f>
        <v>80000</v>
      </c>
      <c r="G54" s="79">
        <f>E54*4500</f>
        <v>45000</v>
      </c>
      <c r="H54" s="79">
        <f>E54*3500</f>
        <v>35000</v>
      </c>
    </row>
    <row r="55" spans="1:8" x14ac:dyDescent="0.25">
      <c r="D55" t="s">
        <v>14</v>
      </c>
      <c r="E55">
        <v>1</v>
      </c>
      <c r="F55" s="79">
        <v>12000</v>
      </c>
      <c r="G55" s="79">
        <v>5500</v>
      </c>
      <c r="H55" s="79">
        <v>6500</v>
      </c>
    </row>
    <row r="56" spans="1:8" x14ac:dyDescent="0.25">
      <c r="D56" t="s">
        <v>11</v>
      </c>
      <c r="E56">
        <v>3</v>
      </c>
      <c r="F56" s="79">
        <v>9000</v>
      </c>
      <c r="G56" s="79">
        <f>E56*500</f>
        <v>1500</v>
      </c>
      <c r="H56" s="79">
        <f>E56*2500</f>
        <v>7500</v>
      </c>
    </row>
    <row r="57" spans="1:8" x14ac:dyDescent="0.25">
      <c r="D57" t="s">
        <v>404</v>
      </c>
      <c r="E57">
        <v>2</v>
      </c>
      <c r="F57" s="79">
        <v>6000</v>
      </c>
      <c r="G57" s="79">
        <v>3000</v>
      </c>
      <c r="H57" s="79">
        <v>3000</v>
      </c>
    </row>
    <row r="58" spans="1:8" x14ac:dyDescent="0.25">
      <c r="C58" t="s">
        <v>901</v>
      </c>
      <c r="D58" t="s">
        <v>11</v>
      </c>
      <c r="E58">
        <v>50</v>
      </c>
      <c r="F58" s="79">
        <f>E58*1500</f>
        <v>75000</v>
      </c>
      <c r="G58" s="79">
        <f>E58*500</f>
        <v>25000</v>
      </c>
      <c r="H58" s="79">
        <v>50000</v>
      </c>
    </row>
    <row r="59" spans="1:8" x14ac:dyDescent="0.25">
      <c r="A59" s="112" t="s">
        <v>17</v>
      </c>
      <c r="B59" s="112"/>
      <c r="C59" s="112"/>
      <c r="D59" s="112"/>
      <c r="E59" s="78">
        <f>SUM(E44:E58)</f>
        <v>284</v>
      </c>
      <c r="F59" s="78">
        <f t="shared" ref="F59:H59" si="3">SUM(F44:F58)</f>
        <v>662200</v>
      </c>
      <c r="G59" s="78">
        <f t="shared" si="3"/>
        <v>270500</v>
      </c>
      <c r="H59" s="78">
        <f t="shared" si="3"/>
        <v>391700</v>
      </c>
    </row>
    <row r="60" spans="1:8" x14ac:dyDescent="0.25">
      <c r="A60" t="s">
        <v>8</v>
      </c>
      <c r="B60" s="3">
        <v>45602</v>
      </c>
      <c r="C60" t="s">
        <v>338</v>
      </c>
      <c r="D60" t="s">
        <v>11</v>
      </c>
      <c r="E60">
        <f>60-11</f>
        <v>49</v>
      </c>
      <c r="F60" s="79">
        <f>E60*1800</f>
        <v>88200</v>
      </c>
      <c r="G60" s="79">
        <f>E60*500</f>
        <v>24500</v>
      </c>
      <c r="H60" s="79">
        <f>E60*1300</f>
        <v>63700</v>
      </c>
    </row>
    <row r="61" spans="1:8" x14ac:dyDescent="0.25">
      <c r="C61" t="s">
        <v>104</v>
      </c>
      <c r="D61" t="s">
        <v>11</v>
      </c>
      <c r="E61">
        <v>24</v>
      </c>
      <c r="F61" s="79">
        <f>E61*1700</f>
        <v>40800</v>
      </c>
      <c r="G61" s="79">
        <f>E61*500</f>
        <v>12000</v>
      </c>
      <c r="H61" s="79">
        <f>E61*1200</f>
        <v>28800</v>
      </c>
    </row>
    <row r="62" spans="1:8" x14ac:dyDescent="0.25">
      <c r="C62" t="s">
        <v>16</v>
      </c>
      <c r="D62" t="s">
        <v>11</v>
      </c>
      <c r="E62">
        <v>37</v>
      </c>
      <c r="F62" s="79">
        <f>E62*1500</f>
        <v>55500</v>
      </c>
      <c r="G62" s="79">
        <f>E62*500</f>
        <v>18500</v>
      </c>
      <c r="H62" s="79">
        <v>37000</v>
      </c>
    </row>
    <row r="63" spans="1:8" x14ac:dyDescent="0.25">
      <c r="D63" t="s">
        <v>12</v>
      </c>
      <c r="E63">
        <v>2</v>
      </c>
      <c r="F63" s="79">
        <v>6000</v>
      </c>
      <c r="G63" s="79">
        <v>4000</v>
      </c>
      <c r="H63" s="79">
        <v>2000</v>
      </c>
    </row>
    <row r="64" spans="1:8" x14ac:dyDescent="0.25">
      <c r="D64" t="s">
        <v>14</v>
      </c>
      <c r="E64">
        <v>1</v>
      </c>
      <c r="F64" s="79">
        <v>10000</v>
      </c>
      <c r="G64" s="79">
        <v>5500</v>
      </c>
      <c r="H64" s="79">
        <v>4500</v>
      </c>
    </row>
    <row r="65" spans="1:10" x14ac:dyDescent="0.25">
      <c r="D65" t="s">
        <v>243</v>
      </c>
      <c r="E65">
        <v>1</v>
      </c>
      <c r="F65" s="79">
        <v>13000</v>
      </c>
      <c r="G65" s="79">
        <v>10000</v>
      </c>
      <c r="H65" s="79">
        <v>3000</v>
      </c>
    </row>
    <row r="66" spans="1:10" x14ac:dyDescent="0.25">
      <c r="C66" t="s">
        <v>846</v>
      </c>
      <c r="D66" t="s">
        <v>11</v>
      </c>
      <c r="E66">
        <v>6</v>
      </c>
      <c r="F66" s="79">
        <f>E66*3000</f>
        <v>18000</v>
      </c>
      <c r="G66" s="79">
        <f>E66*500</f>
        <v>3000</v>
      </c>
      <c r="H66" s="79">
        <f>E66*2500</f>
        <v>15000</v>
      </c>
    </row>
    <row r="67" spans="1:10" x14ac:dyDescent="0.25">
      <c r="D67" t="s">
        <v>13</v>
      </c>
      <c r="E67">
        <v>6</v>
      </c>
      <c r="F67" s="79">
        <f>E67*8000</f>
        <v>48000</v>
      </c>
      <c r="G67" s="79">
        <f>E67*4500</f>
        <v>27000</v>
      </c>
      <c r="H67" s="79">
        <f>E67*3500</f>
        <v>21000</v>
      </c>
    </row>
    <row r="68" spans="1:10" x14ac:dyDescent="0.25">
      <c r="D68" t="s">
        <v>14</v>
      </c>
      <c r="E68">
        <v>1</v>
      </c>
      <c r="F68" s="79">
        <v>10000</v>
      </c>
      <c r="G68" s="79">
        <v>5500</v>
      </c>
      <c r="H68" s="79">
        <v>4500</v>
      </c>
    </row>
    <row r="69" spans="1:10" x14ac:dyDescent="0.25">
      <c r="C69" t="s">
        <v>24</v>
      </c>
      <c r="D69" t="s">
        <v>243</v>
      </c>
      <c r="E69">
        <v>20</v>
      </c>
      <c r="F69" s="79">
        <f>E69*12000</f>
        <v>240000</v>
      </c>
      <c r="G69" s="79">
        <f>E69*10000</f>
        <v>200000</v>
      </c>
      <c r="H69" s="79">
        <f>E69*2000</f>
        <v>40000</v>
      </c>
    </row>
    <row r="70" spans="1:10" x14ac:dyDescent="0.25">
      <c r="D70" t="s">
        <v>243</v>
      </c>
      <c r="E70">
        <v>2</v>
      </c>
      <c r="F70" s="79">
        <v>30000</v>
      </c>
      <c r="G70" s="79">
        <v>20000</v>
      </c>
      <c r="H70" s="79">
        <v>10000</v>
      </c>
    </row>
    <row r="71" spans="1:10" x14ac:dyDescent="0.25">
      <c r="D71" t="s">
        <v>14</v>
      </c>
      <c r="E71">
        <v>3</v>
      </c>
      <c r="F71" s="79">
        <v>30000</v>
      </c>
      <c r="G71" s="79">
        <f>E71*5500</f>
        <v>16500</v>
      </c>
      <c r="H71" s="79">
        <f>E71*4500</f>
        <v>13500</v>
      </c>
    </row>
    <row r="72" spans="1:10" x14ac:dyDescent="0.25">
      <c r="D72" t="s">
        <v>21</v>
      </c>
      <c r="E72">
        <v>1</v>
      </c>
      <c r="F72" s="79">
        <v>17000</v>
      </c>
      <c r="G72" s="79">
        <v>10000</v>
      </c>
      <c r="H72" s="79">
        <v>7000</v>
      </c>
    </row>
    <row r="73" spans="1:10" x14ac:dyDescent="0.25">
      <c r="A73" s="112" t="s">
        <v>17</v>
      </c>
      <c r="B73" s="112"/>
      <c r="C73" s="112"/>
      <c r="D73" s="112"/>
      <c r="E73" s="78">
        <f>SUM(E60:E72)</f>
        <v>153</v>
      </c>
      <c r="F73" s="78">
        <f t="shared" ref="F73:H73" si="4">SUM(F60:F72)</f>
        <v>606500</v>
      </c>
      <c r="G73" s="78">
        <f t="shared" si="4"/>
        <v>356500</v>
      </c>
      <c r="H73" s="78">
        <f t="shared" si="4"/>
        <v>250000</v>
      </c>
    </row>
    <row r="74" spans="1:10" x14ac:dyDescent="0.25">
      <c r="A74" t="s">
        <v>18</v>
      </c>
      <c r="B74" s="3">
        <v>45603</v>
      </c>
      <c r="C74" t="s">
        <v>338</v>
      </c>
      <c r="D74" t="s">
        <v>11</v>
      </c>
      <c r="E74">
        <f>60-5</f>
        <v>55</v>
      </c>
      <c r="F74" s="79">
        <f>E74*1800</f>
        <v>99000</v>
      </c>
      <c r="G74" s="79">
        <f>E74*500</f>
        <v>27500</v>
      </c>
      <c r="H74" s="79">
        <f>E74*1300</f>
        <v>71500</v>
      </c>
    </row>
    <row r="75" spans="1:10" x14ac:dyDescent="0.25">
      <c r="C75" t="s">
        <v>16</v>
      </c>
      <c r="D75" t="s">
        <v>11</v>
      </c>
      <c r="E75">
        <v>42</v>
      </c>
      <c r="F75" s="79">
        <f>E75*1500</f>
        <v>63000</v>
      </c>
      <c r="G75" s="79">
        <f>E75*500</f>
        <v>21000</v>
      </c>
      <c r="H75" s="79">
        <f>E75*1000</f>
        <v>42000</v>
      </c>
    </row>
    <row r="76" spans="1:10" x14ac:dyDescent="0.25">
      <c r="D76" t="s">
        <v>12</v>
      </c>
      <c r="E76">
        <v>1</v>
      </c>
      <c r="F76" s="79">
        <v>3000</v>
      </c>
      <c r="G76" s="79">
        <v>2000</v>
      </c>
      <c r="H76" s="79">
        <v>1000</v>
      </c>
      <c r="J76" s="92"/>
    </row>
    <row r="77" spans="1:10" x14ac:dyDescent="0.25">
      <c r="D77" t="s">
        <v>14</v>
      </c>
      <c r="E77">
        <v>1</v>
      </c>
      <c r="F77" s="79">
        <v>10000</v>
      </c>
      <c r="G77" s="79">
        <v>5500</v>
      </c>
      <c r="H77" s="79">
        <v>4500</v>
      </c>
    </row>
    <row r="78" spans="1:10" x14ac:dyDescent="0.25">
      <c r="C78" t="s">
        <v>846</v>
      </c>
      <c r="D78" t="s">
        <v>404</v>
      </c>
      <c r="E78">
        <v>2</v>
      </c>
      <c r="F78" s="79">
        <v>6000</v>
      </c>
      <c r="G78" s="79">
        <v>4000</v>
      </c>
      <c r="H78" s="79">
        <v>2000</v>
      </c>
    </row>
    <row r="79" spans="1:10" x14ac:dyDescent="0.25">
      <c r="D79" t="s">
        <v>13</v>
      </c>
      <c r="E79">
        <v>2</v>
      </c>
      <c r="F79" s="79">
        <f>E79*8000</f>
        <v>16000</v>
      </c>
      <c r="G79" s="79">
        <f>E79*4500</f>
        <v>9000</v>
      </c>
      <c r="H79" s="79">
        <f>E79*3500</f>
        <v>7000</v>
      </c>
    </row>
    <row r="80" spans="1:10" x14ac:dyDescent="0.25">
      <c r="D80" t="s">
        <v>14</v>
      </c>
      <c r="E80">
        <v>2</v>
      </c>
      <c r="F80" s="79">
        <f>E80*12000</f>
        <v>24000</v>
      </c>
      <c r="G80" s="79">
        <f>E80*5500</f>
        <v>11000</v>
      </c>
      <c r="H80" s="79">
        <f>E80*4500</f>
        <v>9000</v>
      </c>
    </row>
    <row r="81" spans="1:11" x14ac:dyDescent="0.25">
      <c r="C81" t="s">
        <v>24</v>
      </c>
      <c r="D81" t="s">
        <v>243</v>
      </c>
      <c r="E81">
        <v>1</v>
      </c>
      <c r="F81" s="79">
        <v>15000</v>
      </c>
      <c r="G81" s="79">
        <v>10000</v>
      </c>
      <c r="H81" s="79">
        <v>5000</v>
      </c>
    </row>
    <row r="82" spans="1:11" x14ac:dyDescent="0.25">
      <c r="A82" s="112" t="s">
        <v>17</v>
      </c>
      <c r="B82" s="112"/>
      <c r="C82" s="112"/>
      <c r="D82" s="112"/>
      <c r="E82" s="78">
        <f>SUM(E74:E81)</f>
        <v>106</v>
      </c>
      <c r="F82" s="78">
        <f t="shared" ref="F82:G82" si="5">SUM(F74:F81)</f>
        <v>236000</v>
      </c>
      <c r="G82" s="78">
        <f t="shared" si="5"/>
        <v>90000</v>
      </c>
      <c r="H82" s="78">
        <f>SUM(H74:H81)</f>
        <v>142000</v>
      </c>
    </row>
    <row r="83" spans="1:11" x14ac:dyDescent="0.25">
      <c r="A83" t="s">
        <v>22</v>
      </c>
      <c r="B83" s="3">
        <v>45604</v>
      </c>
      <c r="C83" t="s">
        <v>338</v>
      </c>
      <c r="D83" t="s">
        <v>11</v>
      </c>
      <c r="E83">
        <v>120</v>
      </c>
      <c r="F83" s="79">
        <f>E83*1800</f>
        <v>216000</v>
      </c>
      <c r="G83" s="79">
        <f>E83*500</f>
        <v>60000</v>
      </c>
      <c r="H83" s="79">
        <f>E83*1300</f>
        <v>156000</v>
      </c>
      <c r="K83" s="92"/>
    </row>
    <row r="84" spans="1:11" x14ac:dyDescent="0.25">
      <c r="C84" t="s">
        <v>571</v>
      </c>
      <c r="D84" t="s">
        <v>11</v>
      </c>
      <c r="E84">
        <v>68</v>
      </c>
      <c r="F84" s="79">
        <f>E84*1700</f>
        <v>115600</v>
      </c>
      <c r="G84" s="79">
        <f>E84*500</f>
        <v>34000</v>
      </c>
      <c r="H84" s="79">
        <f>E84*1200</f>
        <v>81600</v>
      </c>
    </row>
    <row r="85" spans="1:11" x14ac:dyDescent="0.25">
      <c r="C85" t="s">
        <v>709</v>
      </c>
      <c r="D85" t="s">
        <v>11</v>
      </c>
      <c r="E85">
        <v>20</v>
      </c>
      <c r="F85" s="79">
        <f>E85*1800</f>
        <v>36000</v>
      </c>
      <c r="G85" s="79">
        <f>E85*500</f>
        <v>10000</v>
      </c>
      <c r="H85" s="79">
        <f>E85*1300</f>
        <v>26000</v>
      </c>
    </row>
    <row r="86" spans="1:11" x14ac:dyDescent="0.25">
      <c r="C86" t="s">
        <v>901</v>
      </c>
      <c r="D86" t="s">
        <v>11</v>
      </c>
      <c r="E86">
        <v>30</v>
      </c>
      <c r="F86" s="79">
        <f>E86*1500</f>
        <v>45000</v>
      </c>
      <c r="G86" s="79">
        <f>E86*500</f>
        <v>15000</v>
      </c>
      <c r="H86" s="79">
        <v>30000</v>
      </c>
    </row>
    <row r="87" spans="1:11" x14ac:dyDescent="0.25">
      <c r="C87" t="s">
        <v>16</v>
      </c>
      <c r="D87" t="s">
        <v>11</v>
      </c>
      <c r="E87">
        <v>39</v>
      </c>
      <c r="F87" s="79">
        <f>E87*1500</f>
        <v>58500</v>
      </c>
      <c r="G87" s="79">
        <f>E87*500</f>
        <v>19500</v>
      </c>
      <c r="H87" s="79">
        <v>39000</v>
      </c>
    </row>
    <row r="88" spans="1:11" x14ac:dyDescent="0.25">
      <c r="D88" t="s">
        <v>12</v>
      </c>
      <c r="E88">
        <v>1</v>
      </c>
      <c r="F88" s="79">
        <v>3000</v>
      </c>
      <c r="G88" s="79">
        <v>2000</v>
      </c>
      <c r="H88" s="79">
        <v>1000</v>
      </c>
    </row>
    <row r="89" spans="1:11" x14ac:dyDescent="0.25">
      <c r="D89" t="s">
        <v>13</v>
      </c>
      <c r="E89">
        <v>2</v>
      </c>
      <c r="F89" s="79">
        <v>13000</v>
      </c>
      <c r="G89" s="79">
        <v>9000</v>
      </c>
      <c r="H89" s="79">
        <v>4000</v>
      </c>
    </row>
    <row r="90" spans="1:11" x14ac:dyDescent="0.25">
      <c r="D90" t="s">
        <v>14</v>
      </c>
      <c r="E90">
        <v>2</v>
      </c>
      <c r="F90" s="79">
        <v>20000</v>
      </c>
      <c r="G90" s="79">
        <v>11000</v>
      </c>
      <c r="H90" s="79">
        <v>9000</v>
      </c>
    </row>
    <row r="91" spans="1:11" x14ac:dyDescent="0.25">
      <c r="C91" t="s">
        <v>846</v>
      </c>
      <c r="D91" t="s">
        <v>404</v>
      </c>
      <c r="E91">
        <v>1</v>
      </c>
      <c r="F91" s="79">
        <v>3000</v>
      </c>
      <c r="G91" s="79">
        <v>1500</v>
      </c>
      <c r="H91" s="79">
        <v>1500</v>
      </c>
    </row>
    <row r="92" spans="1:11" x14ac:dyDescent="0.25">
      <c r="D92" t="s">
        <v>13</v>
      </c>
      <c r="E92">
        <v>4</v>
      </c>
      <c r="F92" s="79">
        <f>E92*8000</f>
        <v>32000</v>
      </c>
      <c r="G92" s="79">
        <f>E92*4500</f>
        <v>18000</v>
      </c>
      <c r="H92" s="79">
        <f>E92*3500</f>
        <v>14000</v>
      </c>
    </row>
    <row r="93" spans="1:11" x14ac:dyDescent="0.25">
      <c r="D93" t="s">
        <v>14</v>
      </c>
      <c r="E93">
        <v>4</v>
      </c>
      <c r="F93" s="79">
        <f>E93*12000</f>
        <v>48000</v>
      </c>
      <c r="G93" s="79">
        <f>E93*5500</f>
        <v>22000</v>
      </c>
      <c r="H93" s="79">
        <f>E93*6500</f>
        <v>26000</v>
      </c>
    </row>
    <row r="94" spans="1:11" x14ac:dyDescent="0.25">
      <c r="A94" s="112" t="s">
        <v>17</v>
      </c>
      <c r="B94" s="112"/>
      <c r="C94" s="112"/>
      <c r="D94" s="112"/>
      <c r="E94" s="78">
        <f>SUM(E83:E93)</f>
        <v>291</v>
      </c>
      <c r="F94" s="78">
        <f t="shared" ref="F94:H94" si="6">SUM(F83:F93)</f>
        <v>590100</v>
      </c>
      <c r="G94" s="78">
        <f t="shared" si="6"/>
        <v>202000</v>
      </c>
      <c r="H94" s="78">
        <f t="shared" si="6"/>
        <v>388100</v>
      </c>
    </row>
    <row r="95" spans="1:11" x14ac:dyDescent="0.25">
      <c r="A95" t="s">
        <v>26</v>
      </c>
      <c r="B95" s="3">
        <v>45605</v>
      </c>
      <c r="C95" t="s">
        <v>20</v>
      </c>
      <c r="D95" t="s">
        <v>11</v>
      </c>
      <c r="E95">
        <v>6</v>
      </c>
      <c r="F95">
        <f>E95*3000</f>
        <v>18000</v>
      </c>
      <c r="G95">
        <f>E95*500</f>
        <v>3000</v>
      </c>
      <c r="H95">
        <f>E95*2500</f>
        <v>15000</v>
      </c>
    </row>
    <row r="96" spans="1:11" x14ac:dyDescent="0.25">
      <c r="D96" t="s">
        <v>13</v>
      </c>
      <c r="E96">
        <v>12</v>
      </c>
      <c r="F96">
        <f>E96*8000</f>
        <v>96000</v>
      </c>
      <c r="G96">
        <f>E96*4500</f>
        <v>54000</v>
      </c>
      <c r="H96">
        <f>E96*3500</f>
        <v>42000</v>
      </c>
    </row>
    <row r="97" spans="1:8" x14ac:dyDescent="0.25">
      <c r="D97" t="s">
        <v>404</v>
      </c>
      <c r="E97">
        <v>2</v>
      </c>
      <c r="F97">
        <v>6000</v>
      </c>
      <c r="G97">
        <v>3000</v>
      </c>
      <c r="H97">
        <v>3000</v>
      </c>
    </row>
    <row r="98" spans="1:8" x14ac:dyDescent="0.25">
      <c r="D98" t="s">
        <v>243</v>
      </c>
      <c r="E98">
        <v>2</v>
      </c>
      <c r="F98">
        <f>E98*17000</f>
        <v>34000</v>
      </c>
      <c r="G98">
        <f>E98*10000</f>
        <v>20000</v>
      </c>
      <c r="H98">
        <f>E98*7000</f>
        <v>14000</v>
      </c>
    </row>
    <row r="99" spans="1:8" x14ac:dyDescent="0.25">
      <c r="C99" t="s">
        <v>16</v>
      </c>
      <c r="D99" t="s">
        <v>11</v>
      </c>
      <c r="E99">
        <v>38</v>
      </c>
      <c r="F99">
        <f>E99*1500</f>
        <v>57000</v>
      </c>
      <c r="G99">
        <f>E99*500</f>
        <v>19000</v>
      </c>
      <c r="H99">
        <v>38000</v>
      </c>
    </row>
    <row r="100" spans="1:8" x14ac:dyDescent="0.25">
      <c r="A100" s="112" t="s">
        <v>17</v>
      </c>
      <c r="B100" s="112"/>
      <c r="C100" s="112"/>
      <c r="D100" s="112"/>
      <c r="E100" s="78">
        <f>SUM(E95:E99)</f>
        <v>60</v>
      </c>
      <c r="F100" s="78">
        <f t="shared" ref="F100:H100" si="7">SUM(F95:F99)</f>
        <v>211000</v>
      </c>
      <c r="G100" s="78">
        <f t="shared" si="7"/>
        <v>99000</v>
      </c>
      <c r="H100" s="78">
        <f t="shared" si="7"/>
        <v>112000</v>
      </c>
    </row>
    <row r="101" spans="1:8" x14ac:dyDescent="0.25">
      <c r="A101" t="s">
        <v>28</v>
      </c>
      <c r="B101" s="3">
        <v>45606</v>
      </c>
      <c r="C101" t="s">
        <v>693</v>
      </c>
      <c r="D101" t="s">
        <v>11</v>
      </c>
      <c r="E101">
        <v>11</v>
      </c>
      <c r="F101" s="79">
        <f>E101*2000</f>
        <v>22000</v>
      </c>
      <c r="G101" s="79">
        <f>E101*500</f>
        <v>5500</v>
      </c>
      <c r="H101" s="79">
        <f>E101*1500</f>
        <v>16500</v>
      </c>
    </row>
    <row r="102" spans="1:8" x14ac:dyDescent="0.25">
      <c r="D102" t="s">
        <v>13</v>
      </c>
      <c r="E102">
        <v>40</v>
      </c>
      <c r="F102" s="79">
        <f>E102*7000</f>
        <v>280000</v>
      </c>
      <c r="G102" s="79">
        <f>E102*4500</f>
        <v>180000</v>
      </c>
      <c r="H102" s="79">
        <f>E102*2500</f>
        <v>100000</v>
      </c>
    </row>
    <row r="103" spans="1:8" x14ac:dyDescent="0.25">
      <c r="D103" t="s">
        <v>14</v>
      </c>
      <c r="E103">
        <v>13</v>
      </c>
      <c r="F103" s="79">
        <f>E103*10000</f>
        <v>130000</v>
      </c>
      <c r="G103" s="79">
        <f>E103*5500</f>
        <v>71500</v>
      </c>
      <c r="H103" s="79">
        <f>E103*4500</f>
        <v>58500</v>
      </c>
    </row>
    <row r="104" spans="1:8" x14ac:dyDescent="0.25">
      <c r="D104" t="s">
        <v>243</v>
      </c>
      <c r="E104">
        <v>2</v>
      </c>
      <c r="F104" s="79">
        <f>E104*13000</f>
        <v>26000</v>
      </c>
      <c r="G104" s="79">
        <f>E104*10000</f>
        <v>20000</v>
      </c>
      <c r="H104" s="79">
        <v>6000</v>
      </c>
    </row>
    <row r="105" spans="1:8" x14ac:dyDescent="0.25">
      <c r="D105" t="s">
        <v>902</v>
      </c>
      <c r="E105">
        <v>1</v>
      </c>
      <c r="F105" s="79">
        <v>7000</v>
      </c>
      <c r="G105" s="79">
        <v>4000</v>
      </c>
      <c r="H105" s="79">
        <v>3000</v>
      </c>
    </row>
    <row r="106" spans="1:8" x14ac:dyDescent="0.25">
      <c r="C106" t="s">
        <v>217</v>
      </c>
      <c r="D106" t="s">
        <v>11</v>
      </c>
      <c r="E106">
        <v>10</v>
      </c>
      <c r="F106" s="79">
        <f>E106*1500</f>
        <v>15000</v>
      </c>
      <c r="G106" s="79">
        <f>E106*500</f>
        <v>5000</v>
      </c>
      <c r="H106" s="79">
        <v>10000</v>
      </c>
    </row>
    <row r="107" spans="1:8" x14ac:dyDescent="0.25">
      <c r="D107" t="s">
        <v>13</v>
      </c>
      <c r="E107">
        <v>21</v>
      </c>
      <c r="F107" s="79">
        <f>E107*6500</f>
        <v>136500</v>
      </c>
      <c r="G107" s="79">
        <f>E107*4500</f>
        <v>94500</v>
      </c>
      <c r="H107" s="79">
        <f>E107*2000</f>
        <v>42000</v>
      </c>
    </row>
    <row r="108" spans="1:8" x14ac:dyDescent="0.25">
      <c r="D108" t="s">
        <v>14</v>
      </c>
      <c r="E108">
        <v>7</v>
      </c>
      <c r="F108" s="79">
        <f>E108*10000</f>
        <v>70000</v>
      </c>
      <c r="G108" s="79">
        <f>E108*5500</f>
        <v>38500</v>
      </c>
      <c r="H108" s="79">
        <f>E108*4500</f>
        <v>31500</v>
      </c>
    </row>
    <row r="109" spans="1:8" x14ac:dyDescent="0.25">
      <c r="C109" t="s">
        <v>16</v>
      </c>
      <c r="D109" t="s">
        <v>11</v>
      </c>
      <c r="E109">
        <v>59</v>
      </c>
      <c r="F109" s="79">
        <f>E109*1500</f>
        <v>88500</v>
      </c>
      <c r="G109" s="79">
        <f>E109*500</f>
        <v>29500</v>
      </c>
      <c r="H109" s="79">
        <v>59000</v>
      </c>
    </row>
    <row r="110" spans="1:8" x14ac:dyDescent="0.25">
      <c r="D110" t="s">
        <v>12</v>
      </c>
      <c r="E110">
        <v>7</v>
      </c>
      <c r="F110" s="79">
        <f>E110*3000</f>
        <v>21000</v>
      </c>
      <c r="G110" s="79">
        <f>E110*2000</f>
        <v>14000</v>
      </c>
      <c r="H110" s="79">
        <v>7000</v>
      </c>
    </row>
    <row r="111" spans="1:8" x14ac:dyDescent="0.25">
      <c r="D111" t="s">
        <v>13</v>
      </c>
      <c r="E111">
        <v>3</v>
      </c>
      <c r="F111" s="79">
        <f>E111*6500</f>
        <v>19500</v>
      </c>
      <c r="G111" s="79">
        <f>E111*4500</f>
        <v>13500</v>
      </c>
      <c r="H111" s="79">
        <f>E111*2000</f>
        <v>6000</v>
      </c>
    </row>
    <row r="112" spans="1:8" x14ac:dyDescent="0.25">
      <c r="C112" t="s">
        <v>846</v>
      </c>
      <c r="D112" t="s">
        <v>11</v>
      </c>
      <c r="E112">
        <v>3</v>
      </c>
      <c r="F112" s="79">
        <f>E112*3000</f>
        <v>9000</v>
      </c>
      <c r="G112" s="79">
        <f>E112*500</f>
        <v>1500</v>
      </c>
      <c r="H112" s="79">
        <f>E112*2500</f>
        <v>7500</v>
      </c>
    </row>
    <row r="113" spans="1:8" x14ac:dyDescent="0.25">
      <c r="D113" t="s">
        <v>13</v>
      </c>
      <c r="E113">
        <v>4</v>
      </c>
      <c r="F113" s="79">
        <f>E113*8000</f>
        <v>32000</v>
      </c>
      <c r="G113" s="79">
        <f>E113*4500</f>
        <v>18000</v>
      </c>
      <c r="H113" s="79">
        <f>E113*3500</f>
        <v>14000</v>
      </c>
    </row>
    <row r="114" spans="1:8" x14ac:dyDescent="0.25">
      <c r="D114" t="s">
        <v>14</v>
      </c>
      <c r="E114">
        <v>3</v>
      </c>
      <c r="F114" s="79">
        <f>E114*12000</f>
        <v>36000</v>
      </c>
      <c r="G114" s="79">
        <f>E114*5500</f>
        <v>16500</v>
      </c>
      <c r="H114" s="79">
        <f>E114*6500</f>
        <v>19500</v>
      </c>
    </row>
    <row r="115" spans="1:8" x14ac:dyDescent="0.25">
      <c r="D115" t="s">
        <v>404</v>
      </c>
      <c r="E115">
        <v>4</v>
      </c>
      <c r="F115" s="79">
        <f>E115*3000</f>
        <v>12000</v>
      </c>
      <c r="G115" s="79">
        <v>6000</v>
      </c>
      <c r="H115" s="79">
        <v>6000</v>
      </c>
    </row>
    <row r="116" spans="1:8" x14ac:dyDescent="0.25">
      <c r="D116" t="s">
        <v>902</v>
      </c>
      <c r="E116">
        <v>2</v>
      </c>
      <c r="F116" s="79">
        <f>E116*8000</f>
        <v>16000</v>
      </c>
      <c r="G116" s="79">
        <v>8000</v>
      </c>
      <c r="H116" s="79">
        <v>8000</v>
      </c>
    </row>
    <row r="117" spans="1:8" x14ac:dyDescent="0.25">
      <c r="C117" t="s">
        <v>24</v>
      </c>
      <c r="D117" t="s">
        <v>243</v>
      </c>
      <c r="E117">
        <v>2</v>
      </c>
      <c r="F117" s="79">
        <v>30000</v>
      </c>
      <c r="G117" s="79">
        <v>10000</v>
      </c>
      <c r="H117" s="79">
        <v>5000</v>
      </c>
    </row>
    <row r="118" spans="1:8" x14ac:dyDescent="0.25">
      <c r="A118" s="112" t="s">
        <v>17</v>
      </c>
      <c r="B118" s="112"/>
      <c r="C118" s="112"/>
      <c r="D118" s="112"/>
      <c r="E118" s="78">
        <f>SUM(E101:E117)</f>
        <v>192</v>
      </c>
      <c r="F118" s="78">
        <f t="shared" ref="F118:H118" si="8">SUM(F101:F117)</f>
        <v>950500</v>
      </c>
      <c r="G118" s="78">
        <f t="shared" si="8"/>
        <v>536000</v>
      </c>
      <c r="H118" s="78">
        <f t="shared" si="8"/>
        <v>399500</v>
      </c>
    </row>
    <row r="119" spans="1:8" x14ac:dyDescent="0.25">
      <c r="A119" t="s">
        <v>30</v>
      </c>
      <c r="B119" s="3">
        <v>45607</v>
      </c>
      <c r="C119" t="s">
        <v>104</v>
      </c>
      <c r="D119" t="s">
        <v>11</v>
      </c>
      <c r="E119">
        <v>55</v>
      </c>
      <c r="F119" s="79">
        <f>E119*1700</f>
        <v>93500</v>
      </c>
      <c r="G119" s="79">
        <f>E119*500</f>
        <v>27500</v>
      </c>
      <c r="H119" s="79">
        <f>E119*1200</f>
        <v>66000</v>
      </c>
    </row>
    <row r="120" spans="1:8" x14ac:dyDescent="0.25">
      <c r="C120" t="s">
        <v>846</v>
      </c>
      <c r="D120" t="s">
        <v>13</v>
      </c>
      <c r="E120">
        <v>7</v>
      </c>
      <c r="F120" s="79">
        <f>E120*8000</f>
        <v>56000</v>
      </c>
      <c r="G120" s="79">
        <f>E120*4500</f>
        <v>31500</v>
      </c>
      <c r="H120" s="79">
        <f>E120*3500</f>
        <v>24500</v>
      </c>
    </row>
    <row r="121" spans="1:8" x14ac:dyDescent="0.25">
      <c r="D121" t="s">
        <v>14</v>
      </c>
      <c r="E121">
        <v>1</v>
      </c>
      <c r="F121" s="79">
        <v>12000</v>
      </c>
      <c r="G121" s="79">
        <v>5500</v>
      </c>
      <c r="H121" s="79">
        <v>6500</v>
      </c>
    </row>
    <row r="122" spans="1:8" x14ac:dyDescent="0.25">
      <c r="C122" t="s">
        <v>16</v>
      </c>
      <c r="D122" t="s">
        <v>11</v>
      </c>
      <c r="E122">
        <v>38</v>
      </c>
      <c r="F122" s="79">
        <f>E122*1500</f>
        <v>57000</v>
      </c>
      <c r="G122" s="79">
        <f>E122*500</f>
        <v>19000</v>
      </c>
      <c r="H122" s="79">
        <v>38000</v>
      </c>
    </row>
    <row r="123" spans="1:8" x14ac:dyDescent="0.25">
      <c r="D123" t="s">
        <v>12</v>
      </c>
      <c r="E123">
        <v>2</v>
      </c>
      <c r="F123" s="79">
        <v>6000</v>
      </c>
      <c r="G123" s="79">
        <v>4000</v>
      </c>
      <c r="H123" s="79">
        <v>2000</v>
      </c>
    </row>
    <row r="124" spans="1:8" x14ac:dyDescent="0.25">
      <c r="D124" t="s">
        <v>13</v>
      </c>
      <c r="E124">
        <v>1</v>
      </c>
      <c r="F124" s="79">
        <v>6500</v>
      </c>
      <c r="G124" s="79">
        <v>4500</v>
      </c>
      <c r="H124" s="79">
        <v>2000</v>
      </c>
    </row>
    <row r="125" spans="1:8" x14ac:dyDescent="0.25">
      <c r="C125" t="s">
        <v>903</v>
      </c>
      <c r="D125" t="s">
        <v>13</v>
      </c>
      <c r="E125">
        <v>10</v>
      </c>
      <c r="F125" s="79"/>
      <c r="G125" s="79"/>
      <c r="H125" s="79"/>
    </row>
    <row r="126" spans="1:8" x14ac:dyDescent="0.25">
      <c r="A126" s="112" t="s">
        <v>17</v>
      </c>
      <c r="B126" s="112"/>
      <c r="C126" s="112"/>
      <c r="D126" s="112"/>
      <c r="E126" s="78">
        <f>SUM(E119:E125)</f>
        <v>114</v>
      </c>
      <c r="F126" s="78">
        <f t="shared" ref="F126:H126" si="9">SUM(F119:F125)</f>
        <v>231000</v>
      </c>
      <c r="G126" s="78">
        <f t="shared" si="9"/>
        <v>92000</v>
      </c>
      <c r="H126" s="78">
        <f t="shared" si="9"/>
        <v>139000</v>
      </c>
    </row>
    <row r="127" spans="1:8" x14ac:dyDescent="0.25">
      <c r="A127" t="s">
        <v>32</v>
      </c>
      <c r="B127" s="3">
        <v>45608</v>
      </c>
      <c r="C127" t="s">
        <v>338</v>
      </c>
      <c r="D127" t="s">
        <v>11</v>
      </c>
      <c r="E127">
        <v>59</v>
      </c>
      <c r="F127" s="79">
        <f>E127*1800</f>
        <v>106200</v>
      </c>
      <c r="G127" s="79">
        <f t="shared" ref="G127:G132" si="10">E127*500</f>
        <v>29500</v>
      </c>
      <c r="H127" s="79">
        <f>E127*1300</f>
        <v>76700</v>
      </c>
    </row>
    <row r="128" spans="1:8" x14ac:dyDescent="0.25">
      <c r="C128" t="s">
        <v>571</v>
      </c>
      <c r="D128" t="s">
        <v>11</v>
      </c>
      <c r="E128">
        <f>12+18</f>
        <v>30</v>
      </c>
      <c r="F128" s="79">
        <f>E128*1700</f>
        <v>51000</v>
      </c>
      <c r="G128" s="79">
        <f t="shared" si="10"/>
        <v>15000</v>
      </c>
      <c r="H128" s="79">
        <f>E128*1200</f>
        <v>36000</v>
      </c>
    </row>
    <row r="129" spans="1:12" x14ac:dyDescent="0.25">
      <c r="C129" t="s">
        <v>104</v>
      </c>
      <c r="D129" t="s">
        <v>11</v>
      </c>
      <c r="E129">
        <v>25</v>
      </c>
      <c r="F129" s="79">
        <f>E129*1700</f>
        <v>42500</v>
      </c>
      <c r="G129" s="79">
        <f t="shared" si="10"/>
        <v>12500</v>
      </c>
      <c r="H129" s="79">
        <f>E129*1200</f>
        <v>30000</v>
      </c>
    </row>
    <row r="130" spans="1:12" x14ac:dyDescent="0.25">
      <c r="C130" t="s">
        <v>709</v>
      </c>
      <c r="D130" t="s">
        <v>11</v>
      </c>
      <c r="E130">
        <v>10</v>
      </c>
      <c r="F130" s="79">
        <f>E130*1800</f>
        <v>18000</v>
      </c>
      <c r="G130" s="79">
        <f t="shared" si="10"/>
        <v>5000</v>
      </c>
      <c r="H130" s="79">
        <f>E130*1300</f>
        <v>13000</v>
      </c>
    </row>
    <row r="131" spans="1:12" x14ac:dyDescent="0.25">
      <c r="C131" t="s">
        <v>581</v>
      </c>
      <c r="D131" t="s">
        <v>11</v>
      </c>
      <c r="E131">
        <v>193</v>
      </c>
      <c r="F131" s="79">
        <f>E131*1500</f>
        <v>289500</v>
      </c>
      <c r="G131" s="79">
        <f t="shared" si="10"/>
        <v>96500</v>
      </c>
      <c r="H131" s="79">
        <f>E131*1000</f>
        <v>193000</v>
      </c>
    </row>
    <row r="132" spans="1:12" x14ac:dyDescent="0.25">
      <c r="C132" t="s">
        <v>16</v>
      </c>
      <c r="D132" t="s">
        <v>11</v>
      </c>
      <c r="E132">
        <v>43</v>
      </c>
      <c r="F132" s="79">
        <f>E132*1500</f>
        <v>64500</v>
      </c>
      <c r="G132" s="79">
        <f t="shared" si="10"/>
        <v>21500</v>
      </c>
      <c r="H132" s="79">
        <v>43000</v>
      </c>
    </row>
    <row r="133" spans="1:12" x14ac:dyDescent="0.25">
      <c r="D133" t="s">
        <v>12</v>
      </c>
      <c r="E133">
        <v>1</v>
      </c>
      <c r="F133" s="79">
        <v>3000</v>
      </c>
      <c r="G133" s="79">
        <v>2000</v>
      </c>
      <c r="H133" s="79">
        <v>1000</v>
      </c>
    </row>
    <row r="134" spans="1:12" x14ac:dyDescent="0.25">
      <c r="D134" t="s">
        <v>13</v>
      </c>
      <c r="E134">
        <v>2</v>
      </c>
      <c r="F134" s="79">
        <v>13000</v>
      </c>
      <c r="G134" s="79">
        <v>9000</v>
      </c>
      <c r="H134" s="79">
        <v>4000</v>
      </c>
    </row>
    <row r="135" spans="1:12" x14ac:dyDescent="0.25">
      <c r="C135" t="s">
        <v>846</v>
      </c>
      <c r="D135" t="s">
        <v>11</v>
      </c>
      <c r="E135">
        <v>3</v>
      </c>
      <c r="F135" s="79">
        <v>9000</v>
      </c>
      <c r="G135" s="79">
        <f>E135*500</f>
        <v>1500</v>
      </c>
      <c r="H135" s="79">
        <f>E135*2500</f>
        <v>7500</v>
      </c>
      <c r="J135" s="92"/>
    </row>
    <row r="136" spans="1:12" x14ac:dyDescent="0.25">
      <c r="D136" t="s">
        <v>13</v>
      </c>
      <c r="E136">
        <v>1</v>
      </c>
      <c r="F136" s="79">
        <v>8000</v>
      </c>
      <c r="G136" s="79">
        <v>4500</v>
      </c>
      <c r="H136" s="79">
        <v>3500</v>
      </c>
    </row>
    <row r="137" spans="1:12" x14ac:dyDescent="0.25">
      <c r="D137" t="s">
        <v>14</v>
      </c>
      <c r="E137">
        <v>2</v>
      </c>
      <c r="F137" s="79">
        <v>20000</v>
      </c>
      <c r="G137" s="79">
        <v>11000</v>
      </c>
      <c r="H137" s="79">
        <v>9000</v>
      </c>
    </row>
    <row r="138" spans="1:12" x14ac:dyDescent="0.25">
      <c r="D138" t="s">
        <v>404</v>
      </c>
      <c r="E138">
        <v>2</v>
      </c>
      <c r="F138" s="79">
        <v>6000</v>
      </c>
      <c r="G138" s="79">
        <v>3000</v>
      </c>
      <c r="H138" s="79">
        <v>3000</v>
      </c>
    </row>
    <row r="139" spans="1:12" x14ac:dyDescent="0.25">
      <c r="C139" t="s">
        <v>24</v>
      </c>
      <c r="D139" t="s">
        <v>243</v>
      </c>
      <c r="E139">
        <v>2</v>
      </c>
      <c r="F139" s="79">
        <v>30000</v>
      </c>
      <c r="G139" s="79">
        <v>20000</v>
      </c>
      <c r="H139" s="79">
        <v>10000</v>
      </c>
    </row>
    <row r="140" spans="1:12" x14ac:dyDescent="0.25">
      <c r="C140" t="s">
        <v>554</v>
      </c>
      <c r="D140" t="s">
        <v>243</v>
      </c>
      <c r="E140">
        <v>2</v>
      </c>
      <c r="F140" s="79"/>
      <c r="G140" s="79"/>
      <c r="H140" s="79"/>
    </row>
    <row r="141" spans="1:12" x14ac:dyDescent="0.25">
      <c r="D141" t="s">
        <v>415</v>
      </c>
      <c r="E141">
        <v>1</v>
      </c>
      <c r="F141" s="79"/>
      <c r="G141" s="79"/>
      <c r="H141" s="79"/>
    </row>
    <row r="142" spans="1:12" x14ac:dyDescent="0.25">
      <c r="A142" s="112" t="s">
        <v>17</v>
      </c>
      <c r="B142" s="112"/>
      <c r="C142" s="112"/>
      <c r="D142" s="112"/>
      <c r="E142" s="78">
        <f>SUM(E127:E141)</f>
        <v>376</v>
      </c>
      <c r="F142" s="78">
        <f t="shared" ref="F142:H142" si="11">SUM(F127:F141)</f>
        <v>660700</v>
      </c>
      <c r="G142" s="78">
        <f t="shared" si="11"/>
        <v>231000</v>
      </c>
      <c r="H142" s="78">
        <f t="shared" si="11"/>
        <v>429700</v>
      </c>
    </row>
    <row r="143" spans="1:12" x14ac:dyDescent="0.25">
      <c r="A143" t="s">
        <v>8</v>
      </c>
      <c r="B143" s="3">
        <v>45609</v>
      </c>
      <c r="C143" t="s">
        <v>338</v>
      </c>
      <c r="D143" t="s">
        <v>11</v>
      </c>
      <c r="E143">
        <v>58</v>
      </c>
      <c r="F143" s="79">
        <f>E143*1800</f>
        <v>104400</v>
      </c>
      <c r="G143" s="79">
        <f>E143*500</f>
        <v>29000</v>
      </c>
      <c r="H143" s="79">
        <f>E143*1300</f>
        <v>75400</v>
      </c>
      <c r="L143" t="s">
        <v>612</v>
      </c>
    </row>
    <row r="144" spans="1:12" x14ac:dyDescent="0.25">
      <c r="C144" t="s">
        <v>571</v>
      </c>
      <c r="D144" t="s">
        <v>11</v>
      </c>
      <c r="E144">
        <v>25</v>
      </c>
      <c r="F144" s="79">
        <f>E144*1700</f>
        <v>42500</v>
      </c>
      <c r="G144" s="79">
        <f>E144*500</f>
        <v>12500</v>
      </c>
      <c r="H144" s="79">
        <f>E144*1200</f>
        <v>30000</v>
      </c>
    </row>
    <row r="145" spans="1:12" x14ac:dyDescent="0.25">
      <c r="C145" t="s">
        <v>104</v>
      </c>
      <c r="D145" t="s">
        <v>11</v>
      </c>
      <c r="E145">
        <v>25</v>
      </c>
      <c r="F145" s="79">
        <f>E145*1700</f>
        <v>42500</v>
      </c>
      <c r="G145" s="79">
        <f>E145*500</f>
        <v>12500</v>
      </c>
      <c r="H145" s="79">
        <f>E145*1200</f>
        <v>30000</v>
      </c>
      <c r="L145" s="92"/>
    </row>
    <row r="146" spans="1:12" x14ac:dyDescent="0.25">
      <c r="C146" t="s">
        <v>16</v>
      </c>
      <c r="D146" t="s">
        <v>11</v>
      </c>
      <c r="E146">
        <v>39</v>
      </c>
      <c r="F146" s="79">
        <f>E146*1500</f>
        <v>58500</v>
      </c>
      <c r="G146" s="79">
        <f>E146*500</f>
        <v>19500</v>
      </c>
      <c r="H146" s="79">
        <f>E146*1000</f>
        <v>39000</v>
      </c>
    </row>
    <row r="147" spans="1:12" x14ac:dyDescent="0.25">
      <c r="D147" t="s">
        <v>12</v>
      </c>
      <c r="E147">
        <v>1</v>
      </c>
      <c r="F147" s="79">
        <v>3000</v>
      </c>
      <c r="G147" s="79">
        <v>2000</v>
      </c>
      <c r="H147" s="79">
        <v>1000</v>
      </c>
    </row>
    <row r="148" spans="1:12" x14ac:dyDescent="0.25">
      <c r="C148" t="s">
        <v>846</v>
      </c>
      <c r="D148" t="s">
        <v>13</v>
      </c>
      <c r="E148">
        <v>7</v>
      </c>
      <c r="F148" s="79">
        <f>E148*8000</f>
        <v>56000</v>
      </c>
      <c r="G148" s="79">
        <f>E148*4500</f>
        <v>31500</v>
      </c>
      <c r="H148" s="79">
        <f>E148*3500</f>
        <v>24500</v>
      </c>
    </row>
    <row r="149" spans="1:12" x14ac:dyDescent="0.25">
      <c r="D149" t="s">
        <v>14</v>
      </c>
      <c r="E149">
        <v>1</v>
      </c>
      <c r="F149" s="79">
        <v>12000</v>
      </c>
      <c r="G149" s="79">
        <v>5500</v>
      </c>
      <c r="H149" s="79">
        <v>6500</v>
      </c>
    </row>
    <row r="150" spans="1:12" x14ac:dyDescent="0.25">
      <c r="D150" t="s">
        <v>404</v>
      </c>
      <c r="E150">
        <v>1</v>
      </c>
      <c r="F150" s="79">
        <v>3000</v>
      </c>
      <c r="G150" s="79">
        <v>1500</v>
      </c>
      <c r="H150" s="79">
        <v>1500</v>
      </c>
    </row>
    <row r="151" spans="1:12" x14ac:dyDescent="0.25">
      <c r="D151" t="s">
        <v>902</v>
      </c>
      <c r="E151">
        <v>1</v>
      </c>
      <c r="F151" s="79">
        <v>8000</v>
      </c>
      <c r="G151" s="79">
        <v>4000</v>
      </c>
      <c r="H151" s="79">
        <v>4000</v>
      </c>
    </row>
    <row r="152" spans="1:12" x14ac:dyDescent="0.25">
      <c r="A152" s="112" t="s">
        <v>17</v>
      </c>
      <c r="B152" s="112"/>
      <c r="C152" s="112"/>
      <c r="D152" s="112"/>
      <c r="E152" s="78">
        <f>SUM(E143:E151)</f>
        <v>158</v>
      </c>
      <c r="F152" s="78">
        <f t="shared" ref="F152:H152" si="12">SUM(F143:F151)</f>
        <v>329900</v>
      </c>
      <c r="G152" s="78">
        <f t="shared" si="12"/>
        <v>118000</v>
      </c>
      <c r="H152" s="78">
        <f t="shared" si="12"/>
        <v>211900</v>
      </c>
    </row>
    <row r="153" spans="1:12" x14ac:dyDescent="0.25">
      <c r="A153" t="s">
        <v>18</v>
      </c>
      <c r="B153" s="3">
        <v>45610</v>
      </c>
      <c r="C153" t="s">
        <v>338</v>
      </c>
      <c r="D153" t="s">
        <v>11</v>
      </c>
      <c r="E153">
        <v>58</v>
      </c>
      <c r="F153" s="79">
        <f>E153*1800</f>
        <v>104400</v>
      </c>
      <c r="G153" s="79">
        <f>E153*500</f>
        <v>29000</v>
      </c>
      <c r="H153" s="79">
        <f>E153*1300</f>
        <v>75400</v>
      </c>
    </row>
    <row r="154" spans="1:12" x14ac:dyDescent="0.25">
      <c r="C154" t="s">
        <v>571</v>
      </c>
      <c r="D154" t="s">
        <v>11</v>
      </c>
      <c r="E154">
        <v>25</v>
      </c>
      <c r="F154" s="79">
        <f>E154*1700</f>
        <v>42500</v>
      </c>
      <c r="G154" s="79">
        <f>E154*500</f>
        <v>12500</v>
      </c>
      <c r="H154" s="79">
        <f>E154*1200</f>
        <v>30000</v>
      </c>
    </row>
    <row r="155" spans="1:12" x14ac:dyDescent="0.25">
      <c r="C155" t="s">
        <v>104</v>
      </c>
      <c r="D155" t="s">
        <v>11</v>
      </c>
      <c r="E155">
        <v>30</v>
      </c>
      <c r="F155" s="79">
        <f>E155*1700</f>
        <v>51000</v>
      </c>
      <c r="G155" s="79">
        <f>E155*500</f>
        <v>15000</v>
      </c>
      <c r="H155" s="79">
        <f>E155*1200</f>
        <v>36000</v>
      </c>
    </row>
    <row r="156" spans="1:12" x14ac:dyDescent="0.25">
      <c r="C156" t="s">
        <v>16</v>
      </c>
      <c r="D156" t="s">
        <v>11</v>
      </c>
      <c r="E156">
        <v>33</v>
      </c>
      <c r="F156" s="79">
        <f>E156*1500</f>
        <v>49500</v>
      </c>
      <c r="G156" s="79">
        <f>E156*500</f>
        <v>16500</v>
      </c>
      <c r="H156" s="79">
        <f>E156*1000</f>
        <v>33000</v>
      </c>
    </row>
    <row r="157" spans="1:12" x14ac:dyDescent="0.25">
      <c r="D157" t="s">
        <v>879</v>
      </c>
      <c r="E157">
        <v>23</v>
      </c>
      <c r="F157" s="79">
        <f>E157*2250</f>
        <v>51750</v>
      </c>
      <c r="G157" s="79">
        <f>E157*1250</f>
        <v>28750</v>
      </c>
      <c r="H157" s="79">
        <f>E157*1000</f>
        <v>23000</v>
      </c>
    </row>
    <row r="158" spans="1:12" x14ac:dyDescent="0.25">
      <c r="D158" t="s">
        <v>12</v>
      </c>
      <c r="E158">
        <v>1</v>
      </c>
      <c r="F158" s="79">
        <v>3000</v>
      </c>
      <c r="G158" s="79">
        <v>2000</v>
      </c>
      <c r="H158" s="79">
        <v>1000</v>
      </c>
    </row>
    <row r="159" spans="1:12" x14ac:dyDescent="0.25">
      <c r="D159" t="s">
        <v>14</v>
      </c>
      <c r="E159">
        <v>1</v>
      </c>
      <c r="F159" s="79">
        <v>10000</v>
      </c>
      <c r="G159" s="79">
        <v>5500</v>
      </c>
      <c r="H159" s="79">
        <v>4500</v>
      </c>
    </row>
    <row r="160" spans="1:12" x14ac:dyDescent="0.25">
      <c r="C160" t="s">
        <v>846</v>
      </c>
      <c r="D160" t="s">
        <v>11</v>
      </c>
      <c r="E160">
        <v>1</v>
      </c>
      <c r="F160" s="79">
        <v>3000</v>
      </c>
      <c r="G160" s="79">
        <v>500</v>
      </c>
      <c r="H160" s="79">
        <v>2500</v>
      </c>
    </row>
    <row r="161" spans="1:11" x14ac:dyDescent="0.25">
      <c r="D161" t="s">
        <v>13</v>
      </c>
      <c r="E161">
        <v>5</v>
      </c>
      <c r="F161" s="79">
        <f>E161*8000</f>
        <v>40000</v>
      </c>
      <c r="G161" s="79">
        <f>E161*4500</f>
        <v>22500</v>
      </c>
      <c r="H161" s="79">
        <f>E161*3500</f>
        <v>17500</v>
      </c>
    </row>
    <row r="162" spans="1:11" x14ac:dyDescent="0.25">
      <c r="D162" t="s">
        <v>14</v>
      </c>
      <c r="E162">
        <v>2</v>
      </c>
      <c r="F162" s="79">
        <v>24000</v>
      </c>
      <c r="G162" s="79">
        <f>E162*5500</f>
        <v>11000</v>
      </c>
      <c r="H162" s="79">
        <f>E162*6500</f>
        <v>13000</v>
      </c>
    </row>
    <row r="163" spans="1:11" x14ac:dyDescent="0.25">
      <c r="D163" t="s">
        <v>404</v>
      </c>
      <c r="E163">
        <v>4</v>
      </c>
      <c r="F163" s="79">
        <v>12000</v>
      </c>
      <c r="G163" s="79">
        <v>6000</v>
      </c>
      <c r="H163" s="79">
        <v>6000</v>
      </c>
    </row>
    <row r="164" spans="1:11" x14ac:dyDescent="0.25">
      <c r="D164" t="s">
        <v>902</v>
      </c>
      <c r="E164">
        <v>3</v>
      </c>
      <c r="F164" s="79">
        <v>24000</v>
      </c>
      <c r="G164" s="79">
        <v>12000</v>
      </c>
      <c r="H164" s="79">
        <v>12000</v>
      </c>
    </row>
    <row r="165" spans="1:11" x14ac:dyDescent="0.25">
      <c r="D165" t="s">
        <v>420</v>
      </c>
      <c r="E165">
        <v>2</v>
      </c>
      <c r="F165" s="79">
        <v>10000</v>
      </c>
      <c r="G165" s="79">
        <v>5000</v>
      </c>
      <c r="H165" s="79">
        <v>5000</v>
      </c>
    </row>
    <row r="166" spans="1:11" x14ac:dyDescent="0.25">
      <c r="C166" t="s">
        <v>903</v>
      </c>
      <c r="D166" t="s">
        <v>13</v>
      </c>
      <c r="E166">
        <v>7</v>
      </c>
    </row>
    <row r="167" spans="1:11" x14ac:dyDescent="0.25">
      <c r="A167" s="112" t="s">
        <v>17</v>
      </c>
      <c r="B167" s="112"/>
      <c r="C167" s="112"/>
      <c r="D167" s="112"/>
      <c r="E167" s="78">
        <f>SUM(E153:E166)</f>
        <v>195</v>
      </c>
      <c r="F167" s="78">
        <f t="shared" ref="F167:H167" si="13">SUM(F153:F166)</f>
        <v>425150</v>
      </c>
      <c r="G167" s="78">
        <f t="shared" si="13"/>
        <v>166250</v>
      </c>
      <c r="H167" s="78">
        <f t="shared" si="13"/>
        <v>258900</v>
      </c>
    </row>
    <row r="168" spans="1:11" x14ac:dyDescent="0.25">
      <c r="A168" t="s">
        <v>22</v>
      </c>
      <c r="B168" s="3">
        <v>45611</v>
      </c>
      <c r="C168" t="s">
        <v>338</v>
      </c>
      <c r="D168" t="s">
        <v>11</v>
      </c>
      <c r="E168">
        <v>58</v>
      </c>
      <c r="F168" s="79">
        <f>E168*1800</f>
        <v>104400</v>
      </c>
      <c r="G168" s="79">
        <f>E168*500</f>
        <v>29000</v>
      </c>
      <c r="H168" s="79">
        <v>58000</v>
      </c>
    </row>
    <row r="169" spans="1:11" x14ac:dyDescent="0.25">
      <c r="C169" t="s">
        <v>571</v>
      </c>
      <c r="D169" t="s">
        <v>11</v>
      </c>
      <c r="E169">
        <v>30</v>
      </c>
      <c r="F169" s="79">
        <f>E169*1700</f>
        <v>51000</v>
      </c>
      <c r="G169" s="79">
        <f>E169*500</f>
        <v>15000</v>
      </c>
      <c r="H169" s="79">
        <f>E169*1200</f>
        <v>36000</v>
      </c>
    </row>
    <row r="170" spans="1:11" x14ac:dyDescent="0.25">
      <c r="C170" t="s">
        <v>24</v>
      </c>
      <c r="D170" t="s">
        <v>243</v>
      </c>
      <c r="E170">
        <v>7</v>
      </c>
      <c r="F170" s="79">
        <f>E170*15000</f>
        <v>105000</v>
      </c>
      <c r="G170" s="79">
        <f>E170*10000</f>
        <v>70000</v>
      </c>
      <c r="H170" s="79">
        <f>E170*5000</f>
        <v>35000</v>
      </c>
    </row>
    <row r="171" spans="1:11" x14ac:dyDescent="0.25">
      <c r="D171" t="s">
        <v>13</v>
      </c>
      <c r="E171">
        <v>1</v>
      </c>
      <c r="F171" s="79">
        <v>8000</v>
      </c>
      <c r="G171" s="79">
        <v>4500</v>
      </c>
      <c r="H171" s="79">
        <v>3500</v>
      </c>
    </row>
    <row r="172" spans="1:11" x14ac:dyDescent="0.25">
      <c r="C172" t="s">
        <v>16</v>
      </c>
      <c r="D172" t="s">
        <v>11</v>
      </c>
      <c r="E172">
        <v>54</v>
      </c>
      <c r="F172" s="79">
        <f>E172*1500</f>
        <v>81000</v>
      </c>
      <c r="G172" s="79">
        <f>E172*500</f>
        <v>27000</v>
      </c>
      <c r="H172" s="79">
        <v>54000</v>
      </c>
    </row>
    <row r="173" spans="1:11" x14ac:dyDescent="0.25">
      <c r="D173" t="s">
        <v>12</v>
      </c>
      <c r="E173">
        <v>2</v>
      </c>
      <c r="F173" s="79">
        <v>6000</v>
      </c>
      <c r="G173" s="79">
        <v>4000</v>
      </c>
      <c r="H173" s="79">
        <v>2000</v>
      </c>
    </row>
    <row r="174" spans="1:11" x14ac:dyDescent="0.25">
      <c r="D174" t="s">
        <v>13</v>
      </c>
      <c r="E174">
        <v>1</v>
      </c>
      <c r="F174" s="79">
        <v>6500</v>
      </c>
      <c r="G174" s="79">
        <v>4500</v>
      </c>
      <c r="H174" s="79">
        <v>2000</v>
      </c>
    </row>
    <row r="175" spans="1:11" x14ac:dyDescent="0.25">
      <c r="C175" t="s">
        <v>846</v>
      </c>
      <c r="D175" t="s">
        <v>13</v>
      </c>
      <c r="E175">
        <v>2</v>
      </c>
      <c r="F175" s="79">
        <f>E175*8000</f>
        <v>16000</v>
      </c>
      <c r="G175" s="79">
        <f>E175*4500</f>
        <v>9000</v>
      </c>
      <c r="H175" s="79">
        <f>E175*3500</f>
        <v>7000</v>
      </c>
    </row>
    <row r="176" spans="1:11" x14ac:dyDescent="0.25">
      <c r="D176" t="s">
        <v>243</v>
      </c>
      <c r="E176">
        <v>1</v>
      </c>
      <c r="F176" s="79">
        <v>17000</v>
      </c>
      <c r="G176" s="79">
        <v>10000</v>
      </c>
      <c r="H176" s="79">
        <v>7000</v>
      </c>
      <c r="K176" s="92">
        <f>E19+E40+E50+E65+E69+E70+E81+E98+E104+E117+E139+E140+E170+E176+E189+E196+E205+E216+E227+E234+E245+E268+E277+E283+E291+E295+E301+E309+E316+E325</f>
        <v>89</v>
      </c>
    </row>
    <row r="177" spans="1:12" x14ac:dyDescent="0.25">
      <c r="D177" t="s">
        <v>404</v>
      </c>
      <c r="E177">
        <v>2</v>
      </c>
      <c r="F177" s="79">
        <v>6000</v>
      </c>
      <c r="G177" s="79">
        <v>3000</v>
      </c>
      <c r="H177" s="79">
        <v>3000</v>
      </c>
    </row>
    <row r="178" spans="1:12" x14ac:dyDescent="0.25">
      <c r="D178" t="s">
        <v>902</v>
      </c>
      <c r="E178">
        <v>3</v>
      </c>
      <c r="F178" s="79">
        <v>24000</v>
      </c>
      <c r="G178" s="79">
        <v>12000</v>
      </c>
      <c r="H178" s="79">
        <v>12000</v>
      </c>
    </row>
    <row r="179" spans="1:12" x14ac:dyDescent="0.25">
      <c r="A179" s="112" t="s">
        <v>17</v>
      </c>
      <c r="B179" s="112"/>
      <c r="C179" s="112"/>
      <c r="D179" s="112"/>
      <c r="E179" s="78">
        <f>SUM(E168:E178)</f>
        <v>161</v>
      </c>
      <c r="F179" s="78">
        <f t="shared" ref="F179:H179" si="14">SUM(F168:F178)</f>
        <v>424900</v>
      </c>
      <c r="G179" s="78">
        <f t="shared" si="14"/>
        <v>188000</v>
      </c>
      <c r="H179" s="78">
        <f t="shared" si="14"/>
        <v>219500</v>
      </c>
    </row>
    <row r="180" spans="1:12" x14ac:dyDescent="0.25">
      <c r="A180" s="94" t="s">
        <v>26</v>
      </c>
      <c r="B180" s="95">
        <v>45612</v>
      </c>
      <c r="C180" s="94" t="s">
        <v>338</v>
      </c>
      <c r="D180" s="94" t="s">
        <v>11</v>
      </c>
      <c r="E180" s="96">
        <v>60</v>
      </c>
      <c r="F180" s="96">
        <f>E180*1800</f>
        <v>108000</v>
      </c>
      <c r="G180" s="96">
        <f>E180*500</f>
        <v>30000</v>
      </c>
      <c r="H180" s="96">
        <f>E180*1300</f>
        <v>78000</v>
      </c>
    </row>
    <row r="181" spans="1:12" x14ac:dyDescent="0.25">
      <c r="A181" s="94"/>
      <c r="B181" s="94"/>
      <c r="C181" s="94" t="s">
        <v>104</v>
      </c>
      <c r="D181" s="94" t="s">
        <v>11</v>
      </c>
      <c r="E181" s="96">
        <f>33+35</f>
        <v>68</v>
      </c>
      <c r="F181" s="96">
        <f>E181*1700</f>
        <v>115600</v>
      </c>
      <c r="G181" s="96">
        <f>E181*500</f>
        <v>34000</v>
      </c>
      <c r="H181" s="96">
        <f>E181*1200</f>
        <v>81600</v>
      </c>
    </row>
    <row r="182" spans="1:12" x14ac:dyDescent="0.25">
      <c r="A182" s="94"/>
      <c r="B182" s="94"/>
      <c r="C182" s="94" t="s">
        <v>16</v>
      </c>
      <c r="D182" s="94" t="s">
        <v>11</v>
      </c>
      <c r="E182" s="96">
        <v>35</v>
      </c>
      <c r="F182" s="96">
        <f>E182*1500</f>
        <v>52500</v>
      </c>
      <c r="G182" s="96">
        <f>E182*500</f>
        <v>17500</v>
      </c>
      <c r="H182" s="96">
        <v>35000</v>
      </c>
    </row>
    <row r="183" spans="1:12" x14ac:dyDescent="0.25">
      <c r="A183" s="94"/>
      <c r="B183" s="94"/>
      <c r="C183" s="94"/>
      <c r="D183" s="94" t="s">
        <v>12</v>
      </c>
      <c r="E183" s="96">
        <v>1</v>
      </c>
      <c r="F183" s="96">
        <v>3000</v>
      </c>
      <c r="G183" s="96">
        <v>2000</v>
      </c>
      <c r="H183" s="96">
        <v>1000</v>
      </c>
    </row>
    <row r="184" spans="1:12" x14ac:dyDescent="0.25">
      <c r="A184" s="94"/>
      <c r="B184" s="94"/>
      <c r="C184" s="94" t="s">
        <v>20</v>
      </c>
      <c r="D184" s="94" t="s">
        <v>11</v>
      </c>
      <c r="E184" s="96">
        <v>6</v>
      </c>
      <c r="F184" s="96">
        <f>E184*3000</f>
        <v>18000</v>
      </c>
      <c r="G184" s="96">
        <f>E184*500</f>
        <v>3000</v>
      </c>
      <c r="H184" s="96">
        <f>E184*2500</f>
        <v>15000</v>
      </c>
    </row>
    <row r="185" spans="1:12" x14ac:dyDescent="0.25">
      <c r="A185" s="94"/>
      <c r="B185" s="94"/>
      <c r="C185" s="94"/>
      <c r="D185" s="94" t="s">
        <v>13</v>
      </c>
      <c r="E185" s="96">
        <v>12</v>
      </c>
      <c r="F185" s="96">
        <f>E185*8000</f>
        <v>96000</v>
      </c>
      <c r="G185" s="96">
        <f>E185*4500</f>
        <v>54000</v>
      </c>
      <c r="H185" s="96">
        <f>E185*3500</f>
        <v>42000</v>
      </c>
    </row>
    <row r="186" spans="1:12" x14ac:dyDescent="0.25">
      <c r="A186" s="94"/>
      <c r="B186" s="94"/>
      <c r="C186" s="94"/>
      <c r="D186" s="94" t="s">
        <v>14</v>
      </c>
      <c r="E186" s="96">
        <v>5</v>
      </c>
      <c r="F186" s="96">
        <f>E186*12000</f>
        <v>60000</v>
      </c>
      <c r="G186" s="96">
        <f>E186*5500</f>
        <v>27500</v>
      </c>
      <c r="H186" s="96">
        <f>E186*6500</f>
        <v>32500</v>
      </c>
    </row>
    <row r="187" spans="1:12" x14ac:dyDescent="0.25">
      <c r="A187" s="94"/>
      <c r="B187" s="94"/>
      <c r="C187" s="94"/>
      <c r="D187" s="94" t="s">
        <v>902</v>
      </c>
      <c r="E187" s="96">
        <v>3</v>
      </c>
      <c r="F187" s="96">
        <f>E187*8000</f>
        <v>24000</v>
      </c>
      <c r="G187" s="96">
        <v>12000</v>
      </c>
      <c r="H187" s="96">
        <v>12000</v>
      </c>
      <c r="L187" s="92"/>
    </row>
    <row r="188" spans="1:12" x14ac:dyDescent="0.25">
      <c r="A188" s="94"/>
      <c r="B188" s="94"/>
      <c r="C188" s="94"/>
      <c r="D188" s="94" t="s">
        <v>404</v>
      </c>
      <c r="E188" s="96">
        <v>4</v>
      </c>
      <c r="F188" s="96">
        <v>12000</v>
      </c>
      <c r="G188" s="96">
        <v>6000</v>
      </c>
      <c r="H188" s="96">
        <v>6000</v>
      </c>
    </row>
    <row r="189" spans="1:12" x14ac:dyDescent="0.25">
      <c r="A189" s="94"/>
      <c r="B189" s="94"/>
      <c r="C189" s="94" t="s">
        <v>24</v>
      </c>
      <c r="D189" s="94" t="s">
        <v>243</v>
      </c>
      <c r="E189" s="96">
        <v>2</v>
      </c>
      <c r="F189" s="96">
        <v>30000</v>
      </c>
      <c r="G189" s="96">
        <v>20000</v>
      </c>
      <c r="H189" s="96">
        <v>10000</v>
      </c>
    </row>
    <row r="190" spans="1:12" x14ac:dyDescent="0.25">
      <c r="A190" s="94"/>
      <c r="B190" s="94"/>
      <c r="C190" s="94" t="s">
        <v>554</v>
      </c>
      <c r="D190" s="94" t="s">
        <v>13</v>
      </c>
      <c r="E190" s="96">
        <v>3</v>
      </c>
      <c r="F190" s="96"/>
      <c r="G190" s="96"/>
      <c r="H190" s="96"/>
    </row>
    <row r="191" spans="1:12" x14ac:dyDescent="0.25">
      <c r="A191" s="94"/>
      <c r="B191" s="94"/>
      <c r="C191" s="94"/>
      <c r="D191" s="94" t="s">
        <v>11</v>
      </c>
      <c r="E191" s="96">
        <v>4</v>
      </c>
      <c r="F191" s="96"/>
      <c r="G191" s="96"/>
      <c r="H191" s="96"/>
    </row>
    <row r="192" spans="1:12" x14ac:dyDescent="0.25">
      <c r="A192" s="112" t="s">
        <v>17</v>
      </c>
      <c r="B192" s="112"/>
      <c r="C192" s="112"/>
      <c r="D192" s="112"/>
      <c r="E192" s="78">
        <f>SUM(E180:E191)</f>
        <v>203</v>
      </c>
      <c r="F192" s="78">
        <f t="shared" ref="F192:H192" si="15">SUM(F180:F191)</f>
        <v>519100</v>
      </c>
      <c r="G192" s="78">
        <f t="shared" si="15"/>
        <v>206000</v>
      </c>
      <c r="H192" s="78">
        <f t="shared" si="15"/>
        <v>313100</v>
      </c>
    </row>
    <row r="193" spans="1:13" x14ac:dyDescent="0.25">
      <c r="A193" t="s">
        <v>28</v>
      </c>
      <c r="B193" s="3">
        <v>45613</v>
      </c>
      <c r="C193" t="s">
        <v>693</v>
      </c>
      <c r="D193" t="s">
        <v>11</v>
      </c>
      <c r="E193">
        <v>14</v>
      </c>
      <c r="F193" s="79">
        <f>E193*2000</f>
        <v>28000</v>
      </c>
      <c r="G193" s="79">
        <f>E193*500</f>
        <v>7000</v>
      </c>
      <c r="H193" s="79">
        <f>E193*1500</f>
        <v>21000</v>
      </c>
    </row>
    <row r="194" spans="1:13" x14ac:dyDescent="0.25">
      <c r="D194" t="s">
        <v>13</v>
      </c>
      <c r="E194">
        <v>45</v>
      </c>
      <c r="F194" s="79">
        <f>E194*7000</f>
        <v>315000</v>
      </c>
      <c r="G194" s="79">
        <f>E194*4500</f>
        <v>202500</v>
      </c>
      <c r="H194" s="79">
        <f>E194*3500</f>
        <v>157500</v>
      </c>
    </row>
    <row r="195" spans="1:13" x14ac:dyDescent="0.25">
      <c r="D195" t="s">
        <v>14</v>
      </c>
      <c r="E195">
        <v>16</v>
      </c>
      <c r="F195" s="79">
        <f>E195*10000</f>
        <v>160000</v>
      </c>
      <c r="G195" s="79">
        <f>E195*5500</f>
        <v>88000</v>
      </c>
      <c r="H195" s="79">
        <f>E195*4500</f>
        <v>72000</v>
      </c>
    </row>
    <row r="196" spans="1:13" x14ac:dyDescent="0.25">
      <c r="D196" t="s">
        <v>243</v>
      </c>
      <c r="E196">
        <v>2</v>
      </c>
      <c r="F196" s="79">
        <v>30000</v>
      </c>
      <c r="G196" s="79">
        <v>20000</v>
      </c>
      <c r="H196" s="79">
        <v>10000</v>
      </c>
    </row>
    <row r="197" spans="1:13" x14ac:dyDescent="0.25">
      <c r="C197" t="s">
        <v>217</v>
      </c>
      <c r="D197" t="s">
        <v>11</v>
      </c>
      <c r="E197">
        <f>12+15</f>
        <v>27</v>
      </c>
      <c r="F197" s="79">
        <f>E197*1500</f>
        <v>40500</v>
      </c>
      <c r="G197" s="79">
        <f>E197*500</f>
        <v>13500</v>
      </c>
      <c r="H197" s="79">
        <v>27000</v>
      </c>
    </row>
    <row r="198" spans="1:13" x14ac:dyDescent="0.25">
      <c r="D198" t="s">
        <v>13</v>
      </c>
      <c r="E198">
        <f>20+18</f>
        <v>38</v>
      </c>
      <c r="F198" s="79">
        <f>E198*6500</f>
        <v>247000</v>
      </c>
      <c r="G198" s="79">
        <f>E198*4500</f>
        <v>171000</v>
      </c>
      <c r="H198" s="79">
        <f>E198*2000</f>
        <v>76000</v>
      </c>
    </row>
    <row r="199" spans="1:13" x14ac:dyDescent="0.25">
      <c r="D199" t="s">
        <v>14</v>
      </c>
      <c r="E199">
        <f>10+18</f>
        <v>28</v>
      </c>
      <c r="F199" s="79">
        <f>E199*10000</f>
        <v>280000</v>
      </c>
      <c r="G199" s="79">
        <f>E199*5500</f>
        <v>154000</v>
      </c>
      <c r="H199" s="79">
        <f>E199*4500</f>
        <v>126000</v>
      </c>
    </row>
    <row r="200" spans="1:13" x14ac:dyDescent="0.25">
      <c r="D200" t="s">
        <v>404</v>
      </c>
      <c r="E200">
        <v>7</v>
      </c>
      <c r="F200" s="79">
        <v>14000</v>
      </c>
      <c r="G200" s="79">
        <v>7000</v>
      </c>
      <c r="H200" s="79">
        <v>7000</v>
      </c>
    </row>
    <row r="201" spans="1:13" x14ac:dyDescent="0.25">
      <c r="D201" t="s">
        <v>415</v>
      </c>
      <c r="E201">
        <v>1</v>
      </c>
      <c r="F201" s="79">
        <v>5000</v>
      </c>
      <c r="G201" s="79">
        <v>2500</v>
      </c>
      <c r="H201" s="79">
        <v>2500</v>
      </c>
      <c r="M201" s="92"/>
    </row>
    <row r="202" spans="1:13" x14ac:dyDescent="0.25">
      <c r="C202" t="s">
        <v>846</v>
      </c>
      <c r="D202" t="s">
        <v>11</v>
      </c>
      <c r="E202">
        <v>4</v>
      </c>
      <c r="F202" s="79">
        <f>E202*3000</f>
        <v>12000</v>
      </c>
      <c r="G202" s="79">
        <f>E202*500</f>
        <v>2000</v>
      </c>
      <c r="H202" s="79">
        <f>E202*2500</f>
        <v>10000</v>
      </c>
    </row>
    <row r="203" spans="1:13" x14ac:dyDescent="0.25">
      <c r="D203" t="s">
        <v>13</v>
      </c>
      <c r="E203">
        <v>4</v>
      </c>
      <c r="F203" s="79">
        <f>E203*8000</f>
        <v>32000</v>
      </c>
      <c r="G203" s="79">
        <f>E203*4500</f>
        <v>18000</v>
      </c>
      <c r="H203" s="79">
        <f>E203*3500</f>
        <v>14000</v>
      </c>
    </row>
    <row r="204" spans="1:13" x14ac:dyDescent="0.25">
      <c r="D204" t="s">
        <v>14</v>
      </c>
      <c r="E204">
        <v>1</v>
      </c>
      <c r="F204" s="79">
        <v>12000</v>
      </c>
      <c r="G204" s="79">
        <v>5500</v>
      </c>
      <c r="H204" s="79">
        <v>6500</v>
      </c>
    </row>
    <row r="205" spans="1:13" x14ac:dyDescent="0.25">
      <c r="D205" t="s">
        <v>243</v>
      </c>
      <c r="E205">
        <v>1</v>
      </c>
      <c r="F205" s="79">
        <v>17000</v>
      </c>
      <c r="G205" s="79">
        <v>10000</v>
      </c>
      <c r="H205" s="79">
        <v>7000</v>
      </c>
    </row>
    <row r="206" spans="1:13" x14ac:dyDescent="0.25">
      <c r="D206" t="s">
        <v>404</v>
      </c>
      <c r="E206">
        <v>1</v>
      </c>
      <c r="F206" s="79">
        <v>3000</v>
      </c>
      <c r="G206" s="79">
        <v>1500</v>
      </c>
      <c r="H206" s="79">
        <v>1500</v>
      </c>
    </row>
    <row r="207" spans="1:13" x14ac:dyDescent="0.25">
      <c r="D207" t="s">
        <v>902</v>
      </c>
      <c r="E207">
        <v>3</v>
      </c>
      <c r="F207" s="79">
        <v>24000</v>
      </c>
      <c r="G207" s="79">
        <v>12000</v>
      </c>
      <c r="H207" s="79">
        <v>12000</v>
      </c>
    </row>
    <row r="208" spans="1:13" x14ac:dyDescent="0.25">
      <c r="A208" s="112" t="s">
        <v>17</v>
      </c>
      <c r="B208" s="112"/>
      <c r="C208" s="112"/>
      <c r="D208" s="112"/>
      <c r="E208" s="78">
        <f>SUM(E193:E207)</f>
        <v>192</v>
      </c>
      <c r="F208" s="78">
        <f>SUM(F193:F207)</f>
        <v>1219500</v>
      </c>
      <c r="G208" s="78">
        <f t="shared" ref="G208:H208" si="16">SUM(G193:G207)</f>
        <v>714500</v>
      </c>
      <c r="H208" s="78">
        <f t="shared" si="16"/>
        <v>550000</v>
      </c>
    </row>
    <row r="209" spans="1:8" x14ac:dyDescent="0.25">
      <c r="A209" t="s">
        <v>30</v>
      </c>
      <c r="B209" s="3">
        <v>45614</v>
      </c>
      <c r="C209" t="s">
        <v>338</v>
      </c>
      <c r="D209" t="s">
        <v>11</v>
      </c>
      <c r="E209">
        <v>60</v>
      </c>
      <c r="F209" s="79">
        <f>E209*1800</f>
        <v>108000</v>
      </c>
      <c r="G209" s="79">
        <f>E209*500</f>
        <v>30000</v>
      </c>
      <c r="H209" s="79">
        <f>E209*1300</f>
        <v>78000</v>
      </c>
    </row>
    <row r="210" spans="1:8" x14ac:dyDescent="0.25">
      <c r="C210" t="s">
        <v>104</v>
      </c>
      <c r="D210" t="s">
        <v>11</v>
      </c>
      <c r="E210">
        <v>35</v>
      </c>
      <c r="F210" s="79">
        <f>E210*1700</f>
        <v>59500</v>
      </c>
      <c r="G210" s="79">
        <f>E210*500</f>
        <v>17500</v>
      </c>
      <c r="H210" s="79">
        <f>E210*1200</f>
        <v>42000</v>
      </c>
    </row>
    <row r="211" spans="1:8" x14ac:dyDescent="0.25">
      <c r="C211" t="s">
        <v>904</v>
      </c>
      <c r="D211" t="s">
        <v>13</v>
      </c>
      <c r="E211">
        <v>4</v>
      </c>
      <c r="F211" s="79">
        <f>E211*8000</f>
        <v>32000</v>
      </c>
      <c r="G211" s="79">
        <f>E211*4500</f>
        <v>18000</v>
      </c>
      <c r="H211" s="79">
        <f>E211*3500</f>
        <v>14000</v>
      </c>
    </row>
    <row r="212" spans="1:8" x14ac:dyDescent="0.25">
      <c r="D212" t="s">
        <v>14</v>
      </c>
      <c r="E212">
        <v>2</v>
      </c>
      <c r="F212" s="79">
        <v>20000</v>
      </c>
      <c r="G212" s="79">
        <v>11000</v>
      </c>
      <c r="H212" s="79">
        <v>9000</v>
      </c>
    </row>
    <row r="213" spans="1:8" x14ac:dyDescent="0.25">
      <c r="C213" t="s">
        <v>846</v>
      </c>
      <c r="D213" t="s">
        <v>13</v>
      </c>
      <c r="E213">
        <v>7</v>
      </c>
      <c r="F213" s="79">
        <f>E213*8000</f>
        <v>56000</v>
      </c>
      <c r="G213" s="79">
        <f>E213*4500</f>
        <v>31500</v>
      </c>
      <c r="H213" s="79">
        <f>E213*3500</f>
        <v>24500</v>
      </c>
    </row>
    <row r="214" spans="1:8" x14ac:dyDescent="0.25">
      <c r="D214" t="s">
        <v>14</v>
      </c>
      <c r="E214">
        <v>2</v>
      </c>
      <c r="F214" s="79">
        <f>E214*10000</f>
        <v>20000</v>
      </c>
      <c r="G214" s="79">
        <f>E214*5500</f>
        <v>11000</v>
      </c>
      <c r="H214" s="79">
        <f>E214*4500</f>
        <v>9000</v>
      </c>
    </row>
    <row r="215" spans="1:8" x14ac:dyDescent="0.25">
      <c r="D215" t="s">
        <v>902</v>
      </c>
      <c r="E215">
        <v>2</v>
      </c>
      <c r="F215" s="79">
        <v>16000</v>
      </c>
      <c r="G215" s="79">
        <v>8000</v>
      </c>
      <c r="H215" s="79">
        <v>8000</v>
      </c>
    </row>
    <row r="216" spans="1:8" x14ac:dyDescent="0.25">
      <c r="C216" t="s">
        <v>554</v>
      </c>
      <c r="D216" t="s">
        <v>243</v>
      </c>
      <c r="E216">
        <v>2</v>
      </c>
      <c r="F216" s="79"/>
      <c r="G216" s="79"/>
      <c r="H216" s="79"/>
    </row>
    <row r="217" spans="1:8" x14ac:dyDescent="0.25">
      <c r="A217" s="112" t="s">
        <v>17</v>
      </c>
      <c r="B217" s="112"/>
      <c r="C217" s="112"/>
      <c r="D217" s="112"/>
      <c r="E217" s="78">
        <f>SUM(E209:E216)</f>
        <v>114</v>
      </c>
      <c r="F217" s="78">
        <f t="shared" ref="F217:H217" si="17">SUM(F209:F216)</f>
        <v>311500</v>
      </c>
      <c r="G217" s="78">
        <f t="shared" si="17"/>
        <v>127000</v>
      </c>
      <c r="H217" s="78">
        <f t="shared" si="17"/>
        <v>184500</v>
      </c>
    </row>
    <row r="218" spans="1:8" x14ac:dyDescent="0.25">
      <c r="A218" t="s">
        <v>32</v>
      </c>
      <c r="B218" s="3">
        <v>45615</v>
      </c>
      <c r="C218" t="s">
        <v>338</v>
      </c>
      <c r="D218" t="s">
        <v>11</v>
      </c>
      <c r="E218">
        <v>60</v>
      </c>
      <c r="F218" s="79">
        <f>E218*1800</f>
        <v>108000</v>
      </c>
      <c r="G218" s="79">
        <f>E218*500</f>
        <v>30000</v>
      </c>
      <c r="H218" s="79">
        <f>E218*1300</f>
        <v>78000</v>
      </c>
    </row>
    <row r="219" spans="1:8" x14ac:dyDescent="0.25">
      <c r="C219" t="s">
        <v>571</v>
      </c>
      <c r="D219" t="s">
        <v>11</v>
      </c>
      <c r="E219">
        <v>35</v>
      </c>
      <c r="F219" s="79">
        <f>E219*1700</f>
        <v>59500</v>
      </c>
      <c r="G219" s="79">
        <f>E219*500</f>
        <v>17500</v>
      </c>
      <c r="H219" s="79">
        <f>E219*1200</f>
        <v>42000</v>
      </c>
    </row>
    <row r="220" spans="1:8" x14ac:dyDescent="0.25">
      <c r="C220" t="s">
        <v>572</v>
      </c>
      <c r="D220" t="s">
        <v>11</v>
      </c>
      <c r="E220">
        <v>82</v>
      </c>
      <c r="F220" s="79">
        <f>E220*1700</f>
        <v>139400</v>
      </c>
      <c r="G220" s="79">
        <f>E220*500</f>
        <v>41000</v>
      </c>
      <c r="H220" s="79">
        <f>E220*1200</f>
        <v>98400</v>
      </c>
    </row>
    <row r="221" spans="1:8" x14ac:dyDescent="0.25">
      <c r="C221" t="s">
        <v>901</v>
      </c>
      <c r="D221" t="s">
        <v>11</v>
      </c>
      <c r="E221">
        <v>50</v>
      </c>
      <c r="F221" s="79">
        <f>E221*1500</f>
        <v>75000</v>
      </c>
      <c r="G221" s="79">
        <f>E221*500</f>
        <v>25000</v>
      </c>
      <c r="H221" s="79">
        <f>E221*1000</f>
        <v>50000</v>
      </c>
    </row>
    <row r="222" spans="1:8" x14ac:dyDescent="0.25">
      <c r="C222" t="s">
        <v>846</v>
      </c>
      <c r="D222" t="s">
        <v>11</v>
      </c>
      <c r="E222">
        <v>4</v>
      </c>
      <c r="F222" s="79">
        <f>E222*3000</f>
        <v>12000</v>
      </c>
      <c r="G222" s="79">
        <f>E222*500</f>
        <v>2000</v>
      </c>
      <c r="H222" s="79">
        <f>E222*2500</f>
        <v>10000</v>
      </c>
    </row>
    <row r="223" spans="1:8" x14ac:dyDescent="0.25">
      <c r="D223" t="s">
        <v>13</v>
      </c>
      <c r="E223">
        <v>6</v>
      </c>
      <c r="F223" s="79">
        <f>E223*8000</f>
        <v>48000</v>
      </c>
      <c r="G223" s="79">
        <f>E223*4500</f>
        <v>27000</v>
      </c>
      <c r="H223" s="79">
        <f>E223*3500</f>
        <v>21000</v>
      </c>
    </row>
    <row r="224" spans="1:8" x14ac:dyDescent="0.25">
      <c r="D224" t="s">
        <v>14</v>
      </c>
      <c r="E224">
        <v>8</v>
      </c>
      <c r="F224" s="79">
        <f>E224*12000</f>
        <v>96000</v>
      </c>
      <c r="G224" s="79">
        <f>E224*5500</f>
        <v>44000</v>
      </c>
      <c r="H224" s="79">
        <f>E224*6500</f>
        <v>52000</v>
      </c>
    </row>
    <row r="225" spans="1:12" x14ac:dyDescent="0.25">
      <c r="D225" t="s">
        <v>404</v>
      </c>
      <c r="E225">
        <v>3</v>
      </c>
      <c r="F225" s="79">
        <v>9000</v>
      </c>
      <c r="G225" s="79">
        <v>4500</v>
      </c>
      <c r="H225" s="79">
        <v>4500</v>
      </c>
    </row>
    <row r="226" spans="1:12" x14ac:dyDescent="0.25">
      <c r="D226" t="s">
        <v>902</v>
      </c>
      <c r="E226">
        <v>6</v>
      </c>
      <c r="F226" s="79">
        <f>E226*8000</f>
        <v>48000</v>
      </c>
      <c r="G226" s="79">
        <v>24000</v>
      </c>
      <c r="H226" s="79">
        <v>24000</v>
      </c>
    </row>
    <row r="227" spans="1:12" x14ac:dyDescent="0.25">
      <c r="D227" t="s">
        <v>243</v>
      </c>
      <c r="E227">
        <v>1</v>
      </c>
      <c r="F227" s="79">
        <v>17000</v>
      </c>
      <c r="G227" s="79">
        <v>10000</v>
      </c>
      <c r="H227" s="79">
        <v>7000</v>
      </c>
    </row>
    <row r="228" spans="1:12" x14ac:dyDescent="0.25">
      <c r="A228" s="143" t="s">
        <v>17</v>
      </c>
      <c r="B228" s="143"/>
      <c r="C228" s="143"/>
      <c r="D228" s="143"/>
      <c r="E228" s="78">
        <f>SUM(E218:E227)</f>
        <v>255</v>
      </c>
      <c r="F228" s="78">
        <f>SUM(F218:F227)</f>
        <v>611900</v>
      </c>
      <c r="G228" s="78">
        <f t="shared" ref="G228:H228" si="18">SUM(G218:G227)</f>
        <v>225000</v>
      </c>
      <c r="H228" s="78">
        <f t="shared" si="18"/>
        <v>386900</v>
      </c>
    </row>
    <row r="229" spans="1:12" x14ac:dyDescent="0.25">
      <c r="A229" t="s">
        <v>8</v>
      </c>
      <c r="B229" s="3">
        <v>45616</v>
      </c>
      <c r="C229" t="s">
        <v>338</v>
      </c>
      <c r="D229" t="s">
        <v>11</v>
      </c>
      <c r="E229">
        <v>58</v>
      </c>
      <c r="F229" s="79">
        <f>E229*1800</f>
        <v>104400</v>
      </c>
      <c r="G229" s="79">
        <f>E229*500</f>
        <v>29000</v>
      </c>
      <c r="H229" s="79">
        <f>E229*1300</f>
        <v>75400</v>
      </c>
    </row>
    <row r="230" spans="1:12" x14ac:dyDescent="0.25">
      <c r="C230" t="s">
        <v>571</v>
      </c>
      <c r="D230" t="s">
        <v>11</v>
      </c>
      <c r="E230">
        <v>32</v>
      </c>
      <c r="F230" s="79">
        <f>E230*1700</f>
        <v>54400</v>
      </c>
      <c r="G230" s="79">
        <f>E230*500</f>
        <v>16000</v>
      </c>
      <c r="H230" s="79">
        <f>E230*1200</f>
        <v>38400</v>
      </c>
    </row>
    <row r="231" spans="1:12" x14ac:dyDescent="0.25">
      <c r="C231" t="s">
        <v>104</v>
      </c>
      <c r="D231" t="s">
        <v>11</v>
      </c>
      <c r="E231">
        <v>62</v>
      </c>
      <c r="F231" s="79">
        <f>E231*1700</f>
        <v>105400</v>
      </c>
      <c r="G231" s="79">
        <f>E231*500</f>
        <v>31000</v>
      </c>
      <c r="H231" s="79">
        <f>E231*1200</f>
        <v>74400</v>
      </c>
    </row>
    <row r="232" spans="1:12" x14ac:dyDescent="0.25">
      <c r="C232" t="s">
        <v>846</v>
      </c>
      <c r="D232" t="s">
        <v>13</v>
      </c>
      <c r="E232">
        <v>10</v>
      </c>
      <c r="F232" s="79">
        <f>E232*8000</f>
        <v>80000</v>
      </c>
      <c r="G232" s="79">
        <f>E232*4500</f>
        <v>45000</v>
      </c>
      <c r="H232" s="79">
        <f>E232*3500</f>
        <v>35000</v>
      </c>
    </row>
    <row r="233" spans="1:12" x14ac:dyDescent="0.25">
      <c r="D233" t="s">
        <v>14</v>
      </c>
      <c r="E233">
        <v>8</v>
      </c>
      <c r="F233" s="79">
        <f>E233*12000</f>
        <v>96000</v>
      </c>
      <c r="G233" s="79">
        <f>E233*5500</f>
        <v>44000</v>
      </c>
      <c r="H233" s="79">
        <f>E233*6500</f>
        <v>52000</v>
      </c>
    </row>
    <row r="234" spans="1:12" x14ac:dyDescent="0.25">
      <c r="D234" t="s">
        <v>243</v>
      </c>
      <c r="E234">
        <v>1</v>
      </c>
      <c r="F234" s="79">
        <v>17000</v>
      </c>
      <c r="G234" s="79">
        <v>10000</v>
      </c>
      <c r="H234" s="79">
        <v>7000</v>
      </c>
    </row>
    <row r="235" spans="1:12" x14ac:dyDescent="0.25">
      <c r="D235" t="s">
        <v>404</v>
      </c>
      <c r="E235">
        <v>3</v>
      </c>
      <c r="F235" s="79">
        <f>E235*9000</f>
        <v>27000</v>
      </c>
      <c r="G235" s="79">
        <v>13500</v>
      </c>
      <c r="H235" s="79">
        <v>13500</v>
      </c>
    </row>
    <row r="236" spans="1:12" x14ac:dyDescent="0.25">
      <c r="D236" t="s">
        <v>902</v>
      </c>
      <c r="E236">
        <v>1</v>
      </c>
      <c r="F236" s="79">
        <v>8000</v>
      </c>
      <c r="G236" s="79">
        <v>4000</v>
      </c>
      <c r="H236" s="79">
        <v>4000</v>
      </c>
    </row>
    <row r="237" spans="1:12" x14ac:dyDescent="0.25">
      <c r="A237" s="112" t="s">
        <v>17</v>
      </c>
      <c r="B237" s="112"/>
      <c r="C237" s="112"/>
      <c r="D237" s="112"/>
      <c r="E237" s="78">
        <f>SUM(E229:E236)</f>
        <v>175</v>
      </c>
      <c r="F237" s="78">
        <f t="shared" ref="F237:H237" si="19">SUM(F229:F236)</f>
        <v>492200</v>
      </c>
      <c r="G237" s="78">
        <f t="shared" si="19"/>
        <v>192500</v>
      </c>
      <c r="H237" s="78">
        <f t="shared" si="19"/>
        <v>299700</v>
      </c>
    </row>
    <row r="238" spans="1:12" x14ac:dyDescent="0.25">
      <c r="A238" t="s">
        <v>18</v>
      </c>
      <c r="B238" s="3">
        <v>45617</v>
      </c>
      <c r="C238" t="s">
        <v>338</v>
      </c>
      <c r="D238" t="s">
        <v>11</v>
      </c>
      <c r="E238">
        <v>58</v>
      </c>
      <c r="F238">
        <f>E238*1800</f>
        <v>104400</v>
      </c>
      <c r="G238">
        <f>E238*500</f>
        <v>29000</v>
      </c>
      <c r="H238">
        <f>E238*1300</f>
        <v>75400</v>
      </c>
    </row>
    <row r="239" spans="1:12" x14ac:dyDescent="0.25">
      <c r="C239" t="s">
        <v>571</v>
      </c>
      <c r="D239" t="s">
        <v>11</v>
      </c>
      <c r="E239">
        <v>9</v>
      </c>
      <c r="F239">
        <f>E239*1700</f>
        <v>15300</v>
      </c>
      <c r="G239">
        <f>E239*500</f>
        <v>4500</v>
      </c>
      <c r="H239">
        <f>E239*1200</f>
        <v>10800</v>
      </c>
      <c r="L239">
        <f>E3+E32+E45+E84+E128+E144+E154+E169+E219+E230+E239+E250+E289+E304+E313</f>
        <v>443</v>
      </c>
    </row>
    <row r="240" spans="1:12" x14ac:dyDescent="0.25">
      <c r="C240" t="s">
        <v>104</v>
      </c>
      <c r="D240" t="s">
        <v>11</v>
      </c>
      <c r="E240">
        <v>30</v>
      </c>
      <c r="F240">
        <f>E240*1700</f>
        <v>51000</v>
      </c>
      <c r="G240">
        <f>E240*500</f>
        <v>15000</v>
      </c>
      <c r="H240">
        <f>E240*1200</f>
        <v>36000</v>
      </c>
    </row>
    <row r="241" spans="1:8" x14ac:dyDescent="0.25">
      <c r="C241" t="s">
        <v>709</v>
      </c>
      <c r="D241" t="s">
        <v>11</v>
      </c>
      <c r="E241">
        <f>23-6</f>
        <v>17</v>
      </c>
      <c r="F241">
        <f>E241*1800</f>
        <v>30600</v>
      </c>
      <c r="G241">
        <f>E241*500</f>
        <v>8500</v>
      </c>
      <c r="H241">
        <f>E241*1300</f>
        <v>22100</v>
      </c>
    </row>
    <row r="242" spans="1:8" x14ac:dyDescent="0.25">
      <c r="C242" t="s">
        <v>846</v>
      </c>
      <c r="D242" t="s">
        <v>11</v>
      </c>
      <c r="E242">
        <v>4</v>
      </c>
      <c r="F242">
        <f>E242*3000</f>
        <v>12000</v>
      </c>
      <c r="G242">
        <f>E242*500</f>
        <v>2000</v>
      </c>
      <c r="H242">
        <f>E242*2500</f>
        <v>10000</v>
      </c>
    </row>
    <row r="243" spans="1:8" x14ac:dyDescent="0.25">
      <c r="D243" t="s">
        <v>13</v>
      </c>
      <c r="E243">
        <v>2</v>
      </c>
      <c r="F243">
        <f>E243*8000</f>
        <v>16000</v>
      </c>
      <c r="G243">
        <f>E243*4500</f>
        <v>9000</v>
      </c>
      <c r="H243">
        <f>E243*3500</f>
        <v>7000</v>
      </c>
    </row>
    <row r="244" spans="1:8" x14ac:dyDescent="0.25">
      <c r="D244" t="s">
        <v>14</v>
      </c>
      <c r="E244">
        <v>3</v>
      </c>
      <c r="F244">
        <f>E244*12000</f>
        <v>36000</v>
      </c>
      <c r="G244">
        <f>E244*5500</f>
        <v>16500</v>
      </c>
      <c r="H244">
        <f>E244*6500</f>
        <v>19500</v>
      </c>
    </row>
    <row r="245" spans="1:8" x14ac:dyDescent="0.25">
      <c r="D245" t="s">
        <v>243</v>
      </c>
      <c r="E245">
        <v>1</v>
      </c>
      <c r="F245">
        <v>17000</v>
      </c>
      <c r="G245">
        <v>10000</v>
      </c>
      <c r="H245">
        <v>7000</v>
      </c>
    </row>
    <row r="246" spans="1:8" x14ac:dyDescent="0.25">
      <c r="D246" t="s">
        <v>404</v>
      </c>
      <c r="E246">
        <v>1</v>
      </c>
      <c r="F246">
        <v>3000</v>
      </c>
      <c r="G246">
        <v>1500</v>
      </c>
      <c r="H246">
        <v>1500</v>
      </c>
    </row>
    <row r="247" spans="1:8" x14ac:dyDescent="0.25">
      <c r="D247" t="s">
        <v>902</v>
      </c>
      <c r="E247">
        <v>6</v>
      </c>
      <c r="F247">
        <f>E247*8000</f>
        <v>48000</v>
      </c>
      <c r="G247">
        <v>24000</v>
      </c>
      <c r="H247">
        <v>24000</v>
      </c>
    </row>
    <row r="248" spans="1:8" x14ac:dyDescent="0.25">
      <c r="A248" s="112" t="s">
        <v>17</v>
      </c>
      <c r="B248" s="112"/>
      <c r="C248" s="112"/>
      <c r="D248" s="112"/>
      <c r="E248" s="78">
        <f>SUM(E238:E247)</f>
        <v>131</v>
      </c>
      <c r="F248" s="78">
        <f>SUM(F238:F247)</f>
        <v>333300</v>
      </c>
      <c r="G248" s="78">
        <f>SUM(G238:G247)</f>
        <v>120000</v>
      </c>
      <c r="H248" s="78">
        <f>SUM(H238:H247)</f>
        <v>213300</v>
      </c>
    </row>
    <row r="249" spans="1:8" x14ac:dyDescent="0.25">
      <c r="A249" t="s">
        <v>22</v>
      </c>
      <c r="B249" s="3">
        <v>45618</v>
      </c>
      <c r="C249" t="s">
        <v>338</v>
      </c>
      <c r="D249" t="s">
        <v>11</v>
      </c>
      <c r="E249">
        <v>60</v>
      </c>
      <c r="F249" s="79">
        <f>E249*1800</f>
        <v>108000</v>
      </c>
      <c r="G249" s="79">
        <f>E249*500</f>
        <v>30000</v>
      </c>
      <c r="H249" s="79">
        <f>E249*1300</f>
        <v>78000</v>
      </c>
    </row>
    <row r="250" spans="1:8" x14ac:dyDescent="0.25">
      <c r="C250" t="s">
        <v>571</v>
      </c>
      <c r="D250" t="s">
        <v>11</v>
      </c>
      <c r="E250">
        <v>20</v>
      </c>
      <c r="F250" s="79">
        <f>E250*1700</f>
        <v>34000</v>
      </c>
      <c r="G250" s="79">
        <f>E250*500</f>
        <v>10000</v>
      </c>
      <c r="H250" s="79">
        <f>E250*1200</f>
        <v>24000</v>
      </c>
    </row>
    <row r="251" spans="1:8" x14ac:dyDescent="0.25">
      <c r="C251" t="s">
        <v>104</v>
      </c>
      <c r="D251" t="s">
        <v>11</v>
      </c>
      <c r="E251">
        <v>35</v>
      </c>
      <c r="F251" s="79">
        <f>E251*1700</f>
        <v>59500</v>
      </c>
      <c r="G251" s="79">
        <f>E251*500</f>
        <v>17500</v>
      </c>
      <c r="H251" s="79">
        <f>E251*1200</f>
        <v>42000</v>
      </c>
    </row>
    <row r="252" spans="1:8" x14ac:dyDescent="0.25">
      <c r="C252" t="s">
        <v>846</v>
      </c>
      <c r="D252" t="s">
        <v>11</v>
      </c>
      <c r="E252">
        <v>1</v>
      </c>
      <c r="F252" s="79">
        <v>3000</v>
      </c>
      <c r="G252" s="79">
        <v>500</v>
      </c>
      <c r="H252" s="79">
        <v>2500</v>
      </c>
    </row>
    <row r="253" spans="1:8" x14ac:dyDescent="0.25">
      <c r="D253" t="s">
        <v>13</v>
      </c>
      <c r="E253">
        <v>5</v>
      </c>
      <c r="F253" s="79">
        <f>E253*8000</f>
        <v>40000</v>
      </c>
      <c r="G253" s="79">
        <f>E253*4500</f>
        <v>22500</v>
      </c>
      <c r="H253" s="79">
        <f>E253*3500</f>
        <v>17500</v>
      </c>
    </row>
    <row r="254" spans="1:8" x14ac:dyDescent="0.25">
      <c r="D254" t="s">
        <v>14</v>
      </c>
      <c r="E254">
        <v>2</v>
      </c>
      <c r="F254" s="79">
        <f>E254*12000</f>
        <v>24000</v>
      </c>
      <c r="G254" s="79">
        <f>E254*5500</f>
        <v>11000</v>
      </c>
      <c r="H254" s="79">
        <f>E254*6500</f>
        <v>13000</v>
      </c>
    </row>
    <row r="255" spans="1:8" x14ac:dyDescent="0.25">
      <c r="D255" t="s">
        <v>902</v>
      </c>
      <c r="E255">
        <v>1</v>
      </c>
      <c r="F255" s="79">
        <v>8000</v>
      </c>
      <c r="G255" s="79">
        <v>4000</v>
      </c>
      <c r="H255" s="79">
        <v>4000</v>
      </c>
    </row>
    <row r="256" spans="1:8" x14ac:dyDescent="0.25">
      <c r="C256" t="s">
        <v>24</v>
      </c>
      <c r="D256" t="s">
        <v>11</v>
      </c>
      <c r="E256">
        <v>10</v>
      </c>
      <c r="F256" s="79">
        <f>E256*3000</f>
        <v>30000</v>
      </c>
      <c r="G256" s="79">
        <f>E256*500</f>
        <v>5000</v>
      </c>
      <c r="H256" s="79">
        <f>E256*2500</f>
        <v>25000</v>
      </c>
    </row>
    <row r="257" spans="1:8" x14ac:dyDescent="0.25">
      <c r="D257" t="s">
        <v>13</v>
      </c>
      <c r="E257">
        <v>14</v>
      </c>
      <c r="F257" s="79">
        <f>E257*8000</f>
        <v>112000</v>
      </c>
      <c r="G257" s="79">
        <f>E257*4500</f>
        <v>63000</v>
      </c>
      <c r="H257" s="79">
        <f>E257*3500</f>
        <v>49000</v>
      </c>
    </row>
    <row r="258" spans="1:8" x14ac:dyDescent="0.25">
      <c r="A258" s="112" t="s">
        <v>17</v>
      </c>
      <c r="B258" s="112"/>
      <c r="C258" s="112"/>
      <c r="D258" s="112"/>
      <c r="E258" s="78">
        <f>SUM(E249:E257)</f>
        <v>148</v>
      </c>
      <c r="F258" s="78">
        <f t="shared" ref="F258:H258" si="20">SUM(F249:F257)</f>
        <v>418500</v>
      </c>
      <c r="G258" s="78">
        <f t="shared" si="20"/>
        <v>163500</v>
      </c>
      <c r="H258" s="78">
        <f t="shared" si="20"/>
        <v>255000</v>
      </c>
    </row>
    <row r="259" spans="1:8" x14ac:dyDescent="0.25">
      <c r="A259" t="s">
        <v>26</v>
      </c>
      <c r="B259" s="3">
        <v>45619</v>
      </c>
      <c r="C259" t="s">
        <v>338</v>
      </c>
      <c r="D259" t="s">
        <v>11</v>
      </c>
      <c r="E259">
        <v>120</v>
      </c>
      <c r="F259">
        <f>E259*1800</f>
        <v>216000</v>
      </c>
      <c r="G259">
        <f>E259*500</f>
        <v>60000</v>
      </c>
      <c r="H259">
        <f>E259*1300</f>
        <v>156000</v>
      </c>
    </row>
    <row r="260" spans="1:8" x14ac:dyDescent="0.25">
      <c r="C260" t="s">
        <v>104</v>
      </c>
      <c r="D260" t="s">
        <v>11</v>
      </c>
      <c r="E260">
        <f>37+7</f>
        <v>44</v>
      </c>
      <c r="F260">
        <f>E260*1700</f>
        <v>74800</v>
      </c>
      <c r="G260">
        <f>E260*500</f>
        <v>22000</v>
      </c>
      <c r="H260">
        <f>E260*1200</f>
        <v>52800</v>
      </c>
    </row>
    <row r="261" spans="1:8" x14ac:dyDescent="0.25">
      <c r="C261" t="s">
        <v>846</v>
      </c>
      <c r="D261" t="s">
        <v>11</v>
      </c>
      <c r="E261">
        <v>6</v>
      </c>
      <c r="F261">
        <f>E261*3000</f>
        <v>18000</v>
      </c>
      <c r="G261">
        <f>E261*500</f>
        <v>3000</v>
      </c>
      <c r="H261">
        <f>E261*2500</f>
        <v>15000</v>
      </c>
    </row>
    <row r="262" spans="1:8" x14ac:dyDescent="0.25">
      <c r="D262" t="s">
        <v>13</v>
      </c>
      <c r="E262">
        <v>5</v>
      </c>
      <c r="F262">
        <f>E262*8000</f>
        <v>40000</v>
      </c>
      <c r="G262">
        <f>E262*4500</f>
        <v>22500</v>
      </c>
      <c r="H262">
        <f>E262*3500</f>
        <v>17500</v>
      </c>
    </row>
    <row r="263" spans="1:8" x14ac:dyDescent="0.25">
      <c r="D263" t="s">
        <v>14</v>
      </c>
      <c r="E263">
        <v>1</v>
      </c>
      <c r="F263">
        <v>12000</v>
      </c>
      <c r="G263">
        <v>5500</v>
      </c>
      <c r="H263">
        <v>6500</v>
      </c>
    </row>
    <row r="264" spans="1:8" x14ac:dyDescent="0.25">
      <c r="A264" s="112" t="s">
        <v>17</v>
      </c>
      <c r="B264" s="112"/>
      <c r="C264" s="112"/>
      <c r="D264" s="112"/>
      <c r="E264" s="78">
        <f>SUM(E259:E263)</f>
        <v>176</v>
      </c>
      <c r="F264" s="78">
        <f t="shared" ref="F264:H264" si="21">SUM(F259:F263)</f>
        <v>360800</v>
      </c>
      <c r="G264" s="78">
        <f t="shared" si="21"/>
        <v>113000</v>
      </c>
      <c r="H264" s="78">
        <f t="shared" si="21"/>
        <v>247800</v>
      </c>
    </row>
    <row r="265" spans="1:8" x14ac:dyDescent="0.25">
      <c r="A265" t="s">
        <v>28</v>
      </c>
      <c r="B265" s="3">
        <v>45620</v>
      </c>
      <c r="C265" t="s">
        <v>693</v>
      </c>
      <c r="D265" t="s">
        <v>13</v>
      </c>
      <c r="E265">
        <v>35</v>
      </c>
      <c r="F265">
        <f>E265*7000</f>
        <v>245000</v>
      </c>
      <c r="G265">
        <f>E265*4500</f>
        <v>157500</v>
      </c>
      <c r="H265">
        <f>E265*2500</f>
        <v>87500</v>
      </c>
    </row>
    <row r="266" spans="1:8" x14ac:dyDescent="0.25">
      <c r="D266" t="s">
        <v>14</v>
      </c>
      <c r="E266">
        <v>34</v>
      </c>
      <c r="F266">
        <f>E266*10000</f>
        <v>340000</v>
      </c>
      <c r="G266">
        <f>E266*5500</f>
        <v>187000</v>
      </c>
      <c r="H266">
        <f>E266*6500</f>
        <v>221000</v>
      </c>
    </row>
    <row r="267" spans="1:8" x14ac:dyDescent="0.25">
      <c r="D267" t="s">
        <v>902</v>
      </c>
      <c r="E267">
        <v>2</v>
      </c>
      <c r="F267">
        <f>E267*8000</f>
        <v>16000</v>
      </c>
      <c r="G267">
        <v>8000</v>
      </c>
      <c r="H267">
        <v>8000</v>
      </c>
    </row>
    <row r="268" spans="1:8" x14ac:dyDescent="0.25">
      <c r="D268" t="s">
        <v>243</v>
      </c>
      <c r="E268">
        <v>2</v>
      </c>
      <c r="F268">
        <v>30000</v>
      </c>
      <c r="G268">
        <v>20000</v>
      </c>
      <c r="H268">
        <v>10000</v>
      </c>
    </row>
    <row r="269" spans="1:8" x14ac:dyDescent="0.25">
      <c r="C269" t="s">
        <v>217</v>
      </c>
      <c r="D269" t="s">
        <v>11</v>
      </c>
      <c r="E269">
        <v>19</v>
      </c>
      <c r="F269">
        <f>E269*1599</f>
        <v>30381</v>
      </c>
      <c r="G269">
        <f>E269*500</f>
        <v>9500</v>
      </c>
      <c r="H269">
        <f>E269*1000</f>
        <v>19000</v>
      </c>
    </row>
    <row r="270" spans="1:8" x14ac:dyDescent="0.25">
      <c r="D270" t="s">
        <v>13</v>
      </c>
      <c r="E270">
        <v>30</v>
      </c>
      <c r="F270">
        <f>E270*6500</f>
        <v>195000</v>
      </c>
      <c r="G270">
        <f>E270*4500</f>
        <v>135000</v>
      </c>
      <c r="H270">
        <f>E270*2000</f>
        <v>60000</v>
      </c>
    </row>
    <row r="271" spans="1:8" x14ac:dyDescent="0.25">
      <c r="D271" t="s">
        <v>14</v>
      </c>
      <c r="E271">
        <v>17</v>
      </c>
      <c r="F271">
        <f>E271*10000</f>
        <v>170000</v>
      </c>
      <c r="G271">
        <f>E271*5500</f>
        <v>93500</v>
      </c>
      <c r="H271">
        <f>E271*4500</f>
        <v>76500</v>
      </c>
    </row>
    <row r="272" spans="1:8" x14ac:dyDescent="0.25">
      <c r="C272" t="s">
        <v>846</v>
      </c>
      <c r="D272" t="s">
        <v>11</v>
      </c>
      <c r="E272">
        <v>2</v>
      </c>
      <c r="F272">
        <v>6000</v>
      </c>
      <c r="G272">
        <v>1000</v>
      </c>
      <c r="H272">
        <v>5000</v>
      </c>
    </row>
    <row r="273" spans="1:8" x14ac:dyDescent="0.25">
      <c r="D273" t="s">
        <v>13</v>
      </c>
      <c r="E273">
        <v>4</v>
      </c>
      <c r="F273">
        <f>E273*8000</f>
        <v>32000</v>
      </c>
      <c r="G273">
        <f>E273*4500</f>
        <v>18000</v>
      </c>
      <c r="H273">
        <f>E273*3500</f>
        <v>14000</v>
      </c>
    </row>
    <row r="274" spans="1:8" x14ac:dyDescent="0.25">
      <c r="D274" t="s">
        <v>14</v>
      </c>
      <c r="E274">
        <v>4</v>
      </c>
      <c r="F274">
        <f>E274*12000</f>
        <v>48000</v>
      </c>
      <c r="G274">
        <f>E274*5500</f>
        <v>22000</v>
      </c>
      <c r="H274">
        <f>E274*6500</f>
        <v>26000</v>
      </c>
    </row>
    <row r="275" spans="1:8" x14ac:dyDescent="0.25">
      <c r="D275" t="s">
        <v>902</v>
      </c>
      <c r="E275">
        <v>12</v>
      </c>
      <c r="F275">
        <f>E275*8000</f>
        <v>96000</v>
      </c>
      <c r="G275">
        <v>48000</v>
      </c>
      <c r="H275">
        <v>48000</v>
      </c>
    </row>
    <row r="276" spans="1:8" x14ac:dyDescent="0.25">
      <c r="D276" t="s">
        <v>404</v>
      </c>
      <c r="E276">
        <v>9</v>
      </c>
      <c r="F276">
        <f>E276*3000</f>
        <v>27000</v>
      </c>
      <c r="G276">
        <v>13500</v>
      </c>
      <c r="H276">
        <v>13500</v>
      </c>
    </row>
    <row r="277" spans="1:8" x14ac:dyDescent="0.25">
      <c r="C277" t="s">
        <v>24</v>
      </c>
      <c r="D277" t="s">
        <v>243</v>
      </c>
      <c r="E277">
        <v>4</v>
      </c>
      <c r="F277">
        <f>E277*15000</f>
        <v>60000</v>
      </c>
      <c r="G277">
        <f>E277*10000</f>
        <v>40000</v>
      </c>
      <c r="H277">
        <f>E277*5000</f>
        <v>20000</v>
      </c>
    </row>
    <row r="278" spans="1:8" x14ac:dyDescent="0.25">
      <c r="A278" s="112" t="s">
        <v>17</v>
      </c>
      <c r="B278" s="112"/>
      <c r="C278" s="112"/>
      <c r="D278" s="112"/>
      <c r="E278" s="78">
        <f>SUM(E265:E277)</f>
        <v>174</v>
      </c>
      <c r="F278" s="78">
        <f t="shared" ref="F278:H278" si="22">SUM(F265:F277)</f>
        <v>1295381</v>
      </c>
      <c r="G278" s="78">
        <f t="shared" si="22"/>
        <v>753000</v>
      </c>
      <c r="H278" s="78">
        <f t="shared" si="22"/>
        <v>608500</v>
      </c>
    </row>
    <row r="279" spans="1:8" x14ac:dyDescent="0.25">
      <c r="A279" t="s">
        <v>30</v>
      </c>
      <c r="B279" s="3">
        <v>45621</v>
      </c>
      <c r="C279" t="s">
        <v>104</v>
      </c>
      <c r="D279" t="s">
        <v>11</v>
      </c>
      <c r="E279">
        <v>36</v>
      </c>
      <c r="F279">
        <f>E279*1700</f>
        <v>61200</v>
      </c>
      <c r="G279">
        <f>E279*500</f>
        <v>18000</v>
      </c>
      <c r="H279">
        <f>E279*1200</f>
        <v>43200</v>
      </c>
    </row>
    <row r="280" spans="1:8" x14ac:dyDescent="0.25">
      <c r="C280" t="s">
        <v>846</v>
      </c>
      <c r="D280" t="s">
        <v>13</v>
      </c>
      <c r="E280">
        <v>5</v>
      </c>
      <c r="F280">
        <f>E280*8000</f>
        <v>40000</v>
      </c>
      <c r="G280">
        <f>E280*4500</f>
        <v>22500</v>
      </c>
      <c r="H280">
        <f>E280*3500</f>
        <v>17500</v>
      </c>
    </row>
    <row r="281" spans="1:8" x14ac:dyDescent="0.25">
      <c r="D281" t="s">
        <v>14</v>
      </c>
      <c r="E281">
        <v>2</v>
      </c>
      <c r="F281">
        <f>E281*12000</f>
        <v>24000</v>
      </c>
      <c r="G281">
        <f>E281*5500</f>
        <v>11000</v>
      </c>
      <c r="H281">
        <f>E281*6500</f>
        <v>13000</v>
      </c>
    </row>
    <row r="282" spans="1:8" x14ac:dyDescent="0.25">
      <c r="D282" t="s">
        <v>902</v>
      </c>
      <c r="E282">
        <v>4</v>
      </c>
      <c r="F282">
        <f>E282*8000</f>
        <v>32000</v>
      </c>
      <c r="G282">
        <v>16000</v>
      </c>
      <c r="H282">
        <v>16000</v>
      </c>
    </row>
    <row r="283" spans="1:8" x14ac:dyDescent="0.25">
      <c r="C283" t="s">
        <v>24</v>
      </c>
      <c r="D283" t="s">
        <v>243</v>
      </c>
      <c r="E283">
        <v>3</v>
      </c>
      <c r="F283">
        <f>E283*17000</f>
        <v>51000</v>
      </c>
      <c r="G283">
        <v>30000</v>
      </c>
      <c r="H283">
        <v>21000</v>
      </c>
    </row>
    <row r="284" spans="1:8" x14ac:dyDescent="0.25">
      <c r="D284" t="s">
        <v>13</v>
      </c>
      <c r="E284">
        <v>1</v>
      </c>
      <c r="F284">
        <v>8000</v>
      </c>
      <c r="G284">
        <v>4500</v>
      </c>
      <c r="H284">
        <v>3500</v>
      </c>
    </row>
    <row r="285" spans="1:8" x14ac:dyDescent="0.25">
      <c r="C285" t="s">
        <v>24</v>
      </c>
      <c r="D285" t="s">
        <v>13</v>
      </c>
      <c r="E285">
        <v>17</v>
      </c>
    </row>
    <row r="286" spans="1:8" x14ac:dyDescent="0.25">
      <c r="A286" s="112" t="s">
        <v>17</v>
      </c>
      <c r="B286" s="112"/>
      <c r="C286" s="112"/>
      <c r="D286" s="112"/>
      <c r="E286" s="78">
        <f>SUM(E279:E285)</f>
        <v>68</v>
      </c>
      <c r="F286" s="78">
        <f>SUM(F279:F285)</f>
        <v>216200</v>
      </c>
      <c r="G286" s="78">
        <f>SUM(G279:G285)</f>
        <v>102000</v>
      </c>
      <c r="H286" s="78">
        <f>SUM(H279:H285)</f>
        <v>114200</v>
      </c>
    </row>
    <row r="287" spans="1:8" x14ac:dyDescent="0.25">
      <c r="A287" t="s">
        <v>32</v>
      </c>
      <c r="B287" s="3">
        <v>45622</v>
      </c>
      <c r="C287" t="s">
        <v>338</v>
      </c>
      <c r="D287" t="s">
        <v>11</v>
      </c>
      <c r="E287">
        <v>60</v>
      </c>
      <c r="F287" s="79">
        <f>E287*1800</f>
        <v>108000</v>
      </c>
      <c r="G287" s="79">
        <f>E287*500</f>
        <v>30000</v>
      </c>
      <c r="H287" s="79">
        <f>E287*1300</f>
        <v>78000</v>
      </c>
    </row>
    <row r="288" spans="1:8" x14ac:dyDescent="0.25">
      <c r="C288" t="s">
        <v>104</v>
      </c>
      <c r="D288" t="s">
        <v>11</v>
      </c>
      <c r="E288">
        <v>9</v>
      </c>
      <c r="F288" s="79">
        <f>E288*1700</f>
        <v>15300</v>
      </c>
      <c r="G288" s="79">
        <f>E288*500</f>
        <v>4500</v>
      </c>
      <c r="H288" s="79">
        <f>E288*1200</f>
        <v>10800</v>
      </c>
    </row>
    <row r="289" spans="1:8" x14ac:dyDescent="0.25">
      <c r="C289" t="s">
        <v>571</v>
      </c>
      <c r="D289" t="s">
        <v>11</v>
      </c>
      <c r="E289">
        <v>41</v>
      </c>
      <c r="F289" s="79">
        <f>E289*1700</f>
        <v>69700</v>
      </c>
      <c r="G289" s="79">
        <f>E289*500</f>
        <v>20500</v>
      </c>
      <c r="H289" s="79">
        <f>E289*1200</f>
        <v>49200</v>
      </c>
    </row>
    <row r="290" spans="1:8" x14ac:dyDescent="0.25">
      <c r="C290" t="s">
        <v>572</v>
      </c>
      <c r="D290" t="s">
        <v>11</v>
      </c>
      <c r="E290">
        <v>69</v>
      </c>
      <c r="F290" s="79">
        <f>E290*1700</f>
        <v>117300</v>
      </c>
      <c r="G290" s="79">
        <f>E290*500</f>
        <v>34500</v>
      </c>
      <c r="H290" s="79">
        <f>E290*1200</f>
        <v>82800</v>
      </c>
    </row>
    <row r="291" spans="1:8" x14ac:dyDescent="0.25">
      <c r="C291" t="s">
        <v>24</v>
      </c>
      <c r="D291" t="s">
        <v>243</v>
      </c>
      <c r="E291">
        <v>2</v>
      </c>
      <c r="F291" s="79">
        <v>30000</v>
      </c>
      <c r="G291" s="79">
        <v>20000</v>
      </c>
      <c r="H291" s="79">
        <v>10000</v>
      </c>
    </row>
    <row r="292" spans="1:8" x14ac:dyDescent="0.25">
      <c r="C292" t="s">
        <v>901</v>
      </c>
      <c r="D292" t="s">
        <v>11</v>
      </c>
      <c r="E292">
        <v>30</v>
      </c>
      <c r="F292" s="79">
        <f>E292*1500</f>
        <v>45000</v>
      </c>
      <c r="G292" s="79">
        <f>E292*500</f>
        <v>15000</v>
      </c>
      <c r="H292" s="79">
        <f>E292*1000</f>
        <v>30000</v>
      </c>
    </row>
    <row r="293" spans="1:8" x14ac:dyDescent="0.25">
      <c r="C293" t="s">
        <v>846</v>
      </c>
      <c r="D293" t="s">
        <v>13</v>
      </c>
      <c r="E293">
        <v>7</v>
      </c>
      <c r="F293" s="79">
        <f>E293*8000</f>
        <v>56000</v>
      </c>
      <c r="G293" s="79">
        <f>E293*4500</f>
        <v>31500</v>
      </c>
      <c r="H293" s="79">
        <f>E293*3500</f>
        <v>24500</v>
      </c>
    </row>
    <row r="294" spans="1:8" x14ac:dyDescent="0.25">
      <c r="D294" t="s">
        <v>14</v>
      </c>
      <c r="E294">
        <v>5</v>
      </c>
      <c r="F294" s="79">
        <f>E294*12000</f>
        <v>60000</v>
      </c>
      <c r="G294" s="79">
        <f>E294*5500</f>
        <v>27500</v>
      </c>
      <c r="H294" s="79">
        <f>E294*6500</f>
        <v>32500</v>
      </c>
    </row>
    <row r="295" spans="1:8" x14ac:dyDescent="0.25">
      <c r="D295" t="s">
        <v>243</v>
      </c>
      <c r="E295">
        <v>1</v>
      </c>
      <c r="F295" s="79">
        <v>17000</v>
      </c>
      <c r="G295" s="79">
        <v>10000</v>
      </c>
      <c r="H295" s="79">
        <v>7000</v>
      </c>
    </row>
    <row r="296" spans="1:8" x14ac:dyDescent="0.25">
      <c r="D296" t="s">
        <v>902</v>
      </c>
      <c r="E296">
        <v>4</v>
      </c>
      <c r="F296" s="79">
        <f>E296*8000</f>
        <v>32000</v>
      </c>
      <c r="G296" s="79">
        <v>16000</v>
      </c>
      <c r="H296" s="79">
        <v>16000</v>
      </c>
    </row>
    <row r="297" spans="1:8" x14ac:dyDescent="0.25">
      <c r="A297" s="112" t="s">
        <v>17</v>
      </c>
      <c r="B297" s="112"/>
      <c r="C297" s="112"/>
      <c r="D297" s="112"/>
      <c r="E297" s="78">
        <f>SUM(E287:E296)</f>
        <v>228</v>
      </c>
      <c r="F297" s="78">
        <f t="shared" ref="F297:H297" si="23">SUM(F287:F296)</f>
        <v>550300</v>
      </c>
      <c r="G297" s="78">
        <f t="shared" si="23"/>
        <v>209500</v>
      </c>
      <c r="H297" s="78">
        <f t="shared" si="23"/>
        <v>340800</v>
      </c>
    </row>
    <row r="298" spans="1:8" x14ac:dyDescent="0.25">
      <c r="A298" t="s">
        <v>8</v>
      </c>
      <c r="B298" s="3">
        <v>45623</v>
      </c>
      <c r="C298" t="s">
        <v>846</v>
      </c>
      <c r="D298" t="s">
        <v>13</v>
      </c>
      <c r="E298">
        <v>4</v>
      </c>
      <c r="F298" s="79">
        <f>E298*8000</f>
        <v>32000</v>
      </c>
      <c r="G298" s="79">
        <f>E298*4500</f>
        <v>18000</v>
      </c>
      <c r="H298" s="79">
        <f>E298*3500</f>
        <v>14000</v>
      </c>
    </row>
    <row r="299" spans="1:8" x14ac:dyDescent="0.25">
      <c r="D299" t="s">
        <v>14</v>
      </c>
      <c r="E299">
        <v>2</v>
      </c>
      <c r="F299" s="79">
        <f>E299*12000</f>
        <v>24000</v>
      </c>
      <c r="G299" s="79">
        <f>E299*5500</f>
        <v>11000</v>
      </c>
      <c r="H299" s="79">
        <f>E299*6500</f>
        <v>13000</v>
      </c>
    </row>
    <row r="300" spans="1:8" x14ac:dyDescent="0.25">
      <c r="D300" t="s">
        <v>902</v>
      </c>
      <c r="E300">
        <v>1</v>
      </c>
      <c r="F300" s="79">
        <v>8000</v>
      </c>
      <c r="G300" s="79">
        <v>4000</v>
      </c>
      <c r="H300" s="79">
        <v>4000</v>
      </c>
    </row>
    <row r="301" spans="1:8" x14ac:dyDescent="0.25">
      <c r="C301" t="s">
        <v>24</v>
      </c>
      <c r="D301" t="s">
        <v>243</v>
      </c>
      <c r="E301">
        <v>2</v>
      </c>
      <c r="F301" s="79">
        <v>30000</v>
      </c>
      <c r="G301" s="79">
        <v>20000</v>
      </c>
      <c r="H301" s="79">
        <v>10000</v>
      </c>
    </row>
    <row r="302" spans="1:8" x14ac:dyDescent="0.25">
      <c r="A302" s="112" t="s">
        <v>17</v>
      </c>
      <c r="B302" s="112"/>
      <c r="C302" s="112"/>
      <c r="D302" s="112"/>
      <c r="E302" s="78">
        <f>SUM(E298:E301)</f>
        <v>9</v>
      </c>
      <c r="F302" s="78">
        <f t="shared" ref="F302:H302" si="24">SUM(F298:F301)</f>
        <v>94000</v>
      </c>
      <c r="G302" s="78">
        <f t="shared" si="24"/>
        <v>53000</v>
      </c>
      <c r="H302" s="78">
        <f t="shared" si="24"/>
        <v>41000</v>
      </c>
    </row>
    <row r="303" spans="1:8" x14ac:dyDescent="0.25">
      <c r="A303" t="s">
        <v>18</v>
      </c>
      <c r="B303" s="3">
        <v>45624</v>
      </c>
      <c r="C303" t="s">
        <v>338</v>
      </c>
      <c r="D303" t="s">
        <v>11</v>
      </c>
      <c r="E303">
        <v>48</v>
      </c>
      <c r="F303">
        <f>E303*1800</f>
        <v>86400</v>
      </c>
      <c r="G303">
        <f>E303*500</f>
        <v>24000</v>
      </c>
      <c r="H303">
        <f>E303*1300</f>
        <v>62400</v>
      </c>
    </row>
    <row r="304" spans="1:8" x14ac:dyDescent="0.25">
      <c r="C304" t="s">
        <v>571</v>
      </c>
      <c r="D304" t="s">
        <v>11</v>
      </c>
      <c r="E304">
        <v>34</v>
      </c>
      <c r="F304">
        <f>E304*1700</f>
        <v>57800</v>
      </c>
      <c r="G304">
        <f>E304*500</f>
        <v>17000</v>
      </c>
      <c r="H304">
        <f>E304*1200</f>
        <v>40800</v>
      </c>
    </row>
    <row r="305" spans="1:8" x14ac:dyDescent="0.25">
      <c r="C305" t="s">
        <v>709</v>
      </c>
      <c r="D305" t="s">
        <v>11</v>
      </c>
      <c r="E305">
        <v>19</v>
      </c>
      <c r="F305">
        <f>E305*1800</f>
        <v>34200</v>
      </c>
      <c r="G305">
        <f>E305*500</f>
        <v>9500</v>
      </c>
      <c r="H305">
        <f>E305*1300</f>
        <v>24700</v>
      </c>
    </row>
    <row r="306" spans="1:8" x14ac:dyDescent="0.25">
      <c r="C306" t="s">
        <v>104</v>
      </c>
      <c r="D306" t="s">
        <v>11</v>
      </c>
      <c r="E306">
        <v>10</v>
      </c>
      <c r="F306">
        <f>E306*1700</f>
        <v>17000</v>
      </c>
      <c r="G306">
        <f>E306*500</f>
        <v>5000</v>
      </c>
      <c r="H306">
        <f>E306*1200</f>
        <v>12000</v>
      </c>
    </row>
    <row r="307" spans="1:8" x14ac:dyDescent="0.25">
      <c r="C307" t="s">
        <v>846</v>
      </c>
      <c r="D307" t="s">
        <v>13</v>
      </c>
      <c r="E307">
        <v>5</v>
      </c>
      <c r="F307">
        <f>E307*8000</f>
        <v>40000</v>
      </c>
      <c r="G307">
        <f>E307*4500</f>
        <v>22500</v>
      </c>
      <c r="H307">
        <f>E307*3500</f>
        <v>17500</v>
      </c>
    </row>
    <row r="308" spans="1:8" x14ac:dyDescent="0.25">
      <c r="D308" t="s">
        <v>14</v>
      </c>
      <c r="E308">
        <v>3</v>
      </c>
      <c r="F308">
        <f>E308*12000</f>
        <v>36000</v>
      </c>
      <c r="G308">
        <f>E308*5500</f>
        <v>16500</v>
      </c>
      <c r="H308">
        <f>E308*6500</f>
        <v>19500</v>
      </c>
    </row>
    <row r="309" spans="1:8" x14ac:dyDescent="0.25">
      <c r="D309" t="s">
        <v>243</v>
      </c>
      <c r="E309">
        <v>3</v>
      </c>
      <c r="F309">
        <f>E309*15000</f>
        <v>45000</v>
      </c>
      <c r="G309">
        <f>E309*10000</f>
        <v>30000</v>
      </c>
      <c r="H309">
        <v>15000</v>
      </c>
    </row>
    <row r="310" spans="1:8" x14ac:dyDescent="0.25">
      <c r="A310" s="112" t="s">
        <v>17</v>
      </c>
      <c r="B310" s="112"/>
      <c r="C310" s="112"/>
      <c r="D310" s="112"/>
      <c r="E310" s="78">
        <f>SUM(E303:E309)</f>
        <v>122</v>
      </c>
      <c r="F310" s="78">
        <f t="shared" ref="F310:H310" si="25">SUM(F303:F309)</f>
        <v>316400</v>
      </c>
      <c r="G310" s="78">
        <f t="shared" si="25"/>
        <v>124500</v>
      </c>
      <c r="H310" s="78">
        <f t="shared" si="25"/>
        <v>191900</v>
      </c>
    </row>
    <row r="311" spans="1:8" x14ac:dyDescent="0.25">
      <c r="A311" t="s">
        <v>22</v>
      </c>
      <c r="B311" s="3">
        <v>45625</v>
      </c>
      <c r="C311" t="s">
        <v>338</v>
      </c>
      <c r="D311" t="s">
        <v>11</v>
      </c>
      <c r="E311">
        <v>117</v>
      </c>
      <c r="F311" s="79">
        <f>E311*1800</f>
        <v>210600</v>
      </c>
      <c r="G311" s="79">
        <f>E311*500</f>
        <v>58500</v>
      </c>
      <c r="H311" s="79">
        <f>E311*1300</f>
        <v>152100</v>
      </c>
    </row>
    <row r="312" spans="1:8" x14ac:dyDescent="0.25">
      <c r="C312" t="s">
        <v>104</v>
      </c>
      <c r="D312" t="s">
        <v>11</v>
      </c>
      <c r="E312">
        <v>35</v>
      </c>
      <c r="F312" s="79">
        <f>E312*1700</f>
        <v>59500</v>
      </c>
      <c r="G312" s="79">
        <f>E312*500</f>
        <v>17500</v>
      </c>
      <c r="H312" s="79">
        <f>E312*1200</f>
        <v>42000</v>
      </c>
    </row>
    <row r="313" spans="1:8" x14ac:dyDescent="0.25">
      <c r="C313" t="s">
        <v>571</v>
      </c>
      <c r="D313" t="s">
        <v>11</v>
      </c>
      <c r="E313">
        <v>25</v>
      </c>
      <c r="F313" s="79">
        <f>E313*1700</f>
        <v>42500</v>
      </c>
      <c r="G313" s="79">
        <f>E313*500</f>
        <v>12500</v>
      </c>
      <c r="H313" s="79">
        <f>E313*1200</f>
        <v>30000</v>
      </c>
    </row>
    <row r="314" spans="1:8" x14ac:dyDescent="0.25">
      <c r="C314" t="s">
        <v>846</v>
      </c>
      <c r="D314" t="s">
        <v>13</v>
      </c>
      <c r="E314">
        <v>10</v>
      </c>
      <c r="F314" s="79">
        <f>E314*8000</f>
        <v>80000</v>
      </c>
      <c r="G314" s="79">
        <f>E314*4500</f>
        <v>45000</v>
      </c>
      <c r="H314" s="79">
        <f>E314*3500</f>
        <v>35000</v>
      </c>
    </row>
    <row r="315" spans="1:8" x14ac:dyDescent="0.25">
      <c r="D315" t="s">
        <v>14</v>
      </c>
      <c r="E315">
        <v>10</v>
      </c>
      <c r="F315" s="79">
        <f>E315*12000</f>
        <v>120000</v>
      </c>
      <c r="G315" s="79">
        <f>E315*5500</f>
        <v>55000</v>
      </c>
      <c r="H315" s="79">
        <f>E315*6500</f>
        <v>65000</v>
      </c>
    </row>
    <row r="316" spans="1:8" x14ac:dyDescent="0.25">
      <c r="D316" t="s">
        <v>243</v>
      </c>
      <c r="E316">
        <v>2</v>
      </c>
      <c r="F316" s="79">
        <f>E316*17000</f>
        <v>34000</v>
      </c>
      <c r="G316" s="79">
        <f>E316*10000</f>
        <v>20000</v>
      </c>
      <c r="H316" s="79">
        <f>E316*7000</f>
        <v>14000</v>
      </c>
    </row>
    <row r="317" spans="1:8" x14ac:dyDescent="0.25">
      <c r="D317" t="s">
        <v>906</v>
      </c>
      <c r="E317">
        <v>1</v>
      </c>
      <c r="F317" s="79">
        <v>7000</v>
      </c>
      <c r="G317" s="79">
        <v>3500</v>
      </c>
      <c r="H317" s="79">
        <v>3500</v>
      </c>
    </row>
    <row r="318" spans="1:8" x14ac:dyDescent="0.25">
      <c r="D318" t="s">
        <v>905</v>
      </c>
      <c r="E318">
        <v>4</v>
      </c>
      <c r="F318" s="79">
        <f>E318*3000</f>
        <v>12000</v>
      </c>
      <c r="G318" s="79">
        <v>6000</v>
      </c>
      <c r="H318" s="79">
        <v>6000</v>
      </c>
    </row>
    <row r="319" spans="1:8" x14ac:dyDescent="0.25">
      <c r="D319" t="s">
        <v>902</v>
      </c>
      <c r="E319">
        <v>11</v>
      </c>
      <c r="F319" s="79">
        <f>E319*8000</f>
        <v>88000</v>
      </c>
      <c r="G319" s="79">
        <v>44000</v>
      </c>
      <c r="H319" s="79">
        <v>44000</v>
      </c>
    </row>
    <row r="320" spans="1:8" x14ac:dyDescent="0.25">
      <c r="A320" s="112" t="s">
        <v>17</v>
      </c>
      <c r="B320" s="112"/>
      <c r="C320" s="112"/>
      <c r="D320" s="112"/>
      <c r="E320" s="78">
        <f>SUM(E311:E319)</f>
        <v>215</v>
      </c>
      <c r="F320" s="78">
        <f t="shared" ref="F320:H320" si="26">SUM(F311:F319)</f>
        <v>653600</v>
      </c>
      <c r="G320" s="78">
        <f t="shared" si="26"/>
        <v>262000</v>
      </c>
      <c r="H320" s="78">
        <f t="shared" si="26"/>
        <v>391600</v>
      </c>
    </row>
    <row r="321" spans="1:12" x14ac:dyDescent="0.25">
      <c r="A321" t="s">
        <v>895</v>
      </c>
      <c r="B321" s="3">
        <v>45626</v>
      </c>
      <c r="C321" t="s">
        <v>581</v>
      </c>
      <c r="D321" t="s">
        <v>11</v>
      </c>
      <c r="E321">
        <f>850500/1500</f>
        <v>567</v>
      </c>
      <c r="F321" s="79">
        <f>E321*1500</f>
        <v>850500</v>
      </c>
      <c r="G321" s="79">
        <f>E321*500</f>
        <v>283500</v>
      </c>
      <c r="H321" s="79">
        <f>E321*1000</f>
        <v>567000</v>
      </c>
    </row>
    <row r="322" spans="1:12" x14ac:dyDescent="0.25">
      <c r="C322" t="s">
        <v>104</v>
      </c>
      <c r="D322" t="s">
        <v>11</v>
      </c>
      <c r="E322">
        <v>11</v>
      </c>
      <c r="F322" s="79">
        <f>E322*1700</f>
        <v>18700</v>
      </c>
      <c r="G322" s="79">
        <f>E322*500</f>
        <v>5500</v>
      </c>
      <c r="H322" s="79">
        <f>E322*1200</f>
        <v>13200</v>
      </c>
    </row>
    <row r="323" spans="1:12" x14ac:dyDescent="0.25">
      <c r="C323" t="s">
        <v>846</v>
      </c>
      <c r="D323" t="s">
        <v>13</v>
      </c>
      <c r="E323">
        <v>7</v>
      </c>
      <c r="F323" s="79">
        <f>E323*8000</f>
        <v>56000</v>
      </c>
      <c r="G323" s="79">
        <f>E323*4500</f>
        <v>31500</v>
      </c>
      <c r="H323" s="79">
        <f>E323*3500</f>
        <v>24500</v>
      </c>
    </row>
    <row r="324" spans="1:12" x14ac:dyDescent="0.25">
      <c r="D324" t="s">
        <v>14</v>
      </c>
      <c r="E324">
        <v>2</v>
      </c>
      <c r="F324" s="79">
        <f>E324*12000</f>
        <v>24000</v>
      </c>
      <c r="G324" s="79">
        <f>E324*5500</f>
        <v>11000</v>
      </c>
      <c r="H324" s="79">
        <f>E324*6500</f>
        <v>13000</v>
      </c>
    </row>
    <row r="325" spans="1:12" x14ac:dyDescent="0.25">
      <c r="C325" t="s">
        <v>24</v>
      </c>
      <c r="D325" t="s">
        <v>243</v>
      </c>
      <c r="E325">
        <v>4</v>
      </c>
      <c r="F325" s="79">
        <f>E325*15000</f>
        <v>60000</v>
      </c>
      <c r="G325" s="79">
        <f>E325*10000</f>
        <v>40000</v>
      </c>
      <c r="H325" s="79">
        <f>E325*5000</f>
        <v>20000</v>
      </c>
    </row>
    <row r="326" spans="1:12" x14ac:dyDescent="0.25">
      <c r="A326" s="112" t="s">
        <v>17</v>
      </c>
      <c r="B326" s="112"/>
      <c r="C326" s="112"/>
      <c r="D326" s="112"/>
      <c r="E326" s="78">
        <f>SUM(E321:E325)</f>
        <v>591</v>
      </c>
      <c r="F326" s="78">
        <f t="shared" ref="F326:H326" si="27">SUM(F321:F325)</f>
        <v>1009200</v>
      </c>
      <c r="G326" s="78">
        <f t="shared" si="27"/>
        <v>371500</v>
      </c>
      <c r="H326" s="78">
        <f t="shared" si="27"/>
        <v>637700</v>
      </c>
    </row>
    <row r="327" spans="1:12" x14ac:dyDescent="0.25">
      <c r="K327">
        <f>E11+E131+E321</f>
        <v>1291</v>
      </c>
    </row>
    <row r="330" spans="1:12" x14ac:dyDescent="0.25">
      <c r="L330">
        <f>E46+E220+E290</f>
        <v>215</v>
      </c>
    </row>
    <row r="333" spans="1:12" x14ac:dyDescent="0.25">
      <c r="L333">
        <f>E33+E85+E130+E241+E305</f>
        <v>81</v>
      </c>
    </row>
    <row r="337" spans="11:11" x14ac:dyDescent="0.25">
      <c r="K337">
        <f>E193+E101+E16</f>
        <v>33</v>
      </c>
    </row>
  </sheetData>
  <autoFilter ref="A1:H326" xr:uid="{0C1A650A-8446-4FAA-95DA-A6EF45B905D9}"/>
  <mergeCells count="30">
    <mergeCell ref="A326:D326"/>
    <mergeCell ref="A73:D73"/>
    <mergeCell ref="A10:D10"/>
    <mergeCell ref="A15:D15"/>
    <mergeCell ref="A30:D30"/>
    <mergeCell ref="A43:D43"/>
    <mergeCell ref="A59:D59"/>
    <mergeCell ref="A167:D167"/>
    <mergeCell ref="A248:D248"/>
    <mergeCell ref="A82:D82"/>
    <mergeCell ref="A208:D208"/>
    <mergeCell ref="A192:D192"/>
    <mergeCell ref="A100:D100"/>
    <mergeCell ref="A118:D118"/>
    <mergeCell ref="A94:D94"/>
    <mergeCell ref="A142:D142"/>
    <mergeCell ref="A126:D126"/>
    <mergeCell ref="A152:D152"/>
    <mergeCell ref="A237:D237"/>
    <mergeCell ref="A320:D320"/>
    <mergeCell ref="A228:D228"/>
    <mergeCell ref="A217:D217"/>
    <mergeCell ref="A297:D297"/>
    <mergeCell ref="A179:D179"/>
    <mergeCell ref="A310:D310"/>
    <mergeCell ref="A264:D264"/>
    <mergeCell ref="A278:D278"/>
    <mergeCell ref="A286:D286"/>
    <mergeCell ref="A258:D258"/>
    <mergeCell ref="A302:D30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CB27-5EF0-439E-A10E-B74050BA29B7}">
  <sheetPr filterMode="1"/>
  <dimension ref="A1:P271"/>
  <sheetViews>
    <sheetView workbookViewId="0">
      <selection activeCell="K4" sqref="K4"/>
    </sheetView>
  </sheetViews>
  <sheetFormatPr defaultRowHeight="15" x14ac:dyDescent="0.25"/>
  <cols>
    <col min="2" max="2" width="10.7109375" bestFit="1" customWidth="1"/>
    <col min="5" max="5" width="9.42578125" bestFit="1" customWidth="1"/>
    <col min="6" max="6" width="10.7109375" bestFit="1" customWidth="1"/>
    <col min="7" max="7" width="10.5703125" bestFit="1" customWidth="1"/>
    <col min="8" max="8" width="11.28515625" customWidth="1"/>
    <col min="10" max="10" width="21.7109375" customWidth="1"/>
    <col min="12" max="12" width="15.5703125" customWidth="1"/>
    <col min="16" max="16" width="11.42578125" customWidth="1"/>
  </cols>
  <sheetData>
    <row r="1" spans="1:12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12" hidden="1" x14ac:dyDescent="0.25">
      <c r="A2" t="s">
        <v>8</v>
      </c>
      <c r="B2" s="3">
        <v>45658</v>
      </c>
      <c r="C2" t="s">
        <v>20</v>
      </c>
      <c r="D2" t="s">
        <v>11</v>
      </c>
      <c r="E2">
        <v>5</v>
      </c>
      <c r="F2" s="79">
        <f>E2*3000</f>
        <v>15000</v>
      </c>
      <c r="G2" s="79">
        <f>E2*500</f>
        <v>2500</v>
      </c>
      <c r="H2" s="79">
        <f>E2*2500</f>
        <v>12500</v>
      </c>
    </row>
    <row r="3" spans="1:12" hidden="1" x14ac:dyDescent="0.25">
      <c r="D3" t="s">
        <v>13</v>
      </c>
      <c r="E3">
        <v>4</v>
      </c>
      <c r="F3" s="79">
        <f>E3*8000</f>
        <v>32000</v>
      </c>
      <c r="G3" s="79">
        <f>E3*4500</f>
        <v>18000</v>
      </c>
      <c r="H3" s="79">
        <f>E3*3500</f>
        <v>14000</v>
      </c>
    </row>
    <row r="4" spans="1:12" hidden="1" x14ac:dyDescent="0.25">
      <c r="D4" t="s">
        <v>14</v>
      </c>
      <c r="E4">
        <v>3</v>
      </c>
      <c r="F4" s="79">
        <f>E4*1200</f>
        <v>3600</v>
      </c>
      <c r="G4" s="79">
        <f>E4*5500</f>
        <v>16500</v>
      </c>
      <c r="H4" s="79">
        <f>E4*6500</f>
        <v>19500</v>
      </c>
    </row>
    <row r="5" spans="1:12" hidden="1" x14ac:dyDescent="0.25">
      <c r="C5" t="s">
        <v>24</v>
      </c>
      <c r="D5" t="s">
        <v>243</v>
      </c>
      <c r="E5">
        <v>2</v>
      </c>
      <c r="F5" s="79">
        <v>30000</v>
      </c>
      <c r="G5" s="79">
        <v>20000</v>
      </c>
      <c r="H5" s="79">
        <v>10000</v>
      </c>
    </row>
    <row r="6" spans="1:12" hidden="1" x14ac:dyDescent="0.25">
      <c r="A6" s="112" t="s">
        <v>17</v>
      </c>
      <c r="B6" s="112"/>
      <c r="C6" s="112"/>
      <c r="D6" s="112"/>
      <c r="E6" s="78">
        <f>SUM(E2:E5)</f>
        <v>14</v>
      </c>
      <c r="F6" s="78">
        <f t="shared" ref="F6:H6" si="0">SUM(F2:F5)</f>
        <v>80600</v>
      </c>
      <c r="G6" s="78">
        <f t="shared" si="0"/>
        <v>57000</v>
      </c>
      <c r="H6" s="78">
        <f t="shared" si="0"/>
        <v>56000</v>
      </c>
    </row>
    <row r="7" spans="1:12" hidden="1" x14ac:dyDescent="0.25">
      <c r="A7" t="s">
        <v>18</v>
      </c>
      <c r="B7" s="3">
        <v>45659</v>
      </c>
      <c r="C7" t="s">
        <v>846</v>
      </c>
      <c r="D7" t="s">
        <v>13</v>
      </c>
      <c r="E7">
        <v>8</v>
      </c>
      <c r="F7" s="79">
        <f>E7*8000</f>
        <v>64000</v>
      </c>
      <c r="G7" s="79">
        <f>E7*4500</f>
        <v>36000</v>
      </c>
      <c r="H7" s="79">
        <f>E7*3500</f>
        <v>28000</v>
      </c>
    </row>
    <row r="8" spans="1:12" hidden="1" x14ac:dyDescent="0.25">
      <c r="D8" t="s">
        <v>14</v>
      </c>
      <c r="E8">
        <v>7</v>
      </c>
      <c r="F8" s="79">
        <f>E8*12000</f>
        <v>84000</v>
      </c>
      <c r="G8" s="79">
        <f>E8*5500</f>
        <v>38500</v>
      </c>
      <c r="H8" s="79">
        <f>E8*6500</f>
        <v>45500</v>
      </c>
    </row>
    <row r="9" spans="1:12" hidden="1" x14ac:dyDescent="0.25">
      <c r="D9" t="s">
        <v>902</v>
      </c>
      <c r="E9">
        <v>5</v>
      </c>
      <c r="F9" s="79">
        <f>E9*8000</f>
        <v>40000</v>
      </c>
      <c r="G9" s="79">
        <v>20000</v>
      </c>
      <c r="H9" s="79">
        <v>20000</v>
      </c>
      <c r="L9" t="s">
        <v>612</v>
      </c>
    </row>
    <row r="10" spans="1:12" hidden="1" x14ac:dyDescent="0.25">
      <c r="D10" t="s">
        <v>243</v>
      </c>
      <c r="E10">
        <v>4</v>
      </c>
      <c r="F10" s="79">
        <f>E10*17000</f>
        <v>68000</v>
      </c>
      <c r="G10" s="79">
        <f>E10*10000</f>
        <v>40000</v>
      </c>
      <c r="H10" s="79">
        <f>E10*7000</f>
        <v>28000</v>
      </c>
    </row>
    <row r="11" spans="1:12" hidden="1" x14ac:dyDescent="0.25">
      <c r="C11" t="s">
        <v>24</v>
      </c>
      <c r="D11" t="s">
        <v>243</v>
      </c>
      <c r="E11">
        <v>2</v>
      </c>
      <c r="F11" s="79">
        <f>E11*15000</f>
        <v>30000</v>
      </c>
      <c r="G11" s="79">
        <v>20000</v>
      </c>
      <c r="H11" s="79">
        <v>10000</v>
      </c>
    </row>
    <row r="12" spans="1:12" hidden="1" x14ac:dyDescent="0.25">
      <c r="D12" t="s">
        <v>21</v>
      </c>
      <c r="E12">
        <v>2</v>
      </c>
      <c r="F12" s="79">
        <f>E12*20000</f>
        <v>40000</v>
      </c>
      <c r="G12" s="79">
        <v>20000</v>
      </c>
      <c r="H12" s="79">
        <v>20000</v>
      </c>
    </row>
    <row r="13" spans="1:12" hidden="1" x14ac:dyDescent="0.25">
      <c r="C13" t="s">
        <v>554</v>
      </c>
      <c r="D13" t="s">
        <v>13</v>
      </c>
      <c r="E13">
        <v>4</v>
      </c>
      <c r="F13" s="79"/>
      <c r="G13" s="79"/>
      <c r="H13" s="79"/>
    </row>
    <row r="14" spans="1:12" hidden="1" x14ac:dyDescent="0.25">
      <c r="D14" t="s">
        <v>14</v>
      </c>
      <c r="E14">
        <v>4</v>
      </c>
      <c r="F14" s="79"/>
      <c r="G14" s="79"/>
      <c r="H14" s="79"/>
      <c r="K14">
        <f>E4+E8+E14+E19+E30+E34+E39+E47+E50+E57+E67+E76+E85+E90+E99+E104+E114+E118+E129+E138+E151+E156+E163+E173+E182+E184+E196+E202+E212+E222+E226+E229+E235+E241+E253</f>
        <v>221</v>
      </c>
    </row>
    <row r="15" spans="1:12" hidden="1" x14ac:dyDescent="0.25">
      <c r="A15" s="112" t="s">
        <v>17</v>
      </c>
      <c r="B15" s="112"/>
      <c r="C15" s="112"/>
      <c r="D15" s="112"/>
      <c r="E15" s="78">
        <f>SUM(E7:E14)</f>
        <v>36</v>
      </c>
      <c r="F15" s="78">
        <f t="shared" ref="F15:H15" si="1">SUM(F7:F14)</f>
        <v>326000</v>
      </c>
      <c r="G15" s="78">
        <f t="shared" si="1"/>
        <v>174500</v>
      </c>
      <c r="H15" s="78">
        <f t="shared" si="1"/>
        <v>151500</v>
      </c>
    </row>
    <row r="16" spans="1:12" hidden="1" x14ac:dyDescent="0.25">
      <c r="A16" t="s">
        <v>22</v>
      </c>
      <c r="B16" s="3">
        <v>45660</v>
      </c>
      <c r="C16" t="s">
        <v>338</v>
      </c>
      <c r="D16" t="s">
        <v>11</v>
      </c>
      <c r="E16">
        <v>85</v>
      </c>
      <c r="F16" s="79">
        <f>E16*1800</f>
        <v>153000</v>
      </c>
      <c r="G16" s="79">
        <f>E16*500</f>
        <v>42500</v>
      </c>
      <c r="H16" s="79">
        <f>E16*1300</f>
        <v>110500</v>
      </c>
    </row>
    <row r="17" spans="1:11" hidden="1" x14ac:dyDescent="0.25">
      <c r="C17" t="s">
        <v>104</v>
      </c>
      <c r="D17" t="s">
        <v>11</v>
      </c>
      <c r="E17">
        <v>30</v>
      </c>
      <c r="F17" s="79">
        <f>E17*1700</f>
        <v>51000</v>
      </c>
      <c r="G17" s="79">
        <f>E17*500</f>
        <v>15000</v>
      </c>
      <c r="H17" s="79">
        <f>E17*1200</f>
        <v>36000</v>
      </c>
    </row>
    <row r="18" spans="1:11" hidden="1" x14ac:dyDescent="0.25">
      <c r="C18" t="s">
        <v>846</v>
      </c>
      <c r="D18" t="s">
        <v>13</v>
      </c>
      <c r="E18">
        <v>5</v>
      </c>
      <c r="F18" s="79">
        <f>E18*8000</f>
        <v>40000</v>
      </c>
      <c r="G18" s="79">
        <f>E18*4500</f>
        <v>22500</v>
      </c>
      <c r="H18" s="79">
        <f>E18*3500</f>
        <v>17500</v>
      </c>
    </row>
    <row r="19" spans="1:11" hidden="1" x14ac:dyDescent="0.25">
      <c r="D19" t="s">
        <v>14</v>
      </c>
      <c r="E19">
        <v>3</v>
      </c>
      <c r="F19" s="79">
        <f>E19*12000</f>
        <v>36000</v>
      </c>
      <c r="G19" s="79">
        <f>E19*5500</f>
        <v>16500</v>
      </c>
      <c r="H19" s="79">
        <f>E19*6500</f>
        <v>19500</v>
      </c>
    </row>
    <row r="20" spans="1:11" hidden="1" x14ac:dyDescent="0.25">
      <c r="D20" t="s">
        <v>11</v>
      </c>
      <c r="E20">
        <v>4</v>
      </c>
      <c r="F20" s="79">
        <v>12000</v>
      </c>
      <c r="G20" s="79">
        <f>E20*500</f>
        <v>2000</v>
      </c>
      <c r="H20" s="79">
        <f>E20*2500</f>
        <v>10000</v>
      </c>
    </row>
    <row r="21" spans="1:11" hidden="1" x14ac:dyDescent="0.25">
      <c r="D21" t="s">
        <v>243</v>
      </c>
      <c r="E21">
        <v>1</v>
      </c>
      <c r="F21" s="79">
        <v>17000</v>
      </c>
      <c r="G21" s="79">
        <v>10000</v>
      </c>
      <c r="H21" s="79">
        <v>7000</v>
      </c>
    </row>
    <row r="22" spans="1:11" hidden="1" x14ac:dyDescent="0.25">
      <c r="D22" t="s">
        <v>21</v>
      </c>
      <c r="E22">
        <v>2</v>
      </c>
      <c r="F22" s="79">
        <v>40000</v>
      </c>
      <c r="G22" s="79">
        <v>20000</v>
      </c>
      <c r="H22" s="79">
        <v>20000</v>
      </c>
    </row>
    <row r="23" spans="1:11" hidden="1" x14ac:dyDescent="0.25">
      <c r="C23" t="s">
        <v>24</v>
      </c>
      <c r="D23" t="s">
        <v>13</v>
      </c>
      <c r="E23">
        <v>8</v>
      </c>
      <c r="F23" s="79">
        <f>E23*8000</f>
        <v>64000</v>
      </c>
      <c r="G23" s="79">
        <f>E23*4500</f>
        <v>36000</v>
      </c>
      <c r="H23" s="79">
        <f>E23*3500</f>
        <v>28000</v>
      </c>
    </row>
    <row r="24" spans="1:11" hidden="1" x14ac:dyDescent="0.25">
      <c r="C24" t="s">
        <v>24</v>
      </c>
      <c r="D24" t="s">
        <v>243</v>
      </c>
      <c r="E24">
        <v>1</v>
      </c>
      <c r="F24" s="79">
        <v>15000</v>
      </c>
      <c r="G24" s="79">
        <v>10000</v>
      </c>
      <c r="H24" s="79">
        <v>5000</v>
      </c>
    </row>
    <row r="25" spans="1:11" hidden="1" x14ac:dyDescent="0.25">
      <c r="A25" s="112" t="s">
        <v>17</v>
      </c>
      <c r="B25" s="112"/>
      <c r="C25" s="112"/>
      <c r="D25" s="112"/>
      <c r="E25" s="78">
        <f>SUM(E16:E24)</f>
        <v>139</v>
      </c>
      <c r="F25" s="78">
        <f t="shared" ref="F25:H25" si="2">SUM(F16:F24)</f>
        <v>428000</v>
      </c>
      <c r="G25" s="78">
        <f t="shared" si="2"/>
        <v>174500</v>
      </c>
      <c r="H25" s="78">
        <f t="shared" si="2"/>
        <v>253500</v>
      </c>
    </row>
    <row r="26" spans="1:11" hidden="1" x14ac:dyDescent="0.25">
      <c r="A26" t="s">
        <v>26</v>
      </c>
      <c r="B26" s="3">
        <v>45661</v>
      </c>
      <c r="C26" t="s">
        <v>338</v>
      </c>
      <c r="D26" t="s">
        <v>11</v>
      </c>
      <c r="E26">
        <v>60</v>
      </c>
      <c r="F26">
        <f>E26*1800</f>
        <v>108000</v>
      </c>
      <c r="G26">
        <f>E26*500</f>
        <v>30000</v>
      </c>
      <c r="H26">
        <f>E26*1300</f>
        <v>78000</v>
      </c>
      <c r="K26">
        <f>E16+E26+E53+E62+E71+E92+E111+E120+E125+E132+E141+E146+E165+E175+E189+E206+E217+E258</f>
        <v>922</v>
      </c>
    </row>
    <row r="27" spans="1:11" hidden="1" x14ac:dyDescent="0.25">
      <c r="C27" t="s">
        <v>104</v>
      </c>
      <c r="D27" t="s">
        <v>11</v>
      </c>
      <c r="E27">
        <v>14</v>
      </c>
      <c r="F27">
        <f>E27*1700</f>
        <v>23800</v>
      </c>
      <c r="G27">
        <f>E27*500</f>
        <v>7000</v>
      </c>
      <c r="H27">
        <f>E27*1200</f>
        <v>16800</v>
      </c>
    </row>
    <row r="28" spans="1:11" hidden="1" x14ac:dyDescent="0.25">
      <c r="C28" t="s">
        <v>24</v>
      </c>
      <c r="D28" t="s">
        <v>243</v>
      </c>
      <c r="E28">
        <v>2</v>
      </c>
      <c r="F28">
        <v>30000</v>
      </c>
      <c r="G28">
        <v>20000</v>
      </c>
      <c r="H28">
        <v>10000</v>
      </c>
    </row>
    <row r="29" spans="1:11" hidden="1" x14ac:dyDescent="0.25">
      <c r="C29" t="s">
        <v>846</v>
      </c>
      <c r="D29" t="s">
        <v>13</v>
      </c>
      <c r="E29">
        <v>9</v>
      </c>
      <c r="F29">
        <v>8000</v>
      </c>
      <c r="G29">
        <v>4500</v>
      </c>
      <c r="H29">
        <v>3500</v>
      </c>
    </row>
    <row r="30" spans="1:11" hidden="1" x14ac:dyDescent="0.25">
      <c r="D30" t="s">
        <v>14</v>
      </c>
      <c r="E30">
        <v>1</v>
      </c>
      <c r="F30">
        <v>12000</v>
      </c>
      <c r="G30">
        <v>5500</v>
      </c>
      <c r="H30">
        <v>6500</v>
      </c>
    </row>
    <row r="31" spans="1:11" hidden="1" x14ac:dyDescent="0.25">
      <c r="A31" s="112" t="s">
        <v>17</v>
      </c>
      <c r="B31" s="112"/>
      <c r="C31" s="112"/>
      <c r="D31" s="112"/>
      <c r="E31" s="78">
        <f>SUM(E26:E30)</f>
        <v>86</v>
      </c>
      <c r="F31" s="78">
        <f t="shared" ref="F31:H31" si="3">SUM(F26:F30)</f>
        <v>181800</v>
      </c>
      <c r="G31" s="78">
        <f t="shared" si="3"/>
        <v>67000</v>
      </c>
      <c r="H31" s="78">
        <f t="shared" si="3"/>
        <v>114800</v>
      </c>
    </row>
    <row r="32" spans="1:11" hidden="1" x14ac:dyDescent="0.25">
      <c r="A32" t="s">
        <v>28</v>
      </c>
      <c r="B32" s="3">
        <v>45662</v>
      </c>
      <c r="C32" t="s">
        <v>693</v>
      </c>
      <c r="D32" t="s">
        <v>11</v>
      </c>
      <c r="E32">
        <v>5</v>
      </c>
      <c r="F32" s="79">
        <f>E32*2000</f>
        <v>10000</v>
      </c>
      <c r="G32" s="79">
        <f>E32*500</f>
        <v>2500</v>
      </c>
      <c r="H32" s="79">
        <f>E32*2500</f>
        <v>12500</v>
      </c>
    </row>
    <row r="33" spans="1:11" hidden="1" x14ac:dyDescent="0.25">
      <c r="D33" t="s">
        <v>13</v>
      </c>
      <c r="E33">
        <v>30</v>
      </c>
      <c r="F33" s="79">
        <f>E33*7000</f>
        <v>210000</v>
      </c>
      <c r="G33" s="79">
        <f>E33*4500</f>
        <v>135000</v>
      </c>
      <c r="H33" s="79">
        <f>E33*2500</f>
        <v>75000</v>
      </c>
    </row>
    <row r="34" spans="1:11" hidden="1" x14ac:dyDescent="0.25">
      <c r="D34" t="s">
        <v>912</v>
      </c>
      <c r="E34">
        <v>9</v>
      </c>
      <c r="F34" s="79">
        <f>E34*10000</f>
        <v>90000</v>
      </c>
      <c r="G34" s="79">
        <f>E34*5500</f>
        <v>49500</v>
      </c>
      <c r="H34" s="79">
        <f>E34*4500</f>
        <v>40500</v>
      </c>
    </row>
    <row r="35" spans="1:11" hidden="1" x14ac:dyDescent="0.25">
      <c r="D35" t="s">
        <v>902</v>
      </c>
      <c r="E35">
        <v>2</v>
      </c>
      <c r="F35" s="79">
        <v>14000</v>
      </c>
      <c r="G35" s="79">
        <v>7000</v>
      </c>
      <c r="H35" s="79">
        <v>7000</v>
      </c>
    </row>
    <row r="36" spans="1:11" hidden="1" x14ac:dyDescent="0.25">
      <c r="D36" t="s">
        <v>243</v>
      </c>
      <c r="E36">
        <v>3</v>
      </c>
      <c r="F36" s="79">
        <v>45000</v>
      </c>
      <c r="G36" s="79">
        <v>30000</v>
      </c>
      <c r="H36" s="79">
        <v>15000</v>
      </c>
    </row>
    <row r="37" spans="1:11" hidden="1" x14ac:dyDescent="0.25">
      <c r="C37" t="s">
        <v>217</v>
      </c>
      <c r="D37" t="s">
        <v>11</v>
      </c>
      <c r="E37">
        <v>7</v>
      </c>
      <c r="F37" s="79">
        <f>E37*1500</f>
        <v>10500</v>
      </c>
      <c r="G37" s="79">
        <f>E37*500</f>
        <v>3500</v>
      </c>
      <c r="H37" s="79">
        <f>E37*1500</f>
        <v>10500</v>
      </c>
    </row>
    <row r="38" spans="1:11" hidden="1" x14ac:dyDescent="0.25">
      <c r="D38" t="s">
        <v>13</v>
      </c>
      <c r="E38">
        <v>15</v>
      </c>
      <c r="F38" s="79">
        <f>E38*6500</f>
        <v>97500</v>
      </c>
      <c r="G38" s="79">
        <f>E38*4500</f>
        <v>67500</v>
      </c>
      <c r="H38" s="79">
        <f>E38*2000</f>
        <v>30000</v>
      </c>
    </row>
    <row r="39" spans="1:11" hidden="1" x14ac:dyDescent="0.25">
      <c r="D39" t="s">
        <v>14</v>
      </c>
      <c r="E39">
        <v>11</v>
      </c>
      <c r="F39" s="79">
        <f>E39*10000</f>
        <v>110000</v>
      </c>
      <c r="G39" s="79">
        <f>E39*5500</f>
        <v>60500</v>
      </c>
      <c r="H39" s="79">
        <f>E39*4500</f>
        <v>49500</v>
      </c>
    </row>
    <row r="40" spans="1:11" hidden="1" x14ac:dyDescent="0.25">
      <c r="C40" t="s">
        <v>846</v>
      </c>
      <c r="D40" t="s">
        <v>13</v>
      </c>
      <c r="E40">
        <v>1</v>
      </c>
      <c r="F40" s="79">
        <v>8000</v>
      </c>
      <c r="G40" s="79">
        <v>4500</v>
      </c>
      <c r="H40" s="79">
        <v>3500</v>
      </c>
    </row>
    <row r="41" spans="1:11" hidden="1" x14ac:dyDescent="0.25">
      <c r="D41" t="s">
        <v>404</v>
      </c>
      <c r="E41">
        <v>1</v>
      </c>
      <c r="F41" s="79">
        <v>3000</v>
      </c>
      <c r="G41" s="79">
        <v>1500</v>
      </c>
      <c r="H41" s="79">
        <v>1500</v>
      </c>
    </row>
    <row r="42" spans="1:11" hidden="1" x14ac:dyDescent="0.25">
      <c r="A42" s="112" t="s">
        <v>17</v>
      </c>
      <c r="B42" s="112"/>
      <c r="C42" s="112"/>
      <c r="D42" s="112"/>
      <c r="E42" s="78">
        <f>SUM(E32:E41)</f>
        <v>84</v>
      </c>
      <c r="F42" s="78">
        <f t="shared" ref="F42:H42" si="4">SUM(F32:F41)</f>
        <v>598000</v>
      </c>
      <c r="G42" s="78">
        <f t="shared" si="4"/>
        <v>361500</v>
      </c>
      <c r="H42" s="78">
        <f t="shared" si="4"/>
        <v>245000</v>
      </c>
    </row>
    <row r="43" spans="1:11" hidden="1" x14ac:dyDescent="0.25">
      <c r="A43" t="s">
        <v>30</v>
      </c>
      <c r="B43" s="3">
        <v>45663</v>
      </c>
      <c r="C43" t="s">
        <v>571</v>
      </c>
      <c r="D43" t="s">
        <v>11</v>
      </c>
      <c r="E43">
        <f>14+9</f>
        <v>23</v>
      </c>
      <c r="F43" s="79">
        <f>E43*1700</f>
        <v>39100</v>
      </c>
      <c r="G43" s="79">
        <f>E43*500</f>
        <v>11500</v>
      </c>
      <c r="H43" s="79">
        <f>E43*1200</f>
        <v>27600</v>
      </c>
    </row>
    <row r="44" spans="1:11" hidden="1" x14ac:dyDescent="0.25">
      <c r="C44" t="s">
        <v>104</v>
      </c>
      <c r="D44" t="s">
        <v>11</v>
      </c>
      <c r="E44">
        <v>24</v>
      </c>
      <c r="F44" s="79">
        <f>E44*1700</f>
        <v>40800</v>
      </c>
      <c r="G44" s="79">
        <f>E44*500</f>
        <v>12000</v>
      </c>
      <c r="H44" s="79">
        <f>E44*1200</f>
        <v>28800</v>
      </c>
    </row>
    <row r="45" spans="1:11" hidden="1" x14ac:dyDescent="0.25">
      <c r="C45" t="s">
        <v>24</v>
      </c>
      <c r="D45" t="s">
        <v>13</v>
      </c>
      <c r="E45">
        <v>10</v>
      </c>
      <c r="F45" s="79">
        <f>E45*8000</f>
        <v>80000</v>
      </c>
      <c r="G45" s="79">
        <f>E45*4500</f>
        <v>45000</v>
      </c>
      <c r="H45" s="79">
        <f>E45*3500</f>
        <v>35000</v>
      </c>
      <c r="K45">
        <f>E3+E7+E13+E18+E23+E29+E33+E38+E40+E45+E46+E49+E56+E66+E75+E84+E89+E98+E103+E106+E113+E117+E128+E137+E150+E155+E162+E172+E181+E183+E195+E211+E221+E225+E228+E228+E234+E240+E247+E252+E261</f>
        <v>372</v>
      </c>
    </row>
    <row r="46" spans="1:11" hidden="1" x14ac:dyDescent="0.25">
      <c r="C46" t="s">
        <v>24</v>
      </c>
      <c r="D46" t="s">
        <v>13</v>
      </c>
      <c r="E46">
        <v>4</v>
      </c>
      <c r="F46" s="79">
        <f>E46*8000</f>
        <v>32000</v>
      </c>
      <c r="G46" s="79">
        <f>E46*4500</f>
        <v>18000</v>
      </c>
      <c r="H46" s="79">
        <f>E46*3500</f>
        <v>14000</v>
      </c>
    </row>
    <row r="47" spans="1:11" hidden="1" x14ac:dyDescent="0.25">
      <c r="D47" t="s">
        <v>14</v>
      </c>
      <c r="E47">
        <v>2</v>
      </c>
      <c r="F47" s="79">
        <v>20000</v>
      </c>
      <c r="G47" s="79">
        <v>11000</v>
      </c>
      <c r="H47" s="79">
        <v>9000</v>
      </c>
    </row>
    <row r="48" spans="1:11" hidden="1" x14ac:dyDescent="0.25">
      <c r="D48" t="s">
        <v>243</v>
      </c>
      <c r="E48">
        <v>2</v>
      </c>
      <c r="F48" s="79">
        <v>30000</v>
      </c>
      <c r="G48" s="79">
        <v>20000</v>
      </c>
      <c r="H48" s="79">
        <v>10000</v>
      </c>
    </row>
    <row r="49" spans="1:8" hidden="1" x14ac:dyDescent="0.25">
      <c r="C49" t="s">
        <v>20</v>
      </c>
      <c r="D49" t="s">
        <v>13</v>
      </c>
      <c r="E49">
        <v>4</v>
      </c>
      <c r="F49" s="79">
        <f>E49*8000</f>
        <v>32000</v>
      </c>
      <c r="G49" s="79">
        <f>E49*4500</f>
        <v>18000</v>
      </c>
      <c r="H49" s="79">
        <f>E49*3500</f>
        <v>14000</v>
      </c>
    </row>
    <row r="50" spans="1:8" hidden="1" x14ac:dyDescent="0.25">
      <c r="D50" t="s">
        <v>14</v>
      </c>
      <c r="E50">
        <v>4</v>
      </c>
      <c r="F50" s="79">
        <f>E50*12000</f>
        <v>48000</v>
      </c>
      <c r="G50" s="79">
        <f>E50*5500</f>
        <v>22000</v>
      </c>
      <c r="H50" s="79">
        <f>E50*6500</f>
        <v>26000</v>
      </c>
    </row>
    <row r="51" spans="1:8" hidden="1" x14ac:dyDescent="0.25">
      <c r="D51" t="s">
        <v>902</v>
      </c>
      <c r="E51">
        <v>2</v>
      </c>
      <c r="F51" s="79">
        <v>16000</v>
      </c>
      <c r="G51" s="79">
        <v>8000</v>
      </c>
      <c r="H51" s="79">
        <v>8000</v>
      </c>
    </row>
    <row r="52" spans="1:8" hidden="1" x14ac:dyDescent="0.25">
      <c r="A52" s="112" t="s">
        <v>17</v>
      </c>
      <c r="B52" s="112"/>
      <c r="C52" s="112"/>
      <c r="D52" s="112"/>
      <c r="E52" s="78">
        <f>SUM(E43:E51)</f>
        <v>75</v>
      </c>
      <c r="F52" s="78">
        <f t="shared" ref="F52:H52" si="5">SUM(F43:F51)</f>
        <v>337900</v>
      </c>
      <c r="G52" s="78">
        <f t="shared" si="5"/>
        <v>165500</v>
      </c>
      <c r="H52" s="78">
        <f t="shared" si="5"/>
        <v>172400</v>
      </c>
    </row>
    <row r="53" spans="1:8" hidden="1" x14ac:dyDescent="0.25">
      <c r="A53" t="s">
        <v>32</v>
      </c>
      <c r="B53" s="3">
        <v>45664</v>
      </c>
      <c r="C53" t="s">
        <v>338</v>
      </c>
      <c r="D53" t="s">
        <v>11</v>
      </c>
      <c r="E53">
        <v>50</v>
      </c>
      <c r="F53" s="79">
        <f>E53*1500</f>
        <v>75000</v>
      </c>
      <c r="G53" s="79">
        <f>E53*500</f>
        <v>25000</v>
      </c>
      <c r="H53" s="79">
        <f>E53*1000</f>
        <v>50000</v>
      </c>
    </row>
    <row r="54" spans="1:8" hidden="1" x14ac:dyDescent="0.25">
      <c r="C54" t="s">
        <v>571</v>
      </c>
      <c r="D54" t="s">
        <v>11</v>
      </c>
      <c r="E54">
        <v>28</v>
      </c>
      <c r="F54" s="79">
        <f>E54*1700</f>
        <v>47600</v>
      </c>
      <c r="G54" s="79">
        <f>E54*500</f>
        <v>14000</v>
      </c>
      <c r="H54" s="79">
        <f>E54*1200</f>
        <v>33600</v>
      </c>
    </row>
    <row r="55" spans="1:8" hidden="1" x14ac:dyDescent="0.25">
      <c r="C55" t="s">
        <v>104</v>
      </c>
      <c r="D55" t="s">
        <v>11</v>
      </c>
      <c r="E55">
        <v>21</v>
      </c>
      <c r="F55" s="79">
        <f>E55*1700</f>
        <v>35700</v>
      </c>
      <c r="G55" s="79">
        <f>E55*500</f>
        <v>10500</v>
      </c>
      <c r="H55" s="79">
        <f>E55*1200</f>
        <v>25200</v>
      </c>
    </row>
    <row r="56" spans="1:8" hidden="1" x14ac:dyDescent="0.25">
      <c r="C56" t="s">
        <v>846</v>
      </c>
      <c r="D56" t="s">
        <v>13</v>
      </c>
      <c r="E56">
        <v>3</v>
      </c>
      <c r="F56" s="79">
        <f>E56*8000</f>
        <v>24000</v>
      </c>
      <c r="G56" s="79">
        <f>E56*4500</f>
        <v>13500</v>
      </c>
      <c r="H56" s="79">
        <f>E56*3500</f>
        <v>10500</v>
      </c>
    </row>
    <row r="57" spans="1:8" hidden="1" x14ac:dyDescent="0.25">
      <c r="D57" t="s">
        <v>14</v>
      </c>
      <c r="E57">
        <v>4</v>
      </c>
      <c r="F57" s="79">
        <f>E57*12000</f>
        <v>48000</v>
      </c>
      <c r="G57" s="79">
        <f>E57*5500</f>
        <v>22000</v>
      </c>
      <c r="H57" s="79">
        <f>E57*6500</f>
        <v>26000</v>
      </c>
    </row>
    <row r="58" spans="1:8" hidden="1" x14ac:dyDescent="0.25">
      <c r="D58" t="s">
        <v>902</v>
      </c>
      <c r="E58">
        <v>3</v>
      </c>
      <c r="F58" s="79">
        <f>E58*8000</f>
        <v>24000</v>
      </c>
      <c r="G58" s="79">
        <v>12000</v>
      </c>
      <c r="H58" s="79">
        <v>12000</v>
      </c>
    </row>
    <row r="59" spans="1:8" hidden="1" x14ac:dyDescent="0.25">
      <c r="C59" t="s">
        <v>894</v>
      </c>
      <c r="D59" t="s">
        <v>11</v>
      </c>
      <c r="E59">
        <v>30</v>
      </c>
      <c r="F59" s="79">
        <f>E59*1500</f>
        <v>45000</v>
      </c>
      <c r="G59" s="79">
        <f>E59*500</f>
        <v>15000</v>
      </c>
      <c r="H59" s="79">
        <f>E59*1000</f>
        <v>30000</v>
      </c>
    </row>
    <row r="60" spans="1:8" hidden="1" x14ac:dyDescent="0.25">
      <c r="B60" s="3">
        <v>45664</v>
      </c>
      <c r="C60" t="s">
        <v>913</v>
      </c>
      <c r="D60" t="s">
        <v>243</v>
      </c>
      <c r="E60">
        <v>50</v>
      </c>
      <c r="F60" s="79">
        <f>E60*10000</f>
        <v>500000</v>
      </c>
      <c r="G60" s="79">
        <f>E60*8500</f>
        <v>425000</v>
      </c>
      <c r="H60" s="79">
        <f>E60*1500</f>
        <v>75000</v>
      </c>
    </row>
    <row r="61" spans="1:8" hidden="1" x14ac:dyDescent="0.25">
      <c r="A61" s="112" t="s">
        <v>17</v>
      </c>
      <c r="B61" s="112"/>
      <c r="C61" s="112"/>
      <c r="D61" s="112"/>
      <c r="E61" s="78">
        <f>SUM(E53:E60)</f>
        <v>189</v>
      </c>
      <c r="F61" s="78">
        <f>SUM(F53:F60)</f>
        <v>799300</v>
      </c>
      <c r="G61" s="78">
        <f>SUM(G53:G60)</f>
        <v>537000</v>
      </c>
      <c r="H61" s="78">
        <f t="shared" ref="H61" si="6">SUM(H53:H60)</f>
        <v>262300</v>
      </c>
    </row>
    <row r="62" spans="1:8" hidden="1" x14ac:dyDescent="0.25">
      <c r="A62" t="s">
        <v>8</v>
      </c>
      <c r="B62" s="3">
        <v>45665</v>
      </c>
      <c r="C62" t="s">
        <v>338</v>
      </c>
      <c r="D62" t="s">
        <v>11</v>
      </c>
      <c r="E62">
        <v>87</v>
      </c>
      <c r="F62" s="79">
        <f>E62*1500</f>
        <v>130500</v>
      </c>
      <c r="G62" s="79">
        <f>E62*500</f>
        <v>43500</v>
      </c>
      <c r="H62" s="79">
        <f>E62*1000</f>
        <v>87000</v>
      </c>
    </row>
    <row r="63" spans="1:8" hidden="1" x14ac:dyDescent="0.25">
      <c r="C63" t="s">
        <v>571</v>
      </c>
      <c r="D63" t="s">
        <v>11</v>
      </c>
      <c r="E63">
        <v>12</v>
      </c>
      <c r="F63" s="79">
        <f>E63*1700</f>
        <v>20400</v>
      </c>
      <c r="G63" s="79">
        <f>E63*500</f>
        <v>6000</v>
      </c>
      <c r="H63" s="79">
        <f>E63*1200</f>
        <v>14400</v>
      </c>
    </row>
    <row r="64" spans="1:8" hidden="1" x14ac:dyDescent="0.25">
      <c r="C64" t="s">
        <v>306</v>
      </c>
      <c r="D64" t="s">
        <v>11</v>
      </c>
      <c r="E64">
        <v>16</v>
      </c>
      <c r="F64" s="79">
        <f>E64*1800</f>
        <v>28800</v>
      </c>
      <c r="G64" s="79">
        <f>E64*500</f>
        <v>8000</v>
      </c>
      <c r="H64" s="79">
        <f>E64*1300</f>
        <v>20800</v>
      </c>
    </row>
    <row r="65" spans="1:8" hidden="1" x14ac:dyDescent="0.25">
      <c r="C65" t="s">
        <v>104</v>
      </c>
      <c r="D65" t="s">
        <v>11</v>
      </c>
      <c r="E65">
        <v>22</v>
      </c>
      <c r="F65" s="79">
        <f>E65*1700</f>
        <v>37400</v>
      </c>
      <c r="G65" s="79">
        <f>E65*500</f>
        <v>11000</v>
      </c>
      <c r="H65" s="79">
        <f>E65*1200</f>
        <v>26400</v>
      </c>
    </row>
    <row r="66" spans="1:8" hidden="1" x14ac:dyDescent="0.25">
      <c r="C66" t="s">
        <v>846</v>
      </c>
      <c r="D66" t="s">
        <v>13</v>
      </c>
      <c r="E66">
        <v>3</v>
      </c>
      <c r="F66" s="79">
        <f>E66*8000</f>
        <v>24000</v>
      </c>
      <c r="G66" s="79">
        <f>E66*4500</f>
        <v>13500</v>
      </c>
      <c r="H66" s="79">
        <f>E66*3500</f>
        <v>10500</v>
      </c>
    </row>
    <row r="67" spans="1:8" hidden="1" x14ac:dyDescent="0.25">
      <c r="D67" t="s">
        <v>14</v>
      </c>
      <c r="E67">
        <v>1</v>
      </c>
      <c r="F67" s="79">
        <v>12000</v>
      </c>
      <c r="G67" s="79">
        <v>5500</v>
      </c>
      <c r="H67" s="79">
        <v>6500</v>
      </c>
    </row>
    <row r="68" spans="1:8" hidden="1" x14ac:dyDescent="0.25">
      <c r="D68" t="s">
        <v>902</v>
      </c>
      <c r="E68">
        <v>2</v>
      </c>
      <c r="F68" s="79">
        <v>16000</v>
      </c>
      <c r="G68" s="79">
        <v>8000</v>
      </c>
      <c r="H68" s="79">
        <v>8000</v>
      </c>
    </row>
    <row r="69" spans="1:8" hidden="1" x14ac:dyDescent="0.25">
      <c r="C69" t="s">
        <v>24</v>
      </c>
      <c r="D69" t="s">
        <v>243</v>
      </c>
      <c r="E69">
        <v>3</v>
      </c>
      <c r="F69" s="79">
        <f>E69*13000</f>
        <v>39000</v>
      </c>
      <c r="G69" s="79">
        <f>E69*10000</f>
        <v>30000</v>
      </c>
      <c r="H69" s="79">
        <f>E69*3000</f>
        <v>9000</v>
      </c>
    </row>
    <row r="70" spans="1:8" hidden="1" x14ac:dyDescent="0.25">
      <c r="A70" s="112" t="s">
        <v>17</v>
      </c>
      <c r="B70" s="112"/>
      <c r="C70" s="112"/>
      <c r="D70" s="112"/>
      <c r="E70" s="78">
        <f>SUM(E62:E69)</f>
        <v>146</v>
      </c>
      <c r="F70" s="78">
        <f t="shared" ref="F70:H70" si="7">SUM(F62:F69)</f>
        <v>308100</v>
      </c>
      <c r="G70" s="78">
        <f t="shared" si="7"/>
        <v>125500</v>
      </c>
      <c r="H70" s="78">
        <f t="shared" si="7"/>
        <v>182600</v>
      </c>
    </row>
    <row r="71" spans="1:8" hidden="1" x14ac:dyDescent="0.25">
      <c r="A71" t="s">
        <v>18</v>
      </c>
      <c r="B71" s="3">
        <v>45666</v>
      </c>
      <c r="C71" t="s">
        <v>338</v>
      </c>
      <c r="D71" t="s">
        <v>11</v>
      </c>
      <c r="E71">
        <v>49</v>
      </c>
      <c r="F71" s="79">
        <f>E71*1500</f>
        <v>73500</v>
      </c>
      <c r="G71" s="79">
        <f>E71*500</f>
        <v>24500</v>
      </c>
      <c r="H71" s="79">
        <f>E71*1000</f>
        <v>49000</v>
      </c>
    </row>
    <row r="72" spans="1:8" hidden="1" x14ac:dyDescent="0.25">
      <c r="C72" t="s">
        <v>571</v>
      </c>
      <c r="D72" t="s">
        <v>11</v>
      </c>
      <c r="E72">
        <f>30-12</f>
        <v>18</v>
      </c>
      <c r="F72" s="79">
        <f>E72*1700</f>
        <v>30600</v>
      </c>
      <c r="G72" s="79">
        <f>E72*500</f>
        <v>9000</v>
      </c>
      <c r="H72" s="79">
        <f>E72*1200</f>
        <v>21600</v>
      </c>
    </row>
    <row r="73" spans="1:8" hidden="1" x14ac:dyDescent="0.25">
      <c r="C73" t="s">
        <v>306</v>
      </c>
      <c r="D73" t="s">
        <v>11</v>
      </c>
      <c r="E73">
        <v>9</v>
      </c>
      <c r="F73" s="79">
        <f>E73*1800</f>
        <v>16200</v>
      </c>
      <c r="G73" s="79">
        <f>E73*500</f>
        <v>4500</v>
      </c>
      <c r="H73" s="79">
        <f>E73*1300</f>
        <v>11700</v>
      </c>
    </row>
    <row r="74" spans="1:8" hidden="1" x14ac:dyDescent="0.25">
      <c r="C74" t="s">
        <v>20</v>
      </c>
      <c r="D74" t="s">
        <v>11</v>
      </c>
      <c r="E74">
        <v>4</v>
      </c>
      <c r="F74" s="79">
        <f>E74*3000</f>
        <v>12000</v>
      </c>
      <c r="G74" s="79">
        <f>E74*500</f>
        <v>2000</v>
      </c>
      <c r="H74" s="79">
        <f>E74*2500</f>
        <v>10000</v>
      </c>
    </row>
    <row r="75" spans="1:8" hidden="1" x14ac:dyDescent="0.25">
      <c r="D75" t="s">
        <v>13</v>
      </c>
      <c r="E75">
        <v>2</v>
      </c>
      <c r="F75" s="79">
        <f>E75*8000</f>
        <v>16000</v>
      </c>
      <c r="G75" s="79">
        <f>E75*4500</f>
        <v>9000</v>
      </c>
      <c r="H75" s="79">
        <f>E75*3500</f>
        <v>7000</v>
      </c>
    </row>
    <row r="76" spans="1:8" hidden="1" x14ac:dyDescent="0.25">
      <c r="D76" t="s">
        <v>14</v>
      </c>
      <c r="E76">
        <v>6</v>
      </c>
      <c r="F76" s="79">
        <f>E76*10000</f>
        <v>60000</v>
      </c>
      <c r="G76" s="79">
        <f>E76*5500</f>
        <v>33000</v>
      </c>
      <c r="H76" s="79">
        <f>E76*4500</f>
        <v>27000</v>
      </c>
    </row>
    <row r="77" spans="1:8" hidden="1" x14ac:dyDescent="0.25">
      <c r="D77" t="s">
        <v>404</v>
      </c>
      <c r="E77">
        <v>2</v>
      </c>
      <c r="F77" s="79">
        <v>6000</v>
      </c>
      <c r="G77" s="79">
        <v>3000</v>
      </c>
      <c r="H77" s="79">
        <v>3000</v>
      </c>
    </row>
    <row r="78" spans="1:8" hidden="1" x14ac:dyDescent="0.25">
      <c r="D78" t="s">
        <v>902</v>
      </c>
      <c r="E78">
        <v>1</v>
      </c>
      <c r="F78" s="79">
        <v>8000</v>
      </c>
      <c r="G78" s="79">
        <v>4000</v>
      </c>
      <c r="H78" s="79">
        <v>4000</v>
      </c>
    </row>
    <row r="79" spans="1:8" hidden="1" x14ac:dyDescent="0.25">
      <c r="C79" t="s">
        <v>24</v>
      </c>
      <c r="D79" t="s">
        <v>243</v>
      </c>
      <c r="E79">
        <v>5</v>
      </c>
      <c r="F79" s="79">
        <f>E79*13000</f>
        <v>65000</v>
      </c>
      <c r="G79" s="79">
        <f>E79*10000</f>
        <v>50000</v>
      </c>
      <c r="H79" s="79">
        <f>E79*3000</f>
        <v>15000</v>
      </c>
    </row>
    <row r="80" spans="1:8" hidden="1" x14ac:dyDescent="0.25">
      <c r="C80" t="s">
        <v>24</v>
      </c>
      <c r="D80" t="s">
        <v>243</v>
      </c>
      <c r="E80">
        <v>1</v>
      </c>
      <c r="F80" s="79">
        <v>15000</v>
      </c>
      <c r="G80" s="79">
        <v>10000</v>
      </c>
      <c r="H80" s="79">
        <v>5000</v>
      </c>
    </row>
    <row r="81" spans="1:8" hidden="1" x14ac:dyDescent="0.25">
      <c r="A81" s="112" t="s">
        <v>17</v>
      </c>
      <c r="B81" s="112"/>
      <c r="C81" s="112"/>
      <c r="D81" s="112"/>
      <c r="E81" s="78">
        <f>SUM(E71:E80)</f>
        <v>97</v>
      </c>
      <c r="F81" s="78">
        <f t="shared" ref="F81:H81" si="8">SUM(F71:F80)</f>
        <v>302300</v>
      </c>
      <c r="G81" s="78">
        <f t="shared" si="8"/>
        <v>149000</v>
      </c>
      <c r="H81" s="78">
        <f t="shared" si="8"/>
        <v>153300</v>
      </c>
    </row>
    <row r="82" spans="1:8" hidden="1" x14ac:dyDescent="0.25">
      <c r="A82" t="s">
        <v>22</v>
      </c>
      <c r="B82" s="3">
        <v>45667</v>
      </c>
      <c r="C82" t="s">
        <v>104</v>
      </c>
      <c r="D82" t="s">
        <v>11</v>
      </c>
      <c r="E82">
        <v>30</v>
      </c>
      <c r="F82">
        <f>E82*1700</f>
        <v>51000</v>
      </c>
      <c r="G82">
        <f>E82*500</f>
        <v>15000</v>
      </c>
      <c r="H82">
        <f>E82*1200</f>
        <v>36000</v>
      </c>
    </row>
    <row r="83" spans="1:8" hidden="1" x14ac:dyDescent="0.25">
      <c r="C83" t="s">
        <v>846</v>
      </c>
      <c r="D83" t="s">
        <v>11</v>
      </c>
      <c r="E83">
        <v>4</v>
      </c>
      <c r="F83">
        <v>12000</v>
      </c>
      <c r="G83">
        <f>E83*500</f>
        <v>2000</v>
      </c>
      <c r="H83">
        <f>E83*2500</f>
        <v>10000</v>
      </c>
    </row>
    <row r="84" spans="1:8" hidden="1" x14ac:dyDescent="0.25">
      <c r="D84" t="s">
        <v>13</v>
      </c>
      <c r="E84">
        <v>6</v>
      </c>
      <c r="F84">
        <f>E84*8000</f>
        <v>48000</v>
      </c>
      <c r="G84">
        <f>E84*4500</f>
        <v>27000</v>
      </c>
      <c r="H84">
        <f>E84*3500</f>
        <v>21000</v>
      </c>
    </row>
    <row r="85" spans="1:8" hidden="1" x14ac:dyDescent="0.25">
      <c r="D85" t="s">
        <v>14</v>
      </c>
      <c r="E85">
        <v>1</v>
      </c>
      <c r="F85">
        <v>12000</v>
      </c>
      <c r="G85">
        <v>5500</v>
      </c>
      <c r="H85">
        <v>6500</v>
      </c>
    </row>
    <row r="86" spans="1:8" hidden="1" x14ac:dyDescent="0.25">
      <c r="D86" t="s">
        <v>902</v>
      </c>
      <c r="E86">
        <v>1</v>
      </c>
      <c r="F86">
        <v>8000</v>
      </c>
      <c r="G86">
        <v>4000</v>
      </c>
      <c r="H86">
        <v>4000</v>
      </c>
    </row>
    <row r="87" spans="1:8" hidden="1" x14ac:dyDescent="0.25">
      <c r="D87" t="s">
        <v>439</v>
      </c>
      <c r="E87">
        <v>1</v>
      </c>
      <c r="F87">
        <v>5000</v>
      </c>
      <c r="G87">
        <v>2500</v>
      </c>
      <c r="H87">
        <v>2500</v>
      </c>
    </row>
    <row r="88" spans="1:8" hidden="1" x14ac:dyDescent="0.25">
      <c r="C88" t="s">
        <v>24</v>
      </c>
      <c r="D88" t="s">
        <v>243</v>
      </c>
      <c r="E88">
        <v>4</v>
      </c>
      <c r="F88">
        <f>E88*15000</f>
        <v>60000</v>
      </c>
      <c r="G88">
        <f>E88*10000</f>
        <v>40000</v>
      </c>
      <c r="H88">
        <v>20000</v>
      </c>
    </row>
    <row r="89" spans="1:8" hidden="1" x14ac:dyDescent="0.25">
      <c r="C89" t="s">
        <v>554</v>
      </c>
      <c r="D89" t="s">
        <v>13</v>
      </c>
      <c r="E89">
        <v>4</v>
      </c>
    </row>
    <row r="90" spans="1:8" hidden="1" x14ac:dyDescent="0.25">
      <c r="D90" t="s">
        <v>14</v>
      </c>
      <c r="E90">
        <v>2</v>
      </c>
    </row>
    <row r="91" spans="1:8" hidden="1" x14ac:dyDescent="0.25">
      <c r="A91" s="112" t="s">
        <v>17</v>
      </c>
      <c r="B91" s="112"/>
      <c r="C91" s="112"/>
      <c r="D91" s="112"/>
      <c r="E91" s="78">
        <f>SUM(E82:E90)</f>
        <v>53</v>
      </c>
      <c r="F91" s="78">
        <f t="shared" ref="F91:H91" si="9">SUM(F82:F90)</f>
        <v>196000</v>
      </c>
      <c r="G91" s="78">
        <f t="shared" si="9"/>
        <v>96000</v>
      </c>
      <c r="H91" s="78">
        <f t="shared" si="9"/>
        <v>100000</v>
      </c>
    </row>
    <row r="92" spans="1:8" hidden="1" x14ac:dyDescent="0.25">
      <c r="A92" t="s">
        <v>26</v>
      </c>
      <c r="B92" s="3">
        <v>45668</v>
      </c>
      <c r="C92" t="s">
        <v>338</v>
      </c>
      <c r="D92" t="s">
        <v>11</v>
      </c>
      <c r="E92">
        <f>50+49</f>
        <v>99</v>
      </c>
      <c r="F92">
        <f>E92*1500</f>
        <v>148500</v>
      </c>
      <c r="G92">
        <f>E92*500</f>
        <v>49500</v>
      </c>
      <c r="H92">
        <f>E92*1000</f>
        <v>99000</v>
      </c>
    </row>
    <row r="93" spans="1:8" hidden="1" x14ac:dyDescent="0.25">
      <c r="C93" t="s">
        <v>104</v>
      </c>
      <c r="D93" t="s">
        <v>11</v>
      </c>
      <c r="E93">
        <v>23</v>
      </c>
      <c r="F93">
        <f>E93*1700</f>
        <v>39100</v>
      </c>
      <c r="G93">
        <f>E93*500</f>
        <v>11500</v>
      </c>
      <c r="H93">
        <f>E93*1200</f>
        <v>27600</v>
      </c>
    </row>
    <row r="94" spans="1:8" hidden="1" x14ac:dyDescent="0.25">
      <c r="C94" t="s">
        <v>846</v>
      </c>
      <c r="D94" t="s">
        <v>902</v>
      </c>
      <c r="E94">
        <v>3</v>
      </c>
      <c r="F94">
        <v>24000</v>
      </c>
      <c r="G94">
        <v>12000</v>
      </c>
      <c r="H94">
        <v>12999</v>
      </c>
    </row>
    <row r="95" spans="1:8" hidden="1" x14ac:dyDescent="0.25">
      <c r="C95" t="s">
        <v>24</v>
      </c>
      <c r="D95" t="s">
        <v>243</v>
      </c>
      <c r="E95">
        <v>10</v>
      </c>
      <c r="F95">
        <f>E95*13000</f>
        <v>130000</v>
      </c>
      <c r="G95">
        <f>E95*10000</f>
        <v>100000</v>
      </c>
      <c r="H95">
        <f>E95*3000</f>
        <v>30000</v>
      </c>
    </row>
    <row r="96" spans="1:8" hidden="1" x14ac:dyDescent="0.25">
      <c r="A96" s="112" t="s">
        <v>17</v>
      </c>
      <c r="B96" s="112"/>
      <c r="C96" s="112"/>
      <c r="D96" s="112"/>
      <c r="E96" s="78">
        <f>SUM(E92:E95)</f>
        <v>135</v>
      </c>
      <c r="F96" s="78">
        <f t="shared" ref="F96:H96" si="10">SUM(F92:F95)</f>
        <v>341600</v>
      </c>
      <c r="G96" s="78">
        <f t="shared" si="10"/>
        <v>173000</v>
      </c>
      <c r="H96" s="78">
        <f t="shared" si="10"/>
        <v>169599</v>
      </c>
    </row>
    <row r="97" spans="1:8" hidden="1" x14ac:dyDescent="0.25">
      <c r="A97" t="s">
        <v>28</v>
      </c>
      <c r="B97" s="3">
        <v>45669</v>
      </c>
      <c r="C97" t="s">
        <v>693</v>
      </c>
      <c r="D97" t="s">
        <v>11</v>
      </c>
      <c r="E97">
        <v>8</v>
      </c>
      <c r="F97" s="79">
        <f>E97*2000</f>
        <v>16000</v>
      </c>
      <c r="G97" s="79">
        <f>E97*500</f>
        <v>4000</v>
      </c>
      <c r="H97" s="79">
        <f>E97*1500</f>
        <v>12000</v>
      </c>
    </row>
    <row r="98" spans="1:8" hidden="1" x14ac:dyDescent="0.25">
      <c r="D98" t="s">
        <v>13</v>
      </c>
      <c r="E98">
        <v>44</v>
      </c>
      <c r="F98" s="79">
        <f>E98*7000</f>
        <v>308000</v>
      </c>
      <c r="G98" s="79">
        <f>E98*4500</f>
        <v>198000</v>
      </c>
      <c r="H98" s="79">
        <f>E98*2500</f>
        <v>110000</v>
      </c>
    </row>
    <row r="99" spans="1:8" hidden="1" x14ac:dyDescent="0.25">
      <c r="D99" t="s">
        <v>14</v>
      </c>
      <c r="E99">
        <v>29</v>
      </c>
      <c r="F99" s="79">
        <f>E99*10000</f>
        <v>290000</v>
      </c>
      <c r="G99" s="79">
        <f>E99*5500</f>
        <v>159500</v>
      </c>
      <c r="H99" s="79">
        <f>E99*4500</f>
        <v>130500</v>
      </c>
    </row>
    <row r="100" spans="1:8" hidden="1" x14ac:dyDescent="0.25">
      <c r="D100" t="s">
        <v>243</v>
      </c>
      <c r="E100">
        <v>1</v>
      </c>
      <c r="F100" s="79">
        <v>15000</v>
      </c>
      <c r="G100" s="79">
        <v>10000</v>
      </c>
      <c r="H100" s="79">
        <v>5000</v>
      </c>
    </row>
    <row r="101" spans="1:8" hidden="1" x14ac:dyDescent="0.25">
      <c r="D101" t="s">
        <v>902</v>
      </c>
      <c r="E101">
        <v>1</v>
      </c>
      <c r="F101" s="79">
        <v>7000</v>
      </c>
      <c r="G101" s="79">
        <v>3500</v>
      </c>
      <c r="H101" s="79">
        <v>3500</v>
      </c>
    </row>
    <row r="102" spans="1:8" hidden="1" x14ac:dyDescent="0.25">
      <c r="C102" t="s">
        <v>217</v>
      </c>
      <c r="D102" t="s">
        <v>11</v>
      </c>
      <c r="E102">
        <v>20</v>
      </c>
      <c r="F102" s="79">
        <f>E102*1500</f>
        <v>30000</v>
      </c>
      <c r="G102" s="79">
        <f>E102*500</f>
        <v>10000</v>
      </c>
      <c r="H102" s="79">
        <v>20000</v>
      </c>
    </row>
    <row r="103" spans="1:8" hidden="1" x14ac:dyDescent="0.25">
      <c r="D103" t="s">
        <v>13</v>
      </c>
      <c r="E103">
        <v>18</v>
      </c>
      <c r="F103" s="79">
        <f>E103*6500</f>
        <v>117000</v>
      </c>
      <c r="G103" s="79">
        <f>E103*4500</f>
        <v>81000</v>
      </c>
      <c r="H103" s="79">
        <f>E103*2000</f>
        <v>36000</v>
      </c>
    </row>
    <row r="104" spans="1:8" hidden="1" x14ac:dyDescent="0.25">
      <c r="D104" t="s">
        <v>14</v>
      </c>
      <c r="E104">
        <v>14</v>
      </c>
      <c r="F104" s="79">
        <f>E104*10000</f>
        <v>140000</v>
      </c>
      <c r="G104" s="79">
        <f>E104*5500</f>
        <v>77000</v>
      </c>
      <c r="H104" s="79">
        <f>E104*4500</f>
        <v>63000</v>
      </c>
    </row>
    <row r="105" spans="1:8" hidden="1" x14ac:dyDescent="0.25">
      <c r="C105" t="s">
        <v>846</v>
      </c>
      <c r="D105" t="s">
        <v>11</v>
      </c>
      <c r="E105">
        <v>1</v>
      </c>
      <c r="F105" s="79">
        <v>3000</v>
      </c>
      <c r="G105" s="79">
        <v>500</v>
      </c>
      <c r="H105" s="79">
        <v>2500</v>
      </c>
    </row>
    <row r="106" spans="1:8" hidden="1" x14ac:dyDescent="0.25">
      <c r="D106" t="s">
        <v>13</v>
      </c>
      <c r="E106">
        <v>3</v>
      </c>
      <c r="F106" s="79">
        <v>24000</v>
      </c>
      <c r="G106" s="79">
        <f>E106*4500</f>
        <v>13500</v>
      </c>
      <c r="H106" s="79">
        <f>E106*3500</f>
        <v>10500</v>
      </c>
    </row>
    <row r="107" spans="1:8" hidden="1" x14ac:dyDescent="0.25">
      <c r="D107" t="s">
        <v>243</v>
      </c>
      <c r="E107">
        <v>1</v>
      </c>
      <c r="F107" s="79">
        <v>17000</v>
      </c>
      <c r="G107" s="79">
        <v>10000</v>
      </c>
      <c r="H107" s="79">
        <v>70000</v>
      </c>
    </row>
    <row r="108" spans="1:8" hidden="1" x14ac:dyDescent="0.25">
      <c r="D108" t="s">
        <v>657</v>
      </c>
      <c r="E108">
        <v>3</v>
      </c>
      <c r="F108" s="79">
        <v>60000</v>
      </c>
      <c r="G108" s="79">
        <f>E108*15000</f>
        <v>45000</v>
      </c>
      <c r="H108" s="79">
        <f>E108*5000</f>
        <v>15000</v>
      </c>
    </row>
    <row r="109" spans="1:8" hidden="1" x14ac:dyDescent="0.25">
      <c r="A109" s="112" t="s">
        <v>17</v>
      </c>
      <c r="B109" s="112"/>
      <c r="C109" s="112"/>
      <c r="D109" s="112"/>
      <c r="E109" s="78">
        <f>SUM(E97:E108)</f>
        <v>143</v>
      </c>
      <c r="F109" s="78">
        <f t="shared" ref="F109:H109" si="11">SUM(F97:F108)</f>
        <v>1027000</v>
      </c>
      <c r="G109" s="78">
        <f t="shared" si="11"/>
        <v>612000</v>
      </c>
      <c r="H109" s="78">
        <f t="shared" si="11"/>
        <v>478000</v>
      </c>
    </row>
    <row r="110" spans="1:8" hidden="1" x14ac:dyDescent="0.25">
      <c r="A110" t="s">
        <v>30</v>
      </c>
      <c r="B110" s="3">
        <v>45670</v>
      </c>
      <c r="C110" t="s">
        <v>104</v>
      </c>
      <c r="D110" t="s">
        <v>11</v>
      </c>
      <c r="E110">
        <v>23</v>
      </c>
      <c r="F110" s="79">
        <f>E110*1700</f>
        <v>39100</v>
      </c>
      <c r="G110" s="79">
        <f>E110*500</f>
        <v>11500</v>
      </c>
      <c r="H110" s="79">
        <f>E110*1200</f>
        <v>27600</v>
      </c>
    </row>
    <row r="111" spans="1:8" hidden="1" x14ac:dyDescent="0.25">
      <c r="C111" t="s">
        <v>338</v>
      </c>
      <c r="D111" t="s">
        <v>11</v>
      </c>
      <c r="E111">
        <f>50-12</f>
        <v>38</v>
      </c>
      <c r="F111" s="79">
        <f>E111*1500</f>
        <v>57000</v>
      </c>
      <c r="G111" s="79">
        <f>E111*500</f>
        <v>19000</v>
      </c>
      <c r="H111" s="79">
        <v>38000</v>
      </c>
    </row>
    <row r="112" spans="1:8" hidden="1" x14ac:dyDescent="0.25">
      <c r="C112" t="s">
        <v>571</v>
      </c>
      <c r="D112" t="s">
        <v>11</v>
      </c>
      <c r="E112">
        <v>20</v>
      </c>
      <c r="F112" s="79">
        <f>E112*1700</f>
        <v>34000</v>
      </c>
      <c r="G112" s="79">
        <f>E112*500</f>
        <v>10000</v>
      </c>
      <c r="H112" s="79">
        <f>E112*1200</f>
        <v>24000</v>
      </c>
    </row>
    <row r="113" spans="1:11" hidden="1" x14ac:dyDescent="0.25">
      <c r="C113" t="s">
        <v>846</v>
      </c>
      <c r="D113" t="s">
        <v>13</v>
      </c>
      <c r="E113">
        <v>3</v>
      </c>
      <c r="F113" s="79">
        <f>E113*8000</f>
        <v>24000</v>
      </c>
      <c r="G113" s="79">
        <f>E113*4500</f>
        <v>13500</v>
      </c>
      <c r="H113" s="79">
        <f>E113*3500</f>
        <v>10500</v>
      </c>
    </row>
    <row r="114" spans="1:11" hidden="1" x14ac:dyDescent="0.25">
      <c r="D114" t="s">
        <v>14</v>
      </c>
      <c r="E114">
        <v>4</v>
      </c>
      <c r="F114" s="79">
        <f>E114*12000</f>
        <v>48000</v>
      </c>
      <c r="G114" s="79">
        <f>E114*5500</f>
        <v>22000</v>
      </c>
      <c r="H114" s="79">
        <f>E114*6500</f>
        <v>26000</v>
      </c>
    </row>
    <row r="115" spans="1:11" hidden="1" x14ac:dyDescent="0.25">
      <c r="D115" t="s">
        <v>902</v>
      </c>
      <c r="E115">
        <v>4</v>
      </c>
      <c r="F115" s="79">
        <f>E115*8000</f>
        <v>32000</v>
      </c>
      <c r="G115" s="79">
        <v>16000</v>
      </c>
      <c r="H115" s="79">
        <v>16000</v>
      </c>
    </row>
    <row r="116" spans="1:11" hidden="1" x14ac:dyDescent="0.25">
      <c r="C116" t="s">
        <v>24</v>
      </c>
      <c r="D116" t="s">
        <v>243</v>
      </c>
      <c r="E116">
        <v>2</v>
      </c>
      <c r="F116" s="79">
        <v>30000</v>
      </c>
      <c r="G116" s="79">
        <v>20000</v>
      </c>
      <c r="H116" s="79">
        <v>10000</v>
      </c>
    </row>
    <row r="117" spans="1:11" hidden="1" x14ac:dyDescent="0.25">
      <c r="C117" t="s">
        <v>554</v>
      </c>
      <c r="D117" t="s">
        <v>13</v>
      </c>
      <c r="E117">
        <v>3</v>
      </c>
      <c r="F117" s="79"/>
      <c r="G117" s="79"/>
      <c r="H117" s="79"/>
    </row>
    <row r="118" spans="1:11" hidden="1" x14ac:dyDescent="0.25">
      <c r="D118" t="s">
        <v>14</v>
      </c>
      <c r="E118">
        <v>4</v>
      </c>
      <c r="F118" s="79"/>
      <c r="G118" s="79"/>
      <c r="H118" s="79"/>
    </row>
    <row r="119" spans="1:11" hidden="1" x14ac:dyDescent="0.25">
      <c r="A119" s="112" t="s">
        <v>17</v>
      </c>
      <c r="B119" s="112"/>
      <c r="C119" s="112"/>
      <c r="D119" s="112"/>
      <c r="E119" s="78">
        <f>SUM(E110:E118)</f>
        <v>101</v>
      </c>
      <c r="F119" s="78">
        <f t="shared" ref="F119:H119" si="12">SUM(F110:F118)</f>
        <v>264100</v>
      </c>
      <c r="G119" s="78">
        <f t="shared" si="12"/>
        <v>112000</v>
      </c>
      <c r="H119" s="78">
        <f t="shared" si="12"/>
        <v>152100</v>
      </c>
    </row>
    <row r="120" spans="1:11" hidden="1" x14ac:dyDescent="0.25">
      <c r="A120" t="s">
        <v>32</v>
      </c>
      <c r="B120" s="3">
        <v>45671</v>
      </c>
      <c r="C120" t="s">
        <v>338</v>
      </c>
      <c r="D120" t="s">
        <v>11</v>
      </c>
      <c r="E120">
        <v>35</v>
      </c>
      <c r="F120" s="79">
        <f>E120*1500</f>
        <v>52500</v>
      </c>
      <c r="G120" s="79">
        <f>E120*500</f>
        <v>17500</v>
      </c>
      <c r="H120" s="79">
        <v>35000</v>
      </c>
    </row>
    <row r="121" spans="1:11" hidden="1" x14ac:dyDescent="0.25">
      <c r="C121" t="s">
        <v>306</v>
      </c>
      <c r="D121" t="s">
        <v>11</v>
      </c>
      <c r="E121">
        <v>10</v>
      </c>
      <c r="F121" s="79">
        <f>E121*1800</f>
        <v>18000</v>
      </c>
      <c r="G121" s="79">
        <f>E121*500</f>
        <v>5000</v>
      </c>
      <c r="H121" s="79">
        <f>E121*1300</f>
        <v>13000</v>
      </c>
      <c r="K121">
        <f>E64+E73+E121+E169+E178+E191+E209</f>
        <v>117</v>
      </c>
    </row>
    <row r="122" spans="1:11" hidden="1" x14ac:dyDescent="0.25">
      <c r="D122" t="s">
        <v>914</v>
      </c>
      <c r="E122">
        <v>6</v>
      </c>
      <c r="F122" s="79">
        <f>E122*1800</f>
        <v>10800</v>
      </c>
      <c r="G122" s="79">
        <f>E122*500</f>
        <v>3000</v>
      </c>
      <c r="H122" s="79">
        <f>E122*1300</f>
        <v>7800</v>
      </c>
    </row>
    <row r="123" spans="1:11" hidden="1" x14ac:dyDescent="0.25">
      <c r="C123" t="s">
        <v>104</v>
      </c>
      <c r="D123" t="s">
        <v>11</v>
      </c>
      <c r="E123">
        <v>16</v>
      </c>
      <c r="F123" s="79">
        <f>E123*1700</f>
        <v>27200</v>
      </c>
      <c r="G123" s="79">
        <f>E123*500</f>
        <v>8000</v>
      </c>
      <c r="H123" s="79">
        <f>E123*1200</f>
        <v>19200</v>
      </c>
      <c r="K123">
        <f>E17+E27+E44+E55+E65+E82+E93+E110+E123+E126+E134+E143+E148+E192+E210+E251</f>
        <v>361</v>
      </c>
    </row>
    <row r="124" spans="1:11" hidden="1" x14ac:dyDescent="0.25">
      <c r="A124" s="112" t="s">
        <v>735</v>
      </c>
      <c r="B124" s="112"/>
      <c r="C124" s="112"/>
      <c r="D124" s="112"/>
      <c r="E124" s="78">
        <f>SUM(E120:E123)</f>
        <v>67</v>
      </c>
      <c r="F124" s="78">
        <f t="shared" ref="F124:H124" si="13">SUM(F120:F123)</f>
        <v>108500</v>
      </c>
      <c r="G124" s="78">
        <f t="shared" si="13"/>
        <v>33500</v>
      </c>
      <c r="H124" s="78">
        <f t="shared" si="13"/>
        <v>75000</v>
      </c>
    </row>
    <row r="125" spans="1:11" hidden="1" x14ac:dyDescent="0.25">
      <c r="A125" t="s">
        <v>8</v>
      </c>
      <c r="B125" s="3">
        <v>45672</v>
      </c>
      <c r="C125" t="s">
        <v>338</v>
      </c>
      <c r="D125" t="s">
        <v>11</v>
      </c>
      <c r="E125">
        <v>47</v>
      </c>
      <c r="F125" s="79">
        <f>E125*1500</f>
        <v>70500</v>
      </c>
      <c r="G125" s="79">
        <f>E125*500</f>
        <v>23500</v>
      </c>
      <c r="H125" s="79">
        <f>E125*1000</f>
        <v>47000</v>
      </c>
    </row>
    <row r="126" spans="1:11" hidden="1" x14ac:dyDescent="0.25">
      <c r="C126" t="s">
        <v>104</v>
      </c>
      <c r="D126" t="s">
        <v>11</v>
      </c>
      <c r="E126">
        <v>20</v>
      </c>
      <c r="F126" s="79">
        <f>E126*1700</f>
        <v>34000</v>
      </c>
      <c r="G126" s="79">
        <f>E126*500</f>
        <v>10000</v>
      </c>
      <c r="H126" s="79">
        <f>E126*1200</f>
        <v>24000</v>
      </c>
    </row>
    <row r="127" spans="1:11" hidden="1" x14ac:dyDescent="0.25">
      <c r="C127" t="s">
        <v>571</v>
      </c>
      <c r="D127" t="s">
        <v>11</v>
      </c>
      <c r="E127">
        <v>23</v>
      </c>
      <c r="F127" s="79">
        <f>E127*1700</f>
        <v>39100</v>
      </c>
      <c r="G127" s="79">
        <f>E127*500</f>
        <v>11500</v>
      </c>
      <c r="H127" s="79">
        <f>E127*1200</f>
        <v>27600</v>
      </c>
    </row>
    <row r="128" spans="1:11" hidden="1" x14ac:dyDescent="0.25">
      <c r="C128" t="s">
        <v>846</v>
      </c>
      <c r="D128" t="s">
        <v>13</v>
      </c>
      <c r="E128">
        <v>5</v>
      </c>
      <c r="F128" s="79">
        <f>E128*8000</f>
        <v>40000</v>
      </c>
      <c r="G128" s="79">
        <f>E128*4500</f>
        <v>22500</v>
      </c>
      <c r="H128" s="79">
        <f>E128*3500</f>
        <v>17500</v>
      </c>
    </row>
    <row r="129" spans="1:8" hidden="1" x14ac:dyDescent="0.25">
      <c r="D129" t="s">
        <v>14</v>
      </c>
      <c r="E129">
        <v>2</v>
      </c>
      <c r="F129" s="79">
        <f>E129*12000</f>
        <v>24000</v>
      </c>
      <c r="G129" s="79">
        <f>E129*5500</f>
        <v>11000</v>
      </c>
      <c r="H129" s="79">
        <f>E129*6500</f>
        <v>13000</v>
      </c>
    </row>
    <row r="130" spans="1:8" hidden="1" x14ac:dyDescent="0.25">
      <c r="D130" t="s">
        <v>902</v>
      </c>
      <c r="E130">
        <v>3</v>
      </c>
      <c r="F130" s="79">
        <v>24000</v>
      </c>
      <c r="G130" s="79">
        <v>12000</v>
      </c>
      <c r="H130" s="79">
        <v>12000</v>
      </c>
    </row>
    <row r="131" spans="1:8" hidden="1" x14ac:dyDescent="0.25">
      <c r="A131" s="112" t="s">
        <v>17</v>
      </c>
      <c r="B131" s="112"/>
      <c r="C131" s="112"/>
      <c r="D131" s="112"/>
      <c r="E131" s="78">
        <f>SUM(E125:E130)</f>
        <v>100</v>
      </c>
      <c r="F131" s="78">
        <f t="shared" ref="F131:H131" si="14">SUM(F125:F130)</f>
        <v>231600</v>
      </c>
      <c r="G131" s="78">
        <f t="shared" si="14"/>
        <v>90500</v>
      </c>
      <c r="H131" s="78">
        <f t="shared" si="14"/>
        <v>141100</v>
      </c>
    </row>
    <row r="132" spans="1:8" hidden="1" x14ac:dyDescent="0.25">
      <c r="A132" t="s">
        <v>18</v>
      </c>
      <c r="B132" s="3">
        <v>45673</v>
      </c>
      <c r="C132" t="s">
        <v>338</v>
      </c>
      <c r="D132" t="s">
        <v>11</v>
      </c>
      <c r="E132">
        <f>50-14</f>
        <v>36</v>
      </c>
      <c r="F132" s="79">
        <f>E132*1500</f>
        <v>54000</v>
      </c>
      <c r="G132" s="79">
        <f>E132*500</f>
        <v>18000</v>
      </c>
      <c r="H132" s="79">
        <f>E132*1000</f>
        <v>36000</v>
      </c>
    </row>
    <row r="133" spans="1:8" hidden="1" x14ac:dyDescent="0.25">
      <c r="C133" t="s">
        <v>571</v>
      </c>
      <c r="D133" t="s">
        <v>11</v>
      </c>
      <c r="E133">
        <v>7</v>
      </c>
      <c r="F133" s="79">
        <f>E133*1700</f>
        <v>11900</v>
      </c>
      <c r="G133" s="79">
        <f>E133*500</f>
        <v>3500</v>
      </c>
      <c r="H133" s="79">
        <f>E133*1200</f>
        <v>8400</v>
      </c>
    </row>
    <row r="134" spans="1:8" hidden="1" x14ac:dyDescent="0.25">
      <c r="C134" t="s">
        <v>104</v>
      </c>
      <c r="D134" t="s">
        <v>11</v>
      </c>
      <c r="E134">
        <v>21</v>
      </c>
      <c r="F134" s="79">
        <f>E134*1700</f>
        <v>35700</v>
      </c>
      <c r="G134" s="79">
        <f>E134*500</f>
        <v>10500</v>
      </c>
      <c r="H134" s="79">
        <f>E134*1200</f>
        <v>25200</v>
      </c>
    </row>
    <row r="135" spans="1:8" hidden="1" x14ac:dyDescent="0.25">
      <c r="B135" s="3">
        <v>45673</v>
      </c>
      <c r="C135" t="s">
        <v>915</v>
      </c>
      <c r="D135" t="s">
        <v>243</v>
      </c>
      <c r="E135">
        <v>50</v>
      </c>
      <c r="F135" s="79">
        <v>0</v>
      </c>
      <c r="G135" s="79">
        <v>0</v>
      </c>
      <c r="H135" s="79">
        <v>0</v>
      </c>
    </row>
    <row r="136" spans="1:8" hidden="1" x14ac:dyDescent="0.25">
      <c r="C136" t="s">
        <v>24</v>
      </c>
      <c r="D136" t="s">
        <v>243</v>
      </c>
      <c r="E136">
        <v>10</v>
      </c>
      <c r="F136" s="79">
        <f>E136*13000</f>
        <v>130000</v>
      </c>
      <c r="G136" s="79">
        <f>E136*8500</f>
        <v>85000</v>
      </c>
      <c r="H136" s="79">
        <f>E136*4500</f>
        <v>45000</v>
      </c>
    </row>
    <row r="137" spans="1:8" hidden="1" x14ac:dyDescent="0.25">
      <c r="C137" t="s">
        <v>846</v>
      </c>
      <c r="D137" t="s">
        <v>13</v>
      </c>
      <c r="E137">
        <v>3</v>
      </c>
      <c r="F137" s="79">
        <f>E137*8000</f>
        <v>24000</v>
      </c>
      <c r="G137" s="79">
        <f>E137*4500</f>
        <v>13500</v>
      </c>
      <c r="H137" s="79">
        <f>E137*3500</f>
        <v>10500</v>
      </c>
    </row>
    <row r="138" spans="1:8" hidden="1" x14ac:dyDescent="0.25">
      <c r="D138" t="s">
        <v>14</v>
      </c>
      <c r="E138">
        <v>1</v>
      </c>
      <c r="F138" s="79">
        <v>12000</v>
      </c>
      <c r="G138" s="79">
        <v>5500</v>
      </c>
      <c r="H138" s="79">
        <v>6500</v>
      </c>
    </row>
    <row r="139" spans="1:8" hidden="1" x14ac:dyDescent="0.25">
      <c r="D139" t="s">
        <v>902</v>
      </c>
      <c r="E139">
        <v>6</v>
      </c>
      <c r="F139" s="79">
        <f>E139*8000</f>
        <v>48000</v>
      </c>
      <c r="G139" s="79">
        <v>24000</v>
      </c>
      <c r="H139" s="79">
        <v>24000</v>
      </c>
    </row>
    <row r="140" spans="1:8" hidden="1" x14ac:dyDescent="0.25">
      <c r="A140" s="112" t="s">
        <v>17</v>
      </c>
      <c r="B140" s="112"/>
      <c r="C140" s="112"/>
      <c r="D140" s="112"/>
      <c r="E140" s="78">
        <f>SUM(E132:E139)</f>
        <v>134</v>
      </c>
      <c r="F140" s="78">
        <f t="shared" ref="F140:H140" si="15">SUM(F132:F139)</f>
        <v>315600</v>
      </c>
      <c r="G140" s="78">
        <f t="shared" si="15"/>
        <v>160000</v>
      </c>
      <c r="H140" s="78">
        <f t="shared" si="15"/>
        <v>155600</v>
      </c>
    </row>
    <row r="141" spans="1:8" hidden="1" x14ac:dyDescent="0.25">
      <c r="A141" t="s">
        <v>22</v>
      </c>
      <c r="B141" s="3">
        <v>45674</v>
      </c>
      <c r="C141" t="s">
        <v>338</v>
      </c>
      <c r="D141" t="s">
        <v>11</v>
      </c>
      <c r="E141">
        <v>30</v>
      </c>
      <c r="F141">
        <f>E141*1500</f>
        <v>45000</v>
      </c>
      <c r="G141">
        <f>E141*500</f>
        <v>15000</v>
      </c>
      <c r="H141">
        <f>E141*1000</f>
        <v>30000</v>
      </c>
    </row>
    <row r="142" spans="1:8" hidden="1" x14ac:dyDescent="0.25">
      <c r="D142" t="s">
        <v>916</v>
      </c>
      <c r="E142">
        <v>20</v>
      </c>
      <c r="F142">
        <f>E142*1500</f>
        <v>30000</v>
      </c>
      <c r="G142">
        <f>E142*500</f>
        <v>10000</v>
      </c>
      <c r="H142">
        <v>20000</v>
      </c>
    </row>
    <row r="143" spans="1:8" hidden="1" x14ac:dyDescent="0.25">
      <c r="C143" t="s">
        <v>104</v>
      </c>
      <c r="D143" t="s">
        <v>11</v>
      </c>
      <c r="E143">
        <v>10</v>
      </c>
      <c r="F143">
        <f>E143*1700</f>
        <v>17000</v>
      </c>
      <c r="G143">
        <f>E143*500</f>
        <v>5000</v>
      </c>
      <c r="H143">
        <f>E143*1200</f>
        <v>12000</v>
      </c>
    </row>
    <row r="144" spans="1:8" hidden="1" x14ac:dyDescent="0.25">
      <c r="D144" t="s">
        <v>916</v>
      </c>
      <c r="E144">
        <v>10</v>
      </c>
      <c r="F144">
        <f>E144*1700</f>
        <v>17000</v>
      </c>
      <c r="G144">
        <f>E144*500</f>
        <v>5000</v>
      </c>
      <c r="H144">
        <f>E144*1200</f>
        <v>12000</v>
      </c>
    </row>
    <row r="145" spans="1:8" hidden="1" x14ac:dyDescent="0.25">
      <c r="A145" s="112" t="s">
        <v>17</v>
      </c>
      <c r="B145" s="112"/>
      <c r="C145" s="112"/>
      <c r="D145" s="112"/>
      <c r="E145" s="78">
        <f>SUM(E141:E144)</f>
        <v>70</v>
      </c>
      <c r="F145" s="78">
        <f t="shared" ref="F145:H145" si="16">SUM(F141:F144)</f>
        <v>109000</v>
      </c>
      <c r="G145" s="78">
        <f t="shared" si="16"/>
        <v>35000</v>
      </c>
      <c r="H145" s="78">
        <f t="shared" si="16"/>
        <v>74000</v>
      </c>
    </row>
    <row r="146" spans="1:8" hidden="1" x14ac:dyDescent="0.25">
      <c r="A146" t="s">
        <v>26</v>
      </c>
      <c r="B146" s="3">
        <v>45675</v>
      </c>
      <c r="C146" t="s">
        <v>338</v>
      </c>
      <c r="D146" t="s">
        <v>11</v>
      </c>
      <c r="E146">
        <v>24</v>
      </c>
      <c r="F146">
        <f>E146*1500</f>
        <v>36000</v>
      </c>
      <c r="G146">
        <f>E146*500</f>
        <v>12000</v>
      </c>
      <c r="H146">
        <f>E146*1000</f>
        <v>24000</v>
      </c>
    </row>
    <row r="147" spans="1:8" hidden="1" x14ac:dyDescent="0.25">
      <c r="D147" t="s">
        <v>916</v>
      </c>
      <c r="E147">
        <v>20</v>
      </c>
      <c r="F147">
        <f>E147*1500</f>
        <v>30000</v>
      </c>
      <c r="G147">
        <f>E147*500</f>
        <v>10000</v>
      </c>
      <c r="H147">
        <f>E147*1000</f>
        <v>20000</v>
      </c>
    </row>
    <row r="148" spans="1:8" hidden="1" x14ac:dyDescent="0.25">
      <c r="C148" t="s">
        <v>104</v>
      </c>
      <c r="D148" t="s">
        <v>11</v>
      </c>
      <c r="E148">
        <v>15</v>
      </c>
      <c r="F148">
        <f>E148*1700</f>
        <v>25500</v>
      </c>
      <c r="G148">
        <f>E148*500</f>
        <v>7500</v>
      </c>
      <c r="H148">
        <f>E148*1200</f>
        <v>18000</v>
      </c>
    </row>
    <row r="149" spans="1:8" hidden="1" x14ac:dyDescent="0.25">
      <c r="D149" t="s">
        <v>916</v>
      </c>
      <c r="E149">
        <v>10</v>
      </c>
      <c r="F149">
        <f>E149*1700</f>
        <v>17000</v>
      </c>
      <c r="G149">
        <f>E149*500</f>
        <v>5000</v>
      </c>
      <c r="H149">
        <f>E149*1200</f>
        <v>12000</v>
      </c>
    </row>
    <row r="150" spans="1:8" hidden="1" x14ac:dyDescent="0.25">
      <c r="C150" t="s">
        <v>846</v>
      </c>
      <c r="D150" t="s">
        <v>13</v>
      </c>
      <c r="E150">
        <v>4</v>
      </c>
      <c r="F150">
        <f>E150*8000</f>
        <v>32000</v>
      </c>
      <c r="G150">
        <f>E150*4500</f>
        <v>18000</v>
      </c>
      <c r="H150">
        <f>E150*3500</f>
        <v>14000</v>
      </c>
    </row>
    <row r="151" spans="1:8" hidden="1" x14ac:dyDescent="0.25">
      <c r="D151" t="s">
        <v>14</v>
      </c>
      <c r="E151">
        <v>2</v>
      </c>
      <c r="F151">
        <f>E151*12000</f>
        <v>24000</v>
      </c>
      <c r="G151">
        <f>E151*5500</f>
        <v>11000</v>
      </c>
      <c r="H151">
        <f>E151*6500</f>
        <v>13000</v>
      </c>
    </row>
    <row r="152" spans="1:8" hidden="1" x14ac:dyDescent="0.25">
      <c r="C152" t="s">
        <v>24</v>
      </c>
      <c r="D152" t="s">
        <v>243</v>
      </c>
      <c r="E152">
        <v>2</v>
      </c>
      <c r="F152">
        <v>30000</v>
      </c>
      <c r="G152">
        <v>20000</v>
      </c>
      <c r="H152">
        <v>10000</v>
      </c>
    </row>
    <row r="153" spans="1:8" hidden="1" x14ac:dyDescent="0.25">
      <c r="A153" s="111" t="s">
        <v>17</v>
      </c>
      <c r="B153" s="111"/>
      <c r="C153" s="111"/>
      <c r="D153" s="111"/>
      <c r="E153" s="1">
        <f>SUM(E146:E152)</f>
        <v>77</v>
      </c>
      <c r="F153" s="78">
        <f t="shared" ref="F153:H153" si="17">SUM(F146:F152)</f>
        <v>194500</v>
      </c>
      <c r="G153" s="78">
        <f t="shared" si="17"/>
        <v>83500</v>
      </c>
      <c r="H153" s="78">
        <f t="shared" si="17"/>
        <v>111000</v>
      </c>
    </row>
    <row r="154" spans="1:8" hidden="1" x14ac:dyDescent="0.25">
      <c r="A154" t="s">
        <v>28</v>
      </c>
      <c r="B154" s="3">
        <v>45676</v>
      </c>
      <c r="C154" t="s">
        <v>693</v>
      </c>
      <c r="D154" t="s">
        <v>11</v>
      </c>
      <c r="E154">
        <v>12</v>
      </c>
      <c r="F154" s="79">
        <f>E154*2000</f>
        <v>24000</v>
      </c>
      <c r="G154" s="79">
        <f>E154*500</f>
        <v>6000</v>
      </c>
      <c r="H154" s="79">
        <f>E154*1500</f>
        <v>18000</v>
      </c>
    </row>
    <row r="155" spans="1:8" hidden="1" x14ac:dyDescent="0.25">
      <c r="D155" t="s">
        <v>13</v>
      </c>
      <c r="E155">
        <v>41</v>
      </c>
      <c r="F155" s="79">
        <f>E155*7000</f>
        <v>287000</v>
      </c>
      <c r="G155" s="79">
        <f>E155*4500</f>
        <v>184500</v>
      </c>
      <c r="H155" s="79">
        <f>E155*2500</f>
        <v>102500</v>
      </c>
    </row>
    <row r="156" spans="1:8" hidden="1" x14ac:dyDescent="0.25">
      <c r="D156" t="s">
        <v>14</v>
      </c>
      <c r="E156">
        <v>27</v>
      </c>
      <c r="F156" s="79">
        <f>E156*10000</f>
        <v>270000</v>
      </c>
      <c r="G156" s="79">
        <f>E156*5500</f>
        <v>148500</v>
      </c>
      <c r="H156" s="79">
        <f>E156*4500</f>
        <v>121500</v>
      </c>
    </row>
    <row r="157" spans="1:8" hidden="1" x14ac:dyDescent="0.25">
      <c r="D157" t="s">
        <v>916</v>
      </c>
      <c r="E157">
        <v>5</v>
      </c>
      <c r="F157" s="79">
        <f>E157*2000</f>
        <v>10000</v>
      </c>
      <c r="G157" s="79">
        <f>E157*500</f>
        <v>2500</v>
      </c>
      <c r="H157" s="79">
        <f>E157*1500</f>
        <v>7500</v>
      </c>
    </row>
    <row r="158" spans="1:8" hidden="1" x14ac:dyDescent="0.25">
      <c r="D158" t="s">
        <v>243</v>
      </c>
      <c r="E158">
        <v>2</v>
      </c>
      <c r="F158" s="79">
        <v>30000</v>
      </c>
      <c r="G158" s="79">
        <v>20000</v>
      </c>
      <c r="H158" s="79">
        <v>10000</v>
      </c>
    </row>
    <row r="159" spans="1:8" hidden="1" x14ac:dyDescent="0.25">
      <c r="D159" t="s">
        <v>902</v>
      </c>
      <c r="E159">
        <v>2</v>
      </c>
      <c r="F159" s="79">
        <v>14000</v>
      </c>
      <c r="G159" s="79">
        <v>7000</v>
      </c>
      <c r="H159" s="79">
        <v>7000</v>
      </c>
    </row>
    <row r="160" spans="1:8" hidden="1" x14ac:dyDescent="0.25">
      <c r="D160" t="s">
        <v>420</v>
      </c>
      <c r="E160">
        <v>1</v>
      </c>
      <c r="F160" s="79">
        <v>4000</v>
      </c>
      <c r="G160" s="79">
        <v>2000</v>
      </c>
      <c r="H160" s="79">
        <v>2000</v>
      </c>
    </row>
    <row r="161" spans="1:11" hidden="1" x14ac:dyDescent="0.25">
      <c r="C161" t="s">
        <v>217</v>
      </c>
      <c r="D161" t="s">
        <v>11</v>
      </c>
      <c r="E161">
        <v>15</v>
      </c>
      <c r="F161" s="79">
        <f>E161*1500</f>
        <v>22500</v>
      </c>
      <c r="G161" s="79">
        <f>E161*500</f>
        <v>7500</v>
      </c>
      <c r="H161" s="79">
        <v>15000</v>
      </c>
    </row>
    <row r="162" spans="1:11" hidden="1" x14ac:dyDescent="0.25">
      <c r="D162" t="s">
        <v>13</v>
      </c>
      <c r="E162">
        <v>23</v>
      </c>
      <c r="F162" s="79">
        <f>E162*6500</f>
        <v>149500</v>
      </c>
      <c r="G162" s="79">
        <f>E162*4500</f>
        <v>103500</v>
      </c>
      <c r="H162" s="79">
        <f>E162*2000</f>
        <v>46000</v>
      </c>
    </row>
    <row r="163" spans="1:11" hidden="1" x14ac:dyDescent="0.25">
      <c r="D163" t="s">
        <v>14</v>
      </c>
      <c r="E163">
        <v>16</v>
      </c>
      <c r="F163" s="79">
        <f>E163*10000</f>
        <v>160000</v>
      </c>
      <c r="G163" s="79">
        <f>E163*5500</f>
        <v>88000</v>
      </c>
      <c r="H163" s="79">
        <f>E163*4500</f>
        <v>72000</v>
      </c>
    </row>
    <row r="164" spans="1:11" hidden="1" x14ac:dyDescent="0.25">
      <c r="A164" s="112" t="s">
        <v>17</v>
      </c>
      <c r="B164" s="112"/>
      <c r="C164" s="112"/>
      <c r="D164" s="112"/>
      <c r="E164" s="78">
        <f>SUM(E154:E163)</f>
        <v>144</v>
      </c>
      <c r="F164" s="78">
        <f t="shared" ref="F164:H164" si="18">SUM(F154:F163)</f>
        <v>971000</v>
      </c>
      <c r="G164" s="78">
        <f t="shared" si="18"/>
        <v>569500</v>
      </c>
      <c r="H164" s="78">
        <f t="shared" si="18"/>
        <v>401500</v>
      </c>
    </row>
    <row r="165" spans="1:11" hidden="1" x14ac:dyDescent="0.25">
      <c r="A165" t="s">
        <v>30</v>
      </c>
      <c r="B165" s="3">
        <v>45677</v>
      </c>
      <c r="C165" t="s">
        <v>338</v>
      </c>
      <c r="D165" t="s">
        <v>11</v>
      </c>
      <c r="E165">
        <v>12</v>
      </c>
      <c r="F165" s="79">
        <f>E165*1500</f>
        <v>18000</v>
      </c>
      <c r="G165" s="79">
        <f t="shared" ref="G165:G171" si="19">E165*500</f>
        <v>6000</v>
      </c>
      <c r="H165" s="79">
        <f>E165*1000</f>
        <v>12000</v>
      </c>
    </row>
    <row r="166" spans="1:11" hidden="1" x14ac:dyDescent="0.25">
      <c r="D166" t="s">
        <v>916</v>
      </c>
      <c r="E166">
        <v>25</v>
      </c>
      <c r="F166" s="79">
        <f>E166*1500</f>
        <v>37500</v>
      </c>
      <c r="G166" s="79">
        <f t="shared" si="19"/>
        <v>12500</v>
      </c>
      <c r="H166" s="79">
        <f>E166*1000</f>
        <v>25000</v>
      </c>
    </row>
    <row r="167" spans="1:11" hidden="1" x14ac:dyDescent="0.25">
      <c r="C167" t="s">
        <v>571</v>
      </c>
      <c r="D167" t="s">
        <v>11</v>
      </c>
      <c r="E167">
        <v>23</v>
      </c>
      <c r="F167" s="79">
        <f>E167*1700</f>
        <v>39100</v>
      </c>
      <c r="G167" s="79">
        <f t="shared" si="19"/>
        <v>11500</v>
      </c>
      <c r="H167" s="79">
        <f t="shared" ref="H167:H170" si="20">E167*1300</f>
        <v>29900</v>
      </c>
    </row>
    <row r="168" spans="1:11" hidden="1" x14ac:dyDescent="0.25">
      <c r="C168" t="s">
        <v>581</v>
      </c>
      <c r="D168" t="s">
        <v>916</v>
      </c>
      <c r="E168">
        <v>65</v>
      </c>
      <c r="F168" s="79">
        <f>E168*1600</f>
        <v>104000</v>
      </c>
      <c r="G168" s="79">
        <f t="shared" si="19"/>
        <v>32500</v>
      </c>
      <c r="H168" s="79">
        <f t="shared" si="20"/>
        <v>84500</v>
      </c>
      <c r="K168">
        <f>E142+E144+E147+E149+E157+E166+E168+E170+E175+E177+E179+E189+E192+E208+E210+E251+E258+E260</f>
        <v>488</v>
      </c>
    </row>
    <row r="169" spans="1:11" hidden="1" x14ac:dyDescent="0.25">
      <c r="C169" t="s">
        <v>306</v>
      </c>
      <c r="D169" t="s">
        <v>11</v>
      </c>
      <c r="E169">
        <v>4</v>
      </c>
      <c r="F169" s="79">
        <f t="shared" ref="F169:F170" si="21">E169*1800</f>
        <v>7200</v>
      </c>
      <c r="G169" s="79">
        <f t="shared" si="19"/>
        <v>2000</v>
      </c>
      <c r="H169" s="79">
        <f t="shared" si="20"/>
        <v>5200</v>
      </c>
    </row>
    <row r="170" spans="1:11" hidden="1" x14ac:dyDescent="0.25">
      <c r="D170" t="s">
        <v>916</v>
      </c>
      <c r="E170">
        <v>5</v>
      </c>
      <c r="F170" s="79">
        <f t="shared" si="21"/>
        <v>9000</v>
      </c>
      <c r="G170" s="79">
        <f t="shared" si="19"/>
        <v>2500</v>
      </c>
      <c r="H170" s="79">
        <f t="shared" si="20"/>
        <v>6500</v>
      </c>
    </row>
    <row r="171" spans="1:11" hidden="1" x14ac:dyDescent="0.25">
      <c r="D171" t="s">
        <v>914</v>
      </c>
      <c r="E171">
        <v>9</v>
      </c>
      <c r="F171" s="79">
        <f>E171*1800</f>
        <v>16200</v>
      </c>
      <c r="G171" s="79">
        <f t="shared" si="19"/>
        <v>4500</v>
      </c>
      <c r="H171" s="79">
        <f>E171*1300</f>
        <v>11700</v>
      </c>
    </row>
    <row r="172" spans="1:11" hidden="1" x14ac:dyDescent="0.25">
      <c r="C172" t="s">
        <v>846</v>
      </c>
      <c r="D172" t="s">
        <v>13</v>
      </c>
      <c r="E172">
        <v>2</v>
      </c>
      <c r="F172" s="79">
        <f>E172*8000</f>
        <v>16000</v>
      </c>
      <c r="G172" s="79">
        <f>E172*4500</f>
        <v>9000</v>
      </c>
      <c r="H172" s="79">
        <f>E172*3500</f>
        <v>7000</v>
      </c>
    </row>
    <row r="173" spans="1:11" hidden="1" x14ac:dyDescent="0.25">
      <c r="D173" t="s">
        <v>14</v>
      </c>
      <c r="E173">
        <v>1</v>
      </c>
      <c r="F173" s="79">
        <v>12000</v>
      </c>
      <c r="G173" s="79">
        <v>5500</v>
      </c>
      <c r="H173" s="79">
        <v>6500</v>
      </c>
    </row>
    <row r="174" spans="1:11" hidden="1" x14ac:dyDescent="0.25">
      <c r="A174" s="112" t="s">
        <v>17</v>
      </c>
      <c r="B174" s="112"/>
      <c r="C174" s="112"/>
      <c r="D174" s="112"/>
      <c r="E174" s="78">
        <f>SUM(E165:E173)</f>
        <v>146</v>
      </c>
      <c r="F174" s="78">
        <f t="shared" ref="F174:H174" si="22">SUM(F165:F173)</f>
        <v>259000</v>
      </c>
      <c r="G174" s="78">
        <f t="shared" si="22"/>
        <v>86000</v>
      </c>
      <c r="H174" s="78">
        <f t="shared" si="22"/>
        <v>188300</v>
      </c>
    </row>
    <row r="175" spans="1:11" hidden="1" x14ac:dyDescent="0.25">
      <c r="A175" t="s">
        <v>32</v>
      </c>
      <c r="B175" s="3">
        <v>45678</v>
      </c>
      <c r="C175" t="s">
        <v>338</v>
      </c>
      <c r="D175" t="s">
        <v>917</v>
      </c>
      <c r="E175">
        <v>35</v>
      </c>
      <c r="F175">
        <f>E175*1500</f>
        <v>52500</v>
      </c>
      <c r="G175">
        <f t="shared" ref="G175:G180" si="23">E175*500</f>
        <v>17500</v>
      </c>
      <c r="H175">
        <f>E175*1000</f>
        <v>35000</v>
      </c>
    </row>
    <row r="176" spans="1:11" hidden="1" x14ac:dyDescent="0.25">
      <c r="C176" t="s">
        <v>581</v>
      </c>
      <c r="D176" t="s">
        <v>914</v>
      </c>
      <c r="E176">
        <v>9</v>
      </c>
      <c r="F176">
        <f>E176*1600</f>
        <v>14400</v>
      </c>
      <c r="G176">
        <f t="shared" si="23"/>
        <v>4500</v>
      </c>
      <c r="H176">
        <f>E176*1100</f>
        <v>9900</v>
      </c>
    </row>
    <row r="177" spans="1:11" hidden="1" x14ac:dyDescent="0.25">
      <c r="D177" t="s">
        <v>916</v>
      </c>
      <c r="E177">
        <v>30</v>
      </c>
      <c r="F177">
        <f>E177*1600</f>
        <v>48000</v>
      </c>
      <c r="G177">
        <f t="shared" si="23"/>
        <v>15000</v>
      </c>
      <c r="H177">
        <f>E177*1100</f>
        <v>33000</v>
      </c>
    </row>
    <row r="178" spans="1:11" hidden="1" x14ac:dyDescent="0.25">
      <c r="C178" t="s">
        <v>306</v>
      </c>
      <c r="D178" t="s">
        <v>914</v>
      </c>
      <c r="E178">
        <v>18</v>
      </c>
      <c r="F178">
        <f>E178*1800</f>
        <v>32400</v>
      </c>
      <c r="G178">
        <f t="shared" si="23"/>
        <v>9000</v>
      </c>
      <c r="H178">
        <f>E178*1300</f>
        <v>23400</v>
      </c>
    </row>
    <row r="179" spans="1:11" hidden="1" x14ac:dyDescent="0.25">
      <c r="D179" t="s">
        <v>916</v>
      </c>
      <c r="E179">
        <v>6</v>
      </c>
      <c r="F179">
        <f>E179*1800</f>
        <v>10800</v>
      </c>
      <c r="G179">
        <f t="shared" si="23"/>
        <v>3000</v>
      </c>
      <c r="H179">
        <f>E179*1300</f>
        <v>7800</v>
      </c>
    </row>
    <row r="180" spans="1:11" hidden="1" x14ac:dyDescent="0.25">
      <c r="C180" t="s">
        <v>853</v>
      </c>
      <c r="D180" t="s">
        <v>11</v>
      </c>
      <c r="E180">
        <v>3</v>
      </c>
      <c r="F180">
        <f>E180*2000</f>
        <v>6000</v>
      </c>
      <c r="G180">
        <f t="shared" si="23"/>
        <v>1500</v>
      </c>
      <c r="H180">
        <f>E180*1500</f>
        <v>4500</v>
      </c>
      <c r="K180">
        <f>E2+E20+E59+E74+E180+E242</f>
        <v>47</v>
      </c>
    </row>
    <row r="181" spans="1:11" hidden="1" x14ac:dyDescent="0.25">
      <c r="D181" t="s">
        <v>13</v>
      </c>
      <c r="E181">
        <v>3</v>
      </c>
      <c r="F181">
        <f>E181*8000</f>
        <v>24000</v>
      </c>
      <c r="G181">
        <f>E181*4500</f>
        <v>13500</v>
      </c>
      <c r="H181">
        <f>E181*3500</f>
        <v>10500</v>
      </c>
    </row>
    <row r="182" spans="1:11" hidden="1" x14ac:dyDescent="0.25">
      <c r="D182" t="s">
        <v>14</v>
      </c>
      <c r="E182">
        <v>2</v>
      </c>
      <c r="F182">
        <v>20000</v>
      </c>
      <c r="G182">
        <v>11000</v>
      </c>
      <c r="H182">
        <v>9000</v>
      </c>
    </row>
    <row r="183" spans="1:11" hidden="1" x14ac:dyDescent="0.25">
      <c r="C183" t="s">
        <v>846</v>
      </c>
      <c r="D183" t="s">
        <v>13</v>
      </c>
      <c r="E183">
        <v>2</v>
      </c>
      <c r="F183">
        <f>E183*8000</f>
        <v>16000</v>
      </c>
      <c r="G183">
        <f>E183*4500</f>
        <v>9000</v>
      </c>
      <c r="H183">
        <f>E183*3500</f>
        <v>7000</v>
      </c>
    </row>
    <row r="184" spans="1:11" hidden="1" x14ac:dyDescent="0.25">
      <c r="D184" t="s">
        <v>14</v>
      </c>
      <c r="E184">
        <v>1</v>
      </c>
      <c r="F184">
        <v>12000</v>
      </c>
      <c r="G184">
        <v>5500</v>
      </c>
      <c r="H184">
        <v>6500</v>
      </c>
    </row>
    <row r="185" spans="1:11" hidden="1" x14ac:dyDescent="0.25">
      <c r="D185" t="s">
        <v>918</v>
      </c>
      <c r="E185">
        <v>1</v>
      </c>
      <c r="F185">
        <v>15000</v>
      </c>
      <c r="G185">
        <v>7000</v>
      </c>
      <c r="H185">
        <v>8000</v>
      </c>
    </row>
    <row r="186" spans="1:11" x14ac:dyDescent="0.25">
      <c r="D186" t="s">
        <v>919</v>
      </c>
      <c r="E186">
        <v>1</v>
      </c>
      <c r="F186">
        <v>10000</v>
      </c>
      <c r="G186">
        <v>4000</v>
      </c>
      <c r="H186">
        <v>6000</v>
      </c>
    </row>
    <row r="187" spans="1:11" hidden="1" x14ac:dyDescent="0.25">
      <c r="D187" t="s">
        <v>902</v>
      </c>
      <c r="E187">
        <v>1</v>
      </c>
      <c r="F187">
        <v>8000</v>
      </c>
      <c r="G187">
        <v>4000</v>
      </c>
      <c r="H187">
        <v>4000</v>
      </c>
    </row>
    <row r="188" spans="1:11" hidden="1" x14ac:dyDescent="0.25">
      <c r="A188" s="112" t="s">
        <v>17</v>
      </c>
      <c r="B188" s="112"/>
      <c r="C188" s="112"/>
      <c r="D188" s="112"/>
      <c r="E188" s="78">
        <f>SUM(E175:E187)</f>
        <v>112</v>
      </c>
      <c r="F188" s="78">
        <f t="shared" ref="F188:H188" si="24">SUM(F175:F187)</f>
        <v>269100</v>
      </c>
      <c r="G188" s="78">
        <f t="shared" si="24"/>
        <v>104500</v>
      </c>
      <c r="H188" s="78">
        <f t="shared" si="24"/>
        <v>164600</v>
      </c>
    </row>
    <row r="189" spans="1:11" hidden="1" x14ac:dyDescent="0.25">
      <c r="A189" t="s">
        <v>8</v>
      </c>
      <c r="B189" s="3">
        <v>45679</v>
      </c>
      <c r="C189" t="s">
        <v>338</v>
      </c>
      <c r="D189" t="s">
        <v>917</v>
      </c>
      <c r="E189">
        <v>27</v>
      </c>
      <c r="F189" s="79">
        <f>E189*1500</f>
        <v>40500</v>
      </c>
      <c r="G189" s="79">
        <f>E189*500</f>
        <v>13500</v>
      </c>
      <c r="H189" s="79">
        <f>E189*1000</f>
        <v>27000</v>
      </c>
    </row>
    <row r="190" spans="1:11" hidden="1" x14ac:dyDescent="0.25">
      <c r="C190" t="s">
        <v>571</v>
      </c>
      <c r="D190" t="s">
        <v>11</v>
      </c>
      <c r="E190">
        <v>16</v>
      </c>
      <c r="F190" s="79">
        <f>E190*1700</f>
        <v>27200</v>
      </c>
      <c r="G190" s="79">
        <f>E190*500</f>
        <v>8000</v>
      </c>
      <c r="H190" s="79">
        <f>E190*1200</f>
        <v>19200</v>
      </c>
    </row>
    <row r="191" spans="1:11" hidden="1" x14ac:dyDescent="0.25">
      <c r="C191" t="s">
        <v>306</v>
      </c>
      <c r="D191" t="s">
        <v>914</v>
      </c>
      <c r="E191">
        <v>18</v>
      </c>
      <c r="F191" s="79">
        <f>E191*1800</f>
        <v>32400</v>
      </c>
      <c r="G191" s="79">
        <f>E191*500</f>
        <v>9000</v>
      </c>
      <c r="H191" s="79">
        <f>E191*1300</f>
        <v>23400</v>
      </c>
    </row>
    <row r="192" spans="1:11" hidden="1" x14ac:dyDescent="0.25">
      <c r="C192" t="s">
        <v>104</v>
      </c>
      <c r="D192" t="s">
        <v>920</v>
      </c>
      <c r="E192">
        <v>29</v>
      </c>
      <c r="F192" s="79">
        <f>E192*1700</f>
        <v>49300</v>
      </c>
      <c r="G192" s="79">
        <f>E192*500</f>
        <v>14500</v>
      </c>
      <c r="H192" s="79">
        <f>E192*1200</f>
        <v>34800</v>
      </c>
    </row>
    <row r="193" spans="1:8" hidden="1" x14ac:dyDescent="0.25">
      <c r="C193" t="s">
        <v>581</v>
      </c>
      <c r="D193" t="s">
        <v>921</v>
      </c>
      <c r="E193">
        <v>37</v>
      </c>
      <c r="F193" s="79">
        <f>E193*1600</f>
        <v>59200</v>
      </c>
      <c r="G193" s="79">
        <f>E193*500</f>
        <v>18500</v>
      </c>
      <c r="H193" s="79">
        <f>E193*1600</f>
        <v>59200</v>
      </c>
    </row>
    <row r="194" spans="1:8" hidden="1" x14ac:dyDescent="0.25">
      <c r="C194" t="s">
        <v>24</v>
      </c>
      <c r="D194" t="s">
        <v>243</v>
      </c>
      <c r="E194">
        <v>3</v>
      </c>
      <c r="F194" s="79">
        <f>E194*15000</f>
        <v>45000</v>
      </c>
      <c r="G194" s="79">
        <v>30000</v>
      </c>
      <c r="H194" s="79">
        <v>15000</v>
      </c>
    </row>
    <row r="195" spans="1:8" hidden="1" x14ac:dyDescent="0.25">
      <c r="C195" t="s">
        <v>846</v>
      </c>
      <c r="D195" t="s">
        <v>13</v>
      </c>
      <c r="E195">
        <v>6</v>
      </c>
      <c r="F195" s="79">
        <f>E195*8000</f>
        <v>48000</v>
      </c>
      <c r="G195" s="79">
        <f>E195*4000</f>
        <v>24000</v>
      </c>
      <c r="H195" s="79">
        <v>24000</v>
      </c>
    </row>
    <row r="196" spans="1:8" hidden="1" x14ac:dyDescent="0.25">
      <c r="D196" t="s">
        <v>14</v>
      </c>
      <c r="E196">
        <v>2</v>
      </c>
      <c r="F196" s="79">
        <v>24000</v>
      </c>
      <c r="G196" s="79">
        <f>E196*5500</f>
        <v>11000</v>
      </c>
      <c r="H196" s="79">
        <f>E196*6500</f>
        <v>13000</v>
      </c>
    </row>
    <row r="197" spans="1:8" x14ac:dyDescent="0.25">
      <c r="D197" t="s">
        <v>919</v>
      </c>
      <c r="E197">
        <v>2</v>
      </c>
      <c r="F197" s="79">
        <v>20000</v>
      </c>
      <c r="G197" s="79">
        <v>10000</v>
      </c>
      <c r="H197" s="79">
        <v>10000</v>
      </c>
    </row>
    <row r="198" spans="1:8" hidden="1" x14ac:dyDescent="0.25">
      <c r="D198" t="s">
        <v>922</v>
      </c>
      <c r="E198">
        <v>2</v>
      </c>
      <c r="F198" s="79">
        <v>20000</v>
      </c>
      <c r="G198" s="79">
        <v>10000</v>
      </c>
      <c r="H198" s="79">
        <v>10000</v>
      </c>
    </row>
    <row r="199" spans="1:8" hidden="1" x14ac:dyDescent="0.25">
      <c r="D199" t="s">
        <v>902</v>
      </c>
      <c r="E199">
        <v>11</v>
      </c>
      <c r="F199" s="79">
        <f>E199*8000</f>
        <v>88000</v>
      </c>
      <c r="G199" s="79">
        <f>E199*4000</f>
        <v>44000</v>
      </c>
      <c r="H199" s="79">
        <v>44000</v>
      </c>
    </row>
    <row r="200" spans="1:8" hidden="1" x14ac:dyDescent="0.25">
      <c r="A200" s="112" t="s">
        <v>17</v>
      </c>
      <c r="B200" s="112"/>
      <c r="C200" s="112"/>
      <c r="D200" s="112"/>
      <c r="E200" s="78">
        <f>SUM(E189:E199)</f>
        <v>153</v>
      </c>
      <c r="F200" s="78">
        <f t="shared" ref="F200:H200" si="25">SUM(F189:F199)</f>
        <v>453600</v>
      </c>
      <c r="G200" s="78">
        <f t="shared" si="25"/>
        <v>192500</v>
      </c>
      <c r="H200" s="78">
        <f t="shared" si="25"/>
        <v>279600</v>
      </c>
    </row>
    <row r="201" spans="1:8" hidden="1" x14ac:dyDescent="0.25">
      <c r="A201" t="s">
        <v>18</v>
      </c>
      <c r="B201" s="3">
        <v>45680</v>
      </c>
      <c r="C201" t="s">
        <v>572</v>
      </c>
      <c r="D201" t="s">
        <v>11</v>
      </c>
      <c r="E201">
        <f>171700/1700</f>
        <v>101</v>
      </c>
      <c r="F201">
        <f>E201*1700</f>
        <v>171700</v>
      </c>
      <c r="G201">
        <f>E201*500</f>
        <v>50500</v>
      </c>
      <c r="H201">
        <f>E201*1200</f>
        <v>121200</v>
      </c>
    </row>
    <row r="202" spans="1:8" hidden="1" x14ac:dyDescent="0.25">
      <c r="C202" t="s">
        <v>846</v>
      </c>
      <c r="D202" t="s">
        <v>14</v>
      </c>
      <c r="E202">
        <v>1</v>
      </c>
      <c r="F202">
        <v>12000</v>
      </c>
      <c r="G202">
        <v>5500</v>
      </c>
      <c r="H202" s="79">
        <v>6500</v>
      </c>
    </row>
    <row r="203" spans="1:8" hidden="1" x14ac:dyDescent="0.25">
      <c r="B203" s="3">
        <v>45680</v>
      </c>
      <c r="C203" t="s">
        <v>923</v>
      </c>
      <c r="D203" t="s">
        <v>243</v>
      </c>
      <c r="E203">
        <v>74</v>
      </c>
      <c r="F203">
        <f>E203*10000</f>
        <v>740000</v>
      </c>
      <c r="G203">
        <f>E203*8500</f>
        <v>629000</v>
      </c>
      <c r="H203">
        <f>E203*1500</f>
        <v>111000</v>
      </c>
    </row>
    <row r="204" spans="1:8" hidden="1" x14ac:dyDescent="0.25">
      <c r="C204" t="s">
        <v>24</v>
      </c>
      <c r="D204" t="s">
        <v>243</v>
      </c>
      <c r="E204">
        <v>2</v>
      </c>
      <c r="F204">
        <v>30000</v>
      </c>
      <c r="G204">
        <v>20000</v>
      </c>
      <c r="H204">
        <v>10000</v>
      </c>
    </row>
    <row r="205" spans="1:8" hidden="1" x14ac:dyDescent="0.25">
      <c r="A205" s="112" t="s">
        <v>17</v>
      </c>
      <c r="B205" s="112"/>
      <c r="C205" s="112"/>
      <c r="D205" s="112"/>
      <c r="E205" s="78">
        <f>SUM(E201:E204)</f>
        <v>178</v>
      </c>
      <c r="F205" s="78">
        <f t="shared" ref="F205:H205" si="26">SUM(F201:F204)</f>
        <v>953700</v>
      </c>
      <c r="G205" s="78">
        <f t="shared" si="26"/>
        <v>705000</v>
      </c>
      <c r="H205" s="78">
        <f t="shared" si="26"/>
        <v>248700</v>
      </c>
    </row>
    <row r="206" spans="1:8" hidden="1" x14ac:dyDescent="0.25">
      <c r="A206" t="s">
        <v>22</v>
      </c>
      <c r="B206" s="3">
        <v>45681</v>
      </c>
      <c r="C206" t="s">
        <v>338</v>
      </c>
      <c r="D206" t="s">
        <v>11</v>
      </c>
      <c r="E206">
        <v>89</v>
      </c>
      <c r="F206">
        <f>E206*1500</f>
        <v>133500</v>
      </c>
      <c r="G206">
        <f>E206*500</f>
        <v>44500</v>
      </c>
      <c r="H206">
        <f>E206*1000</f>
        <v>89000</v>
      </c>
    </row>
    <row r="207" spans="1:8" hidden="1" x14ac:dyDescent="0.25">
      <c r="C207" t="s">
        <v>571</v>
      </c>
      <c r="D207" t="s">
        <v>11</v>
      </c>
      <c r="E207">
        <v>7</v>
      </c>
      <c r="F207">
        <f>E207*1700</f>
        <v>11900</v>
      </c>
      <c r="G207">
        <f>E207*500</f>
        <v>3500</v>
      </c>
      <c r="H207">
        <f>E207*1200</f>
        <v>8400</v>
      </c>
    </row>
    <row r="208" spans="1:8" hidden="1" x14ac:dyDescent="0.25">
      <c r="C208" t="s">
        <v>581</v>
      </c>
      <c r="D208" t="s">
        <v>924</v>
      </c>
      <c r="E208">
        <f>45+35</f>
        <v>80</v>
      </c>
      <c r="F208">
        <f>E208+1600</f>
        <v>1680</v>
      </c>
      <c r="G208">
        <f>E208*500</f>
        <v>40000</v>
      </c>
      <c r="H208">
        <f>E208*1100</f>
        <v>88000</v>
      </c>
    </row>
    <row r="209" spans="1:12" hidden="1" x14ac:dyDescent="0.25">
      <c r="C209" t="s">
        <v>306</v>
      </c>
      <c r="D209" t="s">
        <v>914</v>
      </c>
      <c r="E209">
        <f>29+13</f>
        <v>42</v>
      </c>
      <c r="F209">
        <f>E209*1800</f>
        <v>75600</v>
      </c>
      <c r="G209">
        <f>E209*500</f>
        <v>21000</v>
      </c>
      <c r="H209">
        <f>E209*1300</f>
        <v>54600</v>
      </c>
    </row>
    <row r="210" spans="1:12" hidden="1" x14ac:dyDescent="0.25">
      <c r="C210" t="s">
        <v>104</v>
      </c>
      <c r="D210" t="s">
        <v>925</v>
      </c>
      <c r="E210">
        <v>33</v>
      </c>
      <c r="F210">
        <f>E210*1700</f>
        <v>56100</v>
      </c>
      <c r="G210">
        <f>E210*500</f>
        <v>16500</v>
      </c>
      <c r="H210">
        <f>E210*1200</f>
        <v>39600</v>
      </c>
    </row>
    <row r="211" spans="1:12" hidden="1" x14ac:dyDescent="0.25">
      <c r="C211" t="s">
        <v>846</v>
      </c>
      <c r="D211" t="s">
        <v>13</v>
      </c>
      <c r="E211">
        <v>2</v>
      </c>
      <c r="F211">
        <f>E211*8000</f>
        <v>16000</v>
      </c>
      <c r="G211">
        <f>E211*4500</f>
        <v>9000</v>
      </c>
      <c r="H211">
        <f>E211*3500</f>
        <v>7000</v>
      </c>
    </row>
    <row r="212" spans="1:12" hidden="1" x14ac:dyDescent="0.25">
      <c r="D212" t="s">
        <v>14</v>
      </c>
      <c r="E212">
        <v>1</v>
      </c>
      <c r="F212">
        <v>12000</v>
      </c>
      <c r="G212">
        <v>5500</v>
      </c>
      <c r="H212">
        <v>6500</v>
      </c>
    </row>
    <row r="213" spans="1:12" hidden="1" x14ac:dyDescent="0.25">
      <c r="D213" t="s">
        <v>902</v>
      </c>
      <c r="E213">
        <v>4</v>
      </c>
      <c r="F213">
        <f>E213*8000</f>
        <v>32000</v>
      </c>
      <c r="G213">
        <f>E213*5700</f>
        <v>22800</v>
      </c>
      <c r="H213">
        <f>E213*2300</f>
        <v>9200</v>
      </c>
    </row>
    <row r="214" spans="1:12" hidden="1" x14ac:dyDescent="0.25">
      <c r="D214" t="s">
        <v>918</v>
      </c>
      <c r="E214">
        <v>3</v>
      </c>
      <c r="F214">
        <f>E214*15000</f>
        <v>45000</v>
      </c>
      <c r="G214">
        <f>E214*12000</f>
        <v>36000</v>
      </c>
      <c r="H214">
        <f>E214*3000</f>
        <v>9000</v>
      </c>
    </row>
    <row r="215" spans="1:12" hidden="1" x14ac:dyDescent="0.25">
      <c r="A215" s="112" t="s">
        <v>17</v>
      </c>
      <c r="B215" s="112"/>
      <c r="C215" s="112"/>
      <c r="D215" s="112"/>
      <c r="E215" s="78">
        <f>SUM(E206:E214)</f>
        <v>261</v>
      </c>
      <c r="F215" s="78">
        <f t="shared" ref="F215:H215" si="27">SUM(F206:F214)</f>
        <v>383780</v>
      </c>
      <c r="G215" s="78">
        <f t="shared" si="27"/>
        <v>198800</v>
      </c>
      <c r="H215" s="78">
        <f t="shared" si="27"/>
        <v>311300</v>
      </c>
    </row>
    <row r="216" spans="1:12" hidden="1" x14ac:dyDescent="0.25">
      <c r="A216" t="s">
        <v>26</v>
      </c>
      <c r="B216" s="3">
        <v>45682</v>
      </c>
      <c r="C216" t="s">
        <v>926</v>
      </c>
      <c r="D216" t="s">
        <v>914</v>
      </c>
      <c r="E216">
        <v>40</v>
      </c>
      <c r="F216" s="79">
        <f>E216*1600</f>
        <v>64000</v>
      </c>
      <c r="G216" s="79">
        <f>E216*500</f>
        <v>20000</v>
      </c>
      <c r="H216" s="79">
        <f>E216*1100</f>
        <v>44000</v>
      </c>
      <c r="L216">
        <f>E122+E171+E176+E178+E191+E193+E209+E216+E259</f>
        <v>204</v>
      </c>
    </row>
    <row r="217" spans="1:12" hidden="1" x14ac:dyDescent="0.25">
      <c r="C217" t="s">
        <v>338</v>
      </c>
      <c r="D217" t="s">
        <v>11</v>
      </c>
      <c r="E217">
        <v>75</v>
      </c>
      <c r="F217" s="79">
        <f>E217*1500</f>
        <v>112500</v>
      </c>
      <c r="G217" s="79">
        <f>E217*500</f>
        <v>37500</v>
      </c>
      <c r="H217" s="79">
        <f>E217*1000</f>
        <v>75000</v>
      </c>
    </row>
    <row r="218" spans="1:12" hidden="1" x14ac:dyDescent="0.25">
      <c r="C218" t="s">
        <v>24</v>
      </c>
      <c r="D218" t="s">
        <v>243</v>
      </c>
      <c r="E218">
        <v>2</v>
      </c>
      <c r="F218" s="79">
        <v>30000</v>
      </c>
      <c r="G218" s="79">
        <v>20000</v>
      </c>
      <c r="H218" s="79">
        <v>10000</v>
      </c>
    </row>
    <row r="219" spans="1:12" hidden="1" x14ac:dyDescent="0.25">
      <c r="A219" s="112" t="s">
        <v>17</v>
      </c>
      <c r="B219" s="112"/>
      <c r="C219" s="112"/>
      <c r="D219" s="112"/>
      <c r="E219" s="78">
        <f>SUM(E216:E218)</f>
        <v>117</v>
      </c>
      <c r="F219" s="78">
        <f t="shared" ref="F219:H219" si="28">SUM(F216:F218)</f>
        <v>206500</v>
      </c>
      <c r="G219" s="78">
        <f t="shared" si="28"/>
        <v>77500</v>
      </c>
      <c r="H219" s="78">
        <f t="shared" si="28"/>
        <v>129000</v>
      </c>
    </row>
    <row r="220" spans="1:12" hidden="1" x14ac:dyDescent="0.25">
      <c r="A220" t="s">
        <v>28</v>
      </c>
      <c r="B220" s="3">
        <v>45683</v>
      </c>
      <c r="C220" t="s">
        <v>693</v>
      </c>
      <c r="D220" t="s">
        <v>11</v>
      </c>
      <c r="E220">
        <v>5</v>
      </c>
      <c r="F220" s="79">
        <f>E220*2000</f>
        <v>10000</v>
      </c>
      <c r="G220" s="79">
        <f>E220*500</f>
        <v>2500</v>
      </c>
      <c r="H220" s="79">
        <f>E220*1500</f>
        <v>7500</v>
      </c>
    </row>
    <row r="221" spans="1:12" hidden="1" x14ac:dyDescent="0.25">
      <c r="D221" t="s">
        <v>13</v>
      </c>
      <c r="E221">
        <v>47</v>
      </c>
      <c r="F221" s="79">
        <f>E221*7000</f>
        <v>329000</v>
      </c>
      <c r="G221" s="79">
        <f>E221*4500</f>
        <v>211500</v>
      </c>
      <c r="H221" s="79">
        <f>E221*2500</f>
        <v>117500</v>
      </c>
    </row>
    <row r="222" spans="1:12" hidden="1" x14ac:dyDescent="0.25">
      <c r="D222" t="s">
        <v>14</v>
      </c>
      <c r="E222">
        <v>32</v>
      </c>
      <c r="F222" s="79">
        <f>E222*10000</f>
        <v>320000</v>
      </c>
      <c r="G222" s="79">
        <f>E222*5500</f>
        <v>176000</v>
      </c>
      <c r="H222" s="79">
        <f>E222*4500</f>
        <v>144000</v>
      </c>
    </row>
    <row r="223" spans="1:12" hidden="1" x14ac:dyDescent="0.25">
      <c r="D223" t="s">
        <v>243</v>
      </c>
      <c r="E223">
        <v>2</v>
      </c>
      <c r="F223" s="79">
        <v>30000</v>
      </c>
      <c r="G223" s="79">
        <v>20000</v>
      </c>
      <c r="H223" s="79">
        <v>10000</v>
      </c>
    </row>
    <row r="224" spans="1:12" hidden="1" x14ac:dyDescent="0.25">
      <c r="C224" t="s">
        <v>217</v>
      </c>
      <c r="D224" t="s">
        <v>11</v>
      </c>
      <c r="E224">
        <v>12</v>
      </c>
      <c r="F224" s="79">
        <f>E224*1500</f>
        <v>18000</v>
      </c>
      <c r="G224" s="79">
        <f>E224*500</f>
        <v>6000</v>
      </c>
      <c r="H224" s="79">
        <f>E224*1000</f>
        <v>12000</v>
      </c>
    </row>
    <row r="225" spans="1:16" hidden="1" x14ac:dyDescent="0.25">
      <c r="D225" t="s">
        <v>13</v>
      </c>
      <c r="E225">
        <v>23</v>
      </c>
      <c r="F225" s="79">
        <f>E225*6500</f>
        <v>149500</v>
      </c>
      <c r="G225" s="79">
        <f>E225*4500</f>
        <v>103500</v>
      </c>
      <c r="H225" s="79">
        <f>E225*2000</f>
        <v>46000</v>
      </c>
    </row>
    <row r="226" spans="1:16" hidden="1" x14ac:dyDescent="0.25">
      <c r="D226" t="s">
        <v>14</v>
      </c>
      <c r="E226">
        <v>15</v>
      </c>
      <c r="F226" s="79">
        <f>E226*10000</f>
        <v>150000</v>
      </c>
      <c r="G226" s="79">
        <f>E226*5500</f>
        <v>82500</v>
      </c>
      <c r="H226" s="79">
        <f>E226*4500</f>
        <v>67500</v>
      </c>
    </row>
    <row r="227" spans="1:16" hidden="1" x14ac:dyDescent="0.25">
      <c r="C227" t="s">
        <v>846</v>
      </c>
      <c r="D227" t="s">
        <v>11</v>
      </c>
      <c r="E227">
        <v>1</v>
      </c>
      <c r="F227" s="79">
        <v>3000</v>
      </c>
      <c r="G227" s="79">
        <v>500</v>
      </c>
      <c r="H227" s="79">
        <v>2500</v>
      </c>
    </row>
    <row r="228" spans="1:16" hidden="1" x14ac:dyDescent="0.25">
      <c r="D228" t="s">
        <v>13</v>
      </c>
      <c r="E228">
        <v>1</v>
      </c>
      <c r="F228" s="79">
        <v>8000</v>
      </c>
      <c r="G228" s="79">
        <v>4500</v>
      </c>
      <c r="H228" s="79">
        <v>3500</v>
      </c>
    </row>
    <row r="229" spans="1:16" hidden="1" x14ac:dyDescent="0.25">
      <c r="D229" t="s">
        <v>14</v>
      </c>
      <c r="E229">
        <v>5</v>
      </c>
      <c r="F229" s="79">
        <f>E229*12000</f>
        <v>60000</v>
      </c>
      <c r="G229" s="79">
        <f>E229*5500</f>
        <v>27500</v>
      </c>
      <c r="H229" s="79">
        <f>E229*4500</f>
        <v>22500</v>
      </c>
    </row>
    <row r="230" spans="1:16" x14ac:dyDescent="0.25">
      <c r="D230" t="s">
        <v>919</v>
      </c>
      <c r="E230">
        <v>1</v>
      </c>
      <c r="F230" s="79">
        <v>12000</v>
      </c>
      <c r="G230" s="79">
        <v>6500</v>
      </c>
      <c r="H230" s="79">
        <v>5500</v>
      </c>
    </row>
    <row r="231" spans="1:16" hidden="1" x14ac:dyDescent="0.25">
      <c r="A231" s="112" t="s">
        <v>17</v>
      </c>
      <c r="B231" s="112"/>
      <c r="C231" s="112"/>
      <c r="D231" s="112"/>
      <c r="E231" s="78">
        <f>SUM(E220:E230)</f>
        <v>144</v>
      </c>
      <c r="F231" s="78">
        <f t="shared" ref="F231:H231" si="29">SUM(F220:F229)</f>
        <v>1077500</v>
      </c>
      <c r="G231" s="78">
        <f t="shared" si="29"/>
        <v>634500</v>
      </c>
      <c r="H231" s="78">
        <f t="shared" si="29"/>
        <v>433000</v>
      </c>
    </row>
    <row r="232" spans="1:16" hidden="1" x14ac:dyDescent="0.25">
      <c r="A232" t="s">
        <v>30</v>
      </c>
      <c r="B232" s="3">
        <v>45684</v>
      </c>
      <c r="C232" t="s">
        <v>923</v>
      </c>
      <c r="D232" t="s">
        <v>243</v>
      </c>
      <c r="E232">
        <v>100</v>
      </c>
      <c r="F232" s="79">
        <f>E232*11000</f>
        <v>1100000</v>
      </c>
      <c r="G232" s="79">
        <f>E232*8500</f>
        <v>850000</v>
      </c>
      <c r="H232" s="79">
        <f>E232*1500</f>
        <v>150000</v>
      </c>
      <c r="K232" s="36" t="s">
        <v>0</v>
      </c>
      <c r="L232" s="60" t="s">
        <v>1</v>
      </c>
      <c r="M232" s="36" t="s">
        <v>2</v>
      </c>
      <c r="N232" s="36" t="s">
        <v>3</v>
      </c>
      <c r="O232" s="36" t="s">
        <v>4</v>
      </c>
      <c r="P232" s="36" t="s">
        <v>5</v>
      </c>
    </row>
    <row r="233" spans="1:16" hidden="1" x14ac:dyDescent="0.25">
      <c r="C233" t="s">
        <v>24</v>
      </c>
      <c r="D233" t="s">
        <v>243</v>
      </c>
      <c r="E233">
        <v>8</v>
      </c>
      <c r="F233" s="79">
        <f>E233*13000</f>
        <v>104000</v>
      </c>
      <c r="G233" s="79">
        <f>E233*8500</f>
        <v>68000</v>
      </c>
      <c r="H233" s="79">
        <f>E233*4500</f>
        <v>36000</v>
      </c>
      <c r="K233" s="29" t="s">
        <v>32</v>
      </c>
      <c r="L233" s="37">
        <v>45664</v>
      </c>
      <c r="M233" s="29" t="s">
        <v>913</v>
      </c>
      <c r="N233" s="29" t="s">
        <v>243</v>
      </c>
      <c r="O233" s="29">
        <v>50</v>
      </c>
      <c r="P233" s="97">
        <v>500000</v>
      </c>
    </row>
    <row r="234" spans="1:16" hidden="1" x14ac:dyDescent="0.25">
      <c r="C234" t="s">
        <v>846</v>
      </c>
      <c r="D234" t="s">
        <v>13</v>
      </c>
      <c r="E234">
        <v>3</v>
      </c>
      <c r="F234" s="79">
        <f>E234*8000</f>
        <v>24000</v>
      </c>
      <c r="G234" s="79">
        <f>E234*4500</f>
        <v>13500</v>
      </c>
      <c r="H234" s="79">
        <f>E234*3500</f>
        <v>10500</v>
      </c>
      <c r="K234" s="29" t="s">
        <v>18</v>
      </c>
      <c r="L234" s="37">
        <v>45673</v>
      </c>
      <c r="M234" s="29" t="s">
        <v>913</v>
      </c>
      <c r="N234" s="29" t="s">
        <v>243</v>
      </c>
      <c r="O234" s="29">
        <v>50</v>
      </c>
      <c r="P234" s="97">
        <v>500000</v>
      </c>
    </row>
    <row r="235" spans="1:16" hidden="1" x14ac:dyDescent="0.25">
      <c r="D235" t="s">
        <v>14</v>
      </c>
      <c r="E235">
        <v>1</v>
      </c>
      <c r="F235" s="79">
        <v>12000</v>
      </c>
      <c r="G235" s="79">
        <v>5500</v>
      </c>
      <c r="H235" s="79">
        <v>6500</v>
      </c>
      <c r="K235" s="29" t="s">
        <v>18</v>
      </c>
      <c r="L235" s="37">
        <v>45680</v>
      </c>
      <c r="M235" s="29" t="s">
        <v>913</v>
      </c>
      <c r="N235" s="29" t="s">
        <v>243</v>
      </c>
      <c r="O235" s="29">
        <v>74</v>
      </c>
      <c r="P235" s="97">
        <v>740000</v>
      </c>
    </row>
    <row r="236" spans="1:16" hidden="1" x14ac:dyDescent="0.25">
      <c r="D236" t="s">
        <v>902</v>
      </c>
      <c r="E236">
        <v>3</v>
      </c>
      <c r="F236" s="79">
        <f>E236*8000</f>
        <v>24000</v>
      </c>
      <c r="G236" s="79">
        <f>E236*5500</f>
        <v>16500</v>
      </c>
      <c r="H236" s="79">
        <f>E236*2500</f>
        <v>7500</v>
      </c>
      <c r="K236" s="29" t="s">
        <v>30</v>
      </c>
      <c r="L236" s="37">
        <v>45684</v>
      </c>
      <c r="M236" s="29" t="s">
        <v>913</v>
      </c>
      <c r="N236" s="29" t="s">
        <v>243</v>
      </c>
      <c r="O236" s="29">
        <v>100</v>
      </c>
      <c r="P236" s="97">
        <v>1100000</v>
      </c>
    </row>
    <row r="237" spans="1:16" hidden="1" x14ac:dyDescent="0.25">
      <c r="D237" t="s">
        <v>689</v>
      </c>
      <c r="E237">
        <v>1</v>
      </c>
      <c r="F237" s="79">
        <v>5000</v>
      </c>
      <c r="G237" s="79">
        <v>3000</v>
      </c>
      <c r="H237" s="79">
        <v>2000</v>
      </c>
      <c r="K237" s="29" t="s">
        <v>18</v>
      </c>
      <c r="L237" s="37">
        <v>45687</v>
      </c>
      <c r="M237" s="29" t="s">
        <v>913</v>
      </c>
      <c r="N237" s="29" t="s">
        <v>243</v>
      </c>
      <c r="O237" s="29">
        <v>70</v>
      </c>
      <c r="P237" s="97">
        <f>O237*11000</f>
        <v>770000</v>
      </c>
    </row>
    <row r="238" spans="1:16" x14ac:dyDescent="0.25">
      <c r="D238" t="s">
        <v>919</v>
      </c>
      <c r="E238">
        <v>1</v>
      </c>
      <c r="F238" s="79">
        <v>12000</v>
      </c>
      <c r="G238" s="79">
        <v>6500</v>
      </c>
      <c r="H238" s="79">
        <v>5500</v>
      </c>
      <c r="K238" s="128" t="s">
        <v>17</v>
      </c>
      <c r="L238" s="129"/>
      <c r="M238" s="129"/>
      <c r="N238" s="130"/>
      <c r="O238" s="16">
        <f>SUM(O233:O237)</f>
        <v>344</v>
      </c>
      <c r="P238" s="98">
        <f>SUM(P233:P237)</f>
        <v>3610000</v>
      </c>
    </row>
    <row r="239" spans="1:16" hidden="1" x14ac:dyDescent="0.25">
      <c r="A239" s="112" t="s">
        <v>17</v>
      </c>
      <c r="B239" s="112"/>
      <c r="C239" s="112"/>
      <c r="D239" s="112"/>
      <c r="E239" s="78">
        <f>SUM(E232:E238)</f>
        <v>117</v>
      </c>
      <c r="F239" s="78">
        <f t="shared" ref="F239:H239" si="30">SUM(F232:F238)</f>
        <v>1281000</v>
      </c>
      <c r="G239" s="78">
        <f t="shared" si="30"/>
        <v>963000</v>
      </c>
      <c r="H239" s="78">
        <f t="shared" si="30"/>
        <v>218000</v>
      </c>
    </row>
    <row r="240" spans="1:16" hidden="1" x14ac:dyDescent="0.25">
      <c r="A240" t="s">
        <v>32</v>
      </c>
      <c r="B240" s="3">
        <v>45685</v>
      </c>
      <c r="C240" t="s">
        <v>846</v>
      </c>
      <c r="D240" t="s">
        <v>13</v>
      </c>
      <c r="E240">
        <v>2</v>
      </c>
      <c r="F240">
        <f>E240*8000</f>
        <v>16000</v>
      </c>
      <c r="G240">
        <f>E240*4500</f>
        <v>9000</v>
      </c>
      <c r="H240">
        <f>E240*3500</f>
        <v>7000</v>
      </c>
    </row>
    <row r="241" spans="1:8" hidden="1" x14ac:dyDescent="0.25">
      <c r="D241" t="s">
        <v>14</v>
      </c>
      <c r="E241">
        <v>2</v>
      </c>
      <c r="F241">
        <f>E241*12000</f>
        <v>24000</v>
      </c>
      <c r="G241">
        <f>E241*5500</f>
        <v>11000</v>
      </c>
      <c r="H241">
        <f>E241*4500</f>
        <v>9000</v>
      </c>
    </row>
    <row r="242" spans="1:8" hidden="1" x14ac:dyDescent="0.25">
      <c r="D242" t="s">
        <v>11</v>
      </c>
      <c r="E242">
        <v>1</v>
      </c>
      <c r="F242">
        <v>3000</v>
      </c>
      <c r="G242">
        <v>500</v>
      </c>
      <c r="H242">
        <v>2500</v>
      </c>
    </row>
    <row r="243" spans="1:8" hidden="1" x14ac:dyDescent="0.25">
      <c r="D243" t="s">
        <v>902</v>
      </c>
      <c r="E243">
        <v>4</v>
      </c>
      <c r="F243">
        <f>E243*8000</f>
        <v>32000</v>
      </c>
      <c r="G243">
        <f>E243*5500</f>
        <v>22000</v>
      </c>
      <c r="H243">
        <f>E243*2500</f>
        <v>10000</v>
      </c>
    </row>
    <row r="244" spans="1:8" hidden="1" x14ac:dyDescent="0.25">
      <c r="D244" t="s">
        <v>918</v>
      </c>
      <c r="E244">
        <v>1</v>
      </c>
      <c r="F244">
        <v>15000</v>
      </c>
      <c r="G244">
        <v>12000</v>
      </c>
      <c r="H244">
        <v>3000</v>
      </c>
    </row>
    <row r="245" spans="1:8" hidden="1" x14ac:dyDescent="0.25">
      <c r="D245" t="s">
        <v>927</v>
      </c>
      <c r="E245">
        <v>1</v>
      </c>
      <c r="F245">
        <v>12000</v>
      </c>
      <c r="G245">
        <v>6500</v>
      </c>
      <c r="H245">
        <v>5500</v>
      </c>
    </row>
    <row r="246" spans="1:8" hidden="1" x14ac:dyDescent="0.25">
      <c r="A246" s="112" t="s">
        <v>17</v>
      </c>
      <c r="B246" s="112"/>
      <c r="C246" s="112"/>
      <c r="D246" s="112"/>
      <c r="E246" s="78">
        <f>SUM(E240:E245)</f>
        <v>11</v>
      </c>
      <c r="F246" s="78">
        <f t="shared" ref="F246:H246" si="31">SUM(F240:F245)</f>
        <v>102000</v>
      </c>
      <c r="G246" s="78">
        <f t="shared" si="31"/>
        <v>61000</v>
      </c>
      <c r="H246" s="78">
        <f t="shared" si="31"/>
        <v>37000</v>
      </c>
    </row>
    <row r="247" spans="1:8" hidden="1" x14ac:dyDescent="0.25">
      <c r="A247" t="s">
        <v>8</v>
      </c>
      <c r="B247" s="3">
        <v>45686</v>
      </c>
      <c r="C247" t="s">
        <v>846</v>
      </c>
      <c r="D247" t="s">
        <v>13</v>
      </c>
      <c r="E247">
        <v>2</v>
      </c>
      <c r="F247" s="79">
        <f>E247*8000</f>
        <v>16000</v>
      </c>
      <c r="G247" s="79">
        <f>E247*4500</f>
        <v>9000</v>
      </c>
      <c r="H247" s="79">
        <f>E247*3500</f>
        <v>7000</v>
      </c>
    </row>
    <row r="248" spans="1:8" hidden="1" x14ac:dyDescent="0.25">
      <c r="D248" t="s">
        <v>243</v>
      </c>
      <c r="E248">
        <v>1</v>
      </c>
      <c r="F248" s="79">
        <v>17000</v>
      </c>
      <c r="G248" s="79">
        <v>10000</v>
      </c>
      <c r="H248" s="79">
        <v>7000</v>
      </c>
    </row>
    <row r="249" spans="1:8" hidden="1" x14ac:dyDescent="0.25">
      <c r="C249" t="s">
        <v>24</v>
      </c>
      <c r="D249" t="s">
        <v>243</v>
      </c>
      <c r="E249">
        <v>2</v>
      </c>
      <c r="F249" s="79">
        <v>30000</v>
      </c>
      <c r="G249" s="79">
        <v>20000</v>
      </c>
      <c r="H249" s="79">
        <v>10000</v>
      </c>
    </row>
    <row r="250" spans="1:8" hidden="1" x14ac:dyDescent="0.25">
      <c r="A250" s="112" t="s">
        <v>17</v>
      </c>
      <c r="B250" s="112"/>
      <c r="C250" s="112"/>
      <c r="D250" s="112"/>
      <c r="E250" s="78">
        <f>SUM(E247:E249)</f>
        <v>5</v>
      </c>
      <c r="F250" s="78">
        <f t="shared" ref="F250:H250" si="32">SUM(F247:F249)</f>
        <v>63000</v>
      </c>
      <c r="G250" s="78">
        <f t="shared" si="32"/>
        <v>39000</v>
      </c>
      <c r="H250" s="78">
        <f t="shared" si="32"/>
        <v>24000</v>
      </c>
    </row>
    <row r="251" spans="1:8" hidden="1" x14ac:dyDescent="0.25">
      <c r="A251" t="s">
        <v>18</v>
      </c>
      <c r="B251" s="3">
        <v>45687</v>
      </c>
      <c r="C251" t="s">
        <v>104</v>
      </c>
      <c r="D251" t="s">
        <v>925</v>
      </c>
      <c r="E251">
        <v>30</v>
      </c>
      <c r="F251" s="79">
        <f>E251*1500</f>
        <v>45000</v>
      </c>
      <c r="G251" s="79">
        <f>E251*500</f>
        <v>15000</v>
      </c>
      <c r="H251" s="79">
        <f>E251*1000</f>
        <v>30000</v>
      </c>
    </row>
    <row r="252" spans="1:8" hidden="1" x14ac:dyDescent="0.25">
      <c r="C252" t="s">
        <v>846</v>
      </c>
      <c r="D252" t="s">
        <v>13</v>
      </c>
      <c r="E252">
        <v>6</v>
      </c>
      <c r="F252" s="79">
        <f>E252*8000</f>
        <v>48000</v>
      </c>
      <c r="G252" s="79">
        <f>E252*4500</f>
        <v>27000</v>
      </c>
      <c r="H252" s="79">
        <f>E252*3500</f>
        <v>21000</v>
      </c>
    </row>
    <row r="253" spans="1:8" hidden="1" x14ac:dyDescent="0.25">
      <c r="D253" t="s">
        <v>14</v>
      </c>
      <c r="E253">
        <v>1</v>
      </c>
      <c r="F253" s="79">
        <v>12000</v>
      </c>
      <c r="G253" s="79">
        <v>5500</v>
      </c>
      <c r="H253" s="79">
        <v>6500</v>
      </c>
    </row>
    <row r="254" spans="1:8" hidden="1" x14ac:dyDescent="0.25">
      <c r="D254" t="s">
        <v>902</v>
      </c>
      <c r="E254">
        <v>3</v>
      </c>
      <c r="F254" s="79">
        <f>E254*8000</f>
        <v>24000</v>
      </c>
      <c r="G254" s="79">
        <f>E254*5500</f>
        <v>16500</v>
      </c>
      <c r="H254" s="79">
        <f>E254*2500</f>
        <v>7500</v>
      </c>
    </row>
    <row r="255" spans="1:8" hidden="1" x14ac:dyDescent="0.25">
      <c r="D255" t="s">
        <v>243</v>
      </c>
      <c r="E255">
        <v>1</v>
      </c>
      <c r="F255" s="79">
        <v>17000</v>
      </c>
      <c r="G255" s="79">
        <v>10000</v>
      </c>
      <c r="H255" s="79">
        <v>7000</v>
      </c>
    </row>
    <row r="256" spans="1:8" hidden="1" x14ac:dyDescent="0.25">
      <c r="C256" t="s">
        <v>915</v>
      </c>
      <c r="D256" t="s">
        <v>243</v>
      </c>
      <c r="E256">
        <v>70</v>
      </c>
      <c r="F256" s="79">
        <f>E256*11000</f>
        <v>770000</v>
      </c>
      <c r="G256" s="79">
        <f>E256*8500</f>
        <v>595000</v>
      </c>
      <c r="H256" s="79">
        <f>E256*2500</f>
        <v>175000</v>
      </c>
    </row>
    <row r="257" spans="1:16" hidden="1" x14ac:dyDescent="0.25">
      <c r="A257" s="112" t="s">
        <v>17</v>
      </c>
      <c r="B257" s="112"/>
      <c r="C257" s="112"/>
      <c r="D257" s="112"/>
      <c r="E257" s="78">
        <f>SUM(E251:E256)</f>
        <v>111</v>
      </c>
      <c r="F257" s="78">
        <f t="shared" ref="F257:H257" si="33">SUM(F251:F255)</f>
        <v>146000</v>
      </c>
      <c r="G257" s="78">
        <f t="shared" si="33"/>
        <v>74000</v>
      </c>
      <c r="H257" s="78">
        <f t="shared" si="33"/>
        <v>72000</v>
      </c>
    </row>
    <row r="258" spans="1:16" hidden="1" x14ac:dyDescent="0.25">
      <c r="A258" t="s">
        <v>22</v>
      </c>
      <c r="B258" s="3">
        <v>45688</v>
      </c>
      <c r="C258" t="s">
        <v>338</v>
      </c>
      <c r="D258" t="s">
        <v>925</v>
      </c>
      <c r="E258">
        <f>50-6</f>
        <v>44</v>
      </c>
      <c r="F258" s="79">
        <f>E258*1500</f>
        <v>66000</v>
      </c>
      <c r="G258" s="79">
        <f>E258*500</f>
        <v>22000</v>
      </c>
      <c r="H258" s="79">
        <f>E258*1000</f>
        <v>44000</v>
      </c>
    </row>
    <row r="259" spans="1:16" hidden="1" x14ac:dyDescent="0.25">
      <c r="C259" t="s">
        <v>581</v>
      </c>
      <c r="D259" t="s">
        <v>914</v>
      </c>
      <c r="E259">
        <v>25</v>
      </c>
      <c r="F259" s="79">
        <f>E259*1600</f>
        <v>40000</v>
      </c>
      <c r="G259" s="79">
        <f>E259*600</f>
        <v>15000</v>
      </c>
      <c r="H259" s="79">
        <f>E259*1000</f>
        <v>25000</v>
      </c>
    </row>
    <row r="260" spans="1:16" hidden="1" x14ac:dyDescent="0.25">
      <c r="D260" t="s">
        <v>925</v>
      </c>
      <c r="E260">
        <f>25-11</f>
        <v>14</v>
      </c>
      <c r="F260" s="79">
        <f>E260*1600</f>
        <v>22400</v>
      </c>
      <c r="G260" s="79">
        <f>E260*500</f>
        <v>7000</v>
      </c>
      <c r="H260" s="79">
        <f>E260*1100</f>
        <v>15400</v>
      </c>
    </row>
    <row r="261" spans="1:16" hidden="1" x14ac:dyDescent="0.25">
      <c r="C261" t="s">
        <v>846</v>
      </c>
      <c r="D261" t="s">
        <v>13</v>
      </c>
      <c r="E261">
        <v>5</v>
      </c>
      <c r="F261" s="79">
        <f>E261*8000</f>
        <v>40000</v>
      </c>
      <c r="G261" s="79">
        <f>E261*4500</f>
        <v>22500</v>
      </c>
      <c r="H261" s="79">
        <f>E261*3500</f>
        <v>17500</v>
      </c>
    </row>
    <row r="262" spans="1:16" x14ac:dyDescent="0.25">
      <c r="D262" t="s">
        <v>919</v>
      </c>
      <c r="E262">
        <v>2</v>
      </c>
      <c r="F262" s="79">
        <f>E262*12000</f>
        <v>24000</v>
      </c>
      <c r="G262" s="79">
        <f>E262*6500</f>
        <v>13000</v>
      </c>
      <c r="H262" s="79">
        <f>E262*5500</f>
        <v>11000</v>
      </c>
    </row>
    <row r="263" spans="1:16" hidden="1" x14ac:dyDescent="0.25">
      <c r="D263" t="s">
        <v>918</v>
      </c>
      <c r="E263">
        <v>2</v>
      </c>
      <c r="F263" s="79">
        <f>E263*15000</f>
        <v>30000</v>
      </c>
      <c r="G263" s="79">
        <f>E263*12000</f>
        <v>24000</v>
      </c>
      <c r="H263" s="79">
        <f>E263*3000</f>
        <v>6000</v>
      </c>
    </row>
    <row r="264" spans="1:16" hidden="1" x14ac:dyDescent="0.25">
      <c r="C264" t="s">
        <v>24</v>
      </c>
      <c r="D264" t="s">
        <v>243</v>
      </c>
      <c r="E264">
        <v>2</v>
      </c>
      <c r="F264" s="79">
        <f>E264*15000</f>
        <v>30000</v>
      </c>
      <c r="G264" s="79">
        <v>20000</v>
      </c>
      <c r="H264" s="79">
        <v>10000</v>
      </c>
    </row>
    <row r="265" spans="1:16" hidden="1" x14ac:dyDescent="0.25">
      <c r="A265" s="112" t="s">
        <v>17</v>
      </c>
      <c r="B265" s="112"/>
      <c r="C265" s="112"/>
      <c r="D265" s="112"/>
      <c r="E265" s="78">
        <f>SUM(E258:E264)</f>
        <v>94</v>
      </c>
      <c r="F265" s="78">
        <f t="shared" ref="F265:H265" si="34">SUM(F258:F264)</f>
        <v>252400</v>
      </c>
      <c r="G265" s="78">
        <f t="shared" si="34"/>
        <v>123500</v>
      </c>
      <c r="H265" s="78">
        <f t="shared" si="34"/>
        <v>128900</v>
      </c>
    </row>
    <row r="266" spans="1:16" x14ac:dyDescent="0.25">
      <c r="K266">
        <f>E43+E54+E63+E72+E112+E127+E133+E167+E190+E207</f>
        <v>177</v>
      </c>
      <c r="L266" s="3"/>
      <c r="P266" s="79"/>
    </row>
    <row r="267" spans="1:16" x14ac:dyDescent="0.25">
      <c r="L267" s="3"/>
      <c r="P267" s="79"/>
    </row>
    <row r="268" spans="1:16" x14ac:dyDescent="0.25">
      <c r="K268">
        <f>15+12+20+7</f>
        <v>54</v>
      </c>
      <c r="L268" s="3"/>
    </row>
    <row r="269" spans="1:16" x14ac:dyDescent="0.25">
      <c r="L269" s="3"/>
    </row>
    <row r="271" spans="1:16" x14ac:dyDescent="0.25">
      <c r="K271">
        <f>E32+E97+E154+E220</f>
        <v>30</v>
      </c>
    </row>
  </sheetData>
  <autoFilter ref="A1:H265" xr:uid="{C8ACCB27-5EF0-439E-A10E-B74050BA29B7}">
    <filterColumn colId="3">
      <filters>
        <filter val="SMJ"/>
      </filters>
    </filterColumn>
  </autoFilter>
  <mergeCells count="32">
    <mergeCell ref="K238:N238"/>
    <mergeCell ref="A257:D257"/>
    <mergeCell ref="A239:D239"/>
    <mergeCell ref="A246:D246"/>
    <mergeCell ref="A250:D250"/>
    <mergeCell ref="A265:D265"/>
    <mergeCell ref="A52:D52"/>
    <mergeCell ref="A91:D91"/>
    <mergeCell ref="A96:D96"/>
    <mergeCell ref="A81:D81"/>
    <mergeCell ref="A70:D70"/>
    <mergeCell ref="A61:D61"/>
    <mergeCell ref="A124:D124"/>
    <mergeCell ref="A109:D109"/>
    <mergeCell ref="A119:D119"/>
    <mergeCell ref="A219:D219"/>
    <mergeCell ref="A231:D231"/>
    <mergeCell ref="A215:D215"/>
    <mergeCell ref="A205:D205"/>
    <mergeCell ref="A188:D188"/>
    <mergeCell ref="A145:D145"/>
    <mergeCell ref="A6:D6"/>
    <mergeCell ref="A15:D15"/>
    <mergeCell ref="A25:D25"/>
    <mergeCell ref="A31:D31"/>
    <mergeCell ref="A42:D42"/>
    <mergeCell ref="A131:D131"/>
    <mergeCell ref="A153:D153"/>
    <mergeCell ref="A164:D164"/>
    <mergeCell ref="A174:D174"/>
    <mergeCell ref="A200:D200"/>
    <mergeCell ref="A140:D140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247C-450F-4174-A0FC-5ACD6C7EE926}">
  <sheetPr filterMode="1"/>
  <dimension ref="A1:O229"/>
  <sheetViews>
    <sheetView workbookViewId="0">
      <selection activeCell="L108" sqref="L108"/>
    </sheetView>
  </sheetViews>
  <sheetFormatPr defaultRowHeight="15" x14ac:dyDescent="0.25"/>
  <cols>
    <col min="2" max="2" width="10.7109375" bestFit="1" customWidth="1"/>
    <col min="3" max="3" width="34.85546875" customWidth="1"/>
    <col min="5" max="5" width="9.28515625" bestFit="1" customWidth="1"/>
    <col min="6" max="6" width="10.5703125" bestFit="1" customWidth="1"/>
    <col min="7" max="8" width="9.28515625" bestFit="1" customWidth="1"/>
  </cols>
  <sheetData>
    <row r="1" spans="1:15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15" hidden="1" x14ac:dyDescent="0.25">
      <c r="A2" t="s">
        <v>28</v>
      </c>
      <c r="B2" s="3">
        <v>45627</v>
      </c>
      <c r="C2" t="s">
        <v>693</v>
      </c>
      <c r="D2" t="s">
        <v>11</v>
      </c>
      <c r="E2">
        <v>1</v>
      </c>
      <c r="F2" s="79">
        <v>2000</v>
      </c>
      <c r="G2" s="79">
        <v>500</v>
      </c>
      <c r="H2" s="79">
        <v>1500</v>
      </c>
    </row>
    <row r="3" spans="1:15" hidden="1" x14ac:dyDescent="0.25">
      <c r="D3" t="s">
        <v>13</v>
      </c>
      <c r="E3">
        <v>18</v>
      </c>
      <c r="F3" s="79">
        <f>E3*7000</f>
        <v>126000</v>
      </c>
      <c r="G3" s="79">
        <f>E3*4500</f>
        <v>81000</v>
      </c>
      <c r="H3" s="79">
        <f>E3*2500</f>
        <v>45000</v>
      </c>
    </row>
    <row r="4" spans="1:15" hidden="1" x14ac:dyDescent="0.25">
      <c r="D4" t="s">
        <v>14</v>
      </c>
      <c r="E4">
        <v>19</v>
      </c>
      <c r="F4" s="79">
        <f>E4*10000</f>
        <v>190000</v>
      </c>
      <c r="G4" s="79">
        <f>E4*5500</f>
        <v>104500</v>
      </c>
      <c r="H4" s="79">
        <f>E4*4500</f>
        <v>85500</v>
      </c>
    </row>
    <row r="5" spans="1:15" hidden="1" x14ac:dyDescent="0.25">
      <c r="C5" t="s">
        <v>217</v>
      </c>
      <c r="D5" t="s">
        <v>11</v>
      </c>
      <c r="E5">
        <v>12</v>
      </c>
      <c r="F5" s="79">
        <f>E5*1500</f>
        <v>18000</v>
      </c>
      <c r="G5" s="79">
        <f>E5*500</f>
        <v>6000</v>
      </c>
      <c r="H5" s="79">
        <f>E5*1000</f>
        <v>12000</v>
      </c>
    </row>
    <row r="6" spans="1:15" hidden="1" x14ac:dyDescent="0.25">
      <c r="D6" t="s">
        <v>13</v>
      </c>
      <c r="E6">
        <v>5</v>
      </c>
      <c r="F6" s="79">
        <f>E6*6500</f>
        <v>32500</v>
      </c>
      <c r="G6" s="79">
        <f>E6*4500</f>
        <v>22500</v>
      </c>
      <c r="H6" s="79">
        <f>E6*2000</f>
        <v>10000</v>
      </c>
    </row>
    <row r="7" spans="1:15" hidden="1" x14ac:dyDescent="0.25">
      <c r="D7" t="s">
        <v>14</v>
      </c>
      <c r="E7">
        <v>9</v>
      </c>
      <c r="F7" s="79">
        <f>E7*10000</f>
        <v>90000</v>
      </c>
      <c r="G7" s="79">
        <f>E7*5500</f>
        <v>49500</v>
      </c>
      <c r="H7" s="79">
        <f>E7*4500</f>
        <v>40500</v>
      </c>
      <c r="O7" t="s">
        <v>612</v>
      </c>
    </row>
    <row r="8" spans="1:15" hidden="1" x14ac:dyDescent="0.25">
      <c r="C8" t="s">
        <v>846</v>
      </c>
      <c r="D8" t="s">
        <v>13</v>
      </c>
      <c r="E8">
        <v>2</v>
      </c>
      <c r="F8" s="79">
        <f>E8*8000</f>
        <v>16000</v>
      </c>
      <c r="G8" s="79">
        <f>E8*4500</f>
        <v>9000</v>
      </c>
      <c r="H8" s="79">
        <f>E8*3500</f>
        <v>7000</v>
      </c>
    </row>
    <row r="9" spans="1:15" hidden="1" x14ac:dyDescent="0.25">
      <c r="D9" t="s">
        <v>14</v>
      </c>
      <c r="E9">
        <v>3</v>
      </c>
      <c r="F9" s="79">
        <f>E9*12000</f>
        <v>36000</v>
      </c>
      <c r="G9" s="79">
        <f>E9*5500</f>
        <v>16500</v>
      </c>
      <c r="H9" s="79">
        <f>E9*6500</f>
        <v>19500</v>
      </c>
    </row>
    <row r="10" spans="1:15" hidden="1" x14ac:dyDescent="0.25">
      <c r="D10" t="s">
        <v>404</v>
      </c>
      <c r="E10">
        <v>2</v>
      </c>
      <c r="F10" s="79">
        <v>6000</v>
      </c>
      <c r="G10" s="79">
        <v>3000</v>
      </c>
      <c r="H10" s="79">
        <v>3000</v>
      </c>
    </row>
    <row r="11" spans="1:15" hidden="1" x14ac:dyDescent="0.25">
      <c r="C11" t="s">
        <v>24</v>
      </c>
      <c r="D11" t="s">
        <v>13</v>
      </c>
      <c r="E11">
        <v>10</v>
      </c>
      <c r="F11" s="79">
        <f>E11*8000</f>
        <v>80000</v>
      </c>
      <c r="G11" s="79">
        <f>E11*4500</f>
        <v>45000</v>
      </c>
      <c r="H11" s="79">
        <f>E11*3500</f>
        <v>35000</v>
      </c>
    </row>
    <row r="12" spans="1:15" hidden="1" x14ac:dyDescent="0.25">
      <c r="C12" t="s">
        <v>24</v>
      </c>
      <c r="D12" t="s">
        <v>13</v>
      </c>
      <c r="E12">
        <v>10</v>
      </c>
      <c r="F12" s="79"/>
      <c r="G12" s="79"/>
      <c r="H12" s="79"/>
      <c r="K12" s="92">
        <f>E3+E6+E8+E11+E12+E18+E21+E31+E40+E42+E52+E59+E67+E73+E77+E106+E113+E120+E124+E136+E139+E142+E147+E155+E161+E165+E167+E172+E178+E186+E191+E197+E204+E209+E213+E220+E221+E224</f>
        <v>475</v>
      </c>
    </row>
    <row r="13" spans="1:15" hidden="1" x14ac:dyDescent="0.25">
      <c r="C13" t="s">
        <v>554</v>
      </c>
      <c r="D13" t="s">
        <v>243</v>
      </c>
      <c r="E13">
        <v>2</v>
      </c>
      <c r="F13" s="79"/>
      <c r="G13" s="79"/>
      <c r="H13" s="79"/>
    </row>
    <row r="14" spans="1:15" hidden="1" x14ac:dyDescent="0.25">
      <c r="A14" s="112" t="s">
        <v>17</v>
      </c>
      <c r="B14" s="112"/>
      <c r="C14" s="112"/>
      <c r="D14" s="112"/>
      <c r="E14" s="78">
        <f>SUM(E2:E13)</f>
        <v>93</v>
      </c>
      <c r="F14" s="78">
        <f t="shared" ref="F14:H14" si="0">SUM(F2:F13)</f>
        <v>596500</v>
      </c>
      <c r="G14" s="78">
        <f t="shared" si="0"/>
        <v>337500</v>
      </c>
      <c r="H14" s="78">
        <f t="shared" si="0"/>
        <v>259000</v>
      </c>
    </row>
    <row r="15" spans="1:15" hidden="1" x14ac:dyDescent="0.25">
      <c r="A15" t="s">
        <v>30</v>
      </c>
      <c r="B15" s="3">
        <v>45628</v>
      </c>
      <c r="C15" t="s">
        <v>338</v>
      </c>
      <c r="D15" t="s">
        <v>11</v>
      </c>
      <c r="E15">
        <v>60</v>
      </c>
      <c r="F15" s="79">
        <f>E15*1800</f>
        <v>108000</v>
      </c>
      <c r="G15" s="79">
        <f>E15*500</f>
        <v>30000</v>
      </c>
      <c r="H15" s="79">
        <f>E15*1300</f>
        <v>78000</v>
      </c>
    </row>
    <row r="16" spans="1:15" hidden="1" x14ac:dyDescent="0.25">
      <c r="C16" t="s">
        <v>571</v>
      </c>
      <c r="D16" t="s">
        <v>11</v>
      </c>
      <c r="E16">
        <v>20</v>
      </c>
      <c r="F16" s="79">
        <f>E16*1700</f>
        <v>34000</v>
      </c>
      <c r="G16" s="79">
        <f>E16*500</f>
        <v>10000</v>
      </c>
      <c r="H16" s="79">
        <f>E16*1200</f>
        <v>24000</v>
      </c>
    </row>
    <row r="17" spans="1:8" hidden="1" x14ac:dyDescent="0.25">
      <c r="C17" t="s">
        <v>306</v>
      </c>
      <c r="D17" t="s">
        <v>11</v>
      </c>
      <c r="E17">
        <v>19</v>
      </c>
      <c r="F17" s="79">
        <f>E17*1800</f>
        <v>34200</v>
      </c>
      <c r="G17" s="79">
        <f>E17*500</f>
        <v>9500</v>
      </c>
      <c r="H17" s="79">
        <f>E17*1200</f>
        <v>22800</v>
      </c>
    </row>
    <row r="18" spans="1:8" hidden="1" x14ac:dyDescent="0.25">
      <c r="C18" t="s">
        <v>846</v>
      </c>
      <c r="D18" t="s">
        <v>13</v>
      </c>
      <c r="E18">
        <v>5</v>
      </c>
      <c r="F18" s="79">
        <f>E18*8000</f>
        <v>40000</v>
      </c>
      <c r="G18" s="79">
        <f>E18*4500</f>
        <v>22500</v>
      </c>
      <c r="H18" s="79">
        <f>E18*3500</f>
        <v>17500</v>
      </c>
    </row>
    <row r="19" spans="1:8" x14ac:dyDescent="0.25">
      <c r="D19" t="s">
        <v>902</v>
      </c>
      <c r="E19">
        <v>3</v>
      </c>
      <c r="F19" s="79">
        <f>E19*8000</f>
        <v>24000</v>
      </c>
      <c r="G19" s="79">
        <v>12000</v>
      </c>
      <c r="H19" s="79">
        <v>12000</v>
      </c>
    </row>
    <row r="20" spans="1:8" hidden="1" x14ac:dyDescent="0.25">
      <c r="C20" t="s">
        <v>24</v>
      </c>
      <c r="D20" t="s">
        <v>243</v>
      </c>
      <c r="E20">
        <v>4</v>
      </c>
      <c r="F20" s="79">
        <f>E20*15000</f>
        <v>60000</v>
      </c>
      <c r="G20" s="79">
        <v>40000</v>
      </c>
      <c r="H20" s="79">
        <v>20000</v>
      </c>
    </row>
    <row r="21" spans="1:8" hidden="1" x14ac:dyDescent="0.25">
      <c r="C21" t="s">
        <v>907</v>
      </c>
      <c r="D21" t="s">
        <v>13</v>
      </c>
      <c r="E21">
        <v>7</v>
      </c>
      <c r="F21" s="79"/>
      <c r="G21" s="79"/>
      <c r="H21" s="79"/>
    </row>
    <row r="22" spans="1:8" hidden="1" x14ac:dyDescent="0.25">
      <c r="A22" s="112" t="s">
        <v>17</v>
      </c>
      <c r="B22" s="112"/>
      <c r="C22" s="112"/>
      <c r="D22" s="112"/>
      <c r="E22" s="78">
        <f>SUM(E15:E21)</f>
        <v>118</v>
      </c>
      <c r="F22" s="78">
        <f t="shared" ref="F22:H22" si="1">SUM(F15:F20)</f>
        <v>300200</v>
      </c>
      <c r="G22" s="78">
        <f t="shared" si="1"/>
        <v>124000</v>
      </c>
      <c r="H22" s="78">
        <f t="shared" si="1"/>
        <v>174300</v>
      </c>
    </row>
    <row r="23" spans="1:8" hidden="1" x14ac:dyDescent="0.25">
      <c r="A23" t="s">
        <v>32</v>
      </c>
      <c r="B23" s="3">
        <v>45629</v>
      </c>
      <c r="C23" t="s">
        <v>338</v>
      </c>
      <c r="D23" t="s">
        <v>11</v>
      </c>
      <c r="E23">
        <v>57</v>
      </c>
      <c r="F23" s="79">
        <f>E23*1800</f>
        <v>102600</v>
      </c>
      <c r="G23" s="79">
        <f>E23*500</f>
        <v>28500</v>
      </c>
      <c r="H23" s="79">
        <f>E23*1300</f>
        <v>74100</v>
      </c>
    </row>
    <row r="24" spans="1:8" hidden="1" x14ac:dyDescent="0.25">
      <c r="C24" t="s">
        <v>571</v>
      </c>
      <c r="D24" t="s">
        <v>11</v>
      </c>
      <c r="E24">
        <v>25</v>
      </c>
      <c r="F24" s="79">
        <f>E24*1700</f>
        <v>42500</v>
      </c>
      <c r="G24" s="79">
        <f>E24*500</f>
        <v>12500</v>
      </c>
      <c r="H24" s="79">
        <f>E24*1200</f>
        <v>30000</v>
      </c>
    </row>
    <row r="25" spans="1:8" hidden="1" x14ac:dyDescent="0.25">
      <c r="C25" t="s">
        <v>572</v>
      </c>
      <c r="D25" t="s">
        <v>11</v>
      </c>
      <c r="E25">
        <v>118</v>
      </c>
      <c r="F25" s="79">
        <f>E25*1700</f>
        <v>200600</v>
      </c>
      <c r="G25" s="79">
        <f>E25*500</f>
        <v>59000</v>
      </c>
      <c r="H25" s="79">
        <f>E25*1200</f>
        <v>141600</v>
      </c>
    </row>
    <row r="26" spans="1:8" hidden="1" x14ac:dyDescent="0.25">
      <c r="C26" t="s">
        <v>104</v>
      </c>
      <c r="D26" t="s">
        <v>11</v>
      </c>
      <c r="E26">
        <v>14</v>
      </c>
      <c r="F26" s="79">
        <f>E26*1700</f>
        <v>23800</v>
      </c>
      <c r="G26" s="79">
        <f>E26*500</f>
        <v>7000</v>
      </c>
      <c r="H26" s="79">
        <f>E26*1200</f>
        <v>16800</v>
      </c>
    </row>
    <row r="27" spans="1:8" hidden="1" x14ac:dyDescent="0.25">
      <c r="C27" t="s">
        <v>24</v>
      </c>
      <c r="D27" t="s">
        <v>243</v>
      </c>
      <c r="E27">
        <v>4</v>
      </c>
      <c r="F27" s="79">
        <f>E27*15000</f>
        <v>60000</v>
      </c>
      <c r="G27" s="79">
        <f>E27*10000</f>
        <v>40000</v>
      </c>
      <c r="H27" s="79">
        <f>E27*5000</f>
        <v>20000</v>
      </c>
    </row>
    <row r="28" spans="1:8" hidden="1" x14ac:dyDescent="0.25">
      <c r="C28" t="s">
        <v>24</v>
      </c>
      <c r="D28" t="s">
        <v>14</v>
      </c>
      <c r="E28">
        <v>6</v>
      </c>
      <c r="F28" s="79">
        <f>E28*10000</f>
        <v>60000</v>
      </c>
      <c r="G28" s="79">
        <f>E28*5500</f>
        <v>33000</v>
      </c>
      <c r="H28" s="79">
        <f>E28*4500</f>
        <v>27000</v>
      </c>
    </row>
    <row r="29" spans="1:8" hidden="1" x14ac:dyDescent="0.25">
      <c r="D29" t="s">
        <v>657</v>
      </c>
      <c r="E29">
        <v>2</v>
      </c>
      <c r="F29" s="79">
        <f>E29*20000</f>
        <v>40000</v>
      </c>
      <c r="G29" s="79">
        <v>20000</v>
      </c>
      <c r="H29" s="79">
        <v>20000</v>
      </c>
    </row>
    <row r="30" spans="1:8" hidden="1" x14ac:dyDescent="0.25">
      <c r="C30" t="s">
        <v>846</v>
      </c>
      <c r="D30" t="s">
        <v>11</v>
      </c>
      <c r="E30">
        <v>2</v>
      </c>
      <c r="F30" s="79">
        <v>6000</v>
      </c>
      <c r="G30" s="79">
        <v>1000</v>
      </c>
      <c r="H30" s="79">
        <v>5000</v>
      </c>
    </row>
    <row r="31" spans="1:8" hidden="1" x14ac:dyDescent="0.25">
      <c r="D31" t="s">
        <v>13</v>
      </c>
      <c r="E31">
        <v>5</v>
      </c>
      <c r="F31" s="79">
        <f>E31*8000</f>
        <v>40000</v>
      </c>
      <c r="G31" s="79">
        <f>E31*4500</f>
        <v>22500</v>
      </c>
      <c r="H31" s="79">
        <f>E31*3500</f>
        <v>17500</v>
      </c>
    </row>
    <row r="32" spans="1:8" hidden="1" x14ac:dyDescent="0.25">
      <c r="D32" t="s">
        <v>14</v>
      </c>
      <c r="E32">
        <v>4</v>
      </c>
      <c r="F32" s="79">
        <f>E32*12000</f>
        <v>48000</v>
      </c>
      <c r="G32" s="79">
        <f>E32*5500</f>
        <v>22000</v>
      </c>
      <c r="H32" s="79">
        <f>E32*6500</f>
        <v>26000</v>
      </c>
    </row>
    <row r="33" spans="1:12" hidden="1" x14ac:dyDescent="0.25">
      <c r="D33" t="s">
        <v>243</v>
      </c>
      <c r="E33">
        <v>3</v>
      </c>
      <c r="F33" s="79">
        <v>45000</v>
      </c>
      <c r="G33" s="79">
        <v>30000</v>
      </c>
      <c r="H33" s="79">
        <v>15000</v>
      </c>
    </row>
    <row r="34" spans="1:12" hidden="1" x14ac:dyDescent="0.25">
      <c r="D34" t="s">
        <v>404</v>
      </c>
      <c r="E34">
        <v>1</v>
      </c>
      <c r="F34" s="79">
        <v>3000</v>
      </c>
      <c r="G34" s="79">
        <v>1500</v>
      </c>
      <c r="H34" s="79">
        <v>1500</v>
      </c>
    </row>
    <row r="35" spans="1:12" x14ac:dyDescent="0.25">
      <c r="D35" t="s">
        <v>902</v>
      </c>
      <c r="E35">
        <v>1</v>
      </c>
      <c r="F35" s="79">
        <v>8000</v>
      </c>
      <c r="G35" s="79">
        <v>4000</v>
      </c>
      <c r="H35" s="79">
        <v>4000</v>
      </c>
    </row>
    <row r="36" spans="1:12" hidden="1" x14ac:dyDescent="0.25">
      <c r="A36" s="112" t="s">
        <v>17</v>
      </c>
      <c r="B36" s="112"/>
      <c r="C36" s="112"/>
      <c r="D36" s="112"/>
      <c r="E36" s="78">
        <f>SUM(E23:E35)</f>
        <v>242</v>
      </c>
      <c r="F36" s="78">
        <f t="shared" ref="F36:H36" si="2">SUM(F23:F35)</f>
        <v>679500</v>
      </c>
      <c r="G36" s="78">
        <f t="shared" si="2"/>
        <v>281000</v>
      </c>
      <c r="H36" s="78">
        <f t="shared" si="2"/>
        <v>398500</v>
      </c>
    </row>
    <row r="37" spans="1:12" hidden="1" x14ac:dyDescent="0.25">
      <c r="A37" t="s">
        <v>8</v>
      </c>
      <c r="B37" s="3">
        <v>45630</v>
      </c>
      <c r="C37" t="s">
        <v>338</v>
      </c>
      <c r="D37" t="s">
        <v>11</v>
      </c>
      <c r="E37">
        <v>42</v>
      </c>
      <c r="F37" s="79">
        <f>E37*1800</f>
        <v>75600</v>
      </c>
      <c r="G37" s="79">
        <f>E37*500</f>
        <v>21000</v>
      </c>
      <c r="H37" s="79">
        <f>E37*1300</f>
        <v>54600</v>
      </c>
    </row>
    <row r="38" spans="1:12" hidden="1" x14ac:dyDescent="0.25">
      <c r="C38" t="s">
        <v>571</v>
      </c>
      <c r="D38" t="s">
        <v>11</v>
      </c>
      <c r="E38">
        <v>25</v>
      </c>
      <c r="F38" s="79">
        <f>E38*1700</f>
        <v>42500</v>
      </c>
      <c r="G38" s="79">
        <f>E38*500</f>
        <v>12500</v>
      </c>
      <c r="H38" s="79">
        <f>E38*1200</f>
        <v>30000</v>
      </c>
      <c r="K38">
        <f>E16+E24+E38+E49+E58+E97</f>
        <v>122</v>
      </c>
    </row>
    <row r="39" spans="1:12" hidden="1" x14ac:dyDescent="0.25">
      <c r="C39" t="s">
        <v>104</v>
      </c>
      <c r="D39" t="s">
        <v>11</v>
      </c>
      <c r="E39">
        <v>20</v>
      </c>
      <c r="F39" s="79">
        <f>E39*1700</f>
        <v>34000</v>
      </c>
      <c r="G39" s="79">
        <f>E39*500</f>
        <v>10000</v>
      </c>
      <c r="H39" s="79">
        <f>E39*1200</f>
        <v>24000</v>
      </c>
    </row>
    <row r="40" spans="1:12" hidden="1" x14ac:dyDescent="0.25">
      <c r="C40" t="s">
        <v>908</v>
      </c>
      <c r="D40" t="s">
        <v>13</v>
      </c>
      <c r="E40">
        <v>60</v>
      </c>
      <c r="F40" s="79"/>
      <c r="G40" s="79"/>
      <c r="H40" s="79"/>
    </row>
    <row r="41" spans="1:12" hidden="1" x14ac:dyDescent="0.25">
      <c r="C41" t="s">
        <v>846</v>
      </c>
      <c r="D41" t="s">
        <v>11</v>
      </c>
      <c r="E41">
        <v>9</v>
      </c>
      <c r="F41" s="79">
        <f>E41*3000</f>
        <v>27000</v>
      </c>
      <c r="G41" s="79">
        <f>E41*500</f>
        <v>4500</v>
      </c>
      <c r="H41" s="79">
        <f>E41*2500</f>
        <v>22500</v>
      </c>
    </row>
    <row r="42" spans="1:12" hidden="1" x14ac:dyDescent="0.25">
      <c r="D42" t="s">
        <v>13</v>
      </c>
      <c r="E42">
        <v>7</v>
      </c>
      <c r="F42" s="79">
        <f>E42*8000</f>
        <v>56000</v>
      </c>
      <c r="G42" s="79">
        <f>E42*4500</f>
        <v>31500</v>
      </c>
      <c r="H42" s="79">
        <f>E42*3500</f>
        <v>24500</v>
      </c>
    </row>
    <row r="43" spans="1:12" hidden="1" x14ac:dyDescent="0.25">
      <c r="D43" t="s">
        <v>14</v>
      </c>
      <c r="E43">
        <v>3</v>
      </c>
      <c r="F43" s="79">
        <f>E43*12000</f>
        <v>36000</v>
      </c>
      <c r="G43" s="79">
        <f>E43*5500</f>
        <v>16500</v>
      </c>
      <c r="H43" s="79">
        <f>E43*6500</f>
        <v>19500</v>
      </c>
      <c r="L43" s="92">
        <f>E4+E7+E9+E28+E32+E43+E53+E60+E68+E74+E78+E79+E107+E114+E121+E125+E140+E143+E156+E162+E166+E168+E169+E173+E179+E187+E192+E198+E205+E210+E214+E225</f>
        <v>278</v>
      </c>
    </row>
    <row r="44" spans="1:12" hidden="1" x14ac:dyDescent="0.25">
      <c r="D44" t="s">
        <v>243</v>
      </c>
      <c r="E44">
        <v>1</v>
      </c>
      <c r="F44" s="79">
        <v>17000</v>
      </c>
      <c r="G44" s="79">
        <v>10000</v>
      </c>
      <c r="H44" s="79">
        <v>7000</v>
      </c>
    </row>
    <row r="45" spans="1:12" hidden="1" x14ac:dyDescent="0.25">
      <c r="D45" t="s">
        <v>404</v>
      </c>
      <c r="E45">
        <v>3</v>
      </c>
      <c r="F45" s="79">
        <v>9000</v>
      </c>
      <c r="G45" s="79">
        <v>4500</v>
      </c>
      <c r="H45" s="79">
        <v>4500</v>
      </c>
    </row>
    <row r="46" spans="1:12" x14ac:dyDescent="0.25">
      <c r="D46" t="s">
        <v>902</v>
      </c>
      <c r="E46">
        <v>2</v>
      </c>
      <c r="F46" s="79">
        <v>16000</v>
      </c>
      <c r="G46" s="79">
        <v>8000</v>
      </c>
      <c r="H46" s="79">
        <v>8000</v>
      </c>
    </row>
    <row r="47" spans="1:12" hidden="1" x14ac:dyDescent="0.25">
      <c r="C47" t="s">
        <v>24</v>
      </c>
      <c r="D47" t="s">
        <v>243</v>
      </c>
      <c r="E47">
        <v>3</v>
      </c>
      <c r="F47" s="79">
        <f>E47*15000</f>
        <v>45000</v>
      </c>
      <c r="G47" s="79">
        <f>E47*10000</f>
        <v>30000</v>
      </c>
      <c r="H47" s="79">
        <v>15000</v>
      </c>
    </row>
    <row r="48" spans="1:12" hidden="1" x14ac:dyDescent="0.25">
      <c r="A48" s="112" t="s">
        <v>17</v>
      </c>
      <c r="B48" s="112"/>
      <c r="C48" s="112"/>
      <c r="D48" s="112"/>
      <c r="E48" s="78">
        <f>SUM(E37:E47)</f>
        <v>175</v>
      </c>
      <c r="F48" s="78">
        <f t="shared" ref="F48:H48" si="3">SUM(F37:F47)</f>
        <v>358100</v>
      </c>
      <c r="G48" s="78">
        <f t="shared" si="3"/>
        <v>148500</v>
      </c>
      <c r="H48" s="78">
        <f t="shared" si="3"/>
        <v>209600</v>
      </c>
    </row>
    <row r="49" spans="1:8" hidden="1" x14ac:dyDescent="0.25">
      <c r="A49" t="s">
        <v>18</v>
      </c>
      <c r="B49" s="3">
        <v>45631</v>
      </c>
      <c r="C49" t="s">
        <v>571</v>
      </c>
      <c r="D49" t="s">
        <v>11</v>
      </c>
      <c r="E49">
        <v>15</v>
      </c>
      <c r="F49" s="79">
        <f>E49*1700</f>
        <v>25500</v>
      </c>
      <c r="G49" s="79">
        <f>E49*500</f>
        <v>7500</v>
      </c>
      <c r="H49" s="79">
        <f>E49*1200</f>
        <v>18000</v>
      </c>
    </row>
    <row r="50" spans="1:8" hidden="1" x14ac:dyDescent="0.25">
      <c r="C50" t="s">
        <v>306</v>
      </c>
      <c r="D50" t="s">
        <v>11</v>
      </c>
      <c r="E50">
        <v>19</v>
      </c>
      <c r="F50" s="79">
        <f>E50*1800</f>
        <v>34200</v>
      </c>
      <c r="G50" s="79">
        <f>E50*500</f>
        <v>9500</v>
      </c>
      <c r="H50" s="79">
        <f>E50*1300</f>
        <v>24700</v>
      </c>
    </row>
    <row r="51" spans="1:8" hidden="1" x14ac:dyDescent="0.25">
      <c r="C51" t="s">
        <v>894</v>
      </c>
      <c r="D51" t="s">
        <v>11</v>
      </c>
      <c r="E51">
        <v>30</v>
      </c>
      <c r="F51" s="79">
        <f>E51*1500</f>
        <v>45000</v>
      </c>
      <c r="G51" s="79">
        <f>E51*500</f>
        <v>15000</v>
      </c>
      <c r="H51" s="79">
        <v>30000</v>
      </c>
    </row>
    <row r="52" spans="1:8" hidden="1" x14ac:dyDescent="0.25">
      <c r="C52" t="s">
        <v>846</v>
      </c>
      <c r="D52" t="s">
        <v>13</v>
      </c>
      <c r="E52">
        <v>4</v>
      </c>
      <c r="F52" s="79">
        <f>E52*8000</f>
        <v>32000</v>
      </c>
      <c r="G52" s="79">
        <f>E52*4500</f>
        <v>18000</v>
      </c>
      <c r="H52" s="79">
        <f>E52*3500</f>
        <v>14000</v>
      </c>
    </row>
    <row r="53" spans="1:8" hidden="1" x14ac:dyDescent="0.25">
      <c r="D53" t="s">
        <v>14</v>
      </c>
      <c r="E53">
        <v>4</v>
      </c>
      <c r="F53" s="79">
        <f>E53*12000</f>
        <v>48000</v>
      </c>
      <c r="G53" s="79">
        <f>E53*5500</f>
        <v>22000</v>
      </c>
      <c r="H53" s="79">
        <f>E53*6500</f>
        <v>26000</v>
      </c>
    </row>
    <row r="54" spans="1:8" hidden="1" x14ac:dyDescent="0.25">
      <c r="D54" t="s">
        <v>404</v>
      </c>
      <c r="E54">
        <v>1</v>
      </c>
      <c r="F54" s="79">
        <v>3000</v>
      </c>
      <c r="G54" s="79">
        <v>1500</v>
      </c>
      <c r="H54" s="79">
        <v>1500</v>
      </c>
    </row>
    <row r="55" spans="1:8" x14ac:dyDescent="0.25">
      <c r="D55" t="s">
        <v>902</v>
      </c>
      <c r="E55">
        <v>1</v>
      </c>
      <c r="F55" s="79">
        <v>8000</v>
      </c>
      <c r="G55" s="79">
        <v>4000</v>
      </c>
      <c r="H55" s="79">
        <v>4000</v>
      </c>
    </row>
    <row r="56" spans="1:8" hidden="1" x14ac:dyDescent="0.25">
      <c r="A56" s="112" t="s">
        <v>17</v>
      </c>
      <c r="B56" s="112"/>
      <c r="C56" s="112"/>
      <c r="D56" s="112"/>
      <c r="E56" s="78">
        <f>SUM(E49:E55)</f>
        <v>74</v>
      </c>
      <c r="F56" s="78">
        <f t="shared" ref="F56:H56" si="4">SUM(F49:F55)</f>
        <v>195700</v>
      </c>
      <c r="G56" s="78">
        <f t="shared" si="4"/>
        <v>77500</v>
      </c>
      <c r="H56" s="78">
        <f t="shared" si="4"/>
        <v>118200</v>
      </c>
    </row>
    <row r="57" spans="1:8" hidden="1" x14ac:dyDescent="0.25">
      <c r="A57" t="s">
        <v>22</v>
      </c>
      <c r="B57" s="3">
        <v>45632</v>
      </c>
      <c r="C57" t="s">
        <v>338</v>
      </c>
      <c r="D57" t="s">
        <v>11</v>
      </c>
      <c r="E57">
        <v>60</v>
      </c>
      <c r="F57" s="79">
        <f>E57*1800</f>
        <v>108000</v>
      </c>
      <c r="G57" s="79">
        <f>E57*500</f>
        <v>30000</v>
      </c>
      <c r="H57" s="79">
        <f>E57*1300</f>
        <v>78000</v>
      </c>
    </row>
    <row r="58" spans="1:8" hidden="1" x14ac:dyDescent="0.25">
      <c r="C58" t="s">
        <v>571</v>
      </c>
      <c r="D58" t="s">
        <v>11</v>
      </c>
      <c r="E58">
        <v>15</v>
      </c>
      <c r="F58" s="79">
        <f>E58*1700</f>
        <v>25500</v>
      </c>
      <c r="G58" s="79">
        <f>E58*500</f>
        <v>7500</v>
      </c>
      <c r="H58" s="79">
        <f>E58*1200</f>
        <v>18000</v>
      </c>
    </row>
    <row r="59" spans="1:8" hidden="1" x14ac:dyDescent="0.25">
      <c r="C59" t="s">
        <v>846</v>
      </c>
      <c r="D59" t="s">
        <v>13</v>
      </c>
      <c r="E59">
        <v>6</v>
      </c>
      <c r="F59" s="79">
        <f>E59*8000</f>
        <v>48000</v>
      </c>
      <c r="G59" s="79">
        <f>E59*4500</f>
        <v>27000</v>
      </c>
      <c r="H59" s="79">
        <f>E59*3500</f>
        <v>21000</v>
      </c>
    </row>
    <row r="60" spans="1:8" hidden="1" x14ac:dyDescent="0.25">
      <c r="D60" t="s">
        <v>14</v>
      </c>
      <c r="E60">
        <v>2</v>
      </c>
      <c r="F60" s="79">
        <f>E60*12000</f>
        <v>24000</v>
      </c>
      <c r="G60" s="79">
        <f>E60*5500</f>
        <v>11000</v>
      </c>
      <c r="H60" s="79">
        <f>E60*6500</f>
        <v>13000</v>
      </c>
    </row>
    <row r="61" spans="1:8" x14ac:dyDescent="0.25">
      <c r="D61" t="s">
        <v>902</v>
      </c>
      <c r="E61">
        <v>1</v>
      </c>
      <c r="F61" s="79">
        <v>8000</v>
      </c>
      <c r="G61" s="79">
        <v>4000</v>
      </c>
      <c r="H61" s="79">
        <v>4000</v>
      </c>
    </row>
    <row r="62" spans="1:8" hidden="1" x14ac:dyDescent="0.25">
      <c r="A62" s="112" t="s">
        <v>17</v>
      </c>
      <c r="B62" s="112"/>
      <c r="C62" s="112"/>
      <c r="D62" s="112"/>
      <c r="E62" s="78">
        <f>SUM(E57:E61)</f>
        <v>84</v>
      </c>
      <c r="F62" s="78">
        <f t="shared" ref="F62:H62" si="5">SUM(F57:F61)</f>
        <v>213500</v>
      </c>
      <c r="G62" s="78">
        <f t="shared" si="5"/>
        <v>79500</v>
      </c>
      <c r="H62" s="78">
        <f t="shared" si="5"/>
        <v>134000</v>
      </c>
    </row>
    <row r="63" spans="1:8" hidden="1" x14ac:dyDescent="0.25">
      <c r="A63" t="s">
        <v>26</v>
      </c>
      <c r="B63" s="3">
        <v>45633</v>
      </c>
      <c r="C63" t="s">
        <v>338</v>
      </c>
      <c r="D63" t="s">
        <v>11</v>
      </c>
      <c r="E63">
        <v>117</v>
      </c>
      <c r="F63" s="79">
        <f>E63*1800</f>
        <v>210600</v>
      </c>
      <c r="G63" s="79">
        <f>E63*500</f>
        <v>58500</v>
      </c>
      <c r="H63" s="79">
        <f>E63*1300</f>
        <v>152100</v>
      </c>
    </row>
    <row r="64" spans="1:8" hidden="1" x14ac:dyDescent="0.25">
      <c r="C64" t="s">
        <v>104</v>
      </c>
      <c r="D64" t="s">
        <v>11</v>
      </c>
      <c r="E64">
        <v>25</v>
      </c>
      <c r="F64" s="79">
        <f>E64*1700</f>
        <v>42500</v>
      </c>
      <c r="G64" s="79">
        <f>E64*500</f>
        <v>12500</v>
      </c>
      <c r="H64" s="79">
        <f>E64*1200</f>
        <v>30000</v>
      </c>
    </row>
    <row r="65" spans="1:8" hidden="1" x14ac:dyDescent="0.25">
      <c r="C65" t="s">
        <v>24</v>
      </c>
      <c r="D65" t="s">
        <v>243</v>
      </c>
      <c r="E65">
        <v>2</v>
      </c>
      <c r="F65" s="79">
        <v>30000</v>
      </c>
      <c r="G65" s="79">
        <v>20000</v>
      </c>
      <c r="H65" s="79">
        <v>10000</v>
      </c>
    </row>
    <row r="66" spans="1:8" hidden="1" x14ac:dyDescent="0.25">
      <c r="C66" t="s">
        <v>846</v>
      </c>
      <c r="D66" t="s">
        <v>11</v>
      </c>
      <c r="E66">
        <v>5</v>
      </c>
      <c r="F66" s="79">
        <v>15000</v>
      </c>
      <c r="G66" s="79">
        <f>E66*500</f>
        <v>2500</v>
      </c>
      <c r="H66" s="79">
        <f>E66*2500</f>
        <v>12500</v>
      </c>
    </row>
    <row r="67" spans="1:8" hidden="1" x14ac:dyDescent="0.25">
      <c r="C67" t="s">
        <v>846</v>
      </c>
      <c r="D67" t="s">
        <v>13</v>
      </c>
      <c r="E67">
        <v>7</v>
      </c>
      <c r="F67" s="79">
        <f>E67*8000</f>
        <v>56000</v>
      </c>
      <c r="G67" s="79">
        <f>E67*4500</f>
        <v>31500</v>
      </c>
      <c r="H67" s="79">
        <f>E67*3500</f>
        <v>24500</v>
      </c>
    </row>
    <row r="68" spans="1:8" hidden="1" x14ac:dyDescent="0.25">
      <c r="C68" t="s">
        <v>846</v>
      </c>
      <c r="D68" t="s">
        <v>14</v>
      </c>
      <c r="E68">
        <v>2</v>
      </c>
      <c r="F68" s="79">
        <v>24000</v>
      </c>
      <c r="G68" s="79">
        <f>E68*5500</f>
        <v>11000</v>
      </c>
      <c r="H68" s="79">
        <f>E68*6500</f>
        <v>13000</v>
      </c>
    </row>
    <row r="69" spans="1:8" hidden="1" x14ac:dyDescent="0.25">
      <c r="C69" t="s">
        <v>846</v>
      </c>
      <c r="D69" t="s">
        <v>420</v>
      </c>
      <c r="E69">
        <v>1</v>
      </c>
      <c r="F69" s="79">
        <v>5000</v>
      </c>
      <c r="G69" s="79">
        <v>2500</v>
      </c>
      <c r="H69" s="79">
        <v>2500</v>
      </c>
    </row>
    <row r="70" spans="1:8" x14ac:dyDescent="0.25">
      <c r="C70" t="s">
        <v>846</v>
      </c>
      <c r="D70" t="s">
        <v>902</v>
      </c>
      <c r="E70">
        <v>2</v>
      </c>
      <c r="F70" s="79">
        <v>16000</v>
      </c>
      <c r="G70" s="79">
        <v>8000</v>
      </c>
      <c r="H70" s="79">
        <v>8000</v>
      </c>
    </row>
    <row r="71" spans="1:8" hidden="1" x14ac:dyDescent="0.25">
      <c r="A71" s="112" t="s">
        <v>17</v>
      </c>
      <c r="B71" s="112"/>
      <c r="C71" s="112"/>
      <c r="D71" s="112"/>
      <c r="E71" s="78">
        <f>SUM(E63:E70)</f>
        <v>161</v>
      </c>
      <c r="F71" s="78">
        <f t="shared" ref="F71:H71" si="6">SUM(F63:F70)</f>
        <v>399100</v>
      </c>
      <c r="G71" s="78">
        <f t="shared" si="6"/>
        <v>146500</v>
      </c>
      <c r="H71" s="78">
        <f t="shared" si="6"/>
        <v>252600</v>
      </c>
    </row>
    <row r="72" spans="1:8" hidden="1" x14ac:dyDescent="0.25">
      <c r="A72" t="s">
        <v>28</v>
      </c>
      <c r="B72" s="3">
        <v>45634</v>
      </c>
      <c r="C72" t="s">
        <v>693</v>
      </c>
      <c r="D72" t="s">
        <v>11</v>
      </c>
      <c r="E72">
        <v>6</v>
      </c>
      <c r="F72" s="79">
        <f>E72*2000</f>
        <v>12000</v>
      </c>
      <c r="G72" s="79">
        <f>E72*500</f>
        <v>3000</v>
      </c>
      <c r="H72" s="79">
        <f>E72*1500</f>
        <v>9000</v>
      </c>
    </row>
    <row r="73" spans="1:8" hidden="1" x14ac:dyDescent="0.25">
      <c r="C73" t="s">
        <v>693</v>
      </c>
      <c r="D73" t="s">
        <v>13</v>
      </c>
      <c r="E73">
        <v>43</v>
      </c>
      <c r="F73" s="79">
        <f>E73*7000</f>
        <v>301000</v>
      </c>
      <c r="G73" s="79">
        <f>E73*4500</f>
        <v>193500</v>
      </c>
      <c r="H73" s="79">
        <f>E73*2500</f>
        <v>107500</v>
      </c>
    </row>
    <row r="74" spans="1:8" hidden="1" x14ac:dyDescent="0.25">
      <c r="C74" t="s">
        <v>693</v>
      </c>
      <c r="D74" t="s">
        <v>14</v>
      </c>
      <c r="E74">
        <f>44-12</f>
        <v>32</v>
      </c>
      <c r="F74" s="79">
        <f>E74*10000</f>
        <v>320000</v>
      </c>
      <c r="G74" s="79">
        <f>E74*5500</f>
        <v>176000</v>
      </c>
      <c r="H74" s="79">
        <f>E74*4500</f>
        <v>144000</v>
      </c>
    </row>
    <row r="75" spans="1:8" x14ac:dyDescent="0.25">
      <c r="C75" t="s">
        <v>693</v>
      </c>
      <c r="D75" t="s">
        <v>902</v>
      </c>
      <c r="E75">
        <v>2</v>
      </c>
      <c r="F75" s="79">
        <v>14000</v>
      </c>
      <c r="G75" s="79">
        <v>7000</v>
      </c>
      <c r="H75" s="79">
        <v>7000</v>
      </c>
    </row>
    <row r="76" spans="1:8" hidden="1" x14ac:dyDescent="0.25">
      <c r="C76" t="s">
        <v>217</v>
      </c>
      <c r="D76" t="s">
        <v>11</v>
      </c>
      <c r="E76">
        <v>11</v>
      </c>
      <c r="F76" s="79">
        <f>E76*1500</f>
        <v>16500</v>
      </c>
      <c r="G76" s="79">
        <f>E76*500</f>
        <v>5500</v>
      </c>
      <c r="H76" s="79">
        <v>11000</v>
      </c>
    </row>
    <row r="77" spans="1:8" hidden="1" x14ac:dyDescent="0.25">
      <c r="C77" t="s">
        <v>217</v>
      </c>
      <c r="D77" t="s">
        <v>13</v>
      </c>
      <c r="E77">
        <v>20</v>
      </c>
      <c r="F77" s="79">
        <f>E77*6500</f>
        <v>130000</v>
      </c>
      <c r="G77" s="79">
        <f>E77*4500</f>
        <v>90000</v>
      </c>
      <c r="H77" s="79">
        <f>E77*2000</f>
        <v>40000</v>
      </c>
    </row>
    <row r="78" spans="1:8" hidden="1" x14ac:dyDescent="0.25">
      <c r="C78" t="s">
        <v>217</v>
      </c>
      <c r="D78" t="s">
        <v>14</v>
      </c>
      <c r="E78">
        <v>14</v>
      </c>
      <c r="F78" s="79">
        <f>E78*10000</f>
        <v>140000</v>
      </c>
      <c r="G78" s="79">
        <f>E78*5500</f>
        <v>77000</v>
      </c>
      <c r="H78" s="79">
        <f>E78*4500</f>
        <v>63000</v>
      </c>
    </row>
    <row r="79" spans="1:8" hidden="1" x14ac:dyDescent="0.25">
      <c r="C79" t="s">
        <v>846</v>
      </c>
      <c r="D79" t="s">
        <v>14</v>
      </c>
      <c r="E79">
        <v>5</v>
      </c>
      <c r="F79" s="79">
        <f>E79*12000</f>
        <v>60000</v>
      </c>
      <c r="G79" s="79">
        <f>E79*5500</f>
        <v>27500</v>
      </c>
      <c r="H79" s="79">
        <f>E79*6500</f>
        <v>32500</v>
      </c>
    </row>
    <row r="80" spans="1:8" hidden="1" x14ac:dyDescent="0.25">
      <c r="D80" t="s">
        <v>11</v>
      </c>
      <c r="E80">
        <v>4</v>
      </c>
      <c r="F80" s="79">
        <f>E80*3000</f>
        <v>12000</v>
      </c>
      <c r="G80" s="79">
        <f>E80*500</f>
        <v>2000</v>
      </c>
      <c r="H80" s="79">
        <f>E80*2500</f>
        <v>10000</v>
      </c>
    </row>
    <row r="81" spans="1:12" hidden="1" x14ac:dyDescent="0.25">
      <c r="D81" t="s">
        <v>243</v>
      </c>
      <c r="E81">
        <v>1</v>
      </c>
      <c r="F81" s="79">
        <v>17000</v>
      </c>
      <c r="G81" s="79">
        <v>10000</v>
      </c>
      <c r="H81" s="79">
        <v>7000</v>
      </c>
    </row>
    <row r="82" spans="1:12" x14ac:dyDescent="0.25">
      <c r="D82" t="s">
        <v>902</v>
      </c>
      <c r="E82">
        <v>1</v>
      </c>
      <c r="F82" s="79">
        <v>8000</v>
      </c>
      <c r="G82" s="79">
        <v>4000</v>
      </c>
      <c r="H82" s="79">
        <v>4000</v>
      </c>
    </row>
    <row r="83" spans="1:12" hidden="1" x14ac:dyDescent="0.25">
      <c r="A83" s="112" t="s">
        <v>17</v>
      </c>
      <c r="B83" s="112"/>
      <c r="C83" s="112"/>
      <c r="D83" s="112"/>
      <c r="E83" s="78">
        <f>SUM(E72:E82)</f>
        <v>139</v>
      </c>
      <c r="F83" s="78">
        <f t="shared" ref="F83:H83" si="7">SUM(F72:F82)</f>
        <v>1030500</v>
      </c>
      <c r="G83" s="78">
        <f t="shared" si="7"/>
        <v>595500</v>
      </c>
      <c r="H83" s="78">
        <f t="shared" si="7"/>
        <v>435000</v>
      </c>
    </row>
    <row r="84" spans="1:12" hidden="1" x14ac:dyDescent="0.25">
      <c r="A84" t="s">
        <v>30</v>
      </c>
      <c r="B84" s="3">
        <v>45635</v>
      </c>
      <c r="C84" t="s">
        <v>104</v>
      </c>
      <c r="D84" t="s">
        <v>11</v>
      </c>
      <c r="E84">
        <v>23</v>
      </c>
      <c r="F84" s="79">
        <f>E84*1700</f>
        <v>39100</v>
      </c>
      <c r="G84" s="79">
        <f>E84*500</f>
        <v>11500</v>
      </c>
      <c r="H84" s="79">
        <f>E84*1200</f>
        <v>27600</v>
      </c>
    </row>
    <row r="85" spans="1:12" hidden="1" x14ac:dyDescent="0.25">
      <c r="C85" t="s">
        <v>24</v>
      </c>
      <c r="D85" t="s">
        <v>243</v>
      </c>
      <c r="E85">
        <v>3</v>
      </c>
      <c r="F85" s="79">
        <f>E85*15000</f>
        <v>45000</v>
      </c>
      <c r="G85" s="79">
        <f>E85*10000</f>
        <v>30000</v>
      </c>
      <c r="H85" s="79">
        <v>15000</v>
      </c>
    </row>
    <row r="86" spans="1:12" hidden="1" x14ac:dyDescent="0.25">
      <c r="C86" t="s">
        <v>306</v>
      </c>
      <c r="D86" t="s">
        <v>11</v>
      </c>
      <c r="E86">
        <v>15</v>
      </c>
      <c r="F86" s="79">
        <f>E86*1800</f>
        <v>27000</v>
      </c>
      <c r="G86" s="79">
        <f>E86*500</f>
        <v>7500</v>
      </c>
      <c r="H86" s="79">
        <f>E86*1300</f>
        <v>19500</v>
      </c>
      <c r="L86">
        <f>E17+E50+E86+E99</f>
        <v>65</v>
      </c>
    </row>
    <row r="87" spans="1:12" hidden="1" x14ac:dyDescent="0.25">
      <c r="A87" s="112" t="s">
        <v>17</v>
      </c>
      <c r="B87" s="112"/>
      <c r="C87" s="112"/>
      <c r="D87" s="112"/>
      <c r="E87" s="78">
        <f>SUM(E84:E86)</f>
        <v>41</v>
      </c>
      <c r="F87" s="78">
        <f t="shared" ref="F87:H87" si="8">SUM(F84:F86)</f>
        <v>111100</v>
      </c>
      <c r="G87" s="78">
        <f t="shared" si="8"/>
        <v>49000</v>
      </c>
      <c r="H87" s="78">
        <f t="shared" si="8"/>
        <v>62100</v>
      </c>
    </row>
    <row r="88" spans="1:12" hidden="1" x14ac:dyDescent="0.25">
      <c r="A88" t="s">
        <v>32</v>
      </c>
      <c r="B88" s="3">
        <v>45636</v>
      </c>
      <c r="C88" t="s">
        <v>338</v>
      </c>
      <c r="D88" t="s">
        <v>11</v>
      </c>
      <c r="E88">
        <v>55</v>
      </c>
      <c r="F88">
        <f>E88*1800</f>
        <v>99000</v>
      </c>
      <c r="G88">
        <f>E88*500</f>
        <v>27500</v>
      </c>
      <c r="H88">
        <f>E88*1300</f>
        <v>71500</v>
      </c>
      <c r="K88">
        <f>E15+E23+E37+E57+E63+E88+E92+E96+E104+E129</f>
        <v>682</v>
      </c>
    </row>
    <row r="89" spans="1:12" hidden="1" x14ac:dyDescent="0.25">
      <c r="C89" t="s">
        <v>104</v>
      </c>
      <c r="D89" t="s">
        <v>11</v>
      </c>
      <c r="E89">
        <v>12</v>
      </c>
      <c r="F89">
        <f>E89*1700</f>
        <v>20400</v>
      </c>
      <c r="G89">
        <f>E89*500</f>
        <v>6000</v>
      </c>
      <c r="H89">
        <f>E89*1200</f>
        <v>14400</v>
      </c>
    </row>
    <row r="90" spans="1:12" hidden="1" x14ac:dyDescent="0.25">
      <c r="C90" t="s">
        <v>24</v>
      </c>
      <c r="D90" t="s">
        <v>243</v>
      </c>
      <c r="E90">
        <v>2</v>
      </c>
      <c r="F90">
        <v>30000</v>
      </c>
      <c r="G90">
        <v>20000</v>
      </c>
      <c r="H90">
        <v>10000</v>
      </c>
    </row>
    <row r="91" spans="1:12" hidden="1" x14ac:dyDescent="0.25">
      <c r="A91" s="112" t="s">
        <v>17</v>
      </c>
      <c r="B91" s="112"/>
      <c r="C91" s="112"/>
      <c r="D91" s="112"/>
      <c r="E91" s="78">
        <f>SUM(E88:E90)</f>
        <v>69</v>
      </c>
      <c r="F91" s="78">
        <f t="shared" ref="F91:H91" si="9">SUM(F88:F90)</f>
        <v>149400</v>
      </c>
      <c r="G91" s="78">
        <f t="shared" si="9"/>
        <v>53500</v>
      </c>
      <c r="H91" s="78">
        <f t="shared" si="9"/>
        <v>95900</v>
      </c>
    </row>
    <row r="92" spans="1:12" hidden="1" x14ac:dyDescent="0.25">
      <c r="A92" t="s">
        <v>8</v>
      </c>
      <c r="B92" s="3">
        <v>45637</v>
      </c>
      <c r="C92" t="s">
        <v>338</v>
      </c>
      <c r="D92" t="s">
        <v>11</v>
      </c>
      <c r="E92">
        <v>57</v>
      </c>
      <c r="F92">
        <f>E92*1800</f>
        <v>102600</v>
      </c>
      <c r="G92">
        <f>E92*500</f>
        <v>28500</v>
      </c>
      <c r="H92">
        <f>E92*1300</f>
        <v>74100</v>
      </c>
    </row>
    <row r="93" spans="1:12" hidden="1" x14ac:dyDescent="0.25">
      <c r="C93" t="s">
        <v>104</v>
      </c>
      <c r="D93" t="s">
        <v>11</v>
      </c>
      <c r="E93">
        <f>23800/1700</f>
        <v>14</v>
      </c>
      <c r="F93">
        <f>E93*1700</f>
        <v>23800</v>
      </c>
      <c r="G93">
        <f>E93*500</f>
        <v>7000</v>
      </c>
      <c r="H93">
        <f>E93*1200</f>
        <v>16800</v>
      </c>
    </row>
    <row r="94" spans="1:12" hidden="1" x14ac:dyDescent="0.25">
      <c r="C94" t="s">
        <v>24</v>
      </c>
      <c r="D94" t="s">
        <v>243</v>
      </c>
      <c r="E94">
        <v>5</v>
      </c>
    </row>
    <row r="95" spans="1:12" hidden="1" x14ac:dyDescent="0.25">
      <c r="A95" s="112" t="s">
        <v>17</v>
      </c>
      <c r="B95" s="112"/>
      <c r="C95" s="112"/>
      <c r="D95" s="112"/>
      <c r="E95" s="78">
        <f>SUM(E92:E94)</f>
        <v>76</v>
      </c>
      <c r="F95" s="78">
        <f t="shared" ref="F95:H95" si="10">SUM(F92:F94)</f>
        <v>126400</v>
      </c>
      <c r="G95" s="78">
        <f t="shared" si="10"/>
        <v>35500</v>
      </c>
      <c r="H95" s="78">
        <f t="shared" si="10"/>
        <v>90900</v>
      </c>
    </row>
    <row r="96" spans="1:12" hidden="1" x14ac:dyDescent="0.25">
      <c r="A96" t="s">
        <v>18</v>
      </c>
      <c r="B96" s="3">
        <v>45638</v>
      </c>
      <c r="C96" t="s">
        <v>338</v>
      </c>
      <c r="D96" t="s">
        <v>11</v>
      </c>
      <c r="E96">
        <v>79</v>
      </c>
      <c r="F96" s="79">
        <f>E96*1800</f>
        <v>142200</v>
      </c>
      <c r="G96" s="79">
        <f>E96*500</f>
        <v>39500</v>
      </c>
      <c r="H96" s="79">
        <f>E96*1300</f>
        <v>102700</v>
      </c>
    </row>
    <row r="97" spans="1:12" hidden="1" x14ac:dyDescent="0.25">
      <c r="C97" t="s">
        <v>571</v>
      </c>
      <c r="D97" t="s">
        <v>11</v>
      </c>
      <c r="E97">
        <v>22</v>
      </c>
      <c r="F97" s="79">
        <f>E97*1700</f>
        <v>37400</v>
      </c>
      <c r="G97" s="79">
        <f>E97*500</f>
        <v>11000</v>
      </c>
      <c r="H97" s="79">
        <f>E97*1200</f>
        <v>26400</v>
      </c>
    </row>
    <row r="98" spans="1:12" hidden="1" x14ac:dyDescent="0.25">
      <c r="C98" t="s">
        <v>104</v>
      </c>
      <c r="D98" t="s">
        <v>11</v>
      </c>
      <c r="E98">
        <v>14</v>
      </c>
      <c r="F98" s="79">
        <f>E98*1700</f>
        <v>23800</v>
      </c>
      <c r="G98" s="79">
        <f>E98*500</f>
        <v>7000</v>
      </c>
      <c r="H98" s="79">
        <f>E98*1200</f>
        <v>16800</v>
      </c>
      <c r="J98" s="92">
        <f>E26+E39+E64+E84+E89+E93+E98+E105+E131+E134+E150</f>
        <v>220</v>
      </c>
    </row>
    <row r="99" spans="1:12" hidden="1" x14ac:dyDescent="0.25">
      <c r="C99" t="s">
        <v>306</v>
      </c>
      <c r="D99" t="s">
        <v>11</v>
      </c>
      <c r="E99">
        <v>12</v>
      </c>
      <c r="F99" s="79">
        <f>E99*1800</f>
        <v>21600</v>
      </c>
      <c r="G99" s="79">
        <f>E99*500</f>
        <v>6000</v>
      </c>
      <c r="H99" s="79">
        <f>E99*1300</f>
        <v>15600</v>
      </c>
    </row>
    <row r="100" spans="1:12" hidden="1" x14ac:dyDescent="0.25">
      <c r="C100" t="s">
        <v>24</v>
      </c>
      <c r="D100" t="s">
        <v>243</v>
      </c>
      <c r="E100">
        <v>2</v>
      </c>
      <c r="F100" s="79">
        <v>30000</v>
      </c>
      <c r="G100" s="79">
        <v>20000</v>
      </c>
      <c r="H100" s="79">
        <v>10000</v>
      </c>
      <c r="L100" s="92">
        <f>E13+E20+E27+E33+E44+E47+E65+E81+E85+E90+E94+E100+E101+E109+E110+E116+E117+E122+E127+E132+E135+E145+E149+E151+E152+E158+E163+E175+E181+E194+E199+E207+E211+E215+E217+E218+E228</f>
        <v>139</v>
      </c>
    </row>
    <row r="101" spans="1:12" hidden="1" x14ac:dyDescent="0.25">
      <c r="C101" t="s">
        <v>554</v>
      </c>
      <c r="D101" t="s">
        <v>243</v>
      </c>
      <c r="E101">
        <v>2</v>
      </c>
      <c r="F101" s="79"/>
      <c r="G101" s="79"/>
      <c r="H101" s="79"/>
    </row>
    <row r="102" spans="1:12" hidden="1" x14ac:dyDescent="0.25">
      <c r="D102" t="s">
        <v>415</v>
      </c>
      <c r="E102">
        <v>1</v>
      </c>
      <c r="F102" s="79"/>
      <c r="G102" s="79"/>
      <c r="H102" s="79"/>
    </row>
    <row r="103" spans="1:12" hidden="1" x14ac:dyDescent="0.25">
      <c r="A103" s="112" t="s">
        <v>17</v>
      </c>
      <c r="B103" s="112"/>
      <c r="C103" s="112"/>
      <c r="D103" s="112"/>
      <c r="E103" s="78">
        <f>SUM(E96:E102)</f>
        <v>132</v>
      </c>
      <c r="F103" s="78">
        <f t="shared" ref="F103:H103" si="11">SUM(F96:F102)</f>
        <v>255000</v>
      </c>
      <c r="G103" s="78">
        <f t="shared" si="11"/>
        <v>83500</v>
      </c>
      <c r="H103" s="78">
        <f t="shared" si="11"/>
        <v>171500</v>
      </c>
    </row>
    <row r="104" spans="1:12" hidden="1" x14ac:dyDescent="0.25">
      <c r="A104" t="s">
        <v>22</v>
      </c>
      <c r="B104" s="3">
        <v>45639</v>
      </c>
      <c r="C104" t="s">
        <v>338</v>
      </c>
      <c r="D104" t="s">
        <v>11</v>
      </c>
      <c r="E104">
        <v>59</v>
      </c>
      <c r="F104" s="79">
        <f>E104*1800</f>
        <v>106200</v>
      </c>
      <c r="G104" s="79">
        <f>E104*500</f>
        <v>29500</v>
      </c>
      <c r="H104" s="79">
        <f>E104*1300</f>
        <v>76700</v>
      </c>
    </row>
    <row r="105" spans="1:12" hidden="1" x14ac:dyDescent="0.25">
      <c r="C105" t="s">
        <v>104</v>
      </c>
      <c r="D105" t="s">
        <v>11</v>
      </c>
      <c r="E105">
        <v>25</v>
      </c>
      <c r="F105" s="79">
        <f>E105*1700</f>
        <v>42500</v>
      </c>
      <c r="G105" s="79">
        <f>E105*500</f>
        <v>12500</v>
      </c>
      <c r="H105" s="79">
        <f>E105*1200</f>
        <v>30000</v>
      </c>
    </row>
    <row r="106" spans="1:12" hidden="1" x14ac:dyDescent="0.25">
      <c r="C106" t="s">
        <v>20</v>
      </c>
      <c r="D106" t="s">
        <v>13</v>
      </c>
      <c r="E106">
        <v>5</v>
      </c>
      <c r="F106" s="79">
        <f>E106*8000</f>
        <v>40000</v>
      </c>
      <c r="G106" s="79">
        <f>E106*4500</f>
        <v>22500</v>
      </c>
      <c r="H106" s="79">
        <f>E106*3500</f>
        <v>17500</v>
      </c>
    </row>
    <row r="107" spans="1:12" hidden="1" x14ac:dyDescent="0.25">
      <c r="D107" t="s">
        <v>14</v>
      </c>
      <c r="E107">
        <v>7</v>
      </c>
      <c r="F107" s="79">
        <f>E107*12000</f>
        <v>84000</v>
      </c>
      <c r="G107" s="79">
        <f>E107*5500</f>
        <v>38500</v>
      </c>
      <c r="H107" s="79">
        <f>E107*6500</f>
        <v>45500</v>
      </c>
    </row>
    <row r="108" spans="1:12" x14ac:dyDescent="0.25">
      <c r="D108" t="s">
        <v>902</v>
      </c>
      <c r="E108">
        <v>5</v>
      </c>
      <c r="F108" s="79">
        <f>E108*8000</f>
        <v>40000</v>
      </c>
      <c r="G108" s="79">
        <v>20000</v>
      </c>
      <c r="H108" s="79">
        <v>20000</v>
      </c>
    </row>
    <row r="109" spans="1:12" hidden="1" x14ac:dyDescent="0.25">
      <c r="D109" t="s">
        <v>243</v>
      </c>
      <c r="E109">
        <v>2</v>
      </c>
      <c r="F109" s="79">
        <v>30000</v>
      </c>
      <c r="G109" s="79">
        <v>20000</v>
      </c>
      <c r="H109" s="79">
        <v>10000</v>
      </c>
    </row>
    <row r="110" spans="1:12" hidden="1" x14ac:dyDescent="0.25">
      <c r="C110" t="s">
        <v>24</v>
      </c>
      <c r="D110" t="s">
        <v>243</v>
      </c>
      <c r="E110">
        <v>2</v>
      </c>
      <c r="F110" s="79">
        <v>30000</v>
      </c>
      <c r="G110" s="79">
        <v>20000</v>
      </c>
      <c r="H110" s="79">
        <v>10000</v>
      </c>
    </row>
    <row r="111" spans="1:12" hidden="1" x14ac:dyDescent="0.25">
      <c r="A111" s="112" t="s">
        <v>17</v>
      </c>
      <c r="B111" s="112"/>
      <c r="C111" s="112"/>
      <c r="D111" s="112"/>
      <c r="E111" s="78">
        <f>SUM(E104:E110)</f>
        <v>105</v>
      </c>
      <c r="F111" s="78">
        <f t="shared" ref="F111:H111" si="12">SUM(F104:F110)</f>
        <v>372700</v>
      </c>
      <c r="G111" s="78">
        <f t="shared" si="12"/>
        <v>163000</v>
      </c>
      <c r="H111" s="78">
        <f t="shared" si="12"/>
        <v>209700</v>
      </c>
    </row>
    <row r="112" spans="1:12" hidden="1" x14ac:dyDescent="0.25">
      <c r="A112" t="s">
        <v>26</v>
      </c>
      <c r="B112" s="3">
        <v>45640</v>
      </c>
      <c r="C112" t="s">
        <v>581</v>
      </c>
      <c r="D112" t="s">
        <v>11</v>
      </c>
      <c r="E112">
        <v>351</v>
      </c>
      <c r="F112">
        <f>E112*1500</f>
        <v>526500</v>
      </c>
      <c r="G112">
        <f>E112*500</f>
        <v>175500</v>
      </c>
      <c r="H112">
        <f>E112*1000</f>
        <v>351000</v>
      </c>
    </row>
    <row r="113" spans="1:8" hidden="1" x14ac:dyDescent="0.25">
      <c r="C113" t="s">
        <v>20</v>
      </c>
      <c r="D113" t="s">
        <v>13</v>
      </c>
      <c r="E113">
        <v>4</v>
      </c>
      <c r="F113">
        <f>E113*8000</f>
        <v>32000</v>
      </c>
      <c r="G113">
        <f>E113*4500</f>
        <v>18000</v>
      </c>
      <c r="H113">
        <f>E113*3500</f>
        <v>14000</v>
      </c>
    </row>
    <row r="114" spans="1:8" hidden="1" x14ac:dyDescent="0.25">
      <c r="D114" t="s">
        <v>14</v>
      </c>
      <c r="E114">
        <v>3</v>
      </c>
      <c r="F114">
        <f>E114*12000</f>
        <v>36000</v>
      </c>
      <c r="G114">
        <f>E114*5500</f>
        <v>16500</v>
      </c>
      <c r="H114">
        <f>E114*6500</f>
        <v>19500</v>
      </c>
    </row>
    <row r="115" spans="1:8" x14ac:dyDescent="0.25">
      <c r="D115" t="s">
        <v>902</v>
      </c>
      <c r="E115">
        <v>9</v>
      </c>
      <c r="F115">
        <f>E115*8000</f>
        <v>72000</v>
      </c>
      <c r="G115">
        <f>E115*4000</f>
        <v>36000</v>
      </c>
      <c r="H115">
        <v>36000</v>
      </c>
    </row>
    <row r="116" spans="1:8" hidden="1" x14ac:dyDescent="0.25">
      <c r="C116" t="s">
        <v>24</v>
      </c>
      <c r="D116" t="s">
        <v>243</v>
      </c>
      <c r="E116">
        <v>4</v>
      </c>
      <c r="F116">
        <f>E116*15000</f>
        <v>60000</v>
      </c>
      <c r="G116">
        <f>E116*10000</f>
        <v>40000</v>
      </c>
      <c r="H116">
        <v>20000</v>
      </c>
    </row>
    <row r="117" spans="1:8" hidden="1" x14ac:dyDescent="0.25">
      <c r="C117" t="s">
        <v>554</v>
      </c>
      <c r="D117" t="s">
        <v>243</v>
      </c>
      <c r="E117">
        <v>2</v>
      </c>
    </row>
    <row r="118" spans="1:8" hidden="1" x14ac:dyDescent="0.25">
      <c r="A118" s="112" t="s">
        <v>17</v>
      </c>
      <c r="B118" s="112"/>
      <c r="C118" s="112"/>
      <c r="D118" s="112"/>
      <c r="E118" s="78">
        <f>SUM(E112:E117)</f>
        <v>373</v>
      </c>
      <c r="F118" s="78">
        <f t="shared" ref="F118:H118" si="13">SUM(F112:F117)</f>
        <v>726500</v>
      </c>
      <c r="G118" s="78">
        <f t="shared" si="13"/>
        <v>286000</v>
      </c>
      <c r="H118" s="78">
        <f t="shared" si="13"/>
        <v>440500</v>
      </c>
    </row>
    <row r="119" spans="1:8" hidden="1" x14ac:dyDescent="0.25">
      <c r="A119" t="s">
        <v>28</v>
      </c>
      <c r="B119" s="3">
        <v>45641</v>
      </c>
      <c r="C119" t="s">
        <v>693</v>
      </c>
      <c r="D119" t="s">
        <v>11</v>
      </c>
      <c r="E119">
        <v>8</v>
      </c>
      <c r="F119">
        <f>E119*2000</f>
        <v>16000</v>
      </c>
      <c r="G119">
        <f>E119*500</f>
        <v>4000</v>
      </c>
      <c r="H119">
        <f>E119*1500</f>
        <v>12000</v>
      </c>
    </row>
    <row r="120" spans="1:8" hidden="1" x14ac:dyDescent="0.25">
      <c r="D120" t="s">
        <v>13</v>
      </c>
      <c r="E120">
        <v>38</v>
      </c>
      <c r="F120">
        <f>E120*7000</f>
        <v>266000</v>
      </c>
      <c r="G120">
        <f>E120*4500</f>
        <v>171000</v>
      </c>
      <c r="H120">
        <f>E120*3500</f>
        <v>133000</v>
      </c>
    </row>
    <row r="121" spans="1:8" hidden="1" x14ac:dyDescent="0.25">
      <c r="D121" t="s">
        <v>14</v>
      </c>
      <c r="E121">
        <v>17</v>
      </c>
      <c r="F121">
        <f>E121*10000</f>
        <v>170000</v>
      </c>
      <c r="G121">
        <f>E121*5500</f>
        <v>93500</v>
      </c>
      <c r="H121">
        <f>E121*4500</f>
        <v>76500</v>
      </c>
    </row>
    <row r="122" spans="1:8" hidden="1" x14ac:dyDescent="0.25">
      <c r="D122" t="s">
        <v>243</v>
      </c>
      <c r="E122">
        <v>2</v>
      </c>
      <c r="F122">
        <v>30000</v>
      </c>
      <c r="G122">
        <v>20000</v>
      </c>
      <c r="H122">
        <v>10000</v>
      </c>
    </row>
    <row r="123" spans="1:8" hidden="1" x14ac:dyDescent="0.25">
      <c r="C123" t="s">
        <v>217</v>
      </c>
      <c r="D123" t="s">
        <v>11</v>
      </c>
      <c r="E123">
        <v>15</v>
      </c>
      <c r="F123">
        <f>E123*1500</f>
        <v>22500</v>
      </c>
      <c r="G123">
        <f>E123*500</f>
        <v>7500</v>
      </c>
      <c r="H123">
        <v>15000</v>
      </c>
    </row>
    <row r="124" spans="1:8" hidden="1" x14ac:dyDescent="0.25">
      <c r="D124" t="s">
        <v>13</v>
      </c>
      <c r="E124">
        <v>10</v>
      </c>
      <c r="F124">
        <f>E124*6500</f>
        <v>65000</v>
      </c>
      <c r="G124">
        <f>E124*4500</f>
        <v>45000</v>
      </c>
      <c r="H124">
        <f>E124*2500</f>
        <v>25000</v>
      </c>
    </row>
    <row r="125" spans="1:8" hidden="1" x14ac:dyDescent="0.25">
      <c r="D125" t="s">
        <v>14</v>
      </c>
      <c r="E125">
        <v>4</v>
      </c>
      <c r="F125">
        <v>40000</v>
      </c>
      <c r="G125">
        <f>E125*5500</f>
        <v>22000</v>
      </c>
      <c r="H125">
        <f>E125*4500</f>
        <v>18000</v>
      </c>
    </row>
    <row r="126" spans="1:8" hidden="1" x14ac:dyDescent="0.25">
      <c r="A126" s="112" t="s">
        <v>17</v>
      </c>
      <c r="B126" s="112"/>
      <c r="C126" s="112"/>
      <c r="D126" s="112"/>
      <c r="E126" s="78">
        <f>SUM(E119:E125)</f>
        <v>94</v>
      </c>
      <c r="F126" s="78">
        <f t="shared" ref="F126:H126" si="14">SUM(F119:F125)</f>
        <v>609500</v>
      </c>
      <c r="G126" s="78">
        <f t="shared" si="14"/>
        <v>363000</v>
      </c>
      <c r="H126" s="78">
        <f t="shared" si="14"/>
        <v>289500</v>
      </c>
    </row>
    <row r="127" spans="1:8" hidden="1" x14ac:dyDescent="0.25">
      <c r="A127" t="s">
        <v>30</v>
      </c>
      <c r="B127" s="3">
        <v>45642</v>
      </c>
      <c r="C127" t="s">
        <v>24</v>
      </c>
      <c r="D127" t="s">
        <v>243</v>
      </c>
      <c r="E127">
        <v>2</v>
      </c>
      <c r="F127">
        <v>30000</v>
      </c>
      <c r="G127">
        <v>20000</v>
      </c>
      <c r="H127">
        <v>10000</v>
      </c>
    </row>
    <row r="128" spans="1:8" hidden="1" x14ac:dyDescent="0.25">
      <c r="A128" s="112" t="s">
        <v>17</v>
      </c>
      <c r="B128" s="112"/>
      <c r="C128" s="112"/>
      <c r="D128" s="112"/>
      <c r="E128" s="78">
        <v>2</v>
      </c>
      <c r="F128" s="78">
        <v>30000</v>
      </c>
      <c r="G128" s="78">
        <v>20000</v>
      </c>
      <c r="H128" s="78">
        <v>10000</v>
      </c>
    </row>
    <row r="129" spans="1:11" hidden="1" x14ac:dyDescent="0.25">
      <c r="A129" t="s">
        <v>32</v>
      </c>
      <c r="B129" s="3">
        <v>45643</v>
      </c>
      <c r="C129" t="s">
        <v>338</v>
      </c>
      <c r="D129" t="s">
        <v>11</v>
      </c>
      <c r="E129">
        <f>172800/1800</f>
        <v>96</v>
      </c>
      <c r="F129">
        <v>172800</v>
      </c>
      <c r="G129">
        <f>E129*500</f>
        <v>48000</v>
      </c>
      <c r="H129">
        <f>E129*1300</f>
        <v>124800</v>
      </c>
    </row>
    <row r="130" spans="1:11" hidden="1" x14ac:dyDescent="0.25">
      <c r="C130" t="s">
        <v>571</v>
      </c>
      <c r="D130" t="s">
        <v>11</v>
      </c>
      <c r="E130" s="78">
        <v>20</v>
      </c>
      <c r="F130" s="92">
        <f>E130*1700</f>
        <v>34000</v>
      </c>
      <c r="G130" s="92">
        <f>E130*500</f>
        <v>10000</v>
      </c>
      <c r="H130" s="92">
        <f>E130*1200</f>
        <v>24000</v>
      </c>
    </row>
    <row r="131" spans="1:11" hidden="1" x14ac:dyDescent="0.25">
      <c r="C131" t="s">
        <v>104</v>
      </c>
      <c r="D131" t="s">
        <v>11</v>
      </c>
      <c r="E131">
        <v>25</v>
      </c>
      <c r="F131">
        <f>E131*1700</f>
        <v>42500</v>
      </c>
      <c r="G131">
        <f>E131*500</f>
        <v>12500</v>
      </c>
      <c r="H131">
        <f>E131*1200</f>
        <v>30000</v>
      </c>
    </row>
    <row r="132" spans="1:11" hidden="1" x14ac:dyDescent="0.25">
      <c r="C132" t="s">
        <v>24</v>
      </c>
      <c r="D132" t="s">
        <v>243</v>
      </c>
      <c r="E132" s="78">
        <v>2</v>
      </c>
      <c r="F132">
        <v>30000</v>
      </c>
      <c r="G132">
        <v>20000</v>
      </c>
      <c r="H132">
        <v>10000</v>
      </c>
    </row>
    <row r="133" spans="1:11" hidden="1" x14ac:dyDescent="0.25">
      <c r="A133" s="112" t="s">
        <v>17</v>
      </c>
      <c r="B133" s="112"/>
      <c r="C133" s="112"/>
      <c r="D133" s="112"/>
      <c r="E133" s="78">
        <f>SUM(E129:E132)</f>
        <v>143</v>
      </c>
      <c r="F133" s="78">
        <f t="shared" ref="F133:H133" si="15">SUM(F129:F132)</f>
        <v>279300</v>
      </c>
      <c r="G133" s="78">
        <f t="shared" si="15"/>
        <v>90500</v>
      </c>
      <c r="H133" s="78">
        <f t="shared" si="15"/>
        <v>188800</v>
      </c>
    </row>
    <row r="134" spans="1:11" hidden="1" x14ac:dyDescent="0.25">
      <c r="A134" t="s">
        <v>8</v>
      </c>
      <c r="B134" s="3">
        <v>45644</v>
      </c>
      <c r="C134" t="s">
        <v>104</v>
      </c>
      <c r="D134" t="s">
        <v>11</v>
      </c>
      <c r="E134" s="96">
        <v>23</v>
      </c>
      <c r="F134" s="92">
        <f>E134*1700</f>
        <v>39100</v>
      </c>
      <c r="G134" s="92">
        <f>E134*500</f>
        <v>11500</v>
      </c>
      <c r="H134" s="92">
        <f>E134*1200</f>
        <v>27600</v>
      </c>
    </row>
    <row r="135" spans="1:11" hidden="1" x14ac:dyDescent="0.25">
      <c r="C135" t="s">
        <v>24</v>
      </c>
      <c r="D135" t="s">
        <v>243</v>
      </c>
      <c r="E135" s="96">
        <v>2</v>
      </c>
      <c r="F135">
        <v>30000</v>
      </c>
      <c r="G135">
        <v>20000</v>
      </c>
      <c r="H135">
        <v>10000</v>
      </c>
    </row>
    <row r="136" spans="1:11" hidden="1" x14ac:dyDescent="0.25">
      <c r="C136" t="s">
        <v>20</v>
      </c>
      <c r="D136" t="s">
        <v>13</v>
      </c>
      <c r="E136" s="96">
        <v>7</v>
      </c>
      <c r="F136" s="92">
        <f>E136*8000</f>
        <v>56000</v>
      </c>
      <c r="G136" s="92">
        <f>E136*4500</f>
        <v>31500</v>
      </c>
      <c r="H136" s="92">
        <f>E136*3500</f>
        <v>24500</v>
      </c>
    </row>
    <row r="137" spans="1:11" x14ac:dyDescent="0.25">
      <c r="D137" t="s">
        <v>902</v>
      </c>
      <c r="E137" s="96">
        <v>7</v>
      </c>
      <c r="F137" s="92">
        <f>E137*8000</f>
        <v>56000</v>
      </c>
      <c r="G137" s="92">
        <f>E137*4000</f>
        <v>28000</v>
      </c>
      <c r="H137">
        <v>28000</v>
      </c>
    </row>
    <row r="138" spans="1:11" hidden="1" x14ac:dyDescent="0.25">
      <c r="A138" s="111" t="s">
        <v>17</v>
      </c>
      <c r="B138" s="111"/>
      <c r="C138" s="111"/>
      <c r="D138" s="111"/>
      <c r="E138" s="93">
        <f>SUM(E134:E137)</f>
        <v>39</v>
      </c>
      <c r="F138" s="93">
        <f t="shared" ref="F138:H138" si="16">SUM(F134:F137)</f>
        <v>181100</v>
      </c>
      <c r="G138" s="93">
        <f t="shared" si="16"/>
        <v>91000</v>
      </c>
      <c r="H138" s="93">
        <f t="shared" si="16"/>
        <v>90100</v>
      </c>
    </row>
    <row r="139" spans="1:11" hidden="1" x14ac:dyDescent="0.25">
      <c r="A139" t="s">
        <v>18</v>
      </c>
      <c r="B139" s="3">
        <v>45645</v>
      </c>
      <c r="C139" t="s">
        <v>909</v>
      </c>
      <c r="D139" t="s">
        <v>13</v>
      </c>
      <c r="E139" s="96">
        <v>15</v>
      </c>
      <c r="F139" s="79">
        <f>E139*8000</f>
        <v>120000</v>
      </c>
      <c r="G139" s="79">
        <f>E139*4500</f>
        <v>67500</v>
      </c>
      <c r="H139" s="79">
        <f>E139*3500</f>
        <v>52500</v>
      </c>
    </row>
    <row r="140" spans="1:11" hidden="1" x14ac:dyDescent="0.25">
      <c r="D140" t="s">
        <v>14</v>
      </c>
      <c r="E140" s="96">
        <v>16</v>
      </c>
      <c r="F140" s="79">
        <f>E140*10000</f>
        <v>160000</v>
      </c>
      <c r="G140" s="79">
        <f>E140*5500</f>
        <v>88000</v>
      </c>
      <c r="H140" s="79">
        <f>E140*4500</f>
        <v>72000</v>
      </c>
    </row>
    <row r="141" spans="1:11" hidden="1" x14ac:dyDescent="0.25">
      <c r="C141" t="s">
        <v>20</v>
      </c>
      <c r="D141" t="s">
        <v>11</v>
      </c>
      <c r="E141" s="96">
        <v>1</v>
      </c>
      <c r="F141" s="79">
        <v>3000</v>
      </c>
      <c r="G141" s="79">
        <v>500</v>
      </c>
      <c r="H141" s="79">
        <v>2500</v>
      </c>
      <c r="K141" t="s">
        <v>612</v>
      </c>
    </row>
    <row r="142" spans="1:11" hidden="1" x14ac:dyDescent="0.25">
      <c r="C142" t="s">
        <v>20</v>
      </c>
      <c r="D142" t="s">
        <v>13</v>
      </c>
      <c r="E142" s="96">
        <v>9</v>
      </c>
      <c r="F142" s="79">
        <f>E142*8000</f>
        <v>72000</v>
      </c>
      <c r="G142" s="79">
        <f>E142*4500</f>
        <v>40500</v>
      </c>
      <c r="H142" s="79">
        <f>E142*3500</f>
        <v>31500</v>
      </c>
    </row>
    <row r="143" spans="1:11" hidden="1" x14ac:dyDescent="0.25">
      <c r="C143" t="s">
        <v>20</v>
      </c>
      <c r="D143" t="s">
        <v>14</v>
      </c>
      <c r="E143" s="96">
        <v>1</v>
      </c>
      <c r="F143" s="79">
        <v>12000</v>
      </c>
      <c r="G143" s="79">
        <v>5500</v>
      </c>
      <c r="H143" s="79">
        <v>6500</v>
      </c>
    </row>
    <row r="144" spans="1:11" x14ac:dyDescent="0.25">
      <c r="C144" t="s">
        <v>20</v>
      </c>
      <c r="D144" t="s">
        <v>902</v>
      </c>
      <c r="E144" s="96">
        <v>5</v>
      </c>
      <c r="F144" s="79">
        <f>E144*8000</f>
        <v>40000</v>
      </c>
      <c r="G144" s="79">
        <v>20000</v>
      </c>
      <c r="H144" s="79">
        <v>20000</v>
      </c>
      <c r="K144" s="92">
        <f>E19+E35+E46+E55+E61+E70+E75+E82+E108+E115+E137+E144+E148+E157+E180+E188+E193+E200+E206+E226</f>
        <v>67</v>
      </c>
    </row>
    <row r="145" spans="1:8" hidden="1" x14ac:dyDescent="0.25">
      <c r="C145" t="s">
        <v>20</v>
      </c>
      <c r="D145" t="s">
        <v>243</v>
      </c>
      <c r="E145" s="96">
        <v>2</v>
      </c>
      <c r="F145" s="79">
        <v>30000</v>
      </c>
      <c r="G145" s="79">
        <v>20000</v>
      </c>
      <c r="H145" s="79">
        <v>10000</v>
      </c>
    </row>
    <row r="146" spans="1:8" hidden="1" x14ac:dyDescent="0.25">
      <c r="A146" s="112" t="s">
        <v>17</v>
      </c>
      <c r="B146" s="112"/>
      <c r="C146" s="112"/>
      <c r="D146" s="112"/>
      <c r="E146" s="78">
        <f>SUM(E139:E145)</f>
        <v>49</v>
      </c>
      <c r="F146" s="78">
        <f t="shared" ref="F146:H146" si="17">SUM(F139:F145)</f>
        <v>437000</v>
      </c>
      <c r="G146" s="78">
        <f t="shared" si="17"/>
        <v>242000</v>
      </c>
      <c r="H146" s="78">
        <f t="shared" si="17"/>
        <v>195000</v>
      </c>
    </row>
    <row r="147" spans="1:8" hidden="1" x14ac:dyDescent="0.25">
      <c r="A147" t="s">
        <v>22</v>
      </c>
      <c r="B147" s="3">
        <v>45646</v>
      </c>
      <c r="C147" t="s">
        <v>910</v>
      </c>
      <c r="D147" t="s">
        <v>13</v>
      </c>
      <c r="E147" s="96">
        <v>7</v>
      </c>
      <c r="F147" s="92">
        <f>E147*8000</f>
        <v>56000</v>
      </c>
      <c r="G147" s="92">
        <f>E147*4500</f>
        <v>31500</v>
      </c>
      <c r="H147" s="92">
        <f>E147*3500</f>
        <v>24500</v>
      </c>
    </row>
    <row r="148" spans="1:8" x14ac:dyDescent="0.25">
      <c r="C148" t="s">
        <v>910</v>
      </c>
      <c r="D148" t="s">
        <v>902</v>
      </c>
      <c r="E148" s="96">
        <v>5</v>
      </c>
      <c r="F148" s="92">
        <f>E148*8000</f>
        <v>40000</v>
      </c>
      <c r="G148" s="92">
        <v>20000</v>
      </c>
      <c r="H148" s="92">
        <v>20000</v>
      </c>
    </row>
    <row r="149" spans="1:8" hidden="1" x14ac:dyDescent="0.25">
      <c r="C149" t="s">
        <v>910</v>
      </c>
      <c r="D149" t="s">
        <v>243</v>
      </c>
      <c r="E149" s="96">
        <v>2</v>
      </c>
      <c r="F149">
        <v>30000</v>
      </c>
      <c r="G149" s="92">
        <v>20000</v>
      </c>
      <c r="H149" s="92">
        <v>10000</v>
      </c>
    </row>
    <row r="150" spans="1:8" hidden="1" x14ac:dyDescent="0.25">
      <c r="C150" t="s">
        <v>104</v>
      </c>
      <c r="D150" t="s">
        <v>11</v>
      </c>
      <c r="E150" s="96">
        <v>25</v>
      </c>
      <c r="F150" s="92">
        <f>E150*1700</f>
        <v>42500</v>
      </c>
      <c r="G150" s="92">
        <f>E150*500</f>
        <v>12500</v>
      </c>
      <c r="H150" s="92">
        <f>E150*1200</f>
        <v>30000</v>
      </c>
    </row>
    <row r="151" spans="1:8" hidden="1" x14ac:dyDescent="0.25">
      <c r="C151" t="s">
        <v>554</v>
      </c>
      <c r="D151" t="s">
        <v>243</v>
      </c>
      <c r="E151" s="96">
        <v>2</v>
      </c>
    </row>
    <row r="152" spans="1:8" hidden="1" x14ac:dyDescent="0.25">
      <c r="C152" t="s">
        <v>24</v>
      </c>
      <c r="D152" t="s">
        <v>243</v>
      </c>
      <c r="E152" s="96">
        <v>2</v>
      </c>
      <c r="F152" s="79">
        <v>30000</v>
      </c>
      <c r="G152" s="79">
        <v>20000</v>
      </c>
      <c r="H152" s="79">
        <v>10000</v>
      </c>
    </row>
    <row r="153" spans="1:8" hidden="1" x14ac:dyDescent="0.25">
      <c r="A153" s="112" t="s">
        <v>17</v>
      </c>
      <c r="B153" s="112"/>
      <c r="C153" s="112"/>
      <c r="D153" s="112"/>
      <c r="E153" s="78">
        <f>SUM(E147:E152)</f>
        <v>43</v>
      </c>
      <c r="F153" s="78">
        <f t="shared" ref="F153:H153" si="18">SUM(F147:F152)</f>
        <v>198500</v>
      </c>
      <c r="G153" s="78">
        <f t="shared" si="18"/>
        <v>104000</v>
      </c>
      <c r="H153" s="78">
        <f t="shared" si="18"/>
        <v>94500</v>
      </c>
    </row>
    <row r="154" spans="1:8" hidden="1" x14ac:dyDescent="0.25">
      <c r="A154" t="s">
        <v>26</v>
      </c>
      <c r="B154" s="3">
        <v>45647</v>
      </c>
      <c r="C154" t="s">
        <v>217</v>
      </c>
      <c r="D154" t="s">
        <v>11</v>
      </c>
      <c r="E154" s="96">
        <v>4</v>
      </c>
      <c r="F154">
        <v>12000</v>
      </c>
      <c r="G154" s="92">
        <f>E154*500</f>
        <v>2000</v>
      </c>
      <c r="H154" s="92">
        <f>E154*2500</f>
        <v>10000</v>
      </c>
    </row>
    <row r="155" spans="1:8" hidden="1" x14ac:dyDescent="0.25">
      <c r="D155" t="s">
        <v>13</v>
      </c>
      <c r="E155" s="96">
        <v>4</v>
      </c>
      <c r="F155" s="92">
        <f>E155*8000</f>
        <v>32000</v>
      </c>
      <c r="G155" s="92">
        <f>E155*4500</f>
        <v>18000</v>
      </c>
      <c r="H155" s="92">
        <f>E155*3500</f>
        <v>14000</v>
      </c>
    </row>
    <row r="156" spans="1:8" hidden="1" x14ac:dyDescent="0.25">
      <c r="D156" t="s">
        <v>14</v>
      </c>
      <c r="E156" s="96">
        <v>6</v>
      </c>
      <c r="F156" s="92">
        <f>E156*12000</f>
        <v>72000</v>
      </c>
      <c r="G156" s="92">
        <f>E156*5500</f>
        <v>33000</v>
      </c>
      <c r="H156" s="92">
        <f>E156*6500</f>
        <v>39000</v>
      </c>
    </row>
    <row r="157" spans="1:8" x14ac:dyDescent="0.25">
      <c r="D157" t="s">
        <v>902</v>
      </c>
      <c r="E157" s="96">
        <v>5</v>
      </c>
      <c r="F157">
        <v>40000</v>
      </c>
      <c r="G157">
        <v>20000</v>
      </c>
      <c r="H157">
        <v>20000</v>
      </c>
    </row>
    <row r="158" spans="1:8" hidden="1" x14ac:dyDescent="0.25">
      <c r="C158" t="s">
        <v>24</v>
      </c>
      <c r="D158" t="s">
        <v>243</v>
      </c>
      <c r="E158" s="96">
        <v>2</v>
      </c>
    </row>
    <row r="159" spans="1:8" hidden="1" x14ac:dyDescent="0.25">
      <c r="A159" s="112" t="s">
        <v>17</v>
      </c>
      <c r="B159" s="112"/>
      <c r="C159" s="112"/>
      <c r="D159" s="112"/>
      <c r="E159" s="78">
        <f>SUM(E154:E158)</f>
        <v>21</v>
      </c>
      <c r="F159" s="78">
        <f t="shared" ref="F159:H159" si="19">SUM(F154:F158)</f>
        <v>156000</v>
      </c>
      <c r="G159" s="78">
        <f t="shared" si="19"/>
        <v>73000</v>
      </c>
      <c r="H159" s="78">
        <f t="shared" si="19"/>
        <v>83000</v>
      </c>
    </row>
    <row r="160" spans="1:8" hidden="1" x14ac:dyDescent="0.25">
      <c r="A160" t="s">
        <v>28</v>
      </c>
      <c r="B160" s="3">
        <v>45648</v>
      </c>
      <c r="C160" t="s">
        <v>693</v>
      </c>
      <c r="D160" t="s">
        <v>11</v>
      </c>
      <c r="E160" s="96">
        <v>3</v>
      </c>
      <c r="F160" s="92">
        <f>E160*2000</f>
        <v>6000</v>
      </c>
      <c r="G160" s="92">
        <f>E160*500</f>
        <v>1500</v>
      </c>
      <c r="H160" s="92">
        <f>E160*1500</f>
        <v>4500</v>
      </c>
    </row>
    <row r="161" spans="1:8" hidden="1" x14ac:dyDescent="0.25">
      <c r="D161" t="s">
        <v>13</v>
      </c>
      <c r="E161" s="96">
        <v>25</v>
      </c>
      <c r="F161" s="92">
        <f>E161*7000</f>
        <v>175000</v>
      </c>
      <c r="G161" s="92">
        <f>E161*4500</f>
        <v>112500</v>
      </c>
      <c r="H161" s="92">
        <f>E161*2500</f>
        <v>62500</v>
      </c>
    </row>
    <row r="162" spans="1:8" hidden="1" x14ac:dyDescent="0.25">
      <c r="D162" t="s">
        <v>14</v>
      </c>
      <c r="E162" s="96">
        <v>13</v>
      </c>
      <c r="F162" s="92">
        <f>E162*10000</f>
        <v>130000</v>
      </c>
      <c r="G162" s="92">
        <f>E162*5500</f>
        <v>71500</v>
      </c>
      <c r="H162" s="92">
        <f>E162*4500</f>
        <v>58500</v>
      </c>
    </row>
    <row r="163" spans="1:8" hidden="1" x14ac:dyDescent="0.25">
      <c r="D163" t="s">
        <v>243</v>
      </c>
      <c r="E163" s="96">
        <v>2</v>
      </c>
      <c r="F163">
        <v>30000</v>
      </c>
      <c r="G163">
        <v>20000</v>
      </c>
      <c r="H163">
        <v>10000</v>
      </c>
    </row>
    <row r="164" spans="1:8" hidden="1" x14ac:dyDescent="0.25">
      <c r="C164" t="s">
        <v>217</v>
      </c>
      <c r="D164" t="s">
        <v>11</v>
      </c>
      <c r="E164" s="96">
        <v>8</v>
      </c>
      <c r="F164" s="92">
        <f>E164*1500</f>
        <v>12000</v>
      </c>
      <c r="G164" s="92">
        <f>E164*500</f>
        <v>4000</v>
      </c>
      <c r="H164" s="92">
        <f>E164*1000</f>
        <v>8000</v>
      </c>
    </row>
    <row r="165" spans="1:8" hidden="1" x14ac:dyDescent="0.25">
      <c r="D165" t="s">
        <v>13</v>
      </c>
      <c r="E165" s="96">
        <v>13</v>
      </c>
      <c r="F165" s="92">
        <f>E165*6500</f>
        <v>84500</v>
      </c>
      <c r="G165" s="92">
        <f>E165*4500</f>
        <v>58500</v>
      </c>
      <c r="H165" s="92">
        <f>E165*2000</f>
        <v>26000</v>
      </c>
    </row>
    <row r="166" spans="1:8" hidden="1" x14ac:dyDescent="0.25">
      <c r="D166" t="s">
        <v>14</v>
      </c>
      <c r="E166" s="96">
        <v>13</v>
      </c>
      <c r="F166" s="92">
        <f>E166*10000</f>
        <v>130000</v>
      </c>
      <c r="G166" s="92">
        <f>E166*5500</f>
        <v>71500</v>
      </c>
      <c r="H166" s="92">
        <f>E166*4500</f>
        <v>58500</v>
      </c>
    </row>
    <row r="167" spans="1:8" hidden="1" x14ac:dyDescent="0.25">
      <c r="C167" t="s">
        <v>217</v>
      </c>
      <c r="D167" t="s">
        <v>13</v>
      </c>
      <c r="E167" s="96">
        <v>5</v>
      </c>
      <c r="F167" s="92">
        <f>E167*8000</f>
        <v>40000</v>
      </c>
      <c r="G167" s="92">
        <f>E167*4500</f>
        <v>22500</v>
      </c>
      <c r="H167" s="92">
        <f>E167*3500</f>
        <v>17500</v>
      </c>
    </row>
    <row r="168" spans="1:8" hidden="1" x14ac:dyDescent="0.25">
      <c r="D168" t="s">
        <v>14</v>
      </c>
      <c r="E168" s="96">
        <v>3</v>
      </c>
      <c r="F168" s="92">
        <f>E168*12000</f>
        <v>36000</v>
      </c>
      <c r="G168" s="92">
        <f>E168*5500</f>
        <v>16500</v>
      </c>
      <c r="H168" s="92">
        <f>E168*6500</f>
        <v>19500</v>
      </c>
    </row>
    <row r="169" spans="1:8" hidden="1" x14ac:dyDescent="0.25">
      <c r="C169" t="s">
        <v>554</v>
      </c>
      <c r="D169" t="s">
        <v>14</v>
      </c>
      <c r="E169" s="96">
        <v>10</v>
      </c>
    </row>
    <row r="170" spans="1:8" hidden="1" x14ac:dyDescent="0.25">
      <c r="D170" t="s">
        <v>11</v>
      </c>
      <c r="E170" s="96">
        <v>3</v>
      </c>
    </row>
    <row r="171" spans="1:8" hidden="1" x14ac:dyDescent="0.25">
      <c r="A171" s="112" t="s">
        <v>17</v>
      </c>
      <c r="B171" s="112"/>
      <c r="C171" s="112"/>
      <c r="D171" s="112"/>
      <c r="E171" s="78">
        <f>SUM(E160:E170)</f>
        <v>98</v>
      </c>
      <c r="F171" s="78">
        <f t="shared" ref="F171:H171" si="20">SUM(F160:F170)</f>
        <v>643500</v>
      </c>
      <c r="G171" s="78">
        <f t="shared" si="20"/>
        <v>378500</v>
      </c>
      <c r="H171" s="78">
        <f t="shared" si="20"/>
        <v>265000</v>
      </c>
    </row>
    <row r="172" spans="1:8" hidden="1" x14ac:dyDescent="0.25">
      <c r="A172" t="s">
        <v>30</v>
      </c>
      <c r="B172" s="3">
        <v>45649</v>
      </c>
      <c r="C172" t="s">
        <v>217</v>
      </c>
      <c r="D172" t="s">
        <v>13</v>
      </c>
      <c r="E172" s="96">
        <v>3</v>
      </c>
      <c r="F172" s="92">
        <f>E172*8000</f>
        <v>24000</v>
      </c>
      <c r="G172" s="92">
        <f>E172*4500</f>
        <v>13500</v>
      </c>
      <c r="H172" s="92">
        <f>E172*3500</f>
        <v>10500</v>
      </c>
    </row>
    <row r="173" spans="1:8" hidden="1" x14ac:dyDescent="0.25">
      <c r="D173" t="s">
        <v>14</v>
      </c>
      <c r="E173" s="96">
        <v>2</v>
      </c>
      <c r="F173" s="92">
        <f>E173*12000</f>
        <v>24000</v>
      </c>
      <c r="G173" s="92">
        <f>E173*5500</f>
        <v>11000</v>
      </c>
      <c r="H173" s="92">
        <f>E173*6500</f>
        <v>13000</v>
      </c>
    </row>
    <row r="174" spans="1:8" hidden="1" x14ac:dyDescent="0.25">
      <c r="C174" t="s">
        <v>581</v>
      </c>
      <c r="D174" t="s">
        <v>11</v>
      </c>
      <c r="E174">
        <f>130500/1500</f>
        <v>87</v>
      </c>
      <c r="F174">
        <f>E174*1500</f>
        <v>130500</v>
      </c>
      <c r="G174">
        <f>E174*500</f>
        <v>43500</v>
      </c>
      <c r="H174">
        <f>E174*1000</f>
        <v>87000</v>
      </c>
    </row>
    <row r="175" spans="1:8" hidden="1" x14ac:dyDescent="0.25">
      <c r="C175" t="s">
        <v>24</v>
      </c>
      <c r="D175" t="s">
        <v>243</v>
      </c>
      <c r="E175" s="96">
        <v>2</v>
      </c>
      <c r="F175">
        <v>30000</v>
      </c>
      <c r="G175">
        <v>20000</v>
      </c>
      <c r="H175">
        <v>10000</v>
      </c>
    </row>
    <row r="176" spans="1:8" hidden="1" x14ac:dyDescent="0.25">
      <c r="A176" s="112" t="s">
        <v>17</v>
      </c>
      <c r="B176" s="112"/>
      <c r="C176" s="112"/>
      <c r="D176" s="112"/>
      <c r="E176" s="78">
        <f>SUM(E172:E175)</f>
        <v>94</v>
      </c>
      <c r="F176" s="78">
        <f t="shared" ref="F176:H176" si="21">SUM(F172:F175)</f>
        <v>208500</v>
      </c>
      <c r="G176" s="78">
        <f t="shared" si="21"/>
        <v>88000</v>
      </c>
      <c r="H176" s="78">
        <f t="shared" si="21"/>
        <v>120500</v>
      </c>
    </row>
    <row r="177" spans="1:12" hidden="1" x14ac:dyDescent="0.25">
      <c r="A177" t="s">
        <v>32</v>
      </c>
      <c r="B177" s="3">
        <v>45650</v>
      </c>
      <c r="C177" t="s">
        <v>20</v>
      </c>
      <c r="D177" t="s">
        <v>11</v>
      </c>
      <c r="E177" s="96">
        <v>2</v>
      </c>
      <c r="F177" s="92">
        <f>E177*3000</f>
        <v>6000</v>
      </c>
      <c r="G177" s="92">
        <f>E177*500</f>
        <v>1000</v>
      </c>
      <c r="H177" s="92">
        <f>E177*2500</f>
        <v>5000</v>
      </c>
    </row>
    <row r="178" spans="1:12" hidden="1" x14ac:dyDescent="0.25">
      <c r="D178" t="s">
        <v>13</v>
      </c>
      <c r="E178" s="96">
        <v>5</v>
      </c>
      <c r="F178" s="92">
        <f>E178*8000</f>
        <v>40000</v>
      </c>
      <c r="G178" s="92">
        <f>E178*4500</f>
        <v>22500</v>
      </c>
      <c r="H178" s="92">
        <f>E178*3500</f>
        <v>17500</v>
      </c>
    </row>
    <row r="179" spans="1:12" hidden="1" x14ac:dyDescent="0.25">
      <c r="D179" t="s">
        <v>14</v>
      </c>
      <c r="E179" s="96">
        <v>2</v>
      </c>
      <c r="F179" s="92">
        <f>E179*12000</f>
        <v>24000</v>
      </c>
      <c r="G179" s="92">
        <f>E179*5500</f>
        <v>11000</v>
      </c>
      <c r="H179" s="92">
        <f>E179*6500</f>
        <v>13000</v>
      </c>
    </row>
    <row r="180" spans="1:12" x14ac:dyDescent="0.25">
      <c r="D180" t="s">
        <v>902</v>
      </c>
      <c r="E180" s="96">
        <v>5</v>
      </c>
      <c r="F180" s="92">
        <f>E180*8000</f>
        <v>40000</v>
      </c>
      <c r="G180">
        <v>20000</v>
      </c>
      <c r="H180">
        <v>20000</v>
      </c>
    </row>
    <row r="181" spans="1:12" hidden="1" x14ac:dyDescent="0.25">
      <c r="C181" t="s">
        <v>24</v>
      </c>
      <c r="D181" t="s">
        <v>243</v>
      </c>
      <c r="E181" s="96">
        <v>2</v>
      </c>
      <c r="F181">
        <v>30000</v>
      </c>
      <c r="G181">
        <v>20000</v>
      </c>
      <c r="H181">
        <v>10000</v>
      </c>
    </row>
    <row r="182" spans="1:12" hidden="1" x14ac:dyDescent="0.25">
      <c r="A182" s="112" t="s">
        <v>17</v>
      </c>
      <c r="B182" s="112"/>
      <c r="C182" s="112"/>
      <c r="D182" s="112"/>
      <c r="E182" s="78">
        <f>SUM(E177:E181)</f>
        <v>16</v>
      </c>
      <c r="F182" s="78">
        <f t="shared" ref="F182:H182" si="22">SUM(F177:F181)</f>
        <v>140000</v>
      </c>
      <c r="G182" s="78">
        <f t="shared" si="22"/>
        <v>74500</v>
      </c>
      <c r="H182" s="78">
        <f t="shared" si="22"/>
        <v>65500</v>
      </c>
    </row>
    <row r="183" spans="1:12" hidden="1" x14ac:dyDescent="0.25">
      <c r="A183" t="s">
        <v>8</v>
      </c>
      <c r="B183" s="3">
        <v>45651</v>
      </c>
      <c r="D183" t="s">
        <v>911</v>
      </c>
    </row>
    <row r="185" spans="1:12" x14ac:dyDescent="0.25">
      <c r="A185" t="s">
        <v>18</v>
      </c>
      <c r="B185" s="3">
        <v>45652</v>
      </c>
      <c r="C185" t="s">
        <v>217</v>
      </c>
      <c r="D185" t="s">
        <v>11</v>
      </c>
      <c r="E185">
        <v>2</v>
      </c>
      <c r="F185">
        <v>2000</v>
      </c>
      <c r="G185">
        <v>500</v>
      </c>
      <c r="H185">
        <v>1500</v>
      </c>
    </row>
    <row r="186" spans="1:12" x14ac:dyDescent="0.25">
      <c r="D186" t="s">
        <v>13</v>
      </c>
      <c r="E186">
        <v>7</v>
      </c>
      <c r="F186">
        <f>E186*8000</f>
        <v>56000</v>
      </c>
      <c r="G186">
        <f>E186*4500</f>
        <v>31500</v>
      </c>
      <c r="H186">
        <f>E186*3500</f>
        <v>24500</v>
      </c>
      <c r="J186" s="92">
        <f>E5+E76+E123+E154+E164+E185+E208</f>
        <v>67</v>
      </c>
    </row>
    <row r="187" spans="1:12" x14ac:dyDescent="0.25">
      <c r="D187" t="s">
        <v>14</v>
      </c>
      <c r="E187">
        <v>3</v>
      </c>
      <c r="F187">
        <f>E187*12000</f>
        <v>36000</v>
      </c>
      <c r="G187">
        <f>E187*5500</f>
        <v>16500</v>
      </c>
      <c r="H187">
        <f>E187*6500</f>
        <v>19500</v>
      </c>
    </row>
    <row r="188" spans="1:12" x14ac:dyDescent="0.25">
      <c r="D188" t="s">
        <v>902</v>
      </c>
      <c r="E188">
        <v>3</v>
      </c>
      <c r="F188">
        <v>24000</v>
      </c>
      <c r="G188">
        <v>12000</v>
      </c>
      <c r="H188">
        <v>12000</v>
      </c>
    </row>
    <row r="189" spans="1:12" x14ac:dyDescent="0.25">
      <c r="A189" s="112" t="s">
        <v>17</v>
      </c>
      <c r="B189" s="112"/>
      <c r="C189" s="112"/>
      <c r="D189" s="112"/>
      <c r="E189" s="78">
        <f>SUM(E185:E188)</f>
        <v>15</v>
      </c>
      <c r="F189" s="78">
        <f t="shared" ref="F189:H189" si="23">SUM(F185:F188)</f>
        <v>118000</v>
      </c>
      <c r="G189" s="78">
        <f t="shared" si="23"/>
        <v>60500</v>
      </c>
      <c r="H189" s="78">
        <f t="shared" si="23"/>
        <v>57500</v>
      </c>
    </row>
    <row r="190" spans="1:12" x14ac:dyDescent="0.25">
      <c r="A190" t="s">
        <v>22</v>
      </c>
      <c r="B190" s="3">
        <v>45653</v>
      </c>
      <c r="C190" t="s">
        <v>846</v>
      </c>
      <c r="D190" t="s">
        <v>11</v>
      </c>
      <c r="E190">
        <v>3</v>
      </c>
      <c r="F190">
        <v>9000</v>
      </c>
      <c r="G190">
        <f>E190*500</f>
        <v>1500</v>
      </c>
      <c r="H190">
        <f>E190*2500</f>
        <v>7500</v>
      </c>
    </row>
    <row r="191" spans="1:12" x14ac:dyDescent="0.25">
      <c r="D191" t="s">
        <v>13</v>
      </c>
      <c r="E191">
        <v>4</v>
      </c>
      <c r="F191">
        <f>E191*8000</f>
        <v>32000</v>
      </c>
      <c r="G191">
        <f>E191*4500</f>
        <v>18000</v>
      </c>
      <c r="H191">
        <f>E191*3500</f>
        <v>14000</v>
      </c>
      <c r="L191">
        <f>E30+E41+E66+E190+E196+E212</f>
        <v>21</v>
      </c>
    </row>
    <row r="192" spans="1:12" x14ac:dyDescent="0.25">
      <c r="D192" t="s">
        <v>14</v>
      </c>
      <c r="E192">
        <v>6</v>
      </c>
      <c r="F192">
        <f>E192*12000</f>
        <v>72000</v>
      </c>
      <c r="G192">
        <f>E192*5500</f>
        <v>33000</v>
      </c>
      <c r="H192">
        <f>E192*6500</f>
        <v>39000</v>
      </c>
    </row>
    <row r="193" spans="1:11" x14ac:dyDescent="0.25">
      <c r="D193" t="s">
        <v>902</v>
      </c>
      <c r="E193">
        <v>2</v>
      </c>
      <c r="F193">
        <v>16000</v>
      </c>
      <c r="G193">
        <v>8000</v>
      </c>
      <c r="H193">
        <v>8000</v>
      </c>
    </row>
    <row r="194" spans="1:11" x14ac:dyDescent="0.25">
      <c r="C194" t="s">
        <v>24</v>
      </c>
      <c r="D194" t="s">
        <v>243</v>
      </c>
      <c r="E194">
        <v>2</v>
      </c>
      <c r="F194">
        <v>30000</v>
      </c>
      <c r="G194">
        <v>20000</v>
      </c>
      <c r="H194">
        <v>10000</v>
      </c>
    </row>
    <row r="195" spans="1:11" x14ac:dyDescent="0.25">
      <c r="A195" s="112" t="s">
        <v>17</v>
      </c>
      <c r="B195" s="112"/>
      <c r="C195" s="112"/>
      <c r="D195" s="112"/>
      <c r="E195" s="78">
        <f>SUM(E190:E194)</f>
        <v>17</v>
      </c>
      <c r="F195" s="78">
        <f t="shared" ref="F195:H195" si="24">SUM(F190:F194)</f>
        <v>159000</v>
      </c>
      <c r="G195" s="78">
        <f t="shared" si="24"/>
        <v>80500</v>
      </c>
      <c r="H195" s="78">
        <f t="shared" si="24"/>
        <v>78500</v>
      </c>
    </row>
    <row r="196" spans="1:11" x14ac:dyDescent="0.25">
      <c r="A196" t="s">
        <v>26</v>
      </c>
      <c r="B196" s="3">
        <v>45654</v>
      </c>
      <c r="C196" t="s">
        <v>846</v>
      </c>
      <c r="D196" t="s">
        <v>11</v>
      </c>
      <c r="E196">
        <v>1</v>
      </c>
      <c r="F196" s="79">
        <v>3000</v>
      </c>
      <c r="G196" s="79">
        <v>500</v>
      </c>
      <c r="H196" s="79">
        <v>2500</v>
      </c>
    </row>
    <row r="197" spans="1:11" x14ac:dyDescent="0.25">
      <c r="D197" t="s">
        <v>13</v>
      </c>
      <c r="E197">
        <v>9</v>
      </c>
      <c r="F197" s="79">
        <f>E197*8000</f>
        <v>72000</v>
      </c>
      <c r="G197" s="79">
        <f>E197*4500</f>
        <v>40500</v>
      </c>
      <c r="H197" s="79">
        <f>E197*3500</f>
        <v>31500</v>
      </c>
    </row>
    <row r="198" spans="1:11" x14ac:dyDescent="0.25">
      <c r="D198" t="s">
        <v>14</v>
      </c>
      <c r="E198">
        <v>1</v>
      </c>
      <c r="F198" s="79">
        <v>12000</v>
      </c>
      <c r="G198" s="79">
        <v>5500</v>
      </c>
      <c r="H198" s="79">
        <v>6500</v>
      </c>
    </row>
    <row r="199" spans="1:11" x14ac:dyDescent="0.25">
      <c r="D199" t="s">
        <v>243</v>
      </c>
      <c r="E199">
        <v>3</v>
      </c>
      <c r="F199" s="79">
        <v>45000</v>
      </c>
      <c r="G199" s="79">
        <v>30000</v>
      </c>
      <c r="H199" s="79">
        <v>15000</v>
      </c>
    </row>
    <row r="200" spans="1:11" x14ac:dyDescent="0.25">
      <c r="D200" t="s">
        <v>902</v>
      </c>
      <c r="E200">
        <v>1</v>
      </c>
      <c r="F200" s="79">
        <v>8000</v>
      </c>
      <c r="G200" s="79">
        <v>4000</v>
      </c>
      <c r="H200" s="79">
        <v>4000</v>
      </c>
    </row>
    <row r="201" spans="1:11" x14ac:dyDescent="0.25">
      <c r="C201" t="s">
        <v>24</v>
      </c>
      <c r="D201" t="s">
        <v>243</v>
      </c>
      <c r="E201">
        <v>3</v>
      </c>
      <c r="F201" s="79">
        <v>45000</v>
      </c>
      <c r="G201" s="79">
        <v>30000</v>
      </c>
      <c r="H201" s="79">
        <v>15000</v>
      </c>
    </row>
    <row r="202" spans="1:11" x14ac:dyDescent="0.25">
      <c r="A202" s="112" t="s">
        <v>17</v>
      </c>
      <c r="B202" s="112"/>
      <c r="C202" s="112"/>
      <c r="D202" s="112"/>
      <c r="E202" s="78">
        <f>SUM(E196:E201)</f>
        <v>18</v>
      </c>
      <c r="F202" s="78">
        <f t="shared" ref="F202:G202" si="25">SUM(F196:F201)</f>
        <v>185000</v>
      </c>
      <c r="G202" s="78">
        <f t="shared" si="25"/>
        <v>110500</v>
      </c>
      <c r="H202" s="78">
        <f>SUM(H196:H201)</f>
        <v>74500</v>
      </c>
      <c r="K202" s="92">
        <f>E203+E160+E119+E72+E2</f>
        <v>32</v>
      </c>
    </row>
    <row r="203" spans="1:11" x14ac:dyDescent="0.25">
      <c r="A203" t="s">
        <v>28</v>
      </c>
      <c r="B203" s="3">
        <v>45655</v>
      </c>
      <c r="C203" t="s">
        <v>693</v>
      </c>
      <c r="D203" t="s">
        <v>11</v>
      </c>
      <c r="E203">
        <v>14</v>
      </c>
      <c r="F203" s="79">
        <f>E203*2000</f>
        <v>28000</v>
      </c>
      <c r="G203" s="79">
        <f>E203*500</f>
        <v>7000</v>
      </c>
      <c r="H203" s="79">
        <f>E203*1500</f>
        <v>21000</v>
      </c>
    </row>
    <row r="204" spans="1:11" x14ac:dyDescent="0.25">
      <c r="D204" t="s">
        <v>13</v>
      </c>
      <c r="E204">
        <v>52</v>
      </c>
      <c r="F204" s="79">
        <f>E204*7000</f>
        <v>364000</v>
      </c>
      <c r="G204" s="79">
        <f>E204*4500</f>
        <v>234000</v>
      </c>
      <c r="H204" s="79">
        <f>E204*2500</f>
        <v>130000</v>
      </c>
    </row>
    <row r="205" spans="1:11" x14ac:dyDescent="0.25">
      <c r="D205" t="s">
        <v>14</v>
      </c>
      <c r="E205">
        <v>43</v>
      </c>
      <c r="F205" s="79">
        <f>E205*10000</f>
        <v>430000</v>
      </c>
      <c r="G205" s="79">
        <f>E205*5500</f>
        <v>236500</v>
      </c>
      <c r="H205" s="79">
        <f>E205*4500</f>
        <v>193500</v>
      </c>
    </row>
    <row r="206" spans="1:11" x14ac:dyDescent="0.25">
      <c r="D206" t="s">
        <v>902</v>
      </c>
      <c r="E206">
        <v>2</v>
      </c>
      <c r="F206" s="79">
        <v>14000</v>
      </c>
      <c r="G206" s="79">
        <v>7000</v>
      </c>
      <c r="H206" s="79">
        <v>7000</v>
      </c>
    </row>
    <row r="207" spans="1:11" x14ac:dyDescent="0.25">
      <c r="D207" t="s">
        <v>243</v>
      </c>
      <c r="E207">
        <v>5</v>
      </c>
      <c r="F207" s="79">
        <f>E207*15000</f>
        <v>75000</v>
      </c>
      <c r="G207" s="79">
        <v>50000</v>
      </c>
      <c r="H207" s="79">
        <v>25000</v>
      </c>
    </row>
    <row r="208" spans="1:11" x14ac:dyDescent="0.25">
      <c r="C208" t="s">
        <v>217</v>
      </c>
      <c r="D208" t="s">
        <v>11</v>
      </c>
      <c r="E208">
        <v>15</v>
      </c>
      <c r="F208" s="79">
        <f>E208*1500</f>
        <v>22500</v>
      </c>
      <c r="G208" s="79">
        <f>E208*500</f>
        <v>7500</v>
      </c>
      <c r="H208" s="79">
        <v>15000</v>
      </c>
    </row>
    <row r="209" spans="1:8" x14ac:dyDescent="0.25">
      <c r="D209" t="s">
        <v>13</v>
      </c>
      <c r="E209">
        <v>21</v>
      </c>
      <c r="F209" s="79">
        <f>E209*6500</f>
        <v>136500</v>
      </c>
      <c r="G209" s="79">
        <f>E209*4500</f>
        <v>94500</v>
      </c>
      <c r="H209" s="79">
        <f>E209*2000</f>
        <v>42000</v>
      </c>
    </row>
    <row r="210" spans="1:8" x14ac:dyDescent="0.25">
      <c r="D210" t="s">
        <v>14</v>
      </c>
      <c r="E210">
        <v>16</v>
      </c>
      <c r="F210" s="79">
        <f>E210*10000</f>
        <v>160000</v>
      </c>
      <c r="G210" s="79">
        <f>E210*5500</f>
        <v>88000</v>
      </c>
      <c r="H210" s="79">
        <f>E210*4500</f>
        <v>72000</v>
      </c>
    </row>
    <row r="211" spans="1:8" x14ac:dyDescent="0.25">
      <c r="D211" t="s">
        <v>243</v>
      </c>
      <c r="E211">
        <v>1</v>
      </c>
      <c r="F211" s="79">
        <v>15000</v>
      </c>
      <c r="G211" s="79">
        <v>10000</v>
      </c>
      <c r="H211" s="79">
        <v>5000</v>
      </c>
    </row>
    <row r="212" spans="1:8" x14ac:dyDescent="0.25">
      <c r="C212" t="s">
        <v>846</v>
      </c>
      <c r="D212" t="s">
        <v>11</v>
      </c>
      <c r="E212">
        <v>1</v>
      </c>
      <c r="F212" s="79">
        <v>3000</v>
      </c>
      <c r="G212" s="79">
        <v>500</v>
      </c>
      <c r="H212" s="79">
        <v>2500</v>
      </c>
    </row>
    <row r="213" spans="1:8" x14ac:dyDescent="0.25">
      <c r="D213" t="s">
        <v>13</v>
      </c>
      <c r="E213">
        <v>4</v>
      </c>
      <c r="F213" s="79">
        <f>E213*8000</f>
        <v>32000</v>
      </c>
      <c r="G213" s="79">
        <f>E213*4500</f>
        <v>18000</v>
      </c>
      <c r="H213" s="79">
        <f>E213*3500</f>
        <v>14000</v>
      </c>
    </row>
    <row r="214" spans="1:8" x14ac:dyDescent="0.25">
      <c r="D214" t="s">
        <v>14</v>
      </c>
      <c r="E214">
        <v>5</v>
      </c>
      <c r="F214" s="79">
        <f>E214*10000</f>
        <v>50000</v>
      </c>
      <c r="G214" s="79">
        <f>E214*5500</f>
        <v>27500</v>
      </c>
      <c r="H214" s="79">
        <f>E214*4500</f>
        <v>22500</v>
      </c>
    </row>
    <row r="215" spans="1:8" x14ac:dyDescent="0.25">
      <c r="C215" t="s">
        <v>24</v>
      </c>
      <c r="D215" t="s">
        <v>243</v>
      </c>
      <c r="E215">
        <v>2</v>
      </c>
      <c r="F215" s="79">
        <f>E215*15000</f>
        <v>30000</v>
      </c>
      <c r="G215" s="79">
        <v>20000</v>
      </c>
      <c r="H215" s="79">
        <v>10000</v>
      </c>
    </row>
    <row r="216" spans="1:8" x14ac:dyDescent="0.25">
      <c r="A216" s="112" t="s">
        <v>17</v>
      </c>
      <c r="B216" s="112"/>
      <c r="C216" s="112"/>
      <c r="D216" s="112"/>
      <c r="E216" s="78">
        <f>SUM(E203:E215)</f>
        <v>181</v>
      </c>
      <c r="F216" s="78">
        <f t="shared" ref="F216:H216" si="26">SUM(F203:F215)</f>
        <v>1360000</v>
      </c>
      <c r="G216" s="78">
        <f t="shared" si="26"/>
        <v>800500</v>
      </c>
      <c r="H216" s="78">
        <f t="shared" si="26"/>
        <v>559500</v>
      </c>
    </row>
    <row r="217" spans="1:8" x14ac:dyDescent="0.25">
      <c r="A217" t="s">
        <v>30</v>
      </c>
      <c r="B217" s="3">
        <v>45656</v>
      </c>
      <c r="C217" t="s">
        <v>24</v>
      </c>
      <c r="D217" t="s">
        <v>243</v>
      </c>
      <c r="E217">
        <v>50</v>
      </c>
    </row>
    <row r="218" spans="1:8" x14ac:dyDescent="0.25">
      <c r="C218" t="s">
        <v>24</v>
      </c>
      <c r="D218" t="s">
        <v>243</v>
      </c>
      <c r="E218">
        <v>6</v>
      </c>
      <c r="F218" s="79">
        <f>E218*17000</f>
        <v>102000</v>
      </c>
      <c r="G218" s="79">
        <f>E218*10000</f>
        <v>60000</v>
      </c>
      <c r="H218" s="79">
        <f>E218*7000</f>
        <v>42000</v>
      </c>
    </row>
    <row r="219" spans="1:8" x14ac:dyDescent="0.25">
      <c r="C219" t="s">
        <v>24</v>
      </c>
      <c r="D219" t="s">
        <v>21</v>
      </c>
      <c r="E219">
        <v>4</v>
      </c>
      <c r="F219" s="79">
        <f>E219*20000</f>
        <v>80000</v>
      </c>
      <c r="G219" s="79">
        <f>E219*12000</f>
        <v>48000</v>
      </c>
      <c r="H219" s="79">
        <f>E219*8000</f>
        <v>32000</v>
      </c>
    </row>
    <row r="220" spans="1:8" x14ac:dyDescent="0.25">
      <c r="C220" t="s">
        <v>907</v>
      </c>
      <c r="D220" t="s">
        <v>13</v>
      </c>
      <c r="E220">
        <v>7</v>
      </c>
      <c r="F220" s="79">
        <f>E220*8000</f>
        <v>56000</v>
      </c>
      <c r="G220" s="79">
        <f>E220*4500</f>
        <v>31500</v>
      </c>
      <c r="H220" s="79">
        <f>E220*3500</f>
        <v>24500</v>
      </c>
    </row>
    <row r="221" spans="1:8" x14ac:dyDescent="0.25">
      <c r="C221" t="s">
        <v>24</v>
      </c>
      <c r="D221" t="s">
        <v>13</v>
      </c>
      <c r="E221">
        <v>5</v>
      </c>
      <c r="F221" s="79">
        <f>E221*8000</f>
        <v>40000</v>
      </c>
      <c r="G221" s="79">
        <f>E221*4500</f>
        <v>22500</v>
      </c>
      <c r="H221" s="79">
        <f>E221*3500</f>
        <v>17500</v>
      </c>
    </row>
    <row r="222" spans="1:8" x14ac:dyDescent="0.25">
      <c r="D222" t="s">
        <v>21</v>
      </c>
      <c r="E222">
        <v>1</v>
      </c>
      <c r="F222" s="79">
        <v>18000</v>
      </c>
      <c r="G222" s="79">
        <v>10000</v>
      </c>
      <c r="H222" s="79">
        <v>8000</v>
      </c>
    </row>
    <row r="223" spans="1:8" x14ac:dyDescent="0.25">
      <c r="A223" s="112" t="s">
        <v>17</v>
      </c>
      <c r="B223" s="112"/>
      <c r="C223" s="112"/>
      <c r="D223" s="112"/>
      <c r="E223" s="78">
        <f>SUM(E217:E222)</f>
        <v>73</v>
      </c>
      <c r="F223" s="78">
        <f t="shared" ref="F223:G223" si="27">SUM(F217:F222)</f>
        <v>296000</v>
      </c>
      <c r="G223" s="78">
        <f t="shared" si="27"/>
        <v>172000</v>
      </c>
      <c r="H223" s="78">
        <f>SUM(H217:H222)</f>
        <v>124000</v>
      </c>
    </row>
    <row r="224" spans="1:8" x14ac:dyDescent="0.25">
      <c r="A224" t="s">
        <v>32</v>
      </c>
      <c r="B224" s="3">
        <v>45657</v>
      </c>
      <c r="C224" t="s">
        <v>846</v>
      </c>
      <c r="D224" t="s">
        <v>13</v>
      </c>
      <c r="E224">
        <v>7</v>
      </c>
      <c r="F224" s="79">
        <f>E224*8000</f>
        <v>56000</v>
      </c>
      <c r="G224" s="79">
        <f>E224*4500</f>
        <v>31500</v>
      </c>
      <c r="H224" s="79">
        <f>E224*3500</f>
        <v>24500</v>
      </c>
    </row>
    <row r="225" spans="1:8" x14ac:dyDescent="0.25">
      <c r="D225" t="s">
        <v>14</v>
      </c>
      <c r="E225">
        <v>4</v>
      </c>
      <c r="F225" s="79">
        <f>E225*12000</f>
        <v>48000</v>
      </c>
      <c r="G225" s="79">
        <f>E225*5500</f>
        <v>22000</v>
      </c>
      <c r="H225" s="79">
        <f>E225*6500</f>
        <v>26000</v>
      </c>
    </row>
    <row r="226" spans="1:8" x14ac:dyDescent="0.25">
      <c r="D226" t="s">
        <v>902</v>
      </c>
      <c r="E226">
        <v>5</v>
      </c>
      <c r="F226" s="79">
        <f>E226*8000</f>
        <v>40000</v>
      </c>
      <c r="G226" s="79">
        <v>20000</v>
      </c>
      <c r="H226" s="79">
        <v>20000</v>
      </c>
    </row>
    <row r="227" spans="1:8" x14ac:dyDescent="0.25">
      <c r="D227" t="s">
        <v>724</v>
      </c>
      <c r="E227">
        <v>1</v>
      </c>
      <c r="F227" s="79">
        <v>7000</v>
      </c>
      <c r="G227" s="79">
        <v>3500</v>
      </c>
      <c r="H227" s="79">
        <v>3500</v>
      </c>
    </row>
    <row r="228" spans="1:8" x14ac:dyDescent="0.25">
      <c r="C228" t="s">
        <v>24</v>
      </c>
      <c r="D228" t="s">
        <v>243</v>
      </c>
      <c r="E228">
        <v>2</v>
      </c>
      <c r="F228" s="79">
        <v>30000</v>
      </c>
      <c r="G228" s="79">
        <v>20000</v>
      </c>
      <c r="H228" s="79">
        <v>10000</v>
      </c>
    </row>
    <row r="229" spans="1:8" x14ac:dyDescent="0.25">
      <c r="A229" s="112" t="s">
        <v>17</v>
      </c>
      <c r="B229" s="112"/>
      <c r="C229" s="112"/>
      <c r="D229" s="112"/>
      <c r="E229" s="78">
        <f>SUM(E224:E228)</f>
        <v>19</v>
      </c>
      <c r="F229" s="78">
        <f t="shared" ref="F229:H229" si="28">SUM(F224:F228)</f>
        <v>181000</v>
      </c>
      <c r="G229" s="78">
        <f t="shared" si="28"/>
        <v>97000</v>
      </c>
      <c r="H229" s="78">
        <f t="shared" si="28"/>
        <v>84000</v>
      </c>
    </row>
  </sheetData>
  <autoFilter ref="A1:H183" xr:uid="{3C65247C-450F-4174-A0FC-5ACD6C7EE926}">
    <filterColumn colId="3">
      <filters>
        <filter val="STICKY MILK"/>
      </filters>
    </filterColumn>
  </autoFilter>
  <mergeCells count="30">
    <mergeCell ref="A223:D223"/>
    <mergeCell ref="A229:D229"/>
    <mergeCell ref="A62:D62"/>
    <mergeCell ref="A87:D87"/>
    <mergeCell ref="A91:D91"/>
    <mergeCell ref="A153:D153"/>
    <mergeCell ref="A159:D159"/>
    <mergeCell ref="A95:D95"/>
    <mergeCell ref="A71:D71"/>
    <mergeCell ref="A146:D146"/>
    <mergeCell ref="A83:D83"/>
    <mergeCell ref="A138:D138"/>
    <mergeCell ref="A128:D128"/>
    <mergeCell ref="A133:D133"/>
    <mergeCell ref="A118:D118"/>
    <mergeCell ref="A126:D126"/>
    <mergeCell ref="A14:D14"/>
    <mergeCell ref="A22:D22"/>
    <mergeCell ref="A36:D36"/>
    <mergeCell ref="A48:D48"/>
    <mergeCell ref="A56:D56"/>
    <mergeCell ref="A202:D202"/>
    <mergeCell ref="A216:D216"/>
    <mergeCell ref="A111:D111"/>
    <mergeCell ref="A103:D103"/>
    <mergeCell ref="A176:D176"/>
    <mergeCell ref="A182:D182"/>
    <mergeCell ref="A171:D171"/>
    <mergeCell ref="A195:D195"/>
    <mergeCell ref="A189:D18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1D25-E362-43F6-AB5B-32060E55FC10}">
  <sheetPr filterMode="1"/>
  <dimension ref="A1:K272"/>
  <sheetViews>
    <sheetView workbookViewId="0">
      <selection activeCell="E241" sqref="E241"/>
    </sheetView>
  </sheetViews>
  <sheetFormatPr defaultRowHeight="15" x14ac:dyDescent="0.25"/>
  <cols>
    <col min="2" max="2" width="10.7109375" customWidth="1"/>
    <col min="3" max="3" width="17.28515625" customWidth="1"/>
    <col min="4" max="4" width="17.85546875" customWidth="1"/>
    <col min="5" max="5" width="9.42578125" bestFit="1" customWidth="1"/>
    <col min="6" max="6" width="10.7109375" bestFit="1" customWidth="1"/>
    <col min="7" max="7" width="10.5703125" bestFit="1" customWidth="1"/>
    <col min="8" max="8" width="9.425781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26</v>
      </c>
      <c r="B2" s="3">
        <v>45689</v>
      </c>
      <c r="C2" t="s">
        <v>581</v>
      </c>
      <c r="D2" t="s">
        <v>914</v>
      </c>
      <c r="E2">
        <v>25</v>
      </c>
      <c r="F2" s="79">
        <f>E2*1600</f>
        <v>40000</v>
      </c>
      <c r="G2" s="79">
        <f>E2*500</f>
        <v>12500</v>
      </c>
      <c r="H2" s="79">
        <f>E2*1100</f>
        <v>27500</v>
      </c>
    </row>
    <row r="3" spans="1:8" hidden="1" x14ac:dyDescent="0.25">
      <c r="C3" t="s">
        <v>581</v>
      </c>
      <c r="D3" t="s">
        <v>925</v>
      </c>
      <c r="E3">
        <v>20</v>
      </c>
      <c r="F3" s="79">
        <f>E3*1600</f>
        <v>32000</v>
      </c>
      <c r="G3" s="79">
        <f>E3*500</f>
        <v>10000</v>
      </c>
      <c r="H3" s="79">
        <f>E3*1100</f>
        <v>22000</v>
      </c>
    </row>
    <row r="4" spans="1:8" hidden="1" x14ac:dyDescent="0.25">
      <c r="C4" t="s">
        <v>846</v>
      </c>
      <c r="D4" t="s">
        <v>13</v>
      </c>
      <c r="E4">
        <v>4</v>
      </c>
      <c r="F4" s="79">
        <f>E4*8000</f>
        <v>32000</v>
      </c>
      <c r="G4" s="79">
        <f>E4*4500</f>
        <v>18000</v>
      </c>
      <c r="H4" s="79">
        <f>E4*3500</f>
        <v>14000</v>
      </c>
    </row>
    <row r="5" spans="1:8" hidden="1" x14ac:dyDescent="0.25">
      <c r="C5" t="s">
        <v>846</v>
      </c>
      <c r="D5" t="s">
        <v>14</v>
      </c>
      <c r="E5">
        <v>1</v>
      </c>
      <c r="F5" s="79">
        <v>12000</v>
      </c>
      <c r="G5" s="79">
        <v>5500</v>
      </c>
      <c r="H5" s="79">
        <v>6500</v>
      </c>
    </row>
    <row r="6" spans="1:8" hidden="1" x14ac:dyDescent="0.25">
      <c r="D6" t="s">
        <v>11</v>
      </c>
      <c r="E6">
        <v>5</v>
      </c>
      <c r="F6" s="79">
        <f>E6*3000</f>
        <v>15000</v>
      </c>
      <c r="G6" s="79">
        <f>E6*500</f>
        <v>2500</v>
      </c>
      <c r="H6" s="79">
        <f>E6*2500</f>
        <v>12500</v>
      </c>
    </row>
    <row r="7" spans="1:8" hidden="1" x14ac:dyDescent="0.25">
      <c r="D7" t="s">
        <v>918</v>
      </c>
      <c r="E7">
        <v>2</v>
      </c>
      <c r="F7" s="79">
        <f>E7*15000</f>
        <v>30000</v>
      </c>
      <c r="G7" s="79">
        <f>E7*12000</f>
        <v>24000</v>
      </c>
      <c r="H7" s="79">
        <f>E7*3000</f>
        <v>6000</v>
      </c>
    </row>
    <row r="8" spans="1:8" hidden="1" x14ac:dyDescent="0.25">
      <c r="D8" t="s">
        <v>243</v>
      </c>
      <c r="E8">
        <v>2</v>
      </c>
      <c r="F8" s="79">
        <f>E8*15000</f>
        <v>30000</v>
      </c>
      <c r="G8" s="79">
        <v>20000</v>
      </c>
      <c r="H8" s="79">
        <v>10000</v>
      </c>
    </row>
    <row r="9" spans="1:8" hidden="1" x14ac:dyDescent="0.25">
      <c r="D9" t="s">
        <v>919</v>
      </c>
      <c r="E9">
        <v>1</v>
      </c>
      <c r="F9" s="79">
        <v>12000</v>
      </c>
      <c r="G9" s="79">
        <v>5500</v>
      </c>
      <c r="H9" s="79">
        <v>6500</v>
      </c>
    </row>
    <row r="10" spans="1:8" hidden="1" x14ac:dyDescent="0.25">
      <c r="D10" t="s">
        <v>902</v>
      </c>
      <c r="E10">
        <v>1</v>
      </c>
      <c r="F10" s="79">
        <v>8000</v>
      </c>
      <c r="G10" s="79">
        <v>5500</v>
      </c>
      <c r="H10" s="79">
        <v>2500</v>
      </c>
    </row>
    <row r="11" spans="1:8" hidden="1" x14ac:dyDescent="0.25">
      <c r="C11" t="s">
        <v>24</v>
      </c>
      <c r="D11" t="s">
        <v>243</v>
      </c>
      <c r="E11">
        <v>4</v>
      </c>
      <c r="F11" s="79">
        <f>E11*15000</f>
        <v>60000</v>
      </c>
      <c r="G11" s="79">
        <f>E11*10000</f>
        <v>40000</v>
      </c>
      <c r="H11" s="79">
        <f>E11*5000</f>
        <v>20000</v>
      </c>
    </row>
    <row r="12" spans="1:8" hidden="1" x14ac:dyDescent="0.25">
      <c r="A12" s="112" t="s">
        <v>17</v>
      </c>
      <c r="B12" s="112"/>
      <c r="C12" s="112"/>
      <c r="D12" s="112"/>
      <c r="E12" s="78">
        <f>SUM(E2:E8)</f>
        <v>59</v>
      </c>
      <c r="F12" s="78">
        <f t="shared" ref="F12:H12" si="0">SUM(F2:F8)</f>
        <v>191000</v>
      </c>
      <c r="G12" s="78">
        <f t="shared" si="0"/>
        <v>92500</v>
      </c>
      <c r="H12" s="78">
        <f t="shared" si="0"/>
        <v>98500</v>
      </c>
    </row>
    <row r="13" spans="1:8" hidden="1" x14ac:dyDescent="0.25">
      <c r="A13" t="s">
        <v>28</v>
      </c>
      <c r="B13" s="3">
        <v>45690</v>
      </c>
      <c r="C13" t="s">
        <v>693</v>
      </c>
      <c r="D13" t="s">
        <v>11</v>
      </c>
      <c r="E13">
        <v>12</v>
      </c>
      <c r="F13" s="79">
        <f>E13*2000</f>
        <v>24000</v>
      </c>
      <c r="G13" s="79">
        <f>E13*500</f>
        <v>6000</v>
      </c>
      <c r="H13" s="79">
        <f>E13*1500</f>
        <v>18000</v>
      </c>
    </row>
    <row r="14" spans="1:8" hidden="1" x14ac:dyDescent="0.25">
      <c r="D14" t="s">
        <v>13</v>
      </c>
      <c r="E14">
        <v>42</v>
      </c>
      <c r="F14" s="79">
        <f>E14*7000</f>
        <v>294000</v>
      </c>
      <c r="G14" s="79">
        <f>E14*4500</f>
        <v>189000</v>
      </c>
      <c r="H14" s="79">
        <f>E14*2500</f>
        <v>105000</v>
      </c>
    </row>
    <row r="15" spans="1:8" hidden="1" x14ac:dyDescent="0.25">
      <c r="D15" t="s">
        <v>14</v>
      </c>
      <c r="E15">
        <v>27</v>
      </c>
      <c r="F15" s="79">
        <f>E15*10000</f>
        <v>270000</v>
      </c>
      <c r="G15" s="79">
        <f>E15*5500</f>
        <v>148500</v>
      </c>
      <c r="H15" s="79">
        <f>E15*4500</f>
        <v>121500</v>
      </c>
    </row>
    <row r="16" spans="1:8" hidden="1" x14ac:dyDescent="0.25">
      <c r="D16" t="s">
        <v>243</v>
      </c>
      <c r="E16">
        <v>2</v>
      </c>
      <c r="F16" s="79">
        <v>30000</v>
      </c>
      <c r="G16" s="79">
        <f>E16*10000</f>
        <v>20000</v>
      </c>
      <c r="H16" s="79">
        <v>10000</v>
      </c>
    </row>
    <row r="17" spans="1:8" hidden="1" x14ac:dyDescent="0.25">
      <c r="C17" t="s">
        <v>217</v>
      </c>
      <c r="D17" t="s">
        <v>11</v>
      </c>
      <c r="E17">
        <v>25</v>
      </c>
      <c r="F17" s="79">
        <f>E17*1500</f>
        <v>37500</v>
      </c>
      <c r="G17" s="79">
        <f>E17*500</f>
        <v>12500</v>
      </c>
      <c r="H17" s="79">
        <f>E17*1000</f>
        <v>25000</v>
      </c>
    </row>
    <row r="18" spans="1:8" hidden="1" x14ac:dyDescent="0.25">
      <c r="D18" t="s">
        <v>13</v>
      </c>
      <c r="E18">
        <v>17</v>
      </c>
      <c r="F18" s="79">
        <f>E18*6500</f>
        <v>110500</v>
      </c>
      <c r="G18" s="79">
        <f>E18*4500</f>
        <v>76500</v>
      </c>
      <c r="H18" s="79">
        <f>E18*2000</f>
        <v>34000</v>
      </c>
    </row>
    <row r="19" spans="1:8" hidden="1" x14ac:dyDescent="0.25">
      <c r="D19" t="s">
        <v>14</v>
      </c>
      <c r="E19">
        <v>12</v>
      </c>
      <c r="F19" s="79">
        <f>E19*10000</f>
        <v>120000</v>
      </c>
      <c r="G19" s="79">
        <f>E19*5500</f>
        <v>66000</v>
      </c>
      <c r="H19" s="79">
        <f>E19*4500</f>
        <v>54000</v>
      </c>
    </row>
    <row r="20" spans="1:8" hidden="1" x14ac:dyDescent="0.25">
      <c r="C20" t="s">
        <v>20</v>
      </c>
      <c r="D20" t="s">
        <v>902</v>
      </c>
      <c r="E20">
        <v>3</v>
      </c>
      <c r="F20" s="79">
        <f>E20*8000</f>
        <v>24000</v>
      </c>
      <c r="G20" s="79">
        <f>E20*5500</f>
        <v>16500</v>
      </c>
      <c r="H20" s="79">
        <f>E20*2500</f>
        <v>7500</v>
      </c>
    </row>
    <row r="21" spans="1:8" hidden="1" x14ac:dyDescent="0.25">
      <c r="D21" t="s">
        <v>13</v>
      </c>
      <c r="E21">
        <v>1</v>
      </c>
      <c r="F21" s="79">
        <v>8000</v>
      </c>
      <c r="G21" s="79">
        <v>4500</v>
      </c>
      <c r="H21" s="79">
        <v>3500</v>
      </c>
    </row>
    <row r="22" spans="1:8" hidden="1" x14ac:dyDescent="0.25">
      <c r="D22" t="s">
        <v>14</v>
      </c>
      <c r="E22">
        <v>1</v>
      </c>
      <c r="F22" s="79">
        <v>12000</v>
      </c>
      <c r="G22" s="79">
        <v>5500</v>
      </c>
      <c r="H22" s="79">
        <v>6500</v>
      </c>
    </row>
    <row r="23" spans="1:8" hidden="1" x14ac:dyDescent="0.25">
      <c r="C23" t="s">
        <v>913</v>
      </c>
      <c r="D23" t="s">
        <v>243</v>
      </c>
      <c r="E23">
        <v>30</v>
      </c>
      <c r="F23" s="79">
        <f>E23*11000</f>
        <v>330000</v>
      </c>
      <c r="G23" s="79">
        <f>E23*8500</f>
        <v>255000</v>
      </c>
      <c r="H23" s="79">
        <f>E23*2500</f>
        <v>75000</v>
      </c>
    </row>
    <row r="24" spans="1:8" hidden="1" x14ac:dyDescent="0.25">
      <c r="A24" s="112" t="s">
        <v>17</v>
      </c>
      <c r="B24" s="112"/>
      <c r="C24" s="112"/>
      <c r="D24" s="112"/>
      <c r="E24" s="78">
        <f>SUM(E13:E23)</f>
        <v>172</v>
      </c>
      <c r="F24" s="78">
        <f t="shared" ref="F24:H24" si="1">SUM(F13:F23)</f>
        <v>1260000</v>
      </c>
      <c r="G24" s="78">
        <f t="shared" si="1"/>
        <v>800000</v>
      </c>
      <c r="H24" s="78">
        <f t="shared" si="1"/>
        <v>460000</v>
      </c>
    </row>
    <row r="25" spans="1:8" hidden="1" x14ac:dyDescent="0.25">
      <c r="A25" t="s">
        <v>30</v>
      </c>
      <c r="B25" s="3">
        <v>45691</v>
      </c>
      <c r="C25" t="s">
        <v>581</v>
      </c>
      <c r="D25" t="s">
        <v>914</v>
      </c>
      <c r="E25">
        <v>30</v>
      </c>
      <c r="F25" s="79">
        <f>E25*1600</f>
        <v>48000</v>
      </c>
      <c r="G25" s="79">
        <f>E25*500</f>
        <v>15000</v>
      </c>
      <c r="H25" s="79">
        <f>E25*1100</f>
        <v>33000</v>
      </c>
    </row>
    <row r="26" spans="1:8" hidden="1" x14ac:dyDescent="0.25">
      <c r="D26" t="s">
        <v>925</v>
      </c>
      <c r="E26">
        <v>18</v>
      </c>
      <c r="F26" s="79">
        <f>E26*1600</f>
        <v>28800</v>
      </c>
      <c r="G26" s="79">
        <f>E26*500</f>
        <v>9000</v>
      </c>
      <c r="H26" s="79">
        <f>E26*1100</f>
        <v>19800</v>
      </c>
    </row>
    <row r="27" spans="1:8" hidden="1" x14ac:dyDescent="0.25">
      <c r="C27" t="s">
        <v>338</v>
      </c>
      <c r="D27" t="s">
        <v>925</v>
      </c>
      <c r="E27">
        <v>49</v>
      </c>
      <c r="F27" s="79">
        <f>E27*1500</f>
        <v>73500</v>
      </c>
      <c r="G27" s="79">
        <f>E27*500</f>
        <v>24500</v>
      </c>
      <c r="H27" s="79">
        <f>E27*1000</f>
        <v>49000</v>
      </c>
    </row>
    <row r="28" spans="1:8" hidden="1" x14ac:dyDescent="0.25">
      <c r="C28" t="s">
        <v>571</v>
      </c>
      <c r="D28" t="s">
        <v>11</v>
      </c>
      <c r="E28">
        <v>20</v>
      </c>
      <c r="F28" s="79">
        <f>E28*1700</f>
        <v>34000</v>
      </c>
      <c r="G28" s="79">
        <f>E28*500</f>
        <v>10000</v>
      </c>
      <c r="H28" s="79">
        <f>E28*1200</f>
        <v>24000</v>
      </c>
    </row>
    <row r="29" spans="1:8" hidden="1" x14ac:dyDescent="0.25">
      <c r="C29" t="s">
        <v>846</v>
      </c>
      <c r="D29" t="s">
        <v>13</v>
      </c>
      <c r="E29">
        <v>2</v>
      </c>
      <c r="F29" s="79">
        <f>E29*8000</f>
        <v>16000</v>
      </c>
      <c r="G29" s="79">
        <f>E29*4500</f>
        <v>9000</v>
      </c>
      <c r="H29" s="79">
        <f>E29*3500</f>
        <v>7000</v>
      </c>
    </row>
    <row r="30" spans="1:8" hidden="1" x14ac:dyDescent="0.25">
      <c r="D30" t="s">
        <v>14</v>
      </c>
      <c r="E30">
        <v>3</v>
      </c>
      <c r="F30" s="79">
        <f>E30*12000</f>
        <v>36000</v>
      </c>
      <c r="G30" s="79">
        <f>E30*5500</f>
        <v>16500</v>
      </c>
      <c r="H30" s="79">
        <f>E30*4500</f>
        <v>13500</v>
      </c>
    </row>
    <row r="31" spans="1:8" hidden="1" x14ac:dyDescent="0.25">
      <c r="D31" t="s">
        <v>902</v>
      </c>
      <c r="E31">
        <v>8</v>
      </c>
      <c r="F31" s="79">
        <f>E31*8000</f>
        <v>64000</v>
      </c>
      <c r="G31" s="79">
        <f>E31*5500</f>
        <v>44000</v>
      </c>
      <c r="H31" s="79">
        <f>E31*2500</f>
        <v>20000</v>
      </c>
    </row>
    <row r="32" spans="1:8" hidden="1" x14ac:dyDescent="0.25">
      <c r="D32" t="s">
        <v>919</v>
      </c>
      <c r="E32">
        <v>1</v>
      </c>
      <c r="F32" s="79">
        <v>12000</v>
      </c>
      <c r="G32" s="79">
        <v>6500</v>
      </c>
      <c r="H32" s="79">
        <v>5500</v>
      </c>
    </row>
    <row r="33" spans="1:8" hidden="1" x14ac:dyDescent="0.25">
      <c r="D33" t="s">
        <v>918</v>
      </c>
      <c r="E33">
        <v>1</v>
      </c>
      <c r="F33" s="79">
        <v>15000</v>
      </c>
      <c r="G33" s="79">
        <v>12000</v>
      </c>
      <c r="H33" s="79">
        <v>3000</v>
      </c>
    </row>
    <row r="34" spans="1:8" hidden="1" x14ac:dyDescent="0.25">
      <c r="C34" t="s">
        <v>913</v>
      </c>
      <c r="D34" t="s">
        <v>243</v>
      </c>
      <c r="E34">
        <v>60</v>
      </c>
      <c r="F34" s="79">
        <f>E34*11000</f>
        <v>660000</v>
      </c>
      <c r="G34" s="79">
        <f>E34*8500</f>
        <v>510000</v>
      </c>
      <c r="H34" s="79">
        <f>E34*2500</f>
        <v>150000</v>
      </c>
    </row>
    <row r="35" spans="1:8" hidden="1" x14ac:dyDescent="0.25">
      <c r="A35" s="112" t="s">
        <v>17</v>
      </c>
      <c r="B35" s="112"/>
      <c r="C35" s="112"/>
      <c r="D35" s="112"/>
      <c r="E35" s="78">
        <f>SUM(E25:E34)</f>
        <v>192</v>
      </c>
      <c r="F35" s="78">
        <f t="shared" ref="F35:H35" si="2">SUM(F25:F34)</f>
        <v>987300</v>
      </c>
      <c r="G35" s="78">
        <f t="shared" si="2"/>
        <v>656500</v>
      </c>
      <c r="H35" s="78">
        <f t="shared" si="2"/>
        <v>324800</v>
      </c>
    </row>
    <row r="36" spans="1:8" hidden="1" x14ac:dyDescent="0.25">
      <c r="A36" t="s">
        <v>32</v>
      </c>
      <c r="B36" s="3">
        <v>45692</v>
      </c>
      <c r="C36" t="s">
        <v>338</v>
      </c>
      <c r="D36" t="s">
        <v>925</v>
      </c>
      <c r="E36">
        <v>47</v>
      </c>
      <c r="F36">
        <f>E36*1500</f>
        <v>70500</v>
      </c>
      <c r="G36">
        <f>E36*500</f>
        <v>23500</v>
      </c>
      <c r="H36">
        <f>E36*1000</f>
        <v>47000</v>
      </c>
    </row>
    <row r="37" spans="1:8" hidden="1" x14ac:dyDescent="0.25">
      <c r="C37" t="s">
        <v>581</v>
      </c>
      <c r="D37" t="s">
        <v>914</v>
      </c>
      <c r="E37">
        <v>35</v>
      </c>
      <c r="F37">
        <f>E37*1600</f>
        <v>56000</v>
      </c>
      <c r="G37">
        <f>E37*500</f>
        <v>17500</v>
      </c>
      <c r="H37">
        <f>E37*1100</f>
        <v>38500</v>
      </c>
    </row>
    <row r="38" spans="1:8" hidden="1" x14ac:dyDescent="0.25">
      <c r="D38" t="s">
        <v>925</v>
      </c>
      <c r="E38">
        <v>18</v>
      </c>
      <c r="F38">
        <f>E38*1500</f>
        <v>27000</v>
      </c>
      <c r="G38">
        <f>E38*500</f>
        <v>9000</v>
      </c>
      <c r="H38">
        <f>E38*1000</f>
        <v>18000</v>
      </c>
    </row>
    <row r="39" spans="1:8" hidden="1" x14ac:dyDescent="0.25">
      <c r="D39" t="s">
        <v>11</v>
      </c>
      <c r="E39">
        <v>19</v>
      </c>
      <c r="F39">
        <f>E39*1500</f>
        <v>28500</v>
      </c>
      <c r="G39">
        <f>E39*500</f>
        <v>9500</v>
      </c>
      <c r="H39">
        <f>E39*1000</f>
        <v>19000</v>
      </c>
    </row>
    <row r="40" spans="1:8" hidden="1" x14ac:dyDescent="0.25">
      <c r="C40" t="s">
        <v>846</v>
      </c>
      <c r="D40" t="s">
        <v>902</v>
      </c>
      <c r="E40">
        <v>5</v>
      </c>
      <c r="F40">
        <f>E40*8000</f>
        <v>40000</v>
      </c>
      <c r="G40">
        <f>E40*5500</f>
        <v>27500</v>
      </c>
      <c r="H40">
        <f>E40*2500</f>
        <v>12500</v>
      </c>
    </row>
    <row r="41" spans="1:8" hidden="1" x14ac:dyDescent="0.25">
      <c r="D41" t="s">
        <v>918</v>
      </c>
      <c r="E41">
        <v>2</v>
      </c>
      <c r="F41">
        <v>30000</v>
      </c>
      <c r="G41">
        <f>E41*12000</f>
        <v>24000</v>
      </c>
      <c r="H41">
        <v>6000</v>
      </c>
    </row>
    <row r="42" spans="1:8" hidden="1" x14ac:dyDescent="0.25">
      <c r="A42" s="112" t="s">
        <v>17</v>
      </c>
      <c r="B42" s="112"/>
      <c r="C42" s="112"/>
      <c r="D42" s="112"/>
      <c r="E42" s="78">
        <f>SUM(E36:E41)</f>
        <v>126</v>
      </c>
      <c r="F42" s="78">
        <f t="shared" ref="F42:H42" si="3">SUM(F36:F41)</f>
        <v>252000</v>
      </c>
      <c r="G42" s="78">
        <f t="shared" si="3"/>
        <v>111000</v>
      </c>
      <c r="H42" s="78">
        <f t="shared" si="3"/>
        <v>141000</v>
      </c>
    </row>
    <row r="43" spans="1:8" hidden="1" x14ac:dyDescent="0.25">
      <c r="A43" t="s">
        <v>8</v>
      </c>
      <c r="B43" s="3">
        <v>45693</v>
      </c>
      <c r="C43" t="s">
        <v>338</v>
      </c>
      <c r="D43" t="s">
        <v>925</v>
      </c>
      <c r="E43">
        <v>50</v>
      </c>
      <c r="F43">
        <f>E43*1500</f>
        <v>75000</v>
      </c>
      <c r="G43">
        <f>E43*500</f>
        <v>25000</v>
      </c>
      <c r="H43">
        <v>5000</v>
      </c>
    </row>
    <row r="44" spans="1:8" hidden="1" x14ac:dyDescent="0.25">
      <c r="C44" t="s">
        <v>581</v>
      </c>
      <c r="D44" t="s">
        <v>914</v>
      </c>
      <c r="E44">
        <v>35</v>
      </c>
      <c r="F44">
        <f>E44*1600</f>
        <v>56000</v>
      </c>
      <c r="G44">
        <f>E44*500</f>
        <v>17500</v>
      </c>
      <c r="H44">
        <v>25000</v>
      </c>
    </row>
    <row r="45" spans="1:8" hidden="1" x14ac:dyDescent="0.25">
      <c r="D45" t="s">
        <v>925</v>
      </c>
      <c r="E45">
        <v>18</v>
      </c>
      <c r="F45">
        <f>E45*1600</f>
        <v>28800</v>
      </c>
      <c r="G45">
        <f>E45*500</f>
        <v>9000</v>
      </c>
      <c r="H45">
        <v>25000</v>
      </c>
    </row>
    <row r="46" spans="1:8" hidden="1" x14ac:dyDescent="0.25">
      <c r="C46" t="s">
        <v>478</v>
      </c>
      <c r="D46" t="s">
        <v>11</v>
      </c>
      <c r="E46">
        <v>20</v>
      </c>
      <c r="F46">
        <f>E46*1700</f>
        <v>34000</v>
      </c>
      <c r="G46">
        <f>E46*500</f>
        <v>10000</v>
      </c>
      <c r="H46">
        <f>E46*1200</f>
        <v>24000</v>
      </c>
    </row>
    <row r="47" spans="1:8" hidden="1" x14ac:dyDescent="0.25">
      <c r="C47" t="s">
        <v>846</v>
      </c>
      <c r="D47" t="s">
        <v>13</v>
      </c>
      <c r="E47">
        <v>3</v>
      </c>
      <c r="F47">
        <f>E47*8000</f>
        <v>24000</v>
      </c>
      <c r="G47">
        <f>E47*4500</f>
        <v>13500</v>
      </c>
      <c r="H47">
        <f>E47*3500</f>
        <v>10500</v>
      </c>
    </row>
    <row r="48" spans="1:8" hidden="1" x14ac:dyDescent="0.25">
      <c r="D48" t="s">
        <v>439</v>
      </c>
      <c r="E48">
        <v>1</v>
      </c>
      <c r="F48">
        <v>5000</v>
      </c>
      <c r="G48">
        <v>2500</v>
      </c>
      <c r="H48">
        <v>2500</v>
      </c>
    </row>
    <row r="49" spans="1:11" hidden="1" x14ac:dyDescent="0.25">
      <c r="D49" t="s">
        <v>902</v>
      </c>
      <c r="E49">
        <v>8</v>
      </c>
      <c r="F49">
        <f>E49*8000</f>
        <v>64000</v>
      </c>
      <c r="G49">
        <f>E49*5500</f>
        <v>44000</v>
      </c>
      <c r="H49">
        <f>E49*2500</f>
        <v>20000</v>
      </c>
    </row>
    <row r="50" spans="1:11" hidden="1" x14ac:dyDescent="0.25">
      <c r="D50" t="s">
        <v>919</v>
      </c>
      <c r="E50">
        <v>1</v>
      </c>
      <c r="F50">
        <v>12000</v>
      </c>
      <c r="G50">
        <v>6500</v>
      </c>
      <c r="H50">
        <v>5500</v>
      </c>
    </row>
    <row r="51" spans="1:11" hidden="1" x14ac:dyDescent="0.25">
      <c r="D51" t="s">
        <v>918</v>
      </c>
      <c r="E51">
        <v>1</v>
      </c>
      <c r="F51">
        <v>15000</v>
      </c>
      <c r="G51">
        <v>12000</v>
      </c>
      <c r="H51">
        <v>3000</v>
      </c>
    </row>
    <row r="52" spans="1:11" hidden="1" x14ac:dyDescent="0.25">
      <c r="C52" t="s">
        <v>24</v>
      </c>
      <c r="D52" t="s">
        <v>243</v>
      </c>
      <c r="E52">
        <v>10</v>
      </c>
      <c r="F52">
        <v>130000</v>
      </c>
      <c r="G52">
        <v>100000</v>
      </c>
      <c r="H52">
        <v>30000</v>
      </c>
    </row>
    <row r="53" spans="1:11" hidden="1" x14ac:dyDescent="0.25">
      <c r="A53" s="112" t="s">
        <v>17</v>
      </c>
      <c r="B53" s="112"/>
      <c r="C53" s="112"/>
      <c r="D53" s="112"/>
      <c r="E53" s="78">
        <f>SUM(E43:E52)</f>
        <v>147</v>
      </c>
      <c r="F53" s="78">
        <f t="shared" ref="F53:H53" si="4">SUM(F43:F52)</f>
        <v>443800</v>
      </c>
      <c r="G53" s="78">
        <f t="shared" si="4"/>
        <v>240000</v>
      </c>
      <c r="H53" s="78">
        <f t="shared" si="4"/>
        <v>150500</v>
      </c>
    </row>
    <row r="54" spans="1:11" hidden="1" x14ac:dyDescent="0.25">
      <c r="A54" t="s">
        <v>18</v>
      </c>
      <c r="B54" s="3">
        <v>45418</v>
      </c>
      <c r="C54" t="s">
        <v>338</v>
      </c>
      <c r="D54" t="s">
        <v>925</v>
      </c>
      <c r="E54">
        <v>50</v>
      </c>
      <c r="F54" s="79">
        <f>E54*1500</f>
        <v>75000</v>
      </c>
      <c r="G54" s="79">
        <f>E54*500</f>
        <v>25000</v>
      </c>
      <c r="H54" s="79">
        <f>E54*1000</f>
        <v>50000</v>
      </c>
    </row>
    <row r="55" spans="1:11" hidden="1" x14ac:dyDescent="0.25">
      <c r="C55" t="s">
        <v>581</v>
      </c>
      <c r="D55" t="s">
        <v>914</v>
      </c>
      <c r="E55">
        <v>35</v>
      </c>
      <c r="F55" s="79">
        <f>E55*1600</f>
        <v>56000</v>
      </c>
      <c r="G55" s="79">
        <f>E55*500</f>
        <v>17500</v>
      </c>
      <c r="H55" s="79">
        <f>E55*1100</f>
        <v>38500</v>
      </c>
      <c r="K55">
        <f>25+E25+E37+E44+E55+E72+E93+E104+E114+E129+E139+E155+E177+E186+E204+E216+E226+E248+E252</f>
        <v>648</v>
      </c>
    </row>
    <row r="56" spans="1:11" hidden="1" x14ac:dyDescent="0.25">
      <c r="D56" t="s">
        <v>925</v>
      </c>
      <c r="E56">
        <v>10</v>
      </c>
      <c r="F56" s="79">
        <f>E56*1600</f>
        <v>16000</v>
      </c>
      <c r="G56" s="79">
        <f>E56*500</f>
        <v>5000</v>
      </c>
      <c r="H56" s="79">
        <f>E56*1100</f>
        <v>11000</v>
      </c>
    </row>
    <row r="57" spans="1:11" hidden="1" x14ac:dyDescent="0.25">
      <c r="C57" t="s">
        <v>928</v>
      </c>
      <c r="D57" t="s">
        <v>925</v>
      </c>
      <c r="E57">
        <v>37</v>
      </c>
      <c r="F57" s="79">
        <f>E57*1500</f>
        <v>55500</v>
      </c>
      <c r="G57" s="79">
        <f>E57*500</f>
        <v>18500</v>
      </c>
      <c r="H57" s="79">
        <f>E57*1000</f>
        <v>37000</v>
      </c>
    </row>
    <row r="58" spans="1:11" hidden="1" x14ac:dyDescent="0.25">
      <c r="C58" t="s">
        <v>846</v>
      </c>
      <c r="D58" t="s">
        <v>14</v>
      </c>
      <c r="E58">
        <v>1</v>
      </c>
      <c r="F58" s="79">
        <v>12000</v>
      </c>
      <c r="G58" s="79">
        <v>5500</v>
      </c>
      <c r="H58" s="79">
        <v>6500</v>
      </c>
    </row>
    <row r="59" spans="1:11" hidden="1" x14ac:dyDescent="0.25">
      <c r="D59" t="s">
        <v>902</v>
      </c>
      <c r="E59">
        <v>3</v>
      </c>
      <c r="F59" s="79">
        <f>E59*8000</f>
        <v>24000</v>
      </c>
      <c r="G59" s="79">
        <f>E59*5500</f>
        <v>16500</v>
      </c>
      <c r="H59" s="79">
        <f>E59*2500</f>
        <v>7500</v>
      </c>
    </row>
    <row r="60" spans="1:11" hidden="1" x14ac:dyDescent="0.25">
      <c r="D60" t="s">
        <v>919</v>
      </c>
      <c r="E60">
        <v>1</v>
      </c>
      <c r="F60" s="79">
        <v>12000</v>
      </c>
      <c r="G60" s="79">
        <v>6500</v>
      </c>
      <c r="H60" s="79">
        <v>5500</v>
      </c>
    </row>
    <row r="61" spans="1:11" hidden="1" x14ac:dyDescent="0.25">
      <c r="A61" s="112" t="s">
        <v>17</v>
      </c>
      <c r="B61" s="112"/>
      <c r="C61" s="112"/>
      <c r="D61" s="112"/>
      <c r="E61" s="78">
        <f>SUM(E54:E60)</f>
        <v>137</v>
      </c>
      <c r="F61" s="78">
        <f t="shared" ref="F61:H61" si="5">SUM(F54:F60)</f>
        <v>250500</v>
      </c>
      <c r="G61" s="78">
        <f t="shared" si="5"/>
        <v>94500</v>
      </c>
      <c r="H61" s="78">
        <f t="shared" si="5"/>
        <v>156000</v>
      </c>
    </row>
    <row r="62" spans="1:11" hidden="1" x14ac:dyDescent="0.25">
      <c r="A62" t="s">
        <v>22</v>
      </c>
      <c r="B62" s="3">
        <v>45695</v>
      </c>
      <c r="C62" t="s">
        <v>338</v>
      </c>
      <c r="D62" t="s">
        <v>925</v>
      </c>
      <c r="E62">
        <v>50</v>
      </c>
      <c r="F62" s="79">
        <f>E62*1500</f>
        <v>75000</v>
      </c>
      <c r="G62" s="79">
        <f>E62*500</f>
        <v>25000</v>
      </c>
      <c r="H62" s="79">
        <f>E62*1000</f>
        <v>50000</v>
      </c>
    </row>
    <row r="63" spans="1:11" hidden="1" x14ac:dyDescent="0.25">
      <c r="C63" t="s">
        <v>929</v>
      </c>
      <c r="D63" t="s">
        <v>925</v>
      </c>
      <c r="E63">
        <v>37</v>
      </c>
      <c r="F63" s="79">
        <f>E63*1500</f>
        <v>55500</v>
      </c>
      <c r="G63" s="79">
        <f>E63*500</f>
        <v>18500</v>
      </c>
      <c r="H63" s="79">
        <v>37000</v>
      </c>
    </row>
    <row r="64" spans="1:11" hidden="1" x14ac:dyDescent="0.25">
      <c r="C64" t="s">
        <v>846</v>
      </c>
      <c r="D64" t="s">
        <v>13</v>
      </c>
      <c r="E64">
        <v>4</v>
      </c>
      <c r="F64" s="79">
        <f>E64*8000</f>
        <v>32000</v>
      </c>
      <c r="G64" s="79">
        <f>E64*4500</f>
        <v>18000</v>
      </c>
      <c r="H64" s="79">
        <f>E64*3500</f>
        <v>14000</v>
      </c>
      <c r="K64">
        <f>E4+E14+E18+E21+E29+E47+E64+E75+E80+E84+E86+E107+E120+E134+E147+E167+E171+E209+E219+E222+E223+E230+E234+E237+E243+E255+E268</f>
        <v>356</v>
      </c>
    </row>
    <row r="65" spans="1:11" hidden="1" x14ac:dyDescent="0.25">
      <c r="D65" t="s">
        <v>14</v>
      </c>
      <c r="E65">
        <v>3</v>
      </c>
      <c r="F65" s="79">
        <f>E65*12000</f>
        <v>36000</v>
      </c>
      <c r="G65" s="79">
        <f>E65*5500</f>
        <v>16500</v>
      </c>
      <c r="H65" s="79">
        <f>E65*6500</f>
        <v>19500</v>
      </c>
    </row>
    <row r="66" spans="1:11" hidden="1" x14ac:dyDescent="0.25">
      <c r="D66" t="s">
        <v>918</v>
      </c>
      <c r="E66">
        <v>1</v>
      </c>
      <c r="F66" s="79">
        <v>15000</v>
      </c>
      <c r="G66" s="79">
        <v>12000</v>
      </c>
      <c r="H66" s="79">
        <v>3000</v>
      </c>
    </row>
    <row r="67" spans="1:11" hidden="1" x14ac:dyDescent="0.25">
      <c r="D67" t="s">
        <v>919</v>
      </c>
      <c r="E67">
        <v>1</v>
      </c>
      <c r="F67" s="79">
        <v>12000</v>
      </c>
      <c r="G67" s="79">
        <v>6500</v>
      </c>
      <c r="H67" s="79">
        <v>5500</v>
      </c>
    </row>
    <row r="68" spans="1:11" hidden="1" x14ac:dyDescent="0.25">
      <c r="D68" t="s">
        <v>930</v>
      </c>
      <c r="E68">
        <v>1</v>
      </c>
      <c r="F68" s="79">
        <v>5000</v>
      </c>
      <c r="G68" s="79">
        <v>2500</v>
      </c>
      <c r="H68" s="79">
        <v>2500</v>
      </c>
    </row>
    <row r="69" spans="1:11" hidden="1" x14ac:dyDescent="0.25">
      <c r="D69" t="s">
        <v>931</v>
      </c>
      <c r="E69">
        <v>2</v>
      </c>
      <c r="F69" s="79">
        <v>20000</v>
      </c>
      <c r="G69" s="79">
        <v>10000</v>
      </c>
      <c r="H69" s="79">
        <v>10000</v>
      </c>
    </row>
    <row r="70" spans="1:11" hidden="1" x14ac:dyDescent="0.25">
      <c r="C70" t="s">
        <v>913</v>
      </c>
      <c r="D70" t="s">
        <v>434</v>
      </c>
      <c r="E70">
        <v>60</v>
      </c>
      <c r="F70" s="79">
        <f>E70*11000</f>
        <v>660000</v>
      </c>
      <c r="G70" s="79">
        <f>E70*8500</f>
        <v>510000</v>
      </c>
      <c r="H70" s="79">
        <f>E70*2500</f>
        <v>150000</v>
      </c>
    </row>
    <row r="71" spans="1:11" hidden="1" x14ac:dyDescent="0.25">
      <c r="A71" s="112" t="s">
        <v>17</v>
      </c>
      <c r="B71" s="112"/>
      <c r="C71" s="112"/>
      <c r="D71" s="112"/>
      <c r="E71" s="78">
        <f>SUM(E62:E70)</f>
        <v>159</v>
      </c>
      <c r="F71" s="78">
        <f t="shared" ref="F71:H71" si="6">SUM(F62:F70)</f>
        <v>910500</v>
      </c>
      <c r="G71" s="78">
        <f t="shared" si="6"/>
        <v>619000</v>
      </c>
      <c r="H71" s="78">
        <f t="shared" si="6"/>
        <v>291500</v>
      </c>
    </row>
    <row r="72" spans="1:11" hidden="1" x14ac:dyDescent="0.25">
      <c r="A72" t="s">
        <v>26</v>
      </c>
      <c r="B72" s="3">
        <v>45696</v>
      </c>
      <c r="C72" t="s">
        <v>581</v>
      </c>
      <c r="D72" t="s">
        <v>914</v>
      </c>
      <c r="E72">
        <v>34</v>
      </c>
      <c r="F72" s="79">
        <f>E72*1600</f>
        <v>54400</v>
      </c>
      <c r="G72" s="79">
        <f>E72*500</f>
        <v>17000</v>
      </c>
      <c r="H72" s="79">
        <f>E72*1100</f>
        <v>37400</v>
      </c>
      <c r="K72">
        <f>E3+E217+E261</f>
        <v>32</v>
      </c>
    </row>
    <row r="73" spans="1:11" hidden="1" x14ac:dyDescent="0.25">
      <c r="D73" t="s">
        <v>925</v>
      </c>
      <c r="E73">
        <v>14</v>
      </c>
      <c r="F73" s="79">
        <f t="shared" ref="F73:F74" si="7">E73*1600</f>
        <v>22400</v>
      </c>
      <c r="G73" s="79">
        <f t="shared" ref="G73:G74" si="8">E73*500</f>
        <v>7000</v>
      </c>
      <c r="H73" s="79">
        <f t="shared" ref="H73:H74" si="9">E73*1100</f>
        <v>15400</v>
      </c>
    </row>
    <row r="74" spans="1:11" hidden="1" x14ac:dyDescent="0.25">
      <c r="D74" t="s">
        <v>932</v>
      </c>
      <c r="E74">
        <v>13</v>
      </c>
      <c r="F74" s="79">
        <f t="shared" si="7"/>
        <v>20800</v>
      </c>
      <c r="G74" s="79">
        <f t="shared" si="8"/>
        <v>6500</v>
      </c>
      <c r="H74" s="79">
        <f t="shared" si="9"/>
        <v>14300</v>
      </c>
    </row>
    <row r="75" spans="1:11" hidden="1" x14ac:dyDescent="0.25">
      <c r="C75" t="s">
        <v>846</v>
      </c>
      <c r="D75" t="s">
        <v>13</v>
      </c>
      <c r="E75">
        <v>1</v>
      </c>
      <c r="F75" s="79">
        <v>8000</v>
      </c>
      <c r="G75" s="79">
        <v>4500</v>
      </c>
      <c r="H75" s="79">
        <v>3500</v>
      </c>
    </row>
    <row r="76" spans="1:11" hidden="1" x14ac:dyDescent="0.25">
      <c r="D76" t="s">
        <v>14</v>
      </c>
      <c r="E76">
        <v>3</v>
      </c>
      <c r="F76" s="79">
        <f>E76*12000</f>
        <v>36000</v>
      </c>
      <c r="G76" s="79">
        <f>E76*5500</f>
        <v>16500</v>
      </c>
      <c r="H76" s="79">
        <f>E76*6500</f>
        <v>19500</v>
      </c>
    </row>
    <row r="77" spans="1:11" x14ac:dyDescent="0.25">
      <c r="D77" t="s">
        <v>933</v>
      </c>
      <c r="E77">
        <v>1</v>
      </c>
      <c r="F77" s="79">
        <v>10000</v>
      </c>
      <c r="G77" s="79">
        <v>4000</v>
      </c>
      <c r="H77" s="79">
        <v>6000</v>
      </c>
    </row>
    <row r="78" spans="1:11" hidden="1" x14ac:dyDescent="0.25">
      <c r="A78" s="112" t="s">
        <v>17</v>
      </c>
      <c r="B78" s="112"/>
      <c r="C78" s="112"/>
      <c r="D78" s="112"/>
      <c r="E78" s="78">
        <f>SUM(E72:E77)</f>
        <v>66</v>
      </c>
      <c r="F78" s="78">
        <f t="shared" ref="F78:H78" si="10">SUM(F72:F77)</f>
        <v>151600</v>
      </c>
      <c r="G78" s="78">
        <f t="shared" si="10"/>
        <v>55500</v>
      </c>
      <c r="H78" s="78">
        <f t="shared" si="10"/>
        <v>96100</v>
      </c>
    </row>
    <row r="79" spans="1:11" hidden="1" x14ac:dyDescent="0.25">
      <c r="A79" t="s">
        <v>28</v>
      </c>
      <c r="B79" s="3">
        <v>45697</v>
      </c>
      <c r="C79" t="s">
        <v>693</v>
      </c>
      <c r="D79" t="s">
        <v>917</v>
      </c>
      <c r="E79">
        <v>11</v>
      </c>
      <c r="F79" s="79">
        <f>E79*2000</f>
        <v>22000</v>
      </c>
      <c r="G79" s="79">
        <f>E79*500</f>
        <v>5500</v>
      </c>
      <c r="H79" s="79">
        <f>E79*1500</f>
        <v>16500</v>
      </c>
    </row>
    <row r="80" spans="1:11" hidden="1" x14ac:dyDescent="0.25">
      <c r="D80" t="s">
        <v>13</v>
      </c>
      <c r="E80">
        <v>44</v>
      </c>
      <c r="F80" s="79">
        <f>E80*7000</f>
        <v>308000</v>
      </c>
      <c r="G80" s="79">
        <f>E80*4500</f>
        <v>198000</v>
      </c>
      <c r="H80" s="79">
        <f>E80*2500</f>
        <v>110000</v>
      </c>
    </row>
    <row r="81" spans="1:11" hidden="1" x14ac:dyDescent="0.25">
      <c r="D81" t="s">
        <v>14</v>
      </c>
      <c r="E81">
        <v>32</v>
      </c>
      <c r="F81" s="79">
        <f>E81*10000</f>
        <v>320000</v>
      </c>
      <c r="G81" s="79">
        <f>E81*5500</f>
        <v>176000</v>
      </c>
      <c r="H81" s="79">
        <f>E81*4500</f>
        <v>144000</v>
      </c>
    </row>
    <row r="82" spans="1:11" hidden="1" x14ac:dyDescent="0.25">
      <c r="D82" t="s">
        <v>243</v>
      </c>
      <c r="E82">
        <v>2</v>
      </c>
      <c r="F82" s="79">
        <v>30000</v>
      </c>
      <c r="G82" s="79">
        <v>20000</v>
      </c>
      <c r="H82" s="79">
        <v>10000</v>
      </c>
    </row>
    <row r="83" spans="1:11" hidden="1" x14ac:dyDescent="0.25">
      <c r="C83" t="s">
        <v>217</v>
      </c>
      <c r="D83" t="s">
        <v>917</v>
      </c>
      <c r="E83">
        <v>24</v>
      </c>
      <c r="F83" s="79">
        <f>E83*1500</f>
        <v>36000</v>
      </c>
      <c r="G83" s="79">
        <f>E83*500</f>
        <v>12000</v>
      </c>
      <c r="H83" s="79">
        <v>24000</v>
      </c>
    </row>
    <row r="84" spans="1:11" hidden="1" x14ac:dyDescent="0.25">
      <c r="D84" t="s">
        <v>13</v>
      </c>
      <c r="E84">
        <v>19</v>
      </c>
      <c r="F84" s="79">
        <f>E84*6500</f>
        <v>123500</v>
      </c>
      <c r="G84" s="79">
        <f>E84*4500</f>
        <v>85500</v>
      </c>
      <c r="H84" s="79">
        <f>E84*2000</f>
        <v>38000</v>
      </c>
    </row>
    <row r="85" spans="1:11" hidden="1" x14ac:dyDescent="0.25">
      <c r="D85" t="s">
        <v>14</v>
      </c>
      <c r="E85">
        <v>11</v>
      </c>
      <c r="F85" s="79">
        <f>E85*10000</f>
        <v>110000</v>
      </c>
      <c r="G85" s="79">
        <f>E85*5500</f>
        <v>60500</v>
      </c>
      <c r="H85" s="79">
        <f>E85*4500</f>
        <v>49500</v>
      </c>
      <c r="K85">
        <f>E5+E15+E19+E22+E30+E58+E65+E76+E81+E85+E87+E108+E110+E121+E135+E148+E168+E172+E173+E196+E210+E220+E231+E235+E238+E244+E256+E269</f>
        <v>190</v>
      </c>
    </row>
    <row r="86" spans="1:11" hidden="1" x14ac:dyDescent="0.25">
      <c r="C86" t="s">
        <v>846</v>
      </c>
      <c r="D86" t="s">
        <v>13</v>
      </c>
      <c r="E86">
        <v>4</v>
      </c>
      <c r="F86" s="79">
        <f>E86*8000</f>
        <v>32000</v>
      </c>
      <c r="G86" s="79">
        <f>E86*4500</f>
        <v>18000</v>
      </c>
      <c r="H86" s="79">
        <f>E86*3500</f>
        <v>14000</v>
      </c>
    </row>
    <row r="87" spans="1:11" hidden="1" x14ac:dyDescent="0.25">
      <c r="D87" t="s">
        <v>14</v>
      </c>
      <c r="E87">
        <v>3</v>
      </c>
      <c r="F87" s="79">
        <f>E87*12000</f>
        <v>36000</v>
      </c>
      <c r="G87" s="79">
        <f>E87*5500</f>
        <v>16500</v>
      </c>
      <c r="H87" s="79">
        <f>E87*6500</f>
        <v>19500</v>
      </c>
    </row>
    <row r="88" spans="1:11" hidden="1" x14ac:dyDescent="0.25">
      <c r="D88" t="s">
        <v>902</v>
      </c>
      <c r="E88">
        <v>2</v>
      </c>
      <c r="F88" s="79">
        <f>E88*8000</f>
        <v>16000</v>
      </c>
      <c r="G88" s="79">
        <f>E88*5500</f>
        <v>11000</v>
      </c>
      <c r="H88" s="79">
        <f>E88*2500</f>
        <v>5000</v>
      </c>
    </row>
    <row r="89" spans="1:11" hidden="1" x14ac:dyDescent="0.25">
      <c r="D89" t="s">
        <v>542</v>
      </c>
      <c r="E89">
        <v>1</v>
      </c>
      <c r="F89" s="79">
        <v>8000</v>
      </c>
      <c r="G89" s="79">
        <v>5500</v>
      </c>
      <c r="H89" s="79">
        <v>2500</v>
      </c>
    </row>
    <row r="90" spans="1:11" hidden="1" x14ac:dyDescent="0.25">
      <c r="D90" t="s">
        <v>432</v>
      </c>
      <c r="E90">
        <v>1</v>
      </c>
      <c r="F90" s="79">
        <v>8000</v>
      </c>
      <c r="G90" s="79">
        <v>5500</v>
      </c>
      <c r="H90" s="79">
        <v>2500</v>
      </c>
    </row>
    <row r="91" spans="1:11" hidden="1" x14ac:dyDescent="0.25">
      <c r="A91" s="112" t="s">
        <v>934</v>
      </c>
      <c r="B91" s="112"/>
      <c r="C91" s="112"/>
      <c r="D91" s="112"/>
      <c r="E91" s="78">
        <f>SUM(E79:E90)</f>
        <v>154</v>
      </c>
      <c r="F91" s="78">
        <f t="shared" ref="F91:H91" si="11">SUM(F79:F90)</f>
        <v>1049500</v>
      </c>
      <c r="G91" s="78">
        <f t="shared" si="11"/>
        <v>614000</v>
      </c>
      <c r="H91" s="78">
        <f t="shared" si="11"/>
        <v>435500</v>
      </c>
    </row>
    <row r="92" spans="1:11" hidden="1" x14ac:dyDescent="0.25">
      <c r="A92" t="s">
        <v>30</v>
      </c>
      <c r="B92" s="3">
        <v>45698</v>
      </c>
      <c r="C92" t="s">
        <v>338</v>
      </c>
      <c r="D92" t="s">
        <v>925</v>
      </c>
      <c r="E92">
        <v>50</v>
      </c>
      <c r="F92" s="79">
        <f>E92*1500</f>
        <v>75000</v>
      </c>
      <c r="G92" s="79">
        <f t="shared" ref="G92:G99" si="12">E92*500</f>
        <v>25000</v>
      </c>
      <c r="H92" s="79">
        <f>E92*1000</f>
        <v>50000</v>
      </c>
    </row>
    <row r="93" spans="1:11" hidden="1" x14ac:dyDescent="0.25">
      <c r="C93" t="s">
        <v>581</v>
      </c>
      <c r="D93" t="s">
        <v>914</v>
      </c>
      <c r="E93">
        <v>35</v>
      </c>
      <c r="F93" s="79">
        <f>E93*1600</f>
        <v>56000</v>
      </c>
      <c r="G93" s="79">
        <f t="shared" si="12"/>
        <v>17500</v>
      </c>
      <c r="H93" s="79">
        <f>E93*1100</f>
        <v>38500</v>
      </c>
    </row>
    <row r="94" spans="1:11" hidden="1" x14ac:dyDescent="0.25">
      <c r="D94" t="s">
        <v>925</v>
      </c>
      <c r="E94">
        <v>20</v>
      </c>
      <c r="F94" s="79">
        <f>E94*1600</f>
        <v>32000</v>
      </c>
      <c r="G94" s="79">
        <f t="shared" si="12"/>
        <v>10000</v>
      </c>
      <c r="H94" s="79">
        <f>E94*1100</f>
        <v>22000</v>
      </c>
    </row>
    <row r="95" spans="1:11" hidden="1" x14ac:dyDescent="0.25">
      <c r="C95" t="s">
        <v>306</v>
      </c>
      <c r="D95" t="s">
        <v>914</v>
      </c>
      <c r="E95">
        <v>10</v>
      </c>
      <c r="F95" s="79">
        <f>E95*1800</f>
        <v>18000</v>
      </c>
      <c r="G95" s="79">
        <f t="shared" si="12"/>
        <v>5000</v>
      </c>
      <c r="H95" s="79">
        <f>E95*1300</f>
        <v>13000</v>
      </c>
    </row>
    <row r="96" spans="1:11" hidden="1" x14ac:dyDescent="0.25">
      <c r="D96" t="s">
        <v>925</v>
      </c>
      <c r="E96">
        <v>5</v>
      </c>
      <c r="F96" s="79">
        <f>E96*1800</f>
        <v>9000</v>
      </c>
      <c r="G96" s="79">
        <f t="shared" si="12"/>
        <v>2500</v>
      </c>
      <c r="H96" s="79">
        <f>E96*1300</f>
        <v>6500</v>
      </c>
    </row>
    <row r="97" spans="1:8" hidden="1" x14ac:dyDescent="0.25">
      <c r="C97" t="s">
        <v>571</v>
      </c>
      <c r="D97" t="s">
        <v>11</v>
      </c>
      <c r="E97">
        <v>7</v>
      </c>
      <c r="F97" s="79">
        <f>E97*1700</f>
        <v>11900</v>
      </c>
      <c r="G97" s="79">
        <f t="shared" si="12"/>
        <v>3500</v>
      </c>
      <c r="H97" s="79">
        <f>E97*1200</f>
        <v>8400</v>
      </c>
    </row>
    <row r="98" spans="1:8" hidden="1" x14ac:dyDescent="0.25">
      <c r="C98" t="s">
        <v>572</v>
      </c>
      <c r="D98" t="s">
        <v>11</v>
      </c>
      <c r="E98">
        <v>70</v>
      </c>
      <c r="F98" s="79">
        <f>E98*1700</f>
        <v>119000</v>
      </c>
      <c r="G98" s="79">
        <f t="shared" si="12"/>
        <v>35000</v>
      </c>
      <c r="H98" s="79">
        <f>E98*1200</f>
        <v>84000</v>
      </c>
    </row>
    <row r="99" spans="1:8" hidden="1" x14ac:dyDescent="0.25">
      <c r="C99" t="s">
        <v>104</v>
      </c>
      <c r="D99" t="s">
        <v>925</v>
      </c>
      <c r="E99">
        <v>30</v>
      </c>
      <c r="F99" s="79">
        <f>E99*1500</f>
        <v>45000</v>
      </c>
      <c r="G99" s="79">
        <f t="shared" si="12"/>
        <v>15000</v>
      </c>
      <c r="H99" s="79">
        <v>30000</v>
      </c>
    </row>
    <row r="100" spans="1:8" hidden="1" x14ac:dyDescent="0.25">
      <c r="C100" t="s">
        <v>24</v>
      </c>
      <c r="D100" t="s">
        <v>243</v>
      </c>
      <c r="E100">
        <v>2</v>
      </c>
      <c r="F100" s="79">
        <v>30000</v>
      </c>
      <c r="G100" s="79">
        <v>20000</v>
      </c>
      <c r="H100" s="79">
        <v>10000</v>
      </c>
    </row>
    <row r="101" spans="1:8" hidden="1" x14ac:dyDescent="0.25">
      <c r="C101">
        <v>0</v>
      </c>
      <c r="D101">
        <v>0</v>
      </c>
      <c r="E101">
        <v>0</v>
      </c>
      <c r="F101" s="79"/>
      <c r="G101" s="79"/>
      <c r="H101" s="79"/>
    </row>
    <row r="102" spans="1:8" hidden="1" x14ac:dyDescent="0.25">
      <c r="A102" s="112" t="s">
        <v>17</v>
      </c>
      <c r="B102" s="112"/>
      <c r="C102" s="112"/>
      <c r="D102" s="112"/>
      <c r="E102" s="78">
        <f>SUM(E92:E101)</f>
        <v>229</v>
      </c>
      <c r="F102" s="78">
        <f>SUM(F92:F101)</f>
        <v>395900</v>
      </c>
      <c r="G102" s="78">
        <f t="shared" ref="G102:H102" si="13">SUM(G92:G101)</f>
        <v>133500</v>
      </c>
      <c r="H102" s="78">
        <f t="shared" si="13"/>
        <v>262400</v>
      </c>
    </row>
    <row r="103" spans="1:8" hidden="1" x14ac:dyDescent="0.25">
      <c r="A103" t="s">
        <v>32</v>
      </c>
      <c r="B103" s="3">
        <v>45699</v>
      </c>
      <c r="C103" t="s">
        <v>338</v>
      </c>
      <c r="D103" t="s">
        <v>925</v>
      </c>
      <c r="E103">
        <v>43</v>
      </c>
      <c r="F103" s="79">
        <f>E103*1500</f>
        <v>64500</v>
      </c>
      <c r="G103" s="79">
        <f>E103*500</f>
        <v>21500</v>
      </c>
      <c r="H103" s="79">
        <f>E103*1000</f>
        <v>43000</v>
      </c>
    </row>
    <row r="104" spans="1:8" hidden="1" x14ac:dyDescent="0.25">
      <c r="C104" t="s">
        <v>581</v>
      </c>
      <c r="D104" t="s">
        <v>914</v>
      </c>
      <c r="E104">
        <v>32</v>
      </c>
      <c r="F104" s="79">
        <f>E104*1600</f>
        <v>51200</v>
      </c>
      <c r="G104" s="79">
        <f>E104*500</f>
        <v>16000</v>
      </c>
      <c r="H104" s="79">
        <f>E104*1100</f>
        <v>35200</v>
      </c>
    </row>
    <row r="105" spans="1:8" hidden="1" x14ac:dyDescent="0.25">
      <c r="D105" t="s">
        <v>925</v>
      </c>
      <c r="E105">
        <v>9</v>
      </c>
      <c r="F105" s="79">
        <f>E105*1600</f>
        <v>14400</v>
      </c>
      <c r="G105" s="79">
        <f>E105*500</f>
        <v>4500</v>
      </c>
      <c r="H105" s="79">
        <f>E105*1100</f>
        <v>9900</v>
      </c>
    </row>
    <row r="106" spans="1:8" hidden="1" x14ac:dyDescent="0.25">
      <c r="C106" t="s">
        <v>913</v>
      </c>
      <c r="D106" t="s">
        <v>243</v>
      </c>
      <c r="E106">
        <v>95</v>
      </c>
      <c r="F106" s="79">
        <f>E106*11000</f>
        <v>1045000</v>
      </c>
      <c r="G106" s="79">
        <f>E106*10000</f>
        <v>950000</v>
      </c>
      <c r="H106" s="79">
        <f>E106*1000</f>
        <v>95000</v>
      </c>
    </row>
    <row r="107" spans="1:8" hidden="1" x14ac:dyDescent="0.25">
      <c r="C107" t="s">
        <v>20</v>
      </c>
      <c r="D107" t="s">
        <v>13</v>
      </c>
      <c r="E107">
        <v>1</v>
      </c>
      <c r="F107" s="79">
        <v>8000</v>
      </c>
      <c r="G107" s="79">
        <v>4500</v>
      </c>
      <c r="H107" s="79">
        <v>3500</v>
      </c>
    </row>
    <row r="108" spans="1:8" hidden="1" x14ac:dyDescent="0.25">
      <c r="D108" t="s">
        <v>14</v>
      </c>
      <c r="E108">
        <v>1</v>
      </c>
      <c r="F108" s="79">
        <v>10000</v>
      </c>
      <c r="G108" s="79">
        <v>5500</v>
      </c>
      <c r="H108" s="79">
        <v>4500</v>
      </c>
    </row>
    <row r="109" spans="1:8" hidden="1" x14ac:dyDescent="0.25">
      <c r="D109" t="s">
        <v>434</v>
      </c>
      <c r="E109">
        <v>1</v>
      </c>
      <c r="F109" s="79">
        <v>5000</v>
      </c>
      <c r="G109" s="79">
        <v>3500</v>
      </c>
      <c r="H109" s="79">
        <v>1500</v>
      </c>
    </row>
    <row r="110" spans="1:8" hidden="1" x14ac:dyDescent="0.25">
      <c r="D110" t="s">
        <v>14</v>
      </c>
      <c r="E110">
        <v>1</v>
      </c>
      <c r="F110" s="79">
        <v>12000</v>
      </c>
      <c r="G110" s="79">
        <v>5500</v>
      </c>
      <c r="H110" s="79">
        <v>6500</v>
      </c>
    </row>
    <row r="111" spans="1:8" hidden="1" x14ac:dyDescent="0.25">
      <c r="A111" s="112" t="s">
        <v>17</v>
      </c>
      <c r="B111" s="112"/>
      <c r="C111" s="112"/>
      <c r="D111" s="112"/>
      <c r="E111" s="78">
        <f>SUM(E103:E110)</f>
        <v>183</v>
      </c>
      <c r="F111" s="78">
        <f t="shared" ref="F111:H111" si="14">SUM(F103:F110)</f>
        <v>1210100</v>
      </c>
      <c r="G111" s="78">
        <f t="shared" si="14"/>
        <v>1011000</v>
      </c>
      <c r="H111" s="78">
        <f t="shared" si="14"/>
        <v>199100</v>
      </c>
    </row>
    <row r="112" spans="1:8" hidden="1" x14ac:dyDescent="0.25">
      <c r="A112" t="s">
        <v>8</v>
      </c>
      <c r="B112" s="3">
        <v>45700</v>
      </c>
      <c r="C112" t="s">
        <v>338</v>
      </c>
      <c r="D112" t="s">
        <v>925</v>
      </c>
      <c r="E112">
        <v>43</v>
      </c>
      <c r="F112" s="79">
        <f>E112*1500</f>
        <v>64500</v>
      </c>
      <c r="G112" s="79">
        <f t="shared" ref="G112:G119" si="15">E112*500</f>
        <v>21500</v>
      </c>
      <c r="H112" s="79">
        <f>E112*1000</f>
        <v>43000</v>
      </c>
    </row>
    <row r="113" spans="1:8" hidden="1" x14ac:dyDescent="0.25">
      <c r="C113" t="s">
        <v>571</v>
      </c>
      <c r="D113" t="s">
        <v>11</v>
      </c>
      <c r="E113">
        <v>17</v>
      </c>
      <c r="F113" s="79">
        <f>E113*1700</f>
        <v>28900</v>
      </c>
      <c r="G113" s="79">
        <f t="shared" si="15"/>
        <v>8500</v>
      </c>
      <c r="H113" s="79">
        <f>E113*1200</f>
        <v>20400</v>
      </c>
    </row>
    <row r="114" spans="1:8" hidden="1" x14ac:dyDescent="0.25">
      <c r="C114" t="s">
        <v>581</v>
      </c>
      <c r="D114" t="s">
        <v>914</v>
      </c>
      <c r="E114">
        <v>35</v>
      </c>
      <c r="F114" s="79">
        <f>E114*1600</f>
        <v>56000</v>
      </c>
      <c r="G114" s="79">
        <f t="shared" si="15"/>
        <v>17500</v>
      </c>
      <c r="H114" s="79">
        <f>E114*1100</f>
        <v>38500</v>
      </c>
    </row>
    <row r="115" spans="1:8" hidden="1" x14ac:dyDescent="0.25">
      <c r="D115" t="s">
        <v>925</v>
      </c>
      <c r="E115">
        <v>4</v>
      </c>
      <c r="F115" s="79">
        <f>E115*1600</f>
        <v>6400</v>
      </c>
      <c r="G115" s="79">
        <f t="shared" si="15"/>
        <v>2000</v>
      </c>
      <c r="H115" s="79">
        <f>E115*1100</f>
        <v>4400</v>
      </c>
    </row>
    <row r="116" spans="1:8" hidden="1" x14ac:dyDescent="0.25">
      <c r="C116" t="s">
        <v>104</v>
      </c>
      <c r="D116" t="s">
        <v>925</v>
      </c>
      <c r="E116">
        <v>51</v>
      </c>
      <c r="F116" s="79">
        <f>E116*1500</f>
        <v>76500</v>
      </c>
      <c r="G116" s="79">
        <f t="shared" si="15"/>
        <v>25500</v>
      </c>
      <c r="H116" s="79">
        <f>E116*1000</f>
        <v>51000</v>
      </c>
    </row>
    <row r="117" spans="1:8" hidden="1" x14ac:dyDescent="0.25">
      <c r="C117" t="s">
        <v>306</v>
      </c>
      <c r="D117" t="s">
        <v>914</v>
      </c>
      <c r="E117">
        <v>6</v>
      </c>
      <c r="F117" s="79">
        <f>E117*1800</f>
        <v>10800</v>
      </c>
      <c r="G117" s="79">
        <f t="shared" si="15"/>
        <v>3000</v>
      </c>
      <c r="H117" s="79">
        <f>E117*1300</f>
        <v>7800</v>
      </c>
    </row>
    <row r="118" spans="1:8" hidden="1" x14ac:dyDescent="0.25">
      <c r="D118" t="s">
        <v>925</v>
      </c>
      <c r="E118">
        <v>15</v>
      </c>
      <c r="F118" s="79">
        <f>E118*1800</f>
        <v>27000</v>
      </c>
      <c r="G118" s="79">
        <f t="shared" si="15"/>
        <v>7500</v>
      </c>
      <c r="H118" s="79">
        <f>E118*1300</f>
        <v>19500</v>
      </c>
    </row>
    <row r="119" spans="1:8" hidden="1" x14ac:dyDescent="0.25">
      <c r="C119" t="s">
        <v>846</v>
      </c>
      <c r="D119" t="s">
        <v>11</v>
      </c>
      <c r="E119">
        <v>1</v>
      </c>
      <c r="F119" s="79">
        <v>3000</v>
      </c>
      <c r="G119" s="79">
        <f t="shared" si="15"/>
        <v>500</v>
      </c>
      <c r="H119" s="79">
        <v>2500</v>
      </c>
    </row>
    <row r="120" spans="1:8" hidden="1" x14ac:dyDescent="0.25">
      <c r="D120" t="s">
        <v>13</v>
      </c>
      <c r="E120">
        <v>4</v>
      </c>
      <c r="F120" s="79">
        <f>E120*8000</f>
        <v>32000</v>
      </c>
      <c r="G120" s="79">
        <f>E120*4500</f>
        <v>18000</v>
      </c>
      <c r="H120" s="79">
        <f>E120*3500</f>
        <v>14000</v>
      </c>
    </row>
    <row r="121" spans="1:8" hidden="1" x14ac:dyDescent="0.25">
      <c r="D121" t="s">
        <v>14</v>
      </c>
      <c r="E121">
        <v>2</v>
      </c>
      <c r="F121" s="79">
        <f>E121*12000</f>
        <v>24000</v>
      </c>
      <c r="G121" s="79">
        <f>E121*5500</f>
        <v>11000</v>
      </c>
      <c r="H121" s="79">
        <f>E121*6500</f>
        <v>13000</v>
      </c>
    </row>
    <row r="122" spans="1:8" hidden="1" x14ac:dyDescent="0.25">
      <c r="D122" t="s">
        <v>918</v>
      </c>
      <c r="E122">
        <v>3</v>
      </c>
      <c r="F122" s="79">
        <f>E122*15000</f>
        <v>45000</v>
      </c>
      <c r="G122" s="79">
        <f>E122*10000</f>
        <v>30000</v>
      </c>
      <c r="H122" s="79">
        <f>E122*5000</f>
        <v>15000</v>
      </c>
    </row>
    <row r="123" spans="1:8" hidden="1" x14ac:dyDescent="0.25">
      <c r="D123" t="s">
        <v>919</v>
      </c>
      <c r="E123">
        <v>1</v>
      </c>
      <c r="F123" s="79">
        <v>12000</v>
      </c>
      <c r="G123" s="79">
        <v>6500</v>
      </c>
      <c r="H123" s="79">
        <v>5500</v>
      </c>
    </row>
    <row r="124" spans="1:8" hidden="1" x14ac:dyDescent="0.25">
      <c r="D124" t="s">
        <v>542</v>
      </c>
      <c r="E124">
        <v>1</v>
      </c>
      <c r="F124" s="79">
        <v>10000</v>
      </c>
      <c r="G124" s="79">
        <v>5500</v>
      </c>
      <c r="H124" s="79">
        <v>4500</v>
      </c>
    </row>
    <row r="125" spans="1:8" hidden="1" x14ac:dyDescent="0.25">
      <c r="D125" t="s">
        <v>432</v>
      </c>
      <c r="E125">
        <v>1</v>
      </c>
      <c r="F125" s="79">
        <v>8000</v>
      </c>
      <c r="G125" s="79">
        <v>5500</v>
      </c>
      <c r="H125" s="79">
        <v>2500</v>
      </c>
    </row>
    <row r="126" spans="1:8" hidden="1" x14ac:dyDescent="0.25">
      <c r="C126" t="s">
        <v>935</v>
      </c>
      <c r="D126" t="s">
        <v>243</v>
      </c>
      <c r="E126">
        <v>45</v>
      </c>
      <c r="F126" s="79"/>
      <c r="G126" s="79"/>
      <c r="H126" s="79"/>
    </row>
    <row r="127" spans="1:8" hidden="1" x14ac:dyDescent="0.25">
      <c r="A127" s="112" t="s">
        <v>17</v>
      </c>
      <c r="B127" s="112"/>
      <c r="C127" s="112"/>
      <c r="D127" s="112"/>
      <c r="E127" s="78">
        <f>SUM(E112:E126)</f>
        <v>229</v>
      </c>
      <c r="F127" s="78">
        <f t="shared" ref="F127:H127" si="16">SUM(F112:F126)</f>
        <v>404100</v>
      </c>
      <c r="G127" s="78">
        <f t="shared" si="16"/>
        <v>162500</v>
      </c>
      <c r="H127" s="78">
        <f t="shared" si="16"/>
        <v>241600</v>
      </c>
    </row>
    <row r="128" spans="1:8" hidden="1" x14ac:dyDescent="0.25">
      <c r="A128" t="s">
        <v>18</v>
      </c>
      <c r="B128" s="3">
        <v>45701</v>
      </c>
      <c r="C128" t="s">
        <v>338</v>
      </c>
      <c r="D128" t="s">
        <v>925</v>
      </c>
      <c r="E128">
        <v>37</v>
      </c>
      <c r="F128" s="79">
        <f>E128*1500</f>
        <v>55500</v>
      </c>
      <c r="G128" s="79">
        <f t="shared" ref="G128:G133" si="17">E128*500</f>
        <v>18500</v>
      </c>
      <c r="H128" s="79">
        <v>37000</v>
      </c>
    </row>
    <row r="129" spans="1:11" hidden="1" x14ac:dyDescent="0.25">
      <c r="C129" t="s">
        <v>581</v>
      </c>
      <c r="D129" t="s">
        <v>914</v>
      </c>
      <c r="E129">
        <v>29</v>
      </c>
      <c r="F129" s="79">
        <f>E129*1600</f>
        <v>46400</v>
      </c>
      <c r="G129" s="79">
        <f t="shared" si="17"/>
        <v>14500</v>
      </c>
      <c r="H129" s="79">
        <f>E129*1100</f>
        <v>31900</v>
      </c>
    </row>
    <row r="130" spans="1:11" hidden="1" x14ac:dyDescent="0.25">
      <c r="D130" t="s">
        <v>925</v>
      </c>
      <c r="E130">
        <v>21</v>
      </c>
      <c r="F130" s="79">
        <f>E130*1600</f>
        <v>33600</v>
      </c>
      <c r="G130" s="79">
        <f t="shared" si="17"/>
        <v>10500</v>
      </c>
      <c r="H130" s="79">
        <f>E130*1100</f>
        <v>23100</v>
      </c>
    </row>
    <row r="131" spans="1:11" hidden="1" x14ac:dyDescent="0.25">
      <c r="C131" t="s">
        <v>104</v>
      </c>
      <c r="D131" t="s">
        <v>925</v>
      </c>
      <c r="E131">
        <v>25</v>
      </c>
      <c r="F131" s="79">
        <f>E131*1500</f>
        <v>37500</v>
      </c>
      <c r="G131" s="79">
        <f t="shared" si="17"/>
        <v>12500</v>
      </c>
      <c r="H131" s="79">
        <f>E131*1000</f>
        <v>25000</v>
      </c>
    </row>
    <row r="132" spans="1:11" hidden="1" x14ac:dyDescent="0.25">
      <c r="C132" t="s">
        <v>306</v>
      </c>
      <c r="D132" t="s">
        <v>914</v>
      </c>
      <c r="E132">
        <v>5</v>
      </c>
      <c r="F132" s="79">
        <f>E132*1800</f>
        <v>9000</v>
      </c>
      <c r="G132" s="79">
        <f t="shared" si="17"/>
        <v>2500</v>
      </c>
      <c r="H132" s="79">
        <f>E132*1300</f>
        <v>6500</v>
      </c>
    </row>
    <row r="133" spans="1:11" hidden="1" x14ac:dyDescent="0.25">
      <c r="D133" t="s">
        <v>11</v>
      </c>
      <c r="E133">
        <v>11</v>
      </c>
      <c r="F133" s="79">
        <f>E133*1800</f>
        <v>19800</v>
      </c>
      <c r="G133" s="79">
        <f t="shared" si="17"/>
        <v>5500</v>
      </c>
      <c r="H133" s="79">
        <f>E133*1300</f>
        <v>14300</v>
      </c>
    </row>
    <row r="134" spans="1:11" hidden="1" x14ac:dyDescent="0.25">
      <c r="C134" t="s">
        <v>846</v>
      </c>
      <c r="D134" t="s">
        <v>13</v>
      </c>
      <c r="E134">
        <v>2</v>
      </c>
      <c r="F134" s="79">
        <f>E134*8000</f>
        <v>16000</v>
      </c>
      <c r="G134" s="79">
        <f>E134*4500</f>
        <v>9000</v>
      </c>
      <c r="H134" s="79">
        <f>E134*3500</f>
        <v>7000</v>
      </c>
    </row>
    <row r="135" spans="1:11" hidden="1" x14ac:dyDescent="0.25">
      <c r="D135" t="s">
        <v>14</v>
      </c>
      <c r="E135">
        <v>2</v>
      </c>
      <c r="F135" s="79">
        <f>E135*12000</f>
        <v>24000</v>
      </c>
      <c r="G135" s="79">
        <f>E135*5500</f>
        <v>11000</v>
      </c>
      <c r="H135" s="79">
        <f>E135*6500</f>
        <v>13000</v>
      </c>
    </row>
    <row r="136" spans="1:11" hidden="1" x14ac:dyDescent="0.25">
      <c r="D136" t="s">
        <v>919</v>
      </c>
      <c r="E136">
        <v>1</v>
      </c>
      <c r="F136" s="79">
        <v>12000</v>
      </c>
      <c r="G136" s="79">
        <v>6500</v>
      </c>
      <c r="H136" s="79">
        <v>5500</v>
      </c>
    </row>
    <row r="137" spans="1:11" hidden="1" x14ac:dyDescent="0.25">
      <c r="D137" t="s">
        <v>243</v>
      </c>
      <c r="E137">
        <v>1</v>
      </c>
      <c r="F137" s="79">
        <v>17000</v>
      </c>
      <c r="G137" s="79">
        <v>10000</v>
      </c>
      <c r="H137" s="79">
        <v>7000</v>
      </c>
      <c r="K137">
        <f>E8+E11+E16+E23+E34+E52+E70+E82+E100+E106+E109+E126+E137+E144+E145+E150+E160+E163+E169+E181+E182+E183+E195+E198+E206+E207+E232+E236+E245+E264</f>
        <v>748</v>
      </c>
    </row>
    <row r="138" spans="1:11" hidden="1" x14ac:dyDescent="0.25">
      <c r="A138" s="112" t="s">
        <v>17</v>
      </c>
      <c r="B138" s="112"/>
      <c r="C138" s="112"/>
      <c r="D138" s="112"/>
      <c r="E138" s="78">
        <f>SUM(E128:E137)</f>
        <v>134</v>
      </c>
      <c r="F138" s="78">
        <f t="shared" ref="F138:H138" si="18">SUM(F128:F137)</f>
        <v>270800</v>
      </c>
      <c r="G138" s="78">
        <f t="shared" si="18"/>
        <v>100500</v>
      </c>
      <c r="H138" s="78">
        <f t="shared" si="18"/>
        <v>170300</v>
      </c>
    </row>
    <row r="139" spans="1:11" hidden="1" x14ac:dyDescent="0.25">
      <c r="A139" t="s">
        <v>22</v>
      </c>
      <c r="B139" s="3">
        <v>45702</v>
      </c>
      <c r="C139" t="s">
        <v>581</v>
      </c>
      <c r="D139" t="s">
        <v>914</v>
      </c>
      <c r="E139">
        <v>35</v>
      </c>
      <c r="F139" s="79">
        <f>E139*1600</f>
        <v>56000</v>
      </c>
      <c r="G139" s="79">
        <f>E139*500</f>
        <v>17500</v>
      </c>
      <c r="H139" s="79">
        <f>E139*1100</f>
        <v>38500</v>
      </c>
    </row>
    <row r="140" spans="1:11" hidden="1" x14ac:dyDescent="0.25">
      <c r="D140" t="s">
        <v>925</v>
      </c>
      <c r="E140">
        <v>11</v>
      </c>
      <c r="F140" s="79">
        <f>E140*1600</f>
        <v>17600</v>
      </c>
      <c r="G140" s="79">
        <f>E140*500</f>
        <v>5500</v>
      </c>
      <c r="H140" s="79">
        <f>E140*1100</f>
        <v>12100</v>
      </c>
    </row>
    <row r="141" spans="1:11" hidden="1" x14ac:dyDescent="0.25">
      <c r="C141" t="s">
        <v>104</v>
      </c>
      <c r="D141" t="s">
        <v>925</v>
      </c>
      <c r="E141">
        <v>34</v>
      </c>
      <c r="F141" s="79">
        <f>E141*1500</f>
        <v>51000</v>
      </c>
      <c r="G141" s="79">
        <f>E141*500</f>
        <v>17000</v>
      </c>
      <c r="H141" s="79">
        <f>E141*1000</f>
        <v>34000</v>
      </c>
    </row>
    <row r="142" spans="1:11" hidden="1" x14ac:dyDescent="0.25">
      <c r="C142" t="s">
        <v>571</v>
      </c>
      <c r="D142" t="s">
        <v>11</v>
      </c>
      <c r="E142">
        <v>20</v>
      </c>
      <c r="F142" s="79">
        <f>E142*1700</f>
        <v>34000</v>
      </c>
      <c r="G142" s="79">
        <f>E142*500</f>
        <v>10000</v>
      </c>
      <c r="H142" s="79">
        <f>E142*1000</f>
        <v>20000</v>
      </c>
    </row>
    <row r="143" spans="1:11" hidden="1" x14ac:dyDescent="0.25">
      <c r="C143" t="s">
        <v>338</v>
      </c>
      <c r="D143" t="s">
        <v>925</v>
      </c>
      <c r="E143">
        <v>18</v>
      </c>
      <c r="F143" s="79">
        <f>E143*1500</f>
        <v>27000</v>
      </c>
      <c r="G143" s="79">
        <f>E143*500</f>
        <v>9000</v>
      </c>
      <c r="H143" s="79">
        <f>E143*1000</f>
        <v>18000</v>
      </c>
    </row>
    <row r="144" spans="1:11" hidden="1" x14ac:dyDescent="0.25">
      <c r="C144" t="s">
        <v>24</v>
      </c>
      <c r="D144" t="s">
        <v>243</v>
      </c>
      <c r="E144">
        <v>4</v>
      </c>
      <c r="F144" s="79">
        <f>E144*12500</f>
        <v>50000</v>
      </c>
      <c r="G144" s="79">
        <f>E144*10000</f>
        <v>40000</v>
      </c>
      <c r="H144" s="79">
        <f>E144*2500</f>
        <v>10000</v>
      </c>
    </row>
    <row r="145" spans="1:8" hidden="1" x14ac:dyDescent="0.25">
      <c r="C145" t="s">
        <v>913</v>
      </c>
      <c r="D145" t="s">
        <v>243</v>
      </c>
      <c r="E145">
        <v>65</v>
      </c>
      <c r="F145" s="79"/>
      <c r="G145" s="79"/>
      <c r="H145" s="79"/>
    </row>
    <row r="146" spans="1:8" hidden="1" x14ac:dyDescent="0.25">
      <c r="C146" t="s">
        <v>846</v>
      </c>
      <c r="D146" t="s">
        <v>11</v>
      </c>
      <c r="E146">
        <v>4</v>
      </c>
      <c r="F146" s="79">
        <f>E146*3000</f>
        <v>12000</v>
      </c>
      <c r="G146" s="79">
        <f>E146*500</f>
        <v>2000</v>
      </c>
      <c r="H146" s="79">
        <f>E146*2500</f>
        <v>10000</v>
      </c>
    </row>
    <row r="147" spans="1:8" hidden="1" x14ac:dyDescent="0.25">
      <c r="D147" t="s">
        <v>13</v>
      </c>
      <c r="E147">
        <v>3</v>
      </c>
      <c r="F147" s="79">
        <f>E147*8000</f>
        <v>24000</v>
      </c>
      <c r="G147" s="79">
        <f>E147*4500</f>
        <v>13500</v>
      </c>
      <c r="H147" s="79">
        <f>E147*3500</f>
        <v>10500</v>
      </c>
    </row>
    <row r="148" spans="1:8" hidden="1" x14ac:dyDescent="0.25">
      <c r="D148" t="s">
        <v>14</v>
      </c>
      <c r="E148">
        <v>4</v>
      </c>
      <c r="F148" s="79">
        <f>E148*12000</f>
        <v>48000</v>
      </c>
      <c r="G148" s="79">
        <f>E148*5500</f>
        <v>22000</v>
      </c>
      <c r="H148" s="79">
        <f>E148*6500</f>
        <v>26000</v>
      </c>
    </row>
    <row r="149" spans="1:8" hidden="1" x14ac:dyDescent="0.25">
      <c r="D149" t="s">
        <v>902</v>
      </c>
      <c r="E149">
        <v>1</v>
      </c>
      <c r="F149" s="79">
        <v>8000</v>
      </c>
      <c r="G149" s="79">
        <v>5500</v>
      </c>
      <c r="H149" s="79">
        <v>2500</v>
      </c>
    </row>
    <row r="150" spans="1:8" hidden="1" x14ac:dyDescent="0.25">
      <c r="D150" t="s">
        <v>243</v>
      </c>
      <c r="E150">
        <v>2</v>
      </c>
      <c r="F150" s="79">
        <v>30000</v>
      </c>
      <c r="G150" s="79">
        <v>20000</v>
      </c>
      <c r="H150" s="79">
        <v>10000</v>
      </c>
    </row>
    <row r="151" spans="1:8" hidden="1" x14ac:dyDescent="0.25">
      <c r="D151" t="s">
        <v>918</v>
      </c>
      <c r="E151">
        <v>2</v>
      </c>
      <c r="F151" s="79">
        <v>30000</v>
      </c>
      <c r="G151" s="79">
        <f>E151*10000</f>
        <v>20000</v>
      </c>
      <c r="H151" s="79">
        <f>E151*5000</f>
        <v>10000</v>
      </c>
    </row>
    <row r="152" spans="1:8" hidden="1" x14ac:dyDescent="0.25">
      <c r="D152" t="s">
        <v>936</v>
      </c>
      <c r="E152">
        <v>1</v>
      </c>
      <c r="F152" s="79">
        <v>10000</v>
      </c>
      <c r="G152" s="79">
        <v>5500</v>
      </c>
      <c r="H152" s="79">
        <v>4500</v>
      </c>
    </row>
    <row r="153" spans="1:8" hidden="1" x14ac:dyDescent="0.25">
      <c r="D153" t="s">
        <v>432</v>
      </c>
      <c r="E153">
        <v>1</v>
      </c>
      <c r="F153" s="79">
        <v>8000</v>
      </c>
      <c r="G153" s="79">
        <v>5500</v>
      </c>
      <c r="H153" s="79">
        <v>2500</v>
      </c>
    </row>
    <row r="154" spans="1:8" hidden="1" x14ac:dyDescent="0.25">
      <c r="A154" s="112" t="s">
        <v>17</v>
      </c>
      <c r="B154" s="112"/>
      <c r="C154" s="112"/>
      <c r="D154" s="112"/>
      <c r="E154" s="78">
        <f>SUM(E139:E153)</f>
        <v>205</v>
      </c>
      <c r="F154" s="78">
        <f t="shared" ref="F154:H154" si="19">SUM(F139:F153)</f>
        <v>405600</v>
      </c>
      <c r="G154" s="78">
        <f t="shared" si="19"/>
        <v>193000</v>
      </c>
      <c r="H154" s="78">
        <f t="shared" si="19"/>
        <v>208600</v>
      </c>
    </row>
    <row r="155" spans="1:8" hidden="1" x14ac:dyDescent="0.25">
      <c r="A155" t="s">
        <v>26</v>
      </c>
      <c r="B155" s="3">
        <v>45703</v>
      </c>
      <c r="C155" t="s">
        <v>581</v>
      </c>
      <c r="D155" t="s">
        <v>914</v>
      </c>
      <c r="E155">
        <v>30</v>
      </c>
      <c r="F155" s="79">
        <f>E155*1600</f>
        <v>48000</v>
      </c>
      <c r="G155" s="79">
        <f>E155*500</f>
        <v>15000</v>
      </c>
      <c r="H155" s="79">
        <f>E155*1100</f>
        <v>33000</v>
      </c>
    </row>
    <row r="156" spans="1:8" hidden="1" x14ac:dyDescent="0.25">
      <c r="D156" t="s">
        <v>925</v>
      </c>
      <c r="E156">
        <v>10</v>
      </c>
      <c r="F156" s="79">
        <f>E156*1600</f>
        <v>16000</v>
      </c>
      <c r="G156" s="79">
        <f>E156*500</f>
        <v>5000</v>
      </c>
      <c r="H156" s="79">
        <f>E156*1100</f>
        <v>11000</v>
      </c>
    </row>
    <row r="157" spans="1:8" hidden="1" x14ac:dyDescent="0.25">
      <c r="C157" t="s">
        <v>104</v>
      </c>
      <c r="D157" t="s">
        <v>925</v>
      </c>
      <c r="E157">
        <v>16</v>
      </c>
      <c r="F157" s="79">
        <f>E157*1500</f>
        <v>24000</v>
      </c>
      <c r="G157" s="79">
        <f>E157*500</f>
        <v>8000</v>
      </c>
      <c r="H157" s="79">
        <v>16000</v>
      </c>
    </row>
    <row r="158" spans="1:8" hidden="1" x14ac:dyDescent="0.25">
      <c r="C158" t="s">
        <v>338</v>
      </c>
      <c r="D158" t="s">
        <v>925</v>
      </c>
      <c r="E158">
        <f>48000/1500</f>
        <v>32</v>
      </c>
      <c r="F158" s="79">
        <f>E158*1500</f>
        <v>48000</v>
      </c>
      <c r="G158" s="79">
        <f>E158*500</f>
        <v>16000</v>
      </c>
      <c r="H158" s="79">
        <f>E158*1000</f>
        <v>32000</v>
      </c>
    </row>
    <row r="159" spans="1:8" hidden="1" x14ac:dyDescent="0.25">
      <c r="C159" t="s">
        <v>846</v>
      </c>
      <c r="D159" t="s">
        <v>902</v>
      </c>
      <c r="E159">
        <v>3</v>
      </c>
      <c r="F159" s="79">
        <f>E159*8000</f>
        <v>24000</v>
      </c>
      <c r="G159" s="79">
        <f>E159*5500</f>
        <v>16500</v>
      </c>
      <c r="H159" s="79">
        <f>E159*2500</f>
        <v>7500</v>
      </c>
    </row>
    <row r="160" spans="1:8" hidden="1" x14ac:dyDescent="0.25">
      <c r="D160" t="s">
        <v>243</v>
      </c>
      <c r="E160">
        <v>1</v>
      </c>
      <c r="F160" s="79">
        <v>15000</v>
      </c>
      <c r="G160" s="79">
        <v>10000</v>
      </c>
      <c r="H160" s="79">
        <v>5000</v>
      </c>
    </row>
    <row r="161" spans="1:8" hidden="1" x14ac:dyDescent="0.25">
      <c r="D161" t="s">
        <v>919</v>
      </c>
      <c r="E161">
        <v>2</v>
      </c>
      <c r="F161" s="79">
        <v>24000</v>
      </c>
      <c r="G161" s="79">
        <f>E161*6500</f>
        <v>13000</v>
      </c>
      <c r="H161" s="79">
        <f>E161*5500</f>
        <v>11000</v>
      </c>
    </row>
    <row r="162" spans="1:8" hidden="1" x14ac:dyDescent="0.25">
      <c r="D162" t="s">
        <v>936</v>
      </c>
      <c r="E162">
        <v>1</v>
      </c>
      <c r="F162" s="79">
        <v>8000</v>
      </c>
      <c r="G162" s="79">
        <v>4000</v>
      </c>
      <c r="H162" s="79">
        <v>4000</v>
      </c>
    </row>
    <row r="163" spans="1:8" hidden="1" x14ac:dyDescent="0.25">
      <c r="C163" t="s">
        <v>24</v>
      </c>
      <c r="D163" t="s">
        <v>243</v>
      </c>
      <c r="E163">
        <v>5</v>
      </c>
      <c r="F163" s="79">
        <f>E163*14000</f>
        <v>70000</v>
      </c>
      <c r="G163" s="79">
        <f>E163*10000</f>
        <v>50000</v>
      </c>
      <c r="H163" s="79">
        <v>20000</v>
      </c>
    </row>
    <row r="164" spans="1:8" hidden="1" x14ac:dyDescent="0.25">
      <c r="A164" s="112" t="s">
        <v>17</v>
      </c>
      <c r="B164" s="112"/>
      <c r="C164" s="112"/>
      <c r="D164" s="112"/>
      <c r="E164" s="78">
        <f>SUM(E155:E163)</f>
        <v>100</v>
      </c>
      <c r="F164" s="78">
        <f t="shared" ref="F164:H164" si="20">SUM(F155:F163)</f>
        <v>277000</v>
      </c>
      <c r="G164" s="78">
        <f t="shared" si="20"/>
        <v>137500</v>
      </c>
      <c r="H164" s="78">
        <f t="shared" si="20"/>
        <v>139500</v>
      </c>
    </row>
    <row r="165" spans="1:8" hidden="1" x14ac:dyDescent="0.25">
      <c r="A165" t="s">
        <v>28</v>
      </c>
      <c r="B165" s="3">
        <v>45704</v>
      </c>
      <c r="C165" t="s">
        <v>693</v>
      </c>
      <c r="D165" t="s">
        <v>11</v>
      </c>
      <c r="E165">
        <v>2</v>
      </c>
      <c r="F165" s="79">
        <v>4000</v>
      </c>
      <c r="G165" s="79">
        <v>1000</v>
      </c>
      <c r="H165" s="79">
        <v>3000</v>
      </c>
    </row>
    <row r="166" spans="1:8" hidden="1" x14ac:dyDescent="0.25">
      <c r="D166" t="s">
        <v>914</v>
      </c>
      <c r="E166">
        <v>5</v>
      </c>
      <c r="F166" s="79">
        <f>E166*1500</f>
        <v>7500</v>
      </c>
      <c r="G166" s="79">
        <f>E166*500</f>
        <v>2500</v>
      </c>
      <c r="H166" s="79">
        <v>5000</v>
      </c>
    </row>
    <row r="167" spans="1:8" hidden="1" x14ac:dyDescent="0.25">
      <c r="D167" t="s">
        <v>13</v>
      </c>
      <c r="E167">
        <v>43</v>
      </c>
      <c r="F167" s="79">
        <f>E167*7000</f>
        <v>301000</v>
      </c>
      <c r="G167" s="79">
        <f>E167*4500</f>
        <v>193500</v>
      </c>
      <c r="H167" s="79">
        <f>E167*2500</f>
        <v>107500</v>
      </c>
    </row>
    <row r="168" spans="1:8" hidden="1" x14ac:dyDescent="0.25">
      <c r="D168" t="s">
        <v>14</v>
      </c>
      <c r="E168">
        <v>21</v>
      </c>
      <c r="F168" s="79">
        <f>E168*10000</f>
        <v>210000</v>
      </c>
      <c r="G168" s="79">
        <f>E168*5500</f>
        <v>115500</v>
      </c>
      <c r="H168" s="79">
        <f>E168*4500</f>
        <v>94500</v>
      </c>
    </row>
    <row r="169" spans="1:8" hidden="1" x14ac:dyDescent="0.25">
      <c r="D169" t="s">
        <v>243</v>
      </c>
      <c r="E169">
        <v>2</v>
      </c>
      <c r="F169" s="79">
        <f>E169*15000</f>
        <v>30000</v>
      </c>
      <c r="G169" s="79">
        <f>E169*10000</f>
        <v>20000</v>
      </c>
      <c r="H169" s="79">
        <v>10000</v>
      </c>
    </row>
    <row r="170" spans="1:8" hidden="1" x14ac:dyDescent="0.25">
      <c r="C170" t="s">
        <v>217</v>
      </c>
      <c r="D170" t="s">
        <v>11</v>
      </c>
      <c r="E170">
        <v>13</v>
      </c>
      <c r="F170" s="79">
        <f>E170*1500</f>
        <v>19500</v>
      </c>
      <c r="G170" s="79">
        <f>E170*500</f>
        <v>6500</v>
      </c>
      <c r="H170" s="79">
        <v>13000</v>
      </c>
    </row>
    <row r="171" spans="1:8" hidden="1" x14ac:dyDescent="0.25">
      <c r="D171" t="s">
        <v>13</v>
      </c>
      <c r="E171">
        <v>19</v>
      </c>
      <c r="F171" s="79">
        <f>E171*6500</f>
        <v>123500</v>
      </c>
      <c r="G171" s="79">
        <f>E171*500</f>
        <v>9500</v>
      </c>
      <c r="H171" s="79">
        <f>E171*2000</f>
        <v>38000</v>
      </c>
    </row>
    <row r="172" spans="1:8" hidden="1" x14ac:dyDescent="0.25">
      <c r="D172" t="s">
        <v>14</v>
      </c>
      <c r="E172">
        <v>9</v>
      </c>
      <c r="F172" s="79">
        <f>E172*10000</f>
        <v>90000</v>
      </c>
      <c r="G172" s="79">
        <f>E172*5500</f>
        <v>49500</v>
      </c>
      <c r="H172" s="79">
        <f>E172*4500</f>
        <v>40500</v>
      </c>
    </row>
    <row r="173" spans="1:8" hidden="1" x14ac:dyDescent="0.25">
      <c r="C173" t="s">
        <v>846</v>
      </c>
      <c r="D173" t="s">
        <v>14</v>
      </c>
      <c r="E173">
        <v>2</v>
      </c>
      <c r="F173" s="79">
        <v>24000</v>
      </c>
      <c r="G173" s="79">
        <f>E173*5500</f>
        <v>11000</v>
      </c>
      <c r="H173" s="79">
        <f>E173*6500</f>
        <v>13000</v>
      </c>
    </row>
    <row r="174" spans="1:8" hidden="1" x14ac:dyDescent="0.25">
      <c r="D174" t="s">
        <v>439</v>
      </c>
      <c r="E174">
        <v>1</v>
      </c>
      <c r="F174" s="79">
        <v>10000</v>
      </c>
      <c r="G174" s="79">
        <v>5000</v>
      </c>
      <c r="H174" s="79">
        <v>5000</v>
      </c>
    </row>
    <row r="175" spans="1:8" hidden="1" x14ac:dyDescent="0.25">
      <c r="A175" s="112" t="s">
        <v>17</v>
      </c>
      <c r="B175" s="112"/>
      <c r="C175" s="112"/>
      <c r="D175" s="112"/>
      <c r="E175" s="78">
        <f>SUM(E165:E174)</f>
        <v>117</v>
      </c>
      <c r="F175" s="78">
        <f>SUM(F165:F174)</f>
        <v>819500</v>
      </c>
      <c r="G175" s="78">
        <f>SUM(G165:G174)</f>
        <v>414000</v>
      </c>
      <c r="H175" s="78">
        <f>SUM(H165:H174)</f>
        <v>329500</v>
      </c>
    </row>
    <row r="176" spans="1:8" hidden="1" x14ac:dyDescent="0.25">
      <c r="A176" t="s">
        <v>30</v>
      </c>
      <c r="B176" s="3">
        <v>45705</v>
      </c>
      <c r="C176" t="s">
        <v>338</v>
      </c>
      <c r="D176" t="s">
        <v>925</v>
      </c>
      <c r="E176">
        <v>36</v>
      </c>
      <c r="F176" s="79">
        <f>E176*1500</f>
        <v>54000</v>
      </c>
      <c r="G176" s="79">
        <f>E176*500</f>
        <v>18000</v>
      </c>
      <c r="H176" s="79">
        <f>E176*1000</f>
        <v>36000</v>
      </c>
    </row>
    <row r="177" spans="1:8" hidden="1" x14ac:dyDescent="0.25">
      <c r="C177" t="s">
        <v>581</v>
      </c>
      <c r="D177" t="s">
        <v>914</v>
      </c>
      <c r="E177">
        <v>69</v>
      </c>
      <c r="F177" s="79">
        <f>E177*1600</f>
        <v>110400</v>
      </c>
      <c r="G177" s="79">
        <f>E177*500</f>
        <v>34500</v>
      </c>
      <c r="H177" s="79">
        <f>E177*1100</f>
        <v>75900</v>
      </c>
    </row>
    <row r="178" spans="1:8" hidden="1" x14ac:dyDescent="0.25">
      <c r="D178" t="s">
        <v>925</v>
      </c>
      <c r="E178">
        <v>14</v>
      </c>
      <c r="F178" s="79">
        <f>E178*1600</f>
        <v>22400</v>
      </c>
      <c r="G178" s="79">
        <f>E178*500</f>
        <v>7000</v>
      </c>
      <c r="H178" s="79">
        <f>E178*1100</f>
        <v>15400</v>
      </c>
    </row>
    <row r="179" spans="1:8" hidden="1" x14ac:dyDescent="0.25">
      <c r="C179" t="s">
        <v>104</v>
      </c>
      <c r="D179" t="s">
        <v>925</v>
      </c>
      <c r="E179">
        <v>18</v>
      </c>
      <c r="F179" s="79">
        <f>E179*1500</f>
        <v>27000</v>
      </c>
      <c r="G179" s="79">
        <f>E179*500</f>
        <v>9000</v>
      </c>
      <c r="H179" s="79">
        <f>E179*1000</f>
        <v>18000</v>
      </c>
    </row>
    <row r="180" spans="1:8" hidden="1" x14ac:dyDescent="0.25">
      <c r="C180" t="s">
        <v>571</v>
      </c>
      <c r="D180" t="s">
        <v>11</v>
      </c>
      <c r="E180">
        <v>11</v>
      </c>
      <c r="F180" s="79">
        <f>E180*1700</f>
        <v>18700</v>
      </c>
      <c r="G180" s="79">
        <f>E180*500</f>
        <v>5500</v>
      </c>
      <c r="H180" s="79">
        <f>E180*1200</f>
        <v>13200</v>
      </c>
    </row>
    <row r="181" spans="1:8" hidden="1" x14ac:dyDescent="0.25">
      <c r="C181" t="s">
        <v>913</v>
      </c>
      <c r="D181" t="s">
        <v>243</v>
      </c>
      <c r="E181">
        <v>40</v>
      </c>
      <c r="F181" s="79">
        <f>E181*11000</f>
        <v>440000</v>
      </c>
      <c r="G181" s="79">
        <f>E181*10000</f>
        <v>400000</v>
      </c>
      <c r="H181" s="79">
        <f>E181*1000</f>
        <v>40000</v>
      </c>
    </row>
    <row r="182" spans="1:8" hidden="1" x14ac:dyDescent="0.25">
      <c r="D182" t="s">
        <v>243</v>
      </c>
      <c r="E182">
        <v>50</v>
      </c>
      <c r="F182" s="79">
        <f>E182*11000</f>
        <v>550000</v>
      </c>
      <c r="G182" s="79">
        <f>E182*8500</f>
        <v>425000</v>
      </c>
      <c r="H182" s="79">
        <f>E182*2500</f>
        <v>125000</v>
      </c>
    </row>
    <row r="183" spans="1:8" hidden="1" x14ac:dyDescent="0.25">
      <c r="C183" t="s">
        <v>24</v>
      </c>
      <c r="D183" t="s">
        <v>243</v>
      </c>
      <c r="E183">
        <v>7</v>
      </c>
      <c r="F183" s="79">
        <f>E183*15000</f>
        <v>105000</v>
      </c>
      <c r="G183" s="79">
        <f>E183*10000</f>
        <v>70000</v>
      </c>
      <c r="H183" s="79">
        <f>E183*5000</f>
        <v>35000</v>
      </c>
    </row>
    <row r="184" spans="1:8" hidden="1" x14ac:dyDescent="0.25">
      <c r="A184" s="112" t="s">
        <v>17</v>
      </c>
      <c r="B184" s="112"/>
      <c r="C184" s="112"/>
      <c r="D184" s="112"/>
      <c r="E184" s="78">
        <f>SUM(E176:E183)</f>
        <v>245</v>
      </c>
      <c r="F184" s="78">
        <f t="shared" ref="F184:H184" si="21">SUM(F176:F183)</f>
        <v>1327500</v>
      </c>
      <c r="G184" s="78">
        <f t="shared" si="21"/>
        <v>969000</v>
      </c>
      <c r="H184" s="78">
        <f t="shared" si="21"/>
        <v>358500</v>
      </c>
    </row>
    <row r="185" spans="1:8" hidden="1" x14ac:dyDescent="0.25">
      <c r="A185" t="s">
        <v>32</v>
      </c>
      <c r="B185" s="3">
        <v>45706</v>
      </c>
      <c r="C185" t="s">
        <v>338</v>
      </c>
      <c r="D185" t="s">
        <v>925</v>
      </c>
      <c r="E185">
        <v>20</v>
      </c>
      <c r="F185" s="79">
        <f>E185*1500</f>
        <v>30000</v>
      </c>
      <c r="G185" s="79">
        <f>E185*500</f>
        <v>10000</v>
      </c>
      <c r="H185" s="79">
        <v>20000</v>
      </c>
    </row>
    <row r="186" spans="1:8" hidden="1" x14ac:dyDescent="0.25">
      <c r="C186" t="s">
        <v>581</v>
      </c>
      <c r="D186" t="s">
        <v>914</v>
      </c>
      <c r="E186">
        <v>35</v>
      </c>
      <c r="F186" s="79">
        <f>E186*1600</f>
        <v>56000</v>
      </c>
      <c r="G186" s="79">
        <f>E186*500</f>
        <v>17500</v>
      </c>
      <c r="H186" s="79">
        <f>E186*1100</f>
        <v>38500</v>
      </c>
    </row>
    <row r="187" spans="1:8" hidden="1" x14ac:dyDescent="0.25">
      <c r="D187" t="s">
        <v>925</v>
      </c>
      <c r="E187">
        <v>8</v>
      </c>
      <c r="F187" s="79">
        <f>E187*1500</f>
        <v>12000</v>
      </c>
      <c r="G187" s="79">
        <f>E187*500</f>
        <v>4000</v>
      </c>
      <c r="H187" s="79">
        <f>E187*1100</f>
        <v>8800</v>
      </c>
    </row>
    <row r="188" spans="1:8" hidden="1" x14ac:dyDescent="0.25">
      <c r="C188" t="s">
        <v>571</v>
      </c>
      <c r="D188" t="s">
        <v>11</v>
      </c>
      <c r="E188">
        <v>17</v>
      </c>
      <c r="F188" s="79">
        <f>E188*1700</f>
        <v>28900</v>
      </c>
      <c r="G188" s="79">
        <f>E188*500</f>
        <v>8500</v>
      </c>
      <c r="H188" s="79">
        <f>E188*1200</f>
        <v>20400</v>
      </c>
    </row>
    <row r="189" spans="1:8" hidden="1" x14ac:dyDescent="0.25">
      <c r="C189" t="s">
        <v>846</v>
      </c>
      <c r="D189" t="s">
        <v>902</v>
      </c>
      <c r="E189">
        <v>2</v>
      </c>
      <c r="F189" s="79">
        <v>16000</v>
      </c>
      <c r="G189" s="79">
        <f>E189*5500</f>
        <v>11000</v>
      </c>
      <c r="H189" s="79">
        <f>E189*2500</f>
        <v>5000</v>
      </c>
    </row>
    <row r="190" spans="1:8" hidden="1" x14ac:dyDescent="0.25">
      <c r="D190" t="s">
        <v>918</v>
      </c>
      <c r="E190">
        <v>1</v>
      </c>
      <c r="F190" s="79">
        <v>15000</v>
      </c>
      <c r="G190" s="79">
        <v>10000</v>
      </c>
      <c r="H190" s="79">
        <v>5000</v>
      </c>
    </row>
    <row r="191" spans="1:8" hidden="1" x14ac:dyDescent="0.25">
      <c r="A191" s="112" t="s">
        <v>17</v>
      </c>
      <c r="B191" s="112"/>
      <c r="C191" s="112"/>
      <c r="D191" s="112"/>
      <c r="E191" s="78">
        <f>SUM(E185:E190)</f>
        <v>83</v>
      </c>
      <c r="F191" s="78">
        <f t="shared" ref="F191:H191" si="22">SUM(F185:F190)</f>
        <v>157900</v>
      </c>
      <c r="G191" s="78">
        <f t="shared" si="22"/>
        <v>61000</v>
      </c>
      <c r="H191" s="78">
        <f t="shared" si="22"/>
        <v>97700</v>
      </c>
    </row>
    <row r="192" spans="1:8" hidden="1" x14ac:dyDescent="0.25">
      <c r="A192" t="s">
        <v>8</v>
      </c>
      <c r="B192" s="3">
        <v>45707</v>
      </c>
      <c r="C192" t="s">
        <v>338</v>
      </c>
      <c r="D192" t="s">
        <v>925</v>
      </c>
      <c r="E192">
        <v>18</v>
      </c>
      <c r="F192" s="79">
        <f>E192*1500</f>
        <v>27000</v>
      </c>
      <c r="G192" s="79">
        <f>E192*500</f>
        <v>9000</v>
      </c>
      <c r="H192" s="79">
        <f>E192*1000</f>
        <v>18000</v>
      </c>
    </row>
    <row r="193" spans="1:8" hidden="1" x14ac:dyDescent="0.25">
      <c r="C193" t="s">
        <v>571</v>
      </c>
      <c r="D193" t="s">
        <v>11</v>
      </c>
      <c r="E193">
        <v>30</v>
      </c>
      <c r="F193" s="79">
        <f>E193*1700</f>
        <v>51000</v>
      </c>
      <c r="G193" s="79">
        <f>E193*500</f>
        <v>15000</v>
      </c>
      <c r="H193" s="79">
        <f>E193*1200</f>
        <v>36000</v>
      </c>
    </row>
    <row r="194" spans="1:8" hidden="1" x14ac:dyDescent="0.25">
      <c r="C194" t="s">
        <v>104</v>
      </c>
      <c r="D194" t="s">
        <v>925</v>
      </c>
      <c r="E194">
        <v>40</v>
      </c>
      <c r="F194" s="79">
        <f>E194*1500</f>
        <v>60000</v>
      </c>
      <c r="G194" s="79">
        <f>E194*5500</f>
        <v>220000</v>
      </c>
      <c r="H194" s="79">
        <f>E194*1000</f>
        <v>40000</v>
      </c>
    </row>
    <row r="195" spans="1:8" hidden="1" x14ac:dyDescent="0.25">
      <c r="C195" t="s">
        <v>24</v>
      </c>
      <c r="D195" t="s">
        <v>243</v>
      </c>
      <c r="E195">
        <v>1</v>
      </c>
      <c r="F195" s="79">
        <v>15000</v>
      </c>
      <c r="G195" s="79">
        <v>10000</v>
      </c>
      <c r="H195" s="79">
        <v>5000</v>
      </c>
    </row>
    <row r="196" spans="1:8" hidden="1" x14ac:dyDescent="0.25">
      <c r="C196" t="s">
        <v>846</v>
      </c>
      <c r="D196" t="s">
        <v>14</v>
      </c>
      <c r="E196">
        <v>1</v>
      </c>
      <c r="F196" s="79">
        <f>E196*12000</f>
        <v>12000</v>
      </c>
      <c r="G196" s="79">
        <f>E196*5500</f>
        <v>5500</v>
      </c>
      <c r="H196" s="79">
        <f>E196*6500</f>
        <v>6500</v>
      </c>
    </row>
    <row r="197" spans="1:8" hidden="1" x14ac:dyDescent="0.25">
      <c r="D197" t="s">
        <v>902</v>
      </c>
      <c r="E197">
        <v>3</v>
      </c>
      <c r="F197" s="79">
        <f>E197*8000</f>
        <v>24000</v>
      </c>
      <c r="G197" s="79">
        <f>E197*5500</f>
        <v>16500</v>
      </c>
      <c r="H197" s="79">
        <f>E197*2500</f>
        <v>7500</v>
      </c>
    </row>
    <row r="198" spans="1:8" hidden="1" x14ac:dyDescent="0.25">
      <c r="D198" t="s">
        <v>243</v>
      </c>
      <c r="E198">
        <v>1</v>
      </c>
      <c r="F198" s="79">
        <v>15000</v>
      </c>
      <c r="G198" s="79">
        <v>10000</v>
      </c>
      <c r="H198" s="79">
        <v>5000</v>
      </c>
    </row>
    <row r="199" spans="1:8" hidden="1" x14ac:dyDescent="0.25">
      <c r="C199" t="s">
        <v>937</v>
      </c>
      <c r="D199" t="s">
        <v>938</v>
      </c>
      <c r="E199">
        <v>60</v>
      </c>
      <c r="F199" s="79"/>
      <c r="G199" s="79"/>
      <c r="H199" s="79"/>
    </row>
    <row r="200" spans="1:8" hidden="1" x14ac:dyDescent="0.25">
      <c r="A200" s="112" t="s">
        <v>17</v>
      </c>
      <c r="B200" s="112"/>
      <c r="C200" s="112"/>
      <c r="D200" s="112"/>
      <c r="E200" s="78">
        <f>SUM(E192:E199)</f>
        <v>154</v>
      </c>
      <c r="F200" s="78">
        <f t="shared" ref="F200:H200" si="23">SUM(F192:F199)</f>
        <v>204000</v>
      </c>
      <c r="G200" s="78">
        <f t="shared" si="23"/>
        <v>286000</v>
      </c>
      <c r="H200" s="78">
        <f t="shared" si="23"/>
        <v>118000</v>
      </c>
    </row>
    <row r="201" spans="1:8" hidden="1" x14ac:dyDescent="0.25">
      <c r="A201" t="s">
        <v>18</v>
      </c>
      <c r="B201" s="3">
        <v>45708</v>
      </c>
      <c r="C201" t="s">
        <v>338</v>
      </c>
      <c r="D201" t="s">
        <v>925</v>
      </c>
      <c r="E201">
        <v>27</v>
      </c>
      <c r="F201" s="79">
        <f>E201*1500</f>
        <v>40500</v>
      </c>
      <c r="G201" s="79">
        <f>E201*500</f>
        <v>13500</v>
      </c>
      <c r="H201" s="79">
        <f>E201*1000</f>
        <v>27000</v>
      </c>
    </row>
    <row r="202" spans="1:8" hidden="1" x14ac:dyDescent="0.25">
      <c r="C202" t="s">
        <v>703</v>
      </c>
      <c r="D202" t="s">
        <v>11</v>
      </c>
      <c r="E202">
        <v>20</v>
      </c>
      <c r="F202" s="79">
        <f>E202*1700</f>
        <v>34000</v>
      </c>
      <c r="G202" s="79">
        <f>E202*500</f>
        <v>10000</v>
      </c>
      <c r="H202" s="79">
        <f>E202*1000</f>
        <v>20000</v>
      </c>
    </row>
    <row r="203" spans="1:8" hidden="1" x14ac:dyDescent="0.25">
      <c r="C203" t="s">
        <v>104</v>
      </c>
      <c r="D203" t="s">
        <v>925</v>
      </c>
      <c r="E203">
        <v>20</v>
      </c>
      <c r="F203" s="79">
        <f>E203*1500</f>
        <v>30000</v>
      </c>
      <c r="G203" s="79">
        <f>E203*500</f>
        <v>10000</v>
      </c>
      <c r="H203" s="79">
        <v>20000</v>
      </c>
    </row>
    <row r="204" spans="1:8" hidden="1" x14ac:dyDescent="0.25">
      <c r="C204" t="s">
        <v>581</v>
      </c>
      <c r="D204" t="s">
        <v>914</v>
      </c>
      <c r="E204">
        <v>34</v>
      </c>
      <c r="F204" s="79">
        <f>E204*1600</f>
        <v>54400</v>
      </c>
      <c r="G204" s="79">
        <f>E204*500</f>
        <v>17000</v>
      </c>
      <c r="H204" s="79">
        <f>E204*1100</f>
        <v>37400</v>
      </c>
    </row>
    <row r="205" spans="1:8" hidden="1" x14ac:dyDescent="0.25">
      <c r="D205" t="s">
        <v>925</v>
      </c>
      <c r="E205">
        <v>8</v>
      </c>
      <c r="F205" s="79">
        <f>E205*1600</f>
        <v>12800</v>
      </c>
      <c r="G205" s="79">
        <f>E205*500</f>
        <v>4000</v>
      </c>
      <c r="H205" s="79">
        <f>E205*1100</f>
        <v>8800</v>
      </c>
    </row>
    <row r="206" spans="1:8" hidden="1" x14ac:dyDescent="0.25">
      <c r="C206" t="s">
        <v>913</v>
      </c>
      <c r="D206" t="s">
        <v>243</v>
      </c>
      <c r="E206">
        <v>90</v>
      </c>
      <c r="F206" s="79">
        <f>E206*11000</f>
        <v>990000</v>
      </c>
      <c r="G206" s="79">
        <f>E206*8500</f>
        <v>765000</v>
      </c>
      <c r="H206" s="79">
        <f>E206*1500</f>
        <v>135000</v>
      </c>
    </row>
    <row r="207" spans="1:8" hidden="1" x14ac:dyDescent="0.25">
      <c r="C207" t="s">
        <v>24</v>
      </c>
      <c r="D207" t="s">
        <v>243</v>
      </c>
      <c r="E207">
        <v>4</v>
      </c>
      <c r="F207" s="79">
        <f>E207*15000</f>
        <v>60000</v>
      </c>
      <c r="G207" s="79">
        <f>E207*8500</f>
        <v>34000</v>
      </c>
      <c r="H207" s="79">
        <f>E207*6500</f>
        <v>26000</v>
      </c>
    </row>
    <row r="208" spans="1:8" hidden="1" x14ac:dyDescent="0.25">
      <c r="C208" t="s">
        <v>846</v>
      </c>
      <c r="D208" t="s">
        <v>11</v>
      </c>
      <c r="E208">
        <v>1</v>
      </c>
      <c r="F208" s="79">
        <v>3000</v>
      </c>
      <c r="G208" s="79">
        <v>500</v>
      </c>
      <c r="H208" s="79">
        <v>2500</v>
      </c>
    </row>
    <row r="209" spans="1:11" hidden="1" x14ac:dyDescent="0.25">
      <c r="D209" t="s">
        <v>13</v>
      </c>
      <c r="E209">
        <v>1</v>
      </c>
      <c r="F209" s="79">
        <v>8000</v>
      </c>
      <c r="G209" s="79">
        <v>4500</v>
      </c>
      <c r="H209" s="79">
        <v>3500</v>
      </c>
    </row>
    <row r="210" spans="1:11" hidden="1" x14ac:dyDescent="0.25">
      <c r="D210" t="s">
        <v>14</v>
      </c>
      <c r="E210">
        <v>2</v>
      </c>
      <c r="F210" s="79">
        <v>24000</v>
      </c>
      <c r="G210" s="79">
        <f>E210*5500</f>
        <v>11000</v>
      </c>
      <c r="H210" s="79">
        <f>E210*6500</f>
        <v>13000</v>
      </c>
    </row>
    <row r="211" spans="1:11" hidden="1" x14ac:dyDescent="0.25">
      <c r="D211" t="s">
        <v>902</v>
      </c>
      <c r="E211">
        <v>1</v>
      </c>
      <c r="F211" s="79">
        <v>8000</v>
      </c>
      <c r="G211" s="79">
        <v>5500</v>
      </c>
      <c r="H211" s="79">
        <v>2500</v>
      </c>
    </row>
    <row r="212" spans="1:11" hidden="1" x14ac:dyDescent="0.25">
      <c r="D212" t="s">
        <v>918</v>
      </c>
      <c r="E212">
        <v>1</v>
      </c>
      <c r="F212" s="79">
        <v>15000</v>
      </c>
      <c r="G212" s="79">
        <v>10000</v>
      </c>
      <c r="H212" s="79">
        <v>5000</v>
      </c>
    </row>
    <row r="213" spans="1:11" hidden="1" x14ac:dyDescent="0.25">
      <c r="A213" s="112" t="s">
        <v>17</v>
      </c>
      <c r="B213" s="112"/>
      <c r="C213" s="112"/>
      <c r="D213" s="112"/>
      <c r="E213" s="78">
        <f>SUM(E201:E212)</f>
        <v>209</v>
      </c>
      <c r="F213" s="78">
        <f t="shared" ref="F213:H213" si="24">SUM(F201:F212)</f>
        <v>1279700</v>
      </c>
      <c r="G213" s="78">
        <f t="shared" si="24"/>
        <v>885000</v>
      </c>
      <c r="H213" s="78">
        <f t="shared" si="24"/>
        <v>300700</v>
      </c>
    </row>
    <row r="214" spans="1:11" hidden="1" x14ac:dyDescent="0.25">
      <c r="A214" t="s">
        <v>22</v>
      </c>
      <c r="B214" s="3">
        <v>45709</v>
      </c>
      <c r="C214" t="s">
        <v>338</v>
      </c>
      <c r="D214" t="s">
        <v>925</v>
      </c>
      <c r="E214">
        <f>40500/1500</f>
        <v>27</v>
      </c>
      <c r="F214" s="79">
        <f>E214*1500</f>
        <v>40500</v>
      </c>
      <c r="G214" s="79">
        <f>E214*500</f>
        <v>13500</v>
      </c>
      <c r="H214" s="79">
        <f>E214*1000</f>
        <v>27000</v>
      </c>
      <c r="K214">
        <f>E260+E225+E214+E201+E192+E185+E176+E158+E143+E128+E112+E103+E92+E62+E54+E43+E36+E27</f>
        <v>681</v>
      </c>
    </row>
    <row r="215" spans="1:11" hidden="1" x14ac:dyDescent="0.25">
      <c r="C215" t="s">
        <v>104</v>
      </c>
      <c r="D215" t="s">
        <v>925</v>
      </c>
      <c r="E215">
        <f>45000/1500</f>
        <v>30</v>
      </c>
      <c r="F215" s="79">
        <f>E215*1500</f>
        <v>45000</v>
      </c>
      <c r="G215" s="79">
        <f>E215*500</f>
        <v>15000</v>
      </c>
      <c r="H215" s="79">
        <v>30000</v>
      </c>
    </row>
    <row r="216" spans="1:11" hidden="1" x14ac:dyDescent="0.25">
      <c r="C216" t="s">
        <v>581</v>
      </c>
      <c r="D216" t="s">
        <v>914</v>
      </c>
      <c r="E216">
        <v>35</v>
      </c>
      <c r="F216" s="79">
        <f>E216*1600</f>
        <v>56000</v>
      </c>
      <c r="G216" s="79">
        <f>E216*500</f>
        <v>17500</v>
      </c>
      <c r="H216" s="79">
        <f>E216*1100</f>
        <v>38500</v>
      </c>
    </row>
    <row r="217" spans="1:11" hidden="1" x14ac:dyDescent="0.25">
      <c r="C217" t="s">
        <v>581</v>
      </c>
      <c r="D217" t="s">
        <v>925</v>
      </c>
      <c r="E217">
        <v>7</v>
      </c>
      <c r="F217" s="79">
        <f>E217*1500</f>
        <v>10500</v>
      </c>
      <c r="G217" s="79">
        <f>E217*500</f>
        <v>3500</v>
      </c>
      <c r="H217" s="79">
        <v>7000</v>
      </c>
    </row>
    <row r="218" spans="1:11" hidden="1" x14ac:dyDescent="0.25">
      <c r="C218" t="s">
        <v>874</v>
      </c>
      <c r="D218" t="s">
        <v>11</v>
      </c>
      <c r="E218">
        <v>25</v>
      </c>
      <c r="F218" s="79">
        <f>E218*1700</f>
        <v>42500</v>
      </c>
      <c r="G218" s="79">
        <f>E218*500</f>
        <v>12500</v>
      </c>
      <c r="H218" s="79">
        <f>E218*1200</f>
        <v>30000</v>
      </c>
    </row>
    <row r="219" spans="1:11" hidden="1" x14ac:dyDescent="0.25">
      <c r="C219" t="s">
        <v>846</v>
      </c>
      <c r="D219" t="s">
        <v>13</v>
      </c>
      <c r="E219">
        <v>4</v>
      </c>
      <c r="F219" s="79">
        <f>E219*8000</f>
        <v>32000</v>
      </c>
      <c r="G219" s="79">
        <f>E219*4500</f>
        <v>18000</v>
      </c>
      <c r="H219" s="79">
        <f>E219*3500</f>
        <v>14000</v>
      </c>
    </row>
    <row r="220" spans="1:11" hidden="1" x14ac:dyDescent="0.25">
      <c r="D220" t="s">
        <v>14</v>
      </c>
      <c r="E220">
        <v>2</v>
      </c>
      <c r="F220" s="79">
        <f>E220*12000</f>
        <v>24000</v>
      </c>
      <c r="G220" s="79">
        <f>E220*5500</f>
        <v>11000</v>
      </c>
      <c r="H220" s="79">
        <f>E220*6500</f>
        <v>13000</v>
      </c>
    </row>
    <row r="221" spans="1:11" hidden="1" x14ac:dyDescent="0.25">
      <c r="D221" t="s">
        <v>918</v>
      </c>
      <c r="E221">
        <v>2</v>
      </c>
      <c r="F221" s="79">
        <v>30000</v>
      </c>
      <c r="G221" s="79">
        <v>20000</v>
      </c>
      <c r="H221" s="79">
        <v>10000</v>
      </c>
    </row>
    <row r="222" spans="1:11" hidden="1" x14ac:dyDescent="0.25">
      <c r="C222" t="s">
        <v>908</v>
      </c>
      <c r="D222" t="s">
        <v>13</v>
      </c>
      <c r="E222">
        <v>30</v>
      </c>
      <c r="F222" s="79"/>
      <c r="G222" s="79"/>
      <c r="H222" s="79"/>
    </row>
    <row r="223" spans="1:11" hidden="1" x14ac:dyDescent="0.25">
      <c r="C223" t="s">
        <v>939</v>
      </c>
      <c r="D223" t="s">
        <v>13</v>
      </c>
      <c r="E223">
        <v>40</v>
      </c>
      <c r="F223" s="79"/>
      <c r="G223" s="79"/>
      <c r="H223" s="79"/>
    </row>
    <row r="224" spans="1:11" hidden="1" x14ac:dyDescent="0.25">
      <c r="A224" s="112" t="s">
        <v>17</v>
      </c>
      <c r="B224" s="112"/>
      <c r="C224" s="112"/>
      <c r="D224" s="112"/>
      <c r="E224" s="78">
        <f>SUM(E214:E223)</f>
        <v>202</v>
      </c>
      <c r="F224" s="78">
        <f t="shared" ref="F224:H224" si="25">SUM(F214:F223)</f>
        <v>280500</v>
      </c>
      <c r="G224" s="78">
        <f t="shared" si="25"/>
        <v>111000</v>
      </c>
      <c r="H224" s="78">
        <f t="shared" si="25"/>
        <v>169500</v>
      </c>
    </row>
    <row r="225" spans="1:8" hidden="1" x14ac:dyDescent="0.25">
      <c r="A225" t="s">
        <v>26</v>
      </c>
      <c r="B225" s="3">
        <v>45710</v>
      </c>
      <c r="C225" t="s">
        <v>338</v>
      </c>
      <c r="D225" t="s">
        <v>925</v>
      </c>
      <c r="E225">
        <v>24</v>
      </c>
      <c r="F225" s="79">
        <f>E225*1500</f>
        <v>36000</v>
      </c>
      <c r="G225" s="79">
        <f>E225*500</f>
        <v>12000</v>
      </c>
      <c r="H225" s="79">
        <v>24000</v>
      </c>
    </row>
    <row r="226" spans="1:8" hidden="1" x14ac:dyDescent="0.25">
      <c r="C226" t="s">
        <v>581</v>
      </c>
      <c r="D226" t="s">
        <v>914</v>
      </c>
      <c r="E226">
        <v>15</v>
      </c>
      <c r="F226" s="79">
        <f>E226*1600</f>
        <v>24000</v>
      </c>
      <c r="G226" s="79">
        <f>E226*500</f>
        <v>7500</v>
      </c>
      <c r="H226" s="79">
        <f>E226*1100</f>
        <v>16500</v>
      </c>
    </row>
    <row r="227" spans="1:8" hidden="1" x14ac:dyDescent="0.25">
      <c r="C227" t="s">
        <v>104</v>
      </c>
      <c r="D227" t="s">
        <v>925</v>
      </c>
      <c r="E227">
        <v>24</v>
      </c>
      <c r="F227" s="79">
        <f>E227*1500</f>
        <v>36000</v>
      </c>
      <c r="G227" s="79">
        <f>E227*500</f>
        <v>12000</v>
      </c>
      <c r="H227" s="79">
        <v>24000</v>
      </c>
    </row>
    <row r="228" spans="1:8" hidden="1" x14ac:dyDescent="0.25">
      <c r="A228" s="112" t="s">
        <v>17</v>
      </c>
      <c r="B228" s="112"/>
      <c r="C228" s="112"/>
      <c r="D228" s="112"/>
      <c r="E228" s="78">
        <f>SUM(E225:E227)</f>
        <v>63</v>
      </c>
      <c r="F228" s="78">
        <f t="shared" ref="F228:H228" si="26">SUM(F225:F227)</f>
        <v>96000</v>
      </c>
      <c r="G228" s="78">
        <f t="shared" si="26"/>
        <v>31500</v>
      </c>
      <c r="H228" s="78">
        <f t="shared" si="26"/>
        <v>64500</v>
      </c>
    </row>
    <row r="229" spans="1:8" hidden="1" x14ac:dyDescent="0.25">
      <c r="A229" t="s">
        <v>28</v>
      </c>
      <c r="B229" s="3">
        <v>45711</v>
      </c>
      <c r="C229" t="s">
        <v>693</v>
      </c>
      <c r="D229" t="s">
        <v>11</v>
      </c>
      <c r="E229">
        <v>10</v>
      </c>
      <c r="F229" s="79">
        <f>E229*2000</f>
        <v>20000</v>
      </c>
      <c r="G229" s="79">
        <f>E229*500</f>
        <v>5000</v>
      </c>
      <c r="H229" s="79">
        <f>E229*1500</f>
        <v>15000</v>
      </c>
    </row>
    <row r="230" spans="1:8" hidden="1" x14ac:dyDescent="0.25">
      <c r="D230" t="s">
        <v>13</v>
      </c>
      <c r="E230">
        <v>41</v>
      </c>
      <c r="F230" s="79">
        <f>E230*7000</f>
        <v>287000</v>
      </c>
      <c r="G230" s="79">
        <f>E230*4500</f>
        <v>184500</v>
      </c>
      <c r="H230" s="79">
        <f>E230*2500</f>
        <v>102500</v>
      </c>
    </row>
    <row r="231" spans="1:8" hidden="1" x14ac:dyDescent="0.25">
      <c r="D231" t="s">
        <v>14</v>
      </c>
      <c r="E231">
        <v>26</v>
      </c>
      <c r="F231" s="79">
        <f>E231*10000</f>
        <v>260000</v>
      </c>
      <c r="G231" s="79">
        <f>E231*5500</f>
        <v>143000</v>
      </c>
      <c r="H231" s="79">
        <f>E231*4500</f>
        <v>117000</v>
      </c>
    </row>
    <row r="232" spans="1:8" hidden="1" x14ac:dyDescent="0.25">
      <c r="D232" t="s">
        <v>243</v>
      </c>
      <c r="E232">
        <v>2</v>
      </c>
      <c r="F232" s="79">
        <f>E232*15000</f>
        <v>30000</v>
      </c>
      <c r="G232" s="79">
        <f>E232*10000</f>
        <v>20000</v>
      </c>
      <c r="H232" s="79">
        <f>E232*5000</f>
        <v>10000</v>
      </c>
    </row>
    <row r="233" spans="1:8" hidden="1" x14ac:dyDescent="0.25">
      <c r="C233" t="s">
        <v>217</v>
      </c>
      <c r="D233" t="s">
        <v>11</v>
      </c>
      <c r="E233">
        <v>6</v>
      </c>
      <c r="F233" s="79">
        <f>E233*1500</f>
        <v>9000</v>
      </c>
      <c r="G233" s="79">
        <f>E233*500</f>
        <v>3000</v>
      </c>
      <c r="H233" s="79">
        <f>E233*1000</f>
        <v>6000</v>
      </c>
    </row>
    <row r="234" spans="1:8" hidden="1" x14ac:dyDescent="0.25">
      <c r="D234" t="s">
        <v>13</v>
      </c>
      <c r="E234">
        <v>14</v>
      </c>
      <c r="F234" s="79">
        <f>E234*6500</f>
        <v>91000</v>
      </c>
      <c r="G234" s="79">
        <f>E234*4500</f>
        <v>63000</v>
      </c>
      <c r="H234" s="79">
        <f>E234*2500</f>
        <v>35000</v>
      </c>
    </row>
    <row r="235" spans="1:8" hidden="1" x14ac:dyDescent="0.25">
      <c r="D235" t="s">
        <v>14</v>
      </c>
      <c r="E235">
        <v>11</v>
      </c>
      <c r="F235" s="79">
        <f>E235*10000</f>
        <v>110000</v>
      </c>
      <c r="G235" s="79">
        <f>E235*5500</f>
        <v>60500</v>
      </c>
      <c r="H235" s="79">
        <f>E235*4500</f>
        <v>49500</v>
      </c>
    </row>
    <row r="236" spans="1:8" hidden="1" x14ac:dyDescent="0.25">
      <c r="C236" t="s">
        <v>913</v>
      </c>
      <c r="D236" t="s">
        <v>243</v>
      </c>
      <c r="E236">
        <v>30</v>
      </c>
      <c r="F236" s="79"/>
      <c r="G236" s="79"/>
      <c r="H236" s="79"/>
    </row>
    <row r="237" spans="1:8" hidden="1" x14ac:dyDescent="0.25">
      <c r="C237" t="s">
        <v>846</v>
      </c>
      <c r="D237" t="s">
        <v>13</v>
      </c>
      <c r="E237">
        <v>3</v>
      </c>
      <c r="F237" s="79">
        <f>E237*8000</f>
        <v>24000</v>
      </c>
      <c r="G237" s="79">
        <f>E237*4500</f>
        <v>13500</v>
      </c>
      <c r="H237" s="79">
        <f>E237*3500</f>
        <v>10500</v>
      </c>
    </row>
    <row r="238" spans="1:8" hidden="1" x14ac:dyDescent="0.25">
      <c r="D238" t="s">
        <v>14</v>
      </c>
      <c r="E238">
        <v>1</v>
      </c>
      <c r="F238" s="79">
        <v>12000</v>
      </c>
      <c r="G238" s="79">
        <v>5500</v>
      </c>
      <c r="H238" s="79">
        <v>6500</v>
      </c>
    </row>
    <row r="239" spans="1:8" hidden="1" x14ac:dyDescent="0.25">
      <c r="D239" t="s">
        <v>902</v>
      </c>
      <c r="E239">
        <v>5</v>
      </c>
      <c r="F239" s="79">
        <f>E239*8000</f>
        <v>40000</v>
      </c>
      <c r="G239" s="79">
        <f>E239*5500</f>
        <v>27500</v>
      </c>
      <c r="H239" s="79">
        <f>E239*2500</f>
        <v>12500</v>
      </c>
    </row>
    <row r="240" spans="1:8" hidden="1" x14ac:dyDescent="0.25">
      <c r="D240" t="s">
        <v>919</v>
      </c>
      <c r="E240">
        <v>2</v>
      </c>
      <c r="F240" s="79">
        <f>E240*12000</f>
        <v>24000</v>
      </c>
      <c r="G240" s="79">
        <f>E240*6500</f>
        <v>13000</v>
      </c>
      <c r="H240" s="79">
        <f>E240*5500</f>
        <v>11000</v>
      </c>
    </row>
    <row r="241" spans="1:11" hidden="1" x14ac:dyDescent="0.25">
      <c r="D241" t="s">
        <v>940</v>
      </c>
      <c r="E241">
        <v>1</v>
      </c>
      <c r="F241" s="79">
        <v>10000</v>
      </c>
      <c r="G241" s="79">
        <v>5000</v>
      </c>
      <c r="H241" s="79">
        <v>5000</v>
      </c>
    </row>
    <row r="242" spans="1:11" hidden="1" x14ac:dyDescent="0.25">
      <c r="A242" s="112" t="s">
        <v>17</v>
      </c>
      <c r="B242" s="112"/>
      <c r="C242" s="112"/>
      <c r="D242" s="112"/>
      <c r="E242" s="78">
        <f>SUM(E229:E241)</f>
        <v>152</v>
      </c>
      <c r="F242" s="78">
        <f t="shared" ref="F242:H242" si="27">SUM(F229:F241)</f>
        <v>917000</v>
      </c>
      <c r="G242" s="78">
        <f t="shared" si="27"/>
        <v>543500</v>
      </c>
      <c r="H242" s="78">
        <f t="shared" si="27"/>
        <v>380500</v>
      </c>
    </row>
    <row r="243" spans="1:11" hidden="1" x14ac:dyDescent="0.25">
      <c r="A243" t="s">
        <v>30</v>
      </c>
      <c r="B243" s="3">
        <v>45712</v>
      </c>
      <c r="C243" t="s">
        <v>846</v>
      </c>
      <c r="D243" t="s">
        <v>13</v>
      </c>
      <c r="E243">
        <v>3</v>
      </c>
      <c r="F243" s="79">
        <f>E243*8000</f>
        <v>24000</v>
      </c>
      <c r="G243" s="79">
        <f>E243*4500</f>
        <v>13500</v>
      </c>
      <c r="H243" s="79">
        <f>E243*3500</f>
        <v>10500</v>
      </c>
    </row>
    <row r="244" spans="1:11" hidden="1" x14ac:dyDescent="0.25">
      <c r="D244" t="s">
        <v>14</v>
      </c>
      <c r="E244">
        <v>1</v>
      </c>
      <c r="F244" s="79">
        <v>12000</v>
      </c>
      <c r="G244" s="79">
        <v>5500</v>
      </c>
      <c r="H244" s="79">
        <v>6500</v>
      </c>
    </row>
    <row r="245" spans="1:11" hidden="1" x14ac:dyDescent="0.25">
      <c r="C245" t="s">
        <v>913</v>
      </c>
      <c r="D245" t="s">
        <v>243</v>
      </c>
      <c r="E245">
        <v>65</v>
      </c>
      <c r="F245" s="79"/>
      <c r="G245" s="79"/>
      <c r="H245" s="79"/>
    </row>
    <row r="246" spans="1:11" hidden="1" x14ac:dyDescent="0.25">
      <c r="C246" t="s">
        <v>571</v>
      </c>
      <c r="D246" t="s">
        <v>11</v>
      </c>
      <c r="E246">
        <v>30</v>
      </c>
      <c r="F246" s="79">
        <f>E246*1700</f>
        <v>51000</v>
      </c>
      <c r="G246" s="79">
        <f>E246*500</f>
        <v>15000</v>
      </c>
      <c r="H246" s="79">
        <f>E246*1200</f>
        <v>36000</v>
      </c>
    </row>
    <row r="247" spans="1:11" hidden="1" x14ac:dyDescent="0.25">
      <c r="C247" t="s">
        <v>104</v>
      </c>
      <c r="D247" t="s">
        <v>925</v>
      </c>
      <c r="E247">
        <v>30</v>
      </c>
      <c r="F247" s="79">
        <f>E247*1500</f>
        <v>45000</v>
      </c>
      <c r="G247" s="79">
        <f>E247*500</f>
        <v>15000</v>
      </c>
      <c r="H247" s="79">
        <v>30000</v>
      </c>
    </row>
    <row r="248" spans="1:11" hidden="1" x14ac:dyDescent="0.25">
      <c r="C248" t="s">
        <v>581</v>
      </c>
      <c r="D248" t="s">
        <v>914</v>
      </c>
      <c r="E248">
        <v>35</v>
      </c>
      <c r="F248" s="79">
        <f>E248*1600</f>
        <v>56000</v>
      </c>
      <c r="G248" s="79">
        <f>E248*500</f>
        <v>17500</v>
      </c>
      <c r="H248" s="79">
        <f>E248*1100</f>
        <v>38500</v>
      </c>
    </row>
    <row r="249" spans="1:11" hidden="1" x14ac:dyDescent="0.25">
      <c r="D249" t="s">
        <v>925</v>
      </c>
      <c r="E249">
        <v>2</v>
      </c>
      <c r="F249" s="79">
        <f>E249*1600</f>
        <v>3200</v>
      </c>
      <c r="G249" s="79">
        <f>E249*500</f>
        <v>1000</v>
      </c>
      <c r="H249" s="79">
        <f>E249*1100</f>
        <v>2200</v>
      </c>
    </row>
    <row r="250" spans="1:11" hidden="1" x14ac:dyDescent="0.25">
      <c r="A250" s="112" t="s">
        <v>17</v>
      </c>
      <c r="B250" s="112"/>
      <c r="C250" s="112"/>
      <c r="D250" s="112"/>
      <c r="E250" s="78">
        <f>SUM(E243:E249)</f>
        <v>166</v>
      </c>
      <c r="F250" s="78">
        <f t="shared" ref="F250:H250" si="28">SUM(F243:F249)</f>
        <v>191200</v>
      </c>
      <c r="G250" s="78">
        <f t="shared" si="28"/>
        <v>67500</v>
      </c>
      <c r="H250" s="78">
        <f t="shared" si="28"/>
        <v>123700</v>
      </c>
    </row>
    <row r="251" spans="1:11" hidden="1" x14ac:dyDescent="0.25">
      <c r="A251" t="s">
        <v>32</v>
      </c>
      <c r="B251" s="3">
        <v>45713</v>
      </c>
      <c r="C251" t="s">
        <v>104</v>
      </c>
      <c r="D251" t="s">
        <v>925</v>
      </c>
      <c r="E251">
        <v>14</v>
      </c>
      <c r="F251" s="79">
        <f>E251*1500</f>
        <v>21000</v>
      </c>
      <c r="G251" s="79">
        <f>E251*500</f>
        <v>7000</v>
      </c>
      <c r="H251" s="79">
        <f>E251*1000</f>
        <v>14000</v>
      </c>
    </row>
    <row r="252" spans="1:11" hidden="1" x14ac:dyDescent="0.25">
      <c r="C252" t="s">
        <v>581</v>
      </c>
      <c r="D252" t="s">
        <v>914</v>
      </c>
      <c r="E252">
        <v>35</v>
      </c>
      <c r="F252" s="79">
        <f>E252*1600</f>
        <v>56000</v>
      </c>
      <c r="G252" s="79">
        <f>E252*500</f>
        <v>17500</v>
      </c>
      <c r="H252" s="79">
        <f>E252*1100</f>
        <v>38500</v>
      </c>
    </row>
    <row r="253" spans="1:11" hidden="1" x14ac:dyDescent="0.25">
      <c r="D253" t="s">
        <v>925</v>
      </c>
      <c r="E253">
        <v>13</v>
      </c>
      <c r="F253" s="79">
        <f>E253*1500</f>
        <v>19500</v>
      </c>
      <c r="G253" s="79">
        <f>E253*500</f>
        <v>6500</v>
      </c>
      <c r="H253" s="79">
        <f>E253*1000</f>
        <v>13000</v>
      </c>
    </row>
    <row r="254" spans="1:11" hidden="1" x14ac:dyDescent="0.25">
      <c r="C254" t="s">
        <v>571</v>
      </c>
      <c r="D254" t="s">
        <v>11</v>
      </c>
      <c r="E254">
        <v>14</v>
      </c>
      <c r="F254" s="79">
        <f>E254*1700</f>
        <v>23800</v>
      </c>
      <c r="G254" s="79">
        <f>E254*500</f>
        <v>7000</v>
      </c>
      <c r="H254" s="79">
        <f>E254*1200</f>
        <v>16800</v>
      </c>
      <c r="K254">
        <f>E28+E46+E97+E113+E142+E180+E188+E193+E246+E254</f>
        <v>186</v>
      </c>
    </row>
    <row r="255" spans="1:11" hidden="1" x14ac:dyDescent="0.25">
      <c r="C255" t="s">
        <v>846</v>
      </c>
      <c r="D255" t="s">
        <v>13</v>
      </c>
      <c r="E255">
        <v>1</v>
      </c>
      <c r="F255" s="79">
        <v>8000</v>
      </c>
      <c r="G255" s="79">
        <v>4500</v>
      </c>
      <c r="H255" s="79">
        <v>3500</v>
      </c>
    </row>
    <row r="256" spans="1:11" hidden="1" x14ac:dyDescent="0.25">
      <c r="D256" t="s">
        <v>14</v>
      </c>
      <c r="E256">
        <v>3</v>
      </c>
      <c r="F256" s="79">
        <f>E256*12000</f>
        <v>36000</v>
      </c>
      <c r="G256" s="79">
        <f>E256*5500</f>
        <v>16500</v>
      </c>
      <c r="H256" s="79">
        <f>E256*6500</f>
        <v>19500</v>
      </c>
    </row>
    <row r="257" spans="1:11" x14ac:dyDescent="0.25">
      <c r="D257" t="s">
        <v>941</v>
      </c>
      <c r="E257">
        <v>1</v>
      </c>
      <c r="F257" s="79">
        <v>10000</v>
      </c>
      <c r="G257" s="79">
        <v>4500</v>
      </c>
      <c r="H257" s="79">
        <v>6500</v>
      </c>
    </row>
    <row r="258" spans="1:11" hidden="1" x14ac:dyDescent="0.25">
      <c r="D258" t="s">
        <v>918</v>
      </c>
      <c r="E258">
        <v>1</v>
      </c>
      <c r="F258" s="79">
        <v>15000</v>
      </c>
      <c r="G258" s="79">
        <v>10000</v>
      </c>
      <c r="H258" s="79">
        <v>5000</v>
      </c>
    </row>
    <row r="259" spans="1:11" hidden="1" x14ac:dyDescent="0.25">
      <c r="A259" s="112" t="s">
        <v>17</v>
      </c>
      <c r="B259" s="112"/>
      <c r="C259" s="112"/>
      <c r="D259" s="112"/>
      <c r="E259" s="78">
        <f>SUM(E251:E258)</f>
        <v>82</v>
      </c>
      <c r="F259" s="78">
        <f t="shared" ref="F259:H259" si="29">SUM(F251:F258)</f>
        <v>189300</v>
      </c>
      <c r="G259" s="78">
        <f t="shared" si="29"/>
        <v>73500</v>
      </c>
      <c r="H259" s="78">
        <f t="shared" si="29"/>
        <v>116800</v>
      </c>
    </row>
    <row r="260" spans="1:11" hidden="1" x14ac:dyDescent="0.25">
      <c r="A260" t="s">
        <v>8</v>
      </c>
      <c r="B260" s="3">
        <v>45714</v>
      </c>
      <c r="C260" t="s">
        <v>338</v>
      </c>
      <c r="D260" t="s">
        <v>925</v>
      </c>
      <c r="E260">
        <v>60</v>
      </c>
      <c r="F260" s="79">
        <f>E260*1500</f>
        <v>90000</v>
      </c>
      <c r="G260" s="79">
        <f>E260*500</f>
        <v>30000</v>
      </c>
      <c r="H260" s="79">
        <v>60000</v>
      </c>
    </row>
    <row r="261" spans="1:11" hidden="1" x14ac:dyDescent="0.25">
      <c r="C261" t="s">
        <v>581</v>
      </c>
      <c r="D261" t="s">
        <v>925</v>
      </c>
      <c r="E261">
        <v>5</v>
      </c>
      <c r="F261" s="79">
        <f>E261*1600</f>
        <v>8000</v>
      </c>
      <c r="G261" s="79">
        <f>E261*500</f>
        <v>2500</v>
      </c>
      <c r="H261" s="79">
        <f>E261*1100</f>
        <v>5500</v>
      </c>
    </row>
    <row r="262" spans="1:11" hidden="1" x14ac:dyDescent="0.25">
      <c r="D262" t="s">
        <v>914</v>
      </c>
      <c r="E262">
        <v>15</v>
      </c>
      <c r="F262" s="79">
        <f>E262*1600</f>
        <v>24000</v>
      </c>
      <c r="G262" s="79">
        <f>E262*500</f>
        <v>7500</v>
      </c>
      <c r="H262" s="79">
        <f>E262*1100</f>
        <v>16500</v>
      </c>
    </row>
    <row r="263" spans="1:11" hidden="1" x14ac:dyDescent="0.25">
      <c r="C263" t="s">
        <v>104</v>
      </c>
      <c r="D263" t="s">
        <v>925</v>
      </c>
      <c r="E263">
        <v>8</v>
      </c>
      <c r="F263" s="79">
        <f>E263*1500</f>
        <v>12000</v>
      </c>
      <c r="G263" s="79">
        <f>E263*500</f>
        <v>4000</v>
      </c>
      <c r="H263" s="79">
        <f>E263*1000</f>
        <v>8000</v>
      </c>
    </row>
    <row r="264" spans="1:11" hidden="1" x14ac:dyDescent="0.25">
      <c r="C264" t="s">
        <v>913</v>
      </c>
      <c r="D264" t="s">
        <v>243</v>
      </c>
      <c r="E264">
        <v>65</v>
      </c>
      <c r="F264" s="79"/>
      <c r="G264" s="79"/>
      <c r="H264" s="79"/>
    </row>
    <row r="265" spans="1:11" hidden="1" x14ac:dyDescent="0.25">
      <c r="A265" s="112" t="s">
        <v>17</v>
      </c>
      <c r="B265" s="112"/>
      <c r="C265" s="112"/>
      <c r="D265" s="112"/>
      <c r="E265" s="78">
        <f>SUM(E260:E264)</f>
        <v>153</v>
      </c>
      <c r="F265" s="78">
        <f t="shared" ref="F265:H265" si="30">SUM(F260:F264)</f>
        <v>134000</v>
      </c>
      <c r="G265" s="78">
        <f t="shared" si="30"/>
        <v>44000</v>
      </c>
      <c r="H265" s="78">
        <f t="shared" si="30"/>
        <v>90000</v>
      </c>
    </row>
    <row r="266" spans="1:11" hidden="1" x14ac:dyDescent="0.25">
      <c r="A266" t="s">
        <v>18</v>
      </c>
      <c r="B266" s="3">
        <v>45715</v>
      </c>
      <c r="C266" t="s">
        <v>581</v>
      </c>
      <c r="D266" t="s">
        <v>932</v>
      </c>
      <c r="E266">
        <v>477</v>
      </c>
      <c r="F266">
        <f>E266*1500</f>
        <v>715500</v>
      </c>
    </row>
    <row r="267" spans="1:11" x14ac:dyDescent="0.25">
      <c r="K267">
        <f>E263+E251+E247+E227+E215+E203+E194+E179+E157+E141+E131+E116+E99</f>
        <v>340</v>
      </c>
    </row>
    <row r="268" spans="1:11" x14ac:dyDescent="0.25">
      <c r="A268" t="s">
        <v>22</v>
      </c>
      <c r="B268" s="3">
        <v>45716</v>
      </c>
      <c r="C268" t="s">
        <v>846</v>
      </c>
      <c r="D268" t="s">
        <v>13</v>
      </c>
      <c r="E268">
        <v>6</v>
      </c>
      <c r="F268" s="79">
        <f>E268*8000</f>
        <v>48000</v>
      </c>
      <c r="G268" s="79">
        <f>E268*4500</f>
        <v>27000</v>
      </c>
      <c r="H268" s="79">
        <f>E268*3500</f>
        <v>21000</v>
      </c>
      <c r="K268">
        <f>E17+E83+E170+E233</f>
        <v>68</v>
      </c>
    </row>
    <row r="269" spans="1:11" x14ac:dyDescent="0.25">
      <c r="D269" t="s">
        <v>14</v>
      </c>
      <c r="E269">
        <v>4</v>
      </c>
      <c r="F269" s="79">
        <f>E269*12000</f>
        <v>48000</v>
      </c>
      <c r="G269" s="79">
        <f>E269*5500</f>
        <v>22000</v>
      </c>
      <c r="H269" s="79">
        <f>E269*6500</f>
        <v>26000</v>
      </c>
    </row>
    <row r="270" spans="1:11" x14ac:dyDescent="0.25">
      <c r="D270" t="s">
        <v>902</v>
      </c>
      <c r="E270">
        <v>6</v>
      </c>
      <c r="F270" s="79">
        <f>E270*8000</f>
        <v>48000</v>
      </c>
      <c r="G270" s="79">
        <f>E270*5500</f>
        <v>33000</v>
      </c>
      <c r="H270" s="79">
        <f>E270*2500</f>
        <v>15000</v>
      </c>
    </row>
    <row r="271" spans="1:11" x14ac:dyDescent="0.25">
      <c r="D271" t="s">
        <v>542</v>
      </c>
      <c r="E271">
        <v>1</v>
      </c>
      <c r="F271" s="79">
        <v>8000</v>
      </c>
      <c r="G271" s="79">
        <v>5000</v>
      </c>
      <c r="H271" s="79">
        <v>3000</v>
      </c>
    </row>
    <row r="272" spans="1:11" x14ac:dyDescent="0.25">
      <c r="A272" s="111" t="s">
        <v>17</v>
      </c>
      <c r="B272" s="111"/>
      <c r="C272" s="111"/>
      <c r="D272" s="111"/>
      <c r="E272" s="78">
        <f>SUM(E268:E271)</f>
        <v>17</v>
      </c>
      <c r="F272" s="78">
        <f t="shared" ref="F272:H272" si="31">SUM(F268:F271)</f>
        <v>152000</v>
      </c>
      <c r="G272" s="78">
        <f t="shared" si="31"/>
        <v>87000</v>
      </c>
      <c r="H272" s="78">
        <f t="shared" si="31"/>
        <v>65000</v>
      </c>
    </row>
  </sheetData>
  <autoFilter ref="A1:H266" xr:uid="{8F791D25-E362-43F6-AB5B-32060E55FC10}">
    <filterColumn colId="3">
      <filters>
        <filter val="JAHE ORI"/>
        <filter val="JAHEMERAH ORI"/>
      </filters>
    </filterColumn>
  </autoFilter>
  <mergeCells count="27">
    <mergeCell ref="A265:D265"/>
    <mergeCell ref="A272:D272"/>
    <mergeCell ref="A102:D102"/>
    <mergeCell ref="A78:D78"/>
    <mergeCell ref="A91:D91"/>
    <mergeCell ref="A127:D127"/>
    <mergeCell ref="A111:D111"/>
    <mergeCell ref="A175:D175"/>
    <mergeCell ref="A154:D154"/>
    <mergeCell ref="A138:D138"/>
    <mergeCell ref="A191:D191"/>
    <mergeCell ref="A200:D200"/>
    <mergeCell ref="A184:D184"/>
    <mergeCell ref="A164:D164"/>
    <mergeCell ref="A224:D224"/>
    <mergeCell ref="A250:D250"/>
    <mergeCell ref="A61:D61"/>
    <mergeCell ref="A12:D12"/>
    <mergeCell ref="A24:D24"/>
    <mergeCell ref="A35:D35"/>
    <mergeCell ref="A42:D42"/>
    <mergeCell ref="A53:D53"/>
    <mergeCell ref="A259:D259"/>
    <mergeCell ref="A228:D228"/>
    <mergeCell ref="A242:D242"/>
    <mergeCell ref="A213:D213"/>
    <mergeCell ref="A71:D7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6C8D-6F99-4A5F-8247-BFDB893B0374}">
  <sheetPr filterMode="1"/>
  <dimension ref="A1:M230"/>
  <sheetViews>
    <sheetView workbookViewId="0">
      <selection activeCell="C233" sqref="C233"/>
    </sheetView>
  </sheetViews>
  <sheetFormatPr defaultRowHeight="15" x14ac:dyDescent="0.25"/>
  <cols>
    <col min="2" max="2" width="10.7109375" bestFit="1" customWidth="1"/>
    <col min="5" max="5" width="9.28515625" bestFit="1" customWidth="1"/>
    <col min="6" max="6" width="10.5703125" bestFit="1" customWidth="1"/>
    <col min="7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26</v>
      </c>
      <c r="B2" s="3">
        <v>45717</v>
      </c>
      <c r="C2" t="s">
        <v>693</v>
      </c>
      <c r="D2" t="s">
        <v>13</v>
      </c>
      <c r="E2">
        <v>24</v>
      </c>
      <c r="F2" s="79">
        <f>E2*7000</f>
        <v>168000</v>
      </c>
      <c r="G2" s="79">
        <f>E2*4500</f>
        <v>108000</v>
      </c>
      <c r="H2" s="79">
        <f>E2*3500</f>
        <v>84000</v>
      </c>
    </row>
    <row r="3" spans="1:8" hidden="1" x14ac:dyDescent="0.25">
      <c r="D3" t="s">
        <v>14</v>
      </c>
      <c r="E3">
        <v>20</v>
      </c>
      <c r="F3" s="79">
        <f>E3*10000</f>
        <v>200000</v>
      </c>
      <c r="G3" s="79">
        <f>E3*5500</f>
        <v>110000</v>
      </c>
      <c r="H3" s="79">
        <f>E3*4500</f>
        <v>90000</v>
      </c>
    </row>
    <row r="4" spans="1:8" hidden="1" x14ac:dyDescent="0.25">
      <c r="D4" t="s">
        <v>902</v>
      </c>
      <c r="E4">
        <v>9</v>
      </c>
      <c r="F4" s="79">
        <f>E4*8000</f>
        <v>72000</v>
      </c>
      <c r="G4" s="79">
        <f>E4*5500</f>
        <v>49500</v>
      </c>
      <c r="H4" s="79">
        <f>E4*3500</f>
        <v>31500</v>
      </c>
    </row>
    <row r="5" spans="1:8" hidden="1" x14ac:dyDescent="0.25">
      <c r="C5" t="s">
        <v>217</v>
      </c>
      <c r="D5" t="s">
        <v>13</v>
      </c>
      <c r="E5">
        <v>33</v>
      </c>
      <c r="F5" s="79">
        <f>E5*6500</f>
        <v>214500</v>
      </c>
      <c r="G5" s="79">
        <f>E5*4500</f>
        <v>148500</v>
      </c>
      <c r="H5" s="79">
        <f>E5*2000</f>
        <v>66000</v>
      </c>
    </row>
    <row r="6" spans="1:8" hidden="1" x14ac:dyDescent="0.25">
      <c r="D6" t="s">
        <v>14</v>
      </c>
      <c r="E6">
        <v>22</v>
      </c>
      <c r="F6" s="79">
        <f>E6*10000</f>
        <v>220000</v>
      </c>
      <c r="G6" s="79">
        <f>E6*5500</f>
        <v>121000</v>
      </c>
      <c r="H6" s="79">
        <f>E6*4500</f>
        <v>99000</v>
      </c>
    </row>
    <row r="7" spans="1:8" hidden="1" x14ac:dyDescent="0.25">
      <c r="A7" s="112" t="s">
        <v>17</v>
      </c>
      <c r="B7" s="112"/>
      <c r="C7" s="112"/>
      <c r="D7" s="112"/>
      <c r="E7" s="78">
        <f>SUM(E2:E6)</f>
        <v>108</v>
      </c>
      <c r="F7" s="78">
        <f t="shared" ref="F7:H7" si="0">SUM(F2:F6)</f>
        <v>874500</v>
      </c>
      <c r="G7" s="78">
        <f t="shared" si="0"/>
        <v>537000</v>
      </c>
      <c r="H7" s="78">
        <f t="shared" si="0"/>
        <v>370500</v>
      </c>
    </row>
    <row r="8" spans="1:8" hidden="1" x14ac:dyDescent="0.25">
      <c r="A8" t="s">
        <v>28</v>
      </c>
      <c r="B8" s="3">
        <v>45718</v>
      </c>
      <c r="C8" t="s">
        <v>693</v>
      </c>
      <c r="D8" t="s">
        <v>13</v>
      </c>
      <c r="E8">
        <v>29</v>
      </c>
      <c r="F8" s="79">
        <f>E8*7000</f>
        <v>203000</v>
      </c>
      <c r="G8" s="79">
        <f>E8*4500</f>
        <v>130500</v>
      </c>
      <c r="H8" s="79">
        <f>E8*2500</f>
        <v>72500</v>
      </c>
    </row>
    <row r="9" spans="1:8" hidden="1" x14ac:dyDescent="0.25">
      <c r="D9" t="s">
        <v>14</v>
      </c>
      <c r="E9">
        <v>25</v>
      </c>
      <c r="F9" s="79">
        <f>E9*10000</f>
        <v>250000</v>
      </c>
      <c r="G9" s="79">
        <f>E9*5500</f>
        <v>137500</v>
      </c>
      <c r="H9" s="79">
        <f>E9*4500</f>
        <v>112500</v>
      </c>
    </row>
    <row r="10" spans="1:8" hidden="1" x14ac:dyDescent="0.25">
      <c r="D10" t="s">
        <v>902</v>
      </c>
      <c r="E10">
        <v>8</v>
      </c>
      <c r="F10" s="79">
        <f>E10*7000</f>
        <v>56000</v>
      </c>
      <c r="G10" s="79">
        <f>E10*5500</f>
        <v>44000</v>
      </c>
      <c r="H10" s="79">
        <f>E10*1500</f>
        <v>12000</v>
      </c>
    </row>
    <row r="11" spans="1:8" hidden="1" x14ac:dyDescent="0.25">
      <c r="D11" t="s">
        <v>736</v>
      </c>
      <c r="E11">
        <v>2</v>
      </c>
      <c r="F11" s="79">
        <f>E11*10000</f>
        <v>20000</v>
      </c>
      <c r="G11" s="79">
        <f>E11*5500</f>
        <v>11000</v>
      </c>
      <c r="H11" s="79">
        <f>E11*4500</f>
        <v>9000</v>
      </c>
    </row>
    <row r="12" spans="1:8" hidden="1" x14ac:dyDescent="0.25">
      <c r="D12" t="s">
        <v>243</v>
      </c>
      <c r="E12">
        <v>1</v>
      </c>
      <c r="F12" s="79">
        <v>15000</v>
      </c>
      <c r="G12" s="79">
        <v>10000</v>
      </c>
      <c r="H12" s="79">
        <v>5000</v>
      </c>
    </row>
    <row r="13" spans="1:8" hidden="1" x14ac:dyDescent="0.25">
      <c r="C13" t="s">
        <v>217</v>
      </c>
      <c r="D13" t="s">
        <v>13</v>
      </c>
      <c r="E13">
        <v>29</v>
      </c>
      <c r="F13" s="79">
        <f>E13*6500</f>
        <v>188500</v>
      </c>
      <c r="G13" s="79">
        <f>E13*4500</f>
        <v>130500</v>
      </c>
      <c r="H13" s="79">
        <f>E13*2000</f>
        <v>58000</v>
      </c>
    </row>
    <row r="14" spans="1:8" hidden="1" x14ac:dyDescent="0.25">
      <c r="D14" t="s">
        <v>14</v>
      </c>
      <c r="E14">
        <v>25</v>
      </c>
      <c r="F14" s="79">
        <f>E14*10000</f>
        <v>250000</v>
      </c>
      <c r="G14" s="79">
        <f>E14*5500</f>
        <v>137500</v>
      </c>
      <c r="H14" s="79">
        <f>E14*4500</f>
        <v>112500</v>
      </c>
    </row>
    <row r="15" spans="1:8" hidden="1" x14ac:dyDescent="0.25">
      <c r="D15" t="s">
        <v>736</v>
      </c>
      <c r="E15">
        <v>1</v>
      </c>
      <c r="F15" s="79">
        <v>10000</v>
      </c>
      <c r="G15" s="79">
        <v>5500</v>
      </c>
      <c r="H15" s="79">
        <v>4500</v>
      </c>
    </row>
    <row r="16" spans="1:8" hidden="1" x14ac:dyDescent="0.25">
      <c r="C16" t="s">
        <v>896</v>
      </c>
      <c r="D16" t="s">
        <v>13</v>
      </c>
      <c r="E16">
        <v>5</v>
      </c>
      <c r="F16" s="79">
        <f>E16*8000</f>
        <v>40000</v>
      </c>
      <c r="G16" s="79">
        <f>E16*4500</f>
        <v>22500</v>
      </c>
      <c r="H16" s="79">
        <f>E16*3500</f>
        <v>17500</v>
      </c>
    </row>
    <row r="17" spans="1:11" hidden="1" x14ac:dyDescent="0.25">
      <c r="D17" t="s">
        <v>919</v>
      </c>
      <c r="E17">
        <v>1</v>
      </c>
      <c r="F17" s="79">
        <v>12000</v>
      </c>
      <c r="G17" s="79">
        <v>5500</v>
      </c>
      <c r="H17" s="79">
        <v>6500</v>
      </c>
    </row>
    <row r="18" spans="1:11" hidden="1" x14ac:dyDescent="0.25">
      <c r="A18" s="112" t="s">
        <v>17</v>
      </c>
      <c r="B18" s="112"/>
      <c r="C18" s="112"/>
      <c r="D18" s="112"/>
      <c r="E18" s="78">
        <f>SUM(E8:E17)</f>
        <v>126</v>
      </c>
      <c r="F18" s="78">
        <f t="shared" ref="F18:H18" si="1">SUM(F8:F17)</f>
        <v>1044500</v>
      </c>
      <c r="G18" s="78">
        <f t="shared" si="1"/>
        <v>634500</v>
      </c>
      <c r="H18" s="78">
        <f t="shared" si="1"/>
        <v>410000</v>
      </c>
    </row>
    <row r="19" spans="1:11" hidden="1" x14ac:dyDescent="0.25">
      <c r="A19" t="s">
        <v>30</v>
      </c>
      <c r="B19" s="3">
        <v>45691</v>
      </c>
      <c r="C19" t="s">
        <v>693</v>
      </c>
      <c r="D19" t="s">
        <v>13</v>
      </c>
      <c r="E19">
        <v>11</v>
      </c>
      <c r="F19" s="79">
        <f>E19*7000</f>
        <v>77000</v>
      </c>
      <c r="G19" s="79">
        <f>E19*4500</f>
        <v>49500</v>
      </c>
      <c r="H19" s="79">
        <f>E19*2500</f>
        <v>27500</v>
      </c>
    </row>
    <row r="20" spans="1:11" hidden="1" x14ac:dyDescent="0.25">
      <c r="D20" t="s">
        <v>14</v>
      </c>
      <c r="E20">
        <v>3</v>
      </c>
      <c r="F20" s="79">
        <f>E20*10000</f>
        <v>30000</v>
      </c>
      <c r="G20" s="79">
        <f>E20*5500</f>
        <v>16500</v>
      </c>
      <c r="H20" s="79">
        <f>E20*4500</f>
        <v>13500</v>
      </c>
    </row>
    <row r="21" spans="1:11" hidden="1" x14ac:dyDescent="0.25">
      <c r="C21" t="s">
        <v>217</v>
      </c>
      <c r="D21" t="s">
        <v>13</v>
      </c>
      <c r="E21">
        <v>5</v>
      </c>
      <c r="F21" s="79">
        <f>E21*6500</f>
        <v>32500</v>
      </c>
      <c r="G21" s="79">
        <f>E21*4500</f>
        <v>22500</v>
      </c>
      <c r="H21" s="79">
        <f>E21*2000</f>
        <v>10000</v>
      </c>
      <c r="K21">
        <f>E2+E5+E8+E13+E16+E19+E21+E23+E28+E32+E35+E39+E42+E46+E53+E57+E62+E65+E67+E69+E74+E77+E81+E85+E89+E92+E95+E97+E101+E103+E108+E110+E116+E119+E122+E124+E129+E131+E135+E137+E140+E142+E145+E146+E149+E151+E154+E157+E165+E167+E169+E174+E176+E179+E184+E186+E192+E194+E198+E200+E203+E211+E213+E215+E220+E223+E225</f>
        <v>565</v>
      </c>
    </row>
    <row r="22" spans="1:11" hidden="1" x14ac:dyDescent="0.25">
      <c r="D22" t="s">
        <v>14</v>
      </c>
      <c r="E22">
        <v>9</v>
      </c>
      <c r="F22" s="79">
        <f>E22*10000</f>
        <v>90000</v>
      </c>
      <c r="G22" s="79">
        <f>E22*5500</f>
        <v>49500</v>
      </c>
      <c r="H22" s="79">
        <f>E22*4500</f>
        <v>40500</v>
      </c>
    </row>
    <row r="23" spans="1:11" hidden="1" x14ac:dyDescent="0.25">
      <c r="C23" t="s">
        <v>20</v>
      </c>
      <c r="D23" t="s">
        <v>13</v>
      </c>
      <c r="E23">
        <v>3</v>
      </c>
      <c r="F23" s="79">
        <f>E23*10000</f>
        <v>30000</v>
      </c>
      <c r="G23" s="79">
        <f>E23*5500</f>
        <v>16500</v>
      </c>
      <c r="H23" s="79">
        <f>E23*4500</f>
        <v>13500</v>
      </c>
    </row>
    <row r="24" spans="1:11" hidden="1" x14ac:dyDescent="0.25">
      <c r="D24" t="s">
        <v>14</v>
      </c>
      <c r="E24">
        <v>2</v>
      </c>
      <c r="F24" s="79">
        <v>16000</v>
      </c>
      <c r="G24" s="79">
        <v>9000</v>
      </c>
      <c r="H24" s="79">
        <v>7000</v>
      </c>
    </row>
    <row r="25" spans="1:11" hidden="1" x14ac:dyDescent="0.25">
      <c r="D25" t="s">
        <v>902</v>
      </c>
      <c r="E25">
        <v>5</v>
      </c>
      <c r="F25" s="79">
        <f>E25*8000</f>
        <v>40000</v>
      </c>
      <c r="G25" s="79">
        <f>E25*5500</f>
        <v>27500</v>
      </c>
      <c r="H25" s="79">
        <f>E25*2500</f>
        <v>12500</v>
      </c>
    </row>
    <row r="26" spans="1:11" hidden="1" x14ac:dyDescent="0.25">
      <c r="C26" t="s">
        <v>24</v>
      </c>
      <c r="D26" t="s">
        <v>243</v>
      </c>
      <c r="E26">
        <v>3</v>
      </c>
      <c r="F26" s="79">
        <f>E26*15000</f>
        <v>45000</v>
      </c>
      <c r="G26" s="79">
        <f>E26*10000</f>
        <v>30000</v>
      </c>
      <c r="H26" s="79">
        <f>E26*5000</f>
        <v>15000</v>
      </c>
    </row>
    <row r="27" spans="1:11" hidden="1" x14ac:dyDescent="0.25">
      <c r="A27" s="112" t="s">
        <v>17</v>
      </c>
      <c r="B27" s="112"/>
      <c r="C27" s="112"/>
      <c r="D27" s="112"/>
      <c r="E27" s="78">
        <f>SUM(E19:E26)</f>
        <v>41</v>
      </c>
      <c r="F27" s="78">
        <f t="shared" ref="F27:H27" si="2">SUM(F19:F26)</f>
        <v>360500</v>
      </c>
      <c r="G27" s="78">
        <f t="shared" si="2"/>
        <v>221000</v>
      </c>
      <c r="H27" s="78">
        <f t="shared" si="2"/>
        <v>139500</v>
      </c>
    </row>
    <row r="28" spans="1:11" hidden="1" x14ac:dyDescent="0.25">
      <c r="A28" t="s">
        <v>32</v>
      </c>
      <c r="B28" s="3">
        <v>45720</v>
      </c>
      <c r="C28" t="s">
        <v>693</v>
      </c>
      <c r="D28" t="s">
        <v>13</v>
      </c>
      <c r="E28">
        <v>15</v>
      </c>
      <c r="F28" s="79">
        <f>E28*7000</f>
        <v>105000</v>
      </c>
      <c r="G28" s="79">
        <f>E28*4500</f>
        <v>67500</v>
      </c>
      <c r="H28" s="79">
        <f>E28*2500</f>
        <v>37500</v>
      </c>
    </row>
    <row r="29" spans="1:11" hidden="1" x14ac:dyDescent="0.25">
      <c r="D29" t="s">
        <v>14</v>
      </c>
      <c r="E29">
        <v>7</v>
      </c>
      <c r="F29" s="79">
        <f>E29*10000</f>
        <v>70000</v>
      </c>
      <c r="G29" s="79">
        <f>E29*5500</f>
        <v>38500</v>
      </c>
      <c r="H29" s="79">
        <f>E29*4500</f>
        <v>31500</v>
      </c>
    </row>
    <row r="30" spans="1:11" hidden="1" x14ac:dyDescent="0.25">
      <c r="D30" t="s">
        <v>736</v>
      </c>
      <c r="E30">
        <v>1</v>
      </c>
      <c r="F30" s="79">
        <v>10000</v>
      </c>
      <c r="G30" s="79">
        <v>5500</v>
      </c>
      <c r="H30" s="79">
        <v>4500</v>
      </c>
    </row>
    <row r="31" spans="1:11" hidden="1" x14ac:dyDescent="0.25">
      <c r="D31" t="s">
        <v>243</v>
      </c>
      <c r="E31">
        <v>1</v>
      </c>
      <c r="F31" s="79">
        <v>13000</v>
      </c>
      <c r="G31" s="79">
        <v>10000</v>
      </c>
      <c r="H31" s="79">
        <v>3000</v>
      </c>
    </row>
    <row r="32" spans="1:11" hidden="1" x14ac:dyDescent="0.25">
      <c r="C32" t="s">
        <v>217</v>
      </c>
      <c r="D32" t="s">
        <v>13</v>
      </c>
      <c r="E32">
        <v>13</v>
      </c>
      <c r="F32" s="79">
        <f>E32*6500</f>
        <v>84500</v>
      </c>
      <c r="G32" s="79">
        <f>E32*4500</f>
        <v>58500</v>
      </c>
      <c r="H32" s="79">
        <f>E32*2000</f>
        <v>26000</v>
      </c>
    </row>
    <row r="33" spans="1:13" hidden="1" x14ac:dyDescent="0.25">
      <c r="D33" t="s">
        <v>14</v>
      </c>
      <c r="E33">
        <v>11</v>
      </c>
      <c r="F33" s="79">
        <f>E33*10000</f>
        <v>110000</v>
      </c>
      <c r="G33" s="79">
        <f>E33*5500</f>
        <v>60500</v>
      </c>
      <c r="H33" s="79">
        <f>E33*4500</f>
        <v>49500</v>
      </c>
    </row>
    <row r="34" spans="1:13" hidden="1" x14ac:dyDescent="0.25">
      <c r="D34" t="s">
        <v>243</v>
      </c>
      <c r="E34">
        <v>1</v>
      </c>
      <c r="F34" s="79">
        <v>13000</v>
      </c>
      <c r="G34" s="79">
        <v>10000</v>
      </c>
      <c r="H34" s="79">
        <v>3000</v>
      </c>
    </row>
    <row r="35" spans="1:13" hidden="1" x14ac:dyDescent="0.25">
      <c r="C35" t="s">
        <v>896</v>
      </c>
      <c r="D35" t="s">
        <v>13</v>
      </c>
      <c r="E35">
        <v>1</v>
      </c>
      <c r="F35" s="79">
        <v>8000</v>
      </c>
      <c r="G35" s="79">
        <v>4500</v>
      </c>
      <c r="H35" s="79">
        <v>3400</v>
      </c>
    </row>
    <row r="36" spans="1:13" hidden="1" x14ac:dyDescent="0.25">
      <c r="D36" t="s">
        <v>14</v>
      </c>
      <c r="E36">
        <v>1</v>
      </c>
      <c r="F36" s="79">
        <v>12000</v>
      </c>
      <c r="G36" s="79">
        <v>5500</v>
      </c>
      <c r="H36" s="79">
        <v>6500</v>
      </c>
    </row>
    <row r="37" spans="1:13" hidden="1" x14ac:dyDescent="0.25">
      <c r="D37" t="s">
        <v>919</v>
      </c>
      <c r="E37">
        <v>5</v>
      </c>
      <c r="F37" s="79">
        <f>E37*12000</f>
        <v>60000</v>
      </c>
      <c r="G37" s="79">
        <f>E37*5500</f>
        <v>27500</v>
      </c>
      <c r="H37" s="79">
        <f>E37*6500</f>
        <v>32500</v>
      </c>
    </row>
    <row r="38" spans="1:13" hidden="1" x14ac:dyDescent="0.25">
      <c r="C38" t="s">
        <v>554</v>
      </c>
      <c r="D38" t="s">
        <v>14</v>
      </c>
      <c r="E38">
        <v>8</v>
      </c>
      <c r="F38" s="79"/>
      <c r="G38" s="79"/>
      <c r="H38" s="79"/>
      <c r="M38">
        <f>E3+E6+E9+E14+E20+E22+E24+E29+E33+E36+E38+E43+E47+E54+E58+E59+E61+E66+E68+E75+E78+E82+E86+E90+E93+E96+E98+E102+E104+E105+E109+E111+E112+E117+E120+E123+E125+E130+E132+E133+E136+E138+E141+E143+E150+E152+E155+E158+E166+E168+E170+E175+E177+E180+E185+E187+E193+E195+E199+E201+E204+E212+E214+E216+E224+E226</f>
        <v>409</v>
      </c>
    </row>
    <row r="39" spans="1:13" hidden="1" x14ac:dyDescent="0.25">
      <c r="D39" t="s">
        <v>13</v>
      </c>
      <c r="E39">
        <v>3</v>
      </c>
      <c r="F39" s="79"/>
      <c r="G39" s="79"/>
      <c r="H39" s="79"/>
    </row>
    <row r="40" spans="1:13" hidden="1" x14ac:dyDescent="0.25">
      <c r="C40" t="s">
        <v>24</v>
      </c>
      <c r="D40" t="s">
        <v>243</v>
      </c>
      <c r="E40">
        <v>2</v>
      </c>
      <c r="F40" s="79">
        <f>E40*15000</f>
        <v>30000</v>
      </c>
      <c r="G40" s="79">
        <v>20000</v>
      </c>
      <c r="H40" s="79">
        <v>10000</v>
      </c>
    </row>
    <row r="41" spans="1:13" hidden="1" x14ac:dyDescent="0.25">
      <c r="A41" s="112" t="s">
        <v>17</v>
      </c>
      <c r="B41" s="112"/>
      <c r="C41" s="112"/>
      <c r="D41" s="112"/>
      <c r="E41" s="78">
        <f>SUM(E28:E40)</f>
        <v>69</v>
      </c>
      <c r="F41" s="78">
        <f t="shared" ref="F41:H41" si="3">SUM(F28:F40)</f>
        <v>515500</v>
      </c>
      <c r="G41" s="78">
        <f t="shared" si="3"/>
        <v>308000</v>
      </c>
      <c r="H41" s="78">
        <f t="shared" si="3"/>
        <v>207400</v>
      </c>
    </row>
    <row r="42" spans="1:13" hidden="1" x14ac:dyDescent="0.25">
      <c r="A42" t="s">
        <v>8</v>
      </c>
      <c r="B42" s="3">
        <v>45721</v>
      </c>
      <c r="C42" t="s">
        <v>693</v>
      </c>
      <c r="D42" t="s">
        <v>13</v>
      </c>
      <c r="E42">
        <v>4</v>
      </c>
      <c r="F42" s="79">
        <f>E42*7000</f>
        <v>28000</v>
      </c>
      <c r="G42" s="79">
        <f>E42*4500</f>
        <v>18000</v>
      </c>
      <c r="H42" s="79">
        <f>E42*2500</f>
        <v>10000</v>
      </c>
    </row>
    <row r="43" spans="1:13" hidden="1" x14ac:dyDescent="0.25">
      <c r="D43" t="s">
        <v>14</v>
      </c>
      <c r="E43">
        <v>4</v>
      </c>
      <c r="F43" s="79">
        <f>E43*10000</f>
        <v>40000</v>
      </c>
      <c r="G43" s="79">
        <f>E43*5500</f>
        <v>22000</v>
      </c>
      <c r="H43" s="79">
        <f>E43*4500</f>
        <v>18000</v>
      </c>
    </row>
    <row r="44" spans="1:13" hidden="1" x14ac:dyDescent="0.25">
      <c r="D44" t="s">
        <v>902</v>
      </c>
      <c r="E44">
        <v>1</v>
      </c>
      <c r="F44" s="79">
        <v>7000</v>
      </c>
      <c r="G44" s="79">
        <v>5500</v>
      </c>
      <c r="H44" s="79">
        <v>1500</v>
      </c>
    </row>
    <row r="45" spans="1:13" x14ac:dyDescent="0.25">
      <c r="D45" t="s">
        <v>420</v>
      </c>
      <c r="E45">
        <v>3</v>
      </c>
      <c r="F45" s="79">
        <f>E45*5000</f>
        <v>15000</v>
      </c>
      <c r="G45" s="79">
        <v>10000</v>
      </c>
      <c r="H45" s="79">
        <v>5000</v>
      </c>
    </row>
    <row r="46" spans="1:13" hidden="1" x14ac:dyDescent="0.25">
      <c r="C46" t="s">
        <v>896</v>
      </c>
      <c r="D46" t="s">
        <v>13</v>
      </c>
      <c r="E46">
        <v>6</v>
      </c>
      <c r="F46" s="79">
        <f>E46*8000</f>
        <v>48000</v>
      </c>
      <c r="G46" s="79">
        <f>E46*4500</f>
        <v>27000</v>
      </c>
      <c r="H46" s="79">
        <f>E46*3500</f>
        <v>21000</v>
      </c>
    </row>
    <row r="47" spans="1:13" hidden="1" x14ac:dyDescent="0.25">
      <c r="D47" t="s">
        <v>14</v>
      </c>
      <c r="E47">
        <v>1</v>
      </c>
      <c r="F47" s="79">
        <v>1200</v>
      </c>
      <c r="G47" s="79">
        <v>5500</v>
      </c>
      <c r="H47" s="79">
        <v>6500</v>
      </c>
    </row>
    <row r="48" spans="1:13" hidden="1" x14ac:dyDescent="0.25">
      <c r="D48" t="s">
        <v>919</v>
      </c>
      <c r="E48">
        <v>1</v>
      </c>
      <c r="F48" s="79">
        <v>12000</v>
      </c>
      <c r="G48" s="79">
        <v>5500</v>
      </c>
      <c r="H48" s="79">
        <v>6500</v>
      </c>
    </row>
    <row r="49" spans="1:8" hidden="1" x14ac:dyDescent="0.25">
      <c r="D49" t="s">
        <v>902</v>
      </c>
      <c r="E49">
        <v>1</v>
      </c>
      <c r="F49" s="79">
        <v>8000</v>
      </c>
      <c r="G49" s="79">
        <v>5500</v>
      </c>
      <c r="H49" s="79">
        <v>3500</v>
      </c>
    </row>
    <row r="50" spans="1:8" hidden="1" x14ac:dyDescent="0.25">
      <c r="D50" t="s">
        <v>243</v>
      </c>
      <c r="E50">
        <v>1</v>
      </c>
      <c r="F50" s="79">
        <v>15000</v>
      </c>
      <c r="G50" s="79">
        <v>10000</v>
      </c>
      <c r="H50" s="79">
        <v>5000</v>
      </c>
    </row>
    <row r="51" spans="1:8" hidden="1" x14ac:dyDescent="0.25">
      <c r="C51" t="s">
        <v>554</v>
      </c>
      <c r="D51" t="s">
        <v>243</v>
      </c>
      <c r="E51">
        <v>4</v>
      </c>
      <c r="F51" s="79"/>
      <c r="G51" s="79"/>
      <c r="H51" s="79"/>
    </row>
    <row r="52" spans="1:8" hidden="1" x14ac:dyDescent="0.25">
      <c r="A52" s="112" t="s">
        <v>17</v>
      </c>
      <c r="B52" s="112"/>
      <c r="C52" s="112"/>
      <c r="D52" s="112"/>
      <c r="E52" s="78">
        <f>SUM(E42:E51)</f>
        <v>26</v>
      </c>
      <c r="F52" s="78">
        <f t="shared" ref="F52:H52" si="4">SUM(F42:F51)</f>
        <v>174200</v>
      </c>
      <c r="G52" s="78">
        <f t="shared" si="4"/>
        <v>109000</v>
      </c>
      <c r="H52" s="78">
        <f t="shared" si="4"/>
        <v>77000</v>
      </c>
    </row>
    <row r="53" spans="1:8" hidden="1" x14ac:dyDescent="0.25">
      <c r="A53" t="s">
        <v>18</v>
      </c>
      <c r="B53" s="3">
        <v>45722</v>
      </c>
      <c r="C53" t="s">
        <v>693</v>
      </c>
      <c r="D53" t="s">
        <v>13</v>
      </c>
      <c r="E53">
        <v>4</v>
      </c>
      <c r="F53" s="79">
        <f>E53*7000</f>
        <v>28000</v>
      </c>
      <c r="G53" s="79">
        <f>E53*4500</f>
        <v>18000</v>
      </c>
      <c r="H53" s="79">
        <f>E53*2500</f>
        <v>10000</v>
      </c>
    </row>
    <row r="54" spans="1:8" hidden="1" x14ac:dyDescent="0.25">
      <c r="D54" t="s">
        <v>14</v>
      </c>
      <c r="E54">
        <v>9</v>
      </c>
      <c r="F54" s="79">
        <f>E54*10000</f>
        <v>90000</v>
      </c>
      <c r="G54" s="79">
        <f>E54*5500</f>
        <v>49500</v>
      </c>
      <c r="H54" s="79">
        <f>E54*4500</f>
        <v>40500</v>
      </c>
    </row>
    <row r="55" spans="1:8" hidden="1" x14ac:dyDescent="0.25">
      <c r="D55" t="s">
        <v>902</v>
      </c>
      <c r="E55">
        <v>1</v>
      </c>
      <c r="F55" s="79">
        <v>7000</v>
      </c>
      <c r="G55" s="79">
        <v>5500</v>
      </c>
      <c r="H55" s="79">
        <v>1500</v>
      </c>
    </row>
    <row r="56" spans="1:8" hidden="1" x14ac:dyDescent="0.25">
      <c r="D56" t="s">
        <v>243</v>
      </c>
      <c r="E56">
        <v>1</v>
      </c>
      <c r="F56" s="79">
        <v>13000</v>
      </c>
      <c r="G56" s="79">
        <v>10000</v>
      </c>
      <c r="H56" s="79">
        <v>3000</v>
      </c>
    </row>
    <row r="57" spans="1:8" hidden="1" x14ac:dyDescent="0.25">
      <c r="C57" t="s">
        <v>217</v>
      </c>
      <c r="D57" t="s">
        <v>13</v>
      </c>
      <c r="E57">
        <v>20</v>
      </c>
      <c r="F57" s="79">
        <f>E57*6500</f>
        <v>130000</v>
      </c>
      <c r="G57" s="79">
        <f>E57*4500</f>
        <v>90000</v>
      </c>
      <c r="H57" s="79">
        <f>E57*2500</f>
        <v>50000</v>
      </c>
    </row>
    <row r="58" spans="1:8" hidden="1" x14ac:dyDescent="0.25">
      <c r="D58" t="s">
        <v>14</v>
      </c>
      <c r="E58">
        <v>6</v>
      </c>
      <c r="F58" s="79">
        <f>E58*10000</f>
        <v>60000</v>
      </c>
      <c r="G58" s="79">
        <f>E58*5500</f>
        <v>33000</v>
      </c>
      <c r="H58" s="79">
        <f>E58*4500</f>
        <v>27000</v>
      </c>
    </row>
    <row r="59" spans="1:8" hidden="1" x14ac:dyDescent="0.25">
      <c r="C59" t="s">
        <v>24</v>
      </c>
      <c r="D59" t="s">
        <v>14</v>
      </c>
      <c r="E59">
        <v>10</v>
      </c>
      <c r="F59" s="79"/>
      <c r="G59" s="79"/>
      <c r="H59" s="79"/>
    </row>
    <row r="60" spans="1:8" hidden="1" x14ac:dyDescent="0.25">
      <c r="C60" t="s">
        <v>67</v>
      </c>
      <c r="D60" t="s">
        <v>243</v>
      </c>
      <c r="E60">
        <v>2</v>
      </c>
      <c r="F60" s="79"/>
      <c r="G60" s="79"/>
      <c r="H60" s="79"/>
    </row>
    <row r="61" spans="1:8" hidden="1" x14ac:dyDescent="0.25">
      <c r="C61" t="s">
        <v>24</v>
      </c>
      <c r="D61" t="s">
        <v>14</v>
      </c>
      <c r="E61">
        <v>2</v>
      </c>
      <c r="F61" s="79">
        <v>24000</v>
      </c>
      <c r="G61" s="79">
        <v>5500</v>
      </c>
      <c r="H61" s="79">
        <v>6500</v>
      </c>
    </row>
    <row r="62" spans="1:8" hidden="1" x14ac:dyDescent="0.25">
      <c r="C62" t="s">
        <v>24</v>
      </c>
      <c r="D62" t="s">
        <v>13</v>
      </c>
      <c r="E62">
        <v>2</v>
      </c>
      <c r="F62" s="79">
        <v>16000</v>
      </c>
      <c r="G62" s="79">
        <v>9000</v>
      </c>
      <c r="H62" s="79">
        <v>7000</v>
      </c>
    </row>
    <row r="63" spans="1:8" hidden="1" x14ac:dyDescent="0.25">
      <c r="C63" t="s">
        <v>24</v>
      </c>
      <c r="D63" t="s">
        <v>243</v>
      </c>
      <c r="E63">
        <v>2</v>
      </c>
      <c r="F63" s="79">
        <v>30000</v>
      </c>
      <c r="G63" s="79">
        <v>20000</v>
      </c>
      <c r="H63" s="79">
        <v>10000</v>
      </c>
    </row>
    <row r="64" spans="1:8" hidden="1" x14ac:dyDescent="0.25">
      <c r="A64" s="112" t="s">
        <v>17</v>
      </c>
      <c r="B64" s="112"/>
      <c r="C64" s="112"/>
      <c r="D64" s="112"/>
      <c r="E64" s="78">
        <f>SUM(E53:E63)</f>
        <v>59</v>
      </c>
      <c r="F64" s="78">
        <f t="shared" ref="F64:H64" si="5">SUM(F53:F63)</f>
        <v>398000</v>
      </c>
      <c r="G64" s="78">
        <f t="shared" si="5"/>
        <v>240500</v>
      </c>
      <c r="H64" s="78">
        <f t="shared" si="5"/>
        <v>155500</v>
      </c>
    </row>
    <row r="65" spans="1:8" hidden="1" x14ac:dyDescent="0.25">
      <c r="A65" t="s">
        <v>22</v>
      </c>
      <c r="B65" s="3">
        <v>45723</v>
      </c>
      <c r="C65" t="s">
        <v>693</v>
      </c>
      <c r="D65" t="s">
        <v>13</v>
      </c>
      <c r="E65">
        <v>11</v>
      </c>
      <c r="F65" s="79">
        <f>E65*7000</f>
        <v>77000</v>
      </c>
      <c r="G65" s="79">
        <f>E65*4500</f>
        <v>49500</v>
      </c>
      <c r="H65" s="79">
        <f>E65*2500</f>
        <v>27500</v>
      </c>
    </row>
    <row r="66" spans="1:8" hidden="1" x14ac:dyDescent="0.25">
      <c r="D66" t="s">
        <v>14</v>
      </c>
      <c r="E66">
        <v>11</v>
      </c>
      <c r="F66" s="79">
        <f>E66*10000</f>
        <v>110000</v>
      </c>
      <c r="G66" s="79">
        <f>E66*5500</f>
        <v>60500</v>
      </c>
      <c r="H66" s="79">
        <f>E66*4500</f>
        <v>49500</v>
      </c>
    </row>
    <row r="67" spans="1:8" hidden="1" x14ac:dyDescent="0.25">
      <c r="C67" t="s">
        <v>217</v>
      </c>
      <c r="D67" t="s">
        <v>13</v>
      </c>
      <c r="E67">
        <v>15</v>
      </c>
      <c r="F67" s="79">
        <f>E67*6500</f>
        <v>97500</v>
      </c>
      <c r="G67" s="79">
        <f>E67*4500</f>
        <v>67500</v>
      </c>
      <c r="H67" s="79">
        <f>E67*2000</f>
        <v>30000</v>
      </c>
    </row>
    <row r="68" spans="1:8" hidden="1" x14ac:dyDescent="0.25">
      <c r="D68" t="s">
        <v>14</v>
      </c>
      <c r="E68">
        <v>14</v>
      </c>
      <c r="F68" s="79">
        <f>E68*10000</f>
        <v>140000</v>
      </c>
      <c r="G68" s="79">
        <f>E68*5500</f>
        <v>77000</v>
      </c>
      <c r="H68" s="79">
        <f>E68*4500</f>
        <v>63000</v>
      </c>
    </row>
    <row r="69" spans="1:8" hidden="1" x14ac:dyDescent="0.25">
      <c r="C69" t="s">
        <v>896</v>
      </c>
      <c r="D69" t="s">
        <v>13</v>
      </c>
      <c r="E69">
        <v>2</v>
      </c>
      <c r="F69" s="79">
        <v>16000</v>
      </c>
      <c r="G69" s="79">
        <v>9000</v>
      </c>
      <c r="H69" s="79">
        <v>7000</v>
      </c>
    </row>
    <row r="70" spans="1:8" hidden="1" x14ac:dyDescent="0.25">
      <c r="D70" t="s">
        <v>902</v>
      </c>
      <c r="E70">
        <v>2</v>
      </c>
      <c r="F70" s="79">
        <v>16000</v>
      </c>
      <c r="G70" s="79">
        <v>11000</v>
      </c>
      <c r="H70" s="79">
        <v>5000</v>
      </c>
    </row>
    <row r="71" spans="1:8" hidden="1" x14ac:dyDescent="0.25">
      <c r="D71" t="s">
        <v>919</v>
      </c>
      <c r="E71">
        <v>1</v>
      </c>
      <c r="F71" s="79">
        <v>12000</v>
      </c>
      <c r="G71" s="79">
        <v>5500</v>
      </c>
      <c r="H71" s="79">
        <v>6500</v>
      </c>
    </row>
    <row r="72" spans="1:8" hidden="1" x14ac:dyDescent="0.25">
      <c r="D72" t="s">
        <v>736</v>
      </c>
      <c r="E72">
        <v>1</v>
      </c>
      <c r="F72" s="79">
        <v>12000</v>
      </c>
      <c r="G72" s="79">
        <v>5500</v>
      </c>
      <c r="H72" s="79">
        <v>6500</v>
      </c>
    </row>
    <row r="73" spans="1:8" hidden="1" x14ac:dyDescent="0.25">
      <c r="A73" s="112" t="s">
        <v>17</v>
      </c>
      <c r="B73" s="112"/>
      <c r="C73" s="112"/>
      <c r="D73" s="112"/>
      <c r="E73" s="78">
        <f>SUM(E65:E72)</f>
        <v>57</v>
      </c>
      <c r="F73" s="78">
        <f t="shared" ref="F73:H73" si="6">SUM(F65:F72)</f>
        <v>480500</v>
      </c>
      <c r="G73" s="78">
        <f t="shared" si="6"/>
        <v>285500</v>
      </c>
      <c r="H73" s="78">
        <f t="shared" si="6"/>
        <v>195000</v>
      </c>
    </row>
    <row r="74" spans="1:8" hidden="1" x14ac:dyDescent="0.25">
      <c r="A74" t="s">
        <v>26</v>
      </c>
      <c r="B74" s="3">
        <v>45724</v>
      </c>
      <c r="C74" t="s">
        <v>693</v>
      </c>
      <c r="D74" t="s">
        <v>13</v>
      </c>
      <c r="E74">
        <v>28</v>
      </c>
      <c r="F74" s="79">
        <f>E74*7000</f>
        <v>196000</v>
      </c>
      <c r="G74" s="79">
        <f>E74*4500</f>
        <v>126000</v>
      </c>
      <c r="H74" s="79">
        <f>E74*2500</f>
        <v>70000</v>
      </c>
    </row>
    <row r="75" spans="1:8" hidden="1" x14ac:dyDescent="0.25">
      <c r="D75" t="s">
        <v>14</v>
      </c>
      <c r="E75">
        <v>6</v>
      </c>
      <c r="F75" s="79">
        <f>E75*10000</f>
        <v>60000</v>
      </c>
      <c r="G75" s="79">
        <f>E75*5500</f>
        <v>33000</v>
      </c>
      <c r="H75" s="79">
        <f>E75*4500</f>
        <v>27000</v>
      </c>
    </row>
    <row r="76" spans="1:8" hidden="1" x14ac:dyDescent="0.25">
      <c r="D76" t="s">
        <v>243</v>
      </c>
      <c r="E76">
        <v>2</v>
      </c>
      <c r="F76" s="79">
        <v>30000</v>
      </c>
      <c r="G76" s="79">
        <v>20000</v>
      </c>
      <c r="H76" s="79">
        <v>10000</v>
      </c>
    </row>
    <row r="77" spans="1:8" hidden="1" x14ac:dyDescent="0.25">
      <c r="C77" t="s">
        <v>217</v>
      </c>
      <c r="D77" t="s">
        <v>13</v>
      </c>
      <c r="E77">
        <v>9</v>
      </c>
      <c r="F77" s="79">
        <f>E77*6500</f>
        <v>58500</v>
      </c>
      <c r="G77" s="79">
        <f>E77*4500</f>
        <v>40500</v>
      </c>
      <c r="H77" s="79">
        <f>E77*2000</f>
        <v>18000</v>
      </c>
    </row>
    <row r="78" spans="1:8" hidden="1" x14ac:dyDescent="0.25">
      <c r="D78" t="s">
        <v>14</v>
      </c>
      <c r="E78">
        <v>9</v>
      </c>
      <c r="F78" s="79">
        <v>90000</v>
      </c>
      <c r="G78" s="79">
        <f>E78*5500</f>
        <v>49500</v>
      </c>
      <c r="H78" s="79">
        <f>E78*4500</f>
        <v>40500</v>
      </c>
    </row>
    <row r="79" spans="1:8" hidden="1" x14ac:dyDescent="0.25">
      <c r="C79" t="s">
        <v>913</v>
      </c>
      <c r="D79" t="s">
        <v>243</v>
      </c>
      <c r="E79">
        <v>50</v>
      </c>
      <c r="F79" s="79"/>
      <c r="G79" s="79"/>
      <c r="H79" s="79"/>
    </row>
    <row r="80" spans="1:8" hidden="1" x14ac:dyDescent="0.25">
      <c r="A80" s="112" t="s">
        <v>17</v>
      </c>
      <c r="B80" s="112"/>
      <c r="C80" s="112"/>
      <c r="D80" s="112"/>
      <c r="E80" s="78">
        <f>SUM(E74:E79)</f>
        <v>104</v>
      </c>
      <c r="F80" s="78">
        <f t="shared" ref="F80:H80" si="7">SUM(F74:F79)</f>
        <v>434500</v>
      </c>
      <c r="G80" s="78">
        <f t="shared" si="7"/>
        <v>269000</v>
      </c>
      <c r="H80" s="78">
        <f t="shared" si="7"/>
        <v>165500</v>
      </c>
    </row>
    <row r="81" spans="1:13" hidden="1" x14ac:dyDescent="0.25">
      <c r="A81" t="s">
        <v>28</v>
      </c>
      <c r="B81" s="3">
        <v>45725</v>
      </c>
      <c r="C81" t="s">
        <v>693</v>
      </c>
      <c r="D81" t="s">
        <v>13</v>
      </c>
      <c r="E81">
        <v>15</v>
      </c>
      <c r="F81">
        <f>E81*7000</f>
        <v>105000</v>
      </c>
      <c r="G81">
        <f>E81*4500</f>
        <v>67500</v>
      </c>
      <c r="H81">
        <f>E81*2500</f>
        <v>37500</v>
      </c>
    </row>
    <row r="82" spans="1:13" hidden="1" x14ac:dyDescent="0.25">
      <c r="D82" t="s">
        <v>14</v>
      </c>
      <c r="E82">
        <v>4</v>
      </c>
      <c r="F82">
        <f>E82*10000</f>
        <v>40000</v>
      </c>
      <c r="G82">
        <f>E82*5500</f>
        <v>22000</v>
      </c>
      <c r="H82">
        <f>E82*4500</f>
        <v>18000</v>
      </c>
    </row>
    <row r="83" spans="1:13" hidden="1" x14ac:dyDescent="0.25">
      <c r="D83" t="s">
        <v>902</v>
      </c>
      <c r="E83">
        <v>1</v>
      </c>
      <c r="F83">
        <v>7000</v>
      </c>
      <c r="G83">
        <v>5500</v>
      </c>
      <c r="H83">
        <v>1500</v>
      </c>
    </row>
    <row r="84" spans="1:13" x14ac:dyDescent="0.25">
      <c r="D84" t="s">
        <v>420</v>
      </c>
      <c r="E84">
        <v>1</v>
      </c>
      <c r="F84">
        <v>5000</v>
      </c>
      <c r="G84">
        <v>2500</v>
      </c>
      <c r="H84">
        <v>2500</v>
      </c>
    </row>
    <row r="85" spans="1:13" hidden="1" x14ac:dyDescent="0.25">
      <c r="C85" t="s">
        <v>217</v>
      </c>
      <c r="D85" t="s">
        <v>13</v>
      </c>
      <c r="E85">
        <v>6</v>
      </c>
      <c r="F85">
        <f>E85*6500</f>
        <v>39000</v>
      </c>
      <c r="G85">
        <f>E85*4500</f>
        <v>27000</v>
      </c>
      <c r="H85">
        <f>E85*2000</f>
        <v>12000</v>
      </c>
    </row>
    <row r="86" spans="1:13" hidden="1" x14ac:dyDescent="0.25">
      <c r="D86" t="s">
        <v>14</v>
      </c>
      <c r="E86">
        <v>15</v>
      </c>
      <c r="F86">
        <f>E86*10000</f>
        <v>150000</v>
      </c>
      <c r="G86">
        <f>E86*5500</f>
        <v>82500</v>
      </c>
      <c r="H86">
        <f>E86*4500</f>
        <v>67500</v>
      </c>
    </row>
    <row r="87" spans="1:13" hidden="1" x14ac:dyDescent="0.25">
      <c r="C87" t="s">
        <v>896</v>
      </c>
      <c r="D87" t="s">
        <v>902</v>
      </c>
      <c r="E87">
        <v>1</v>
      </c>
      <c r="F87">
        <v>8000</v>
      </c>
      <c r="G87">
        <v>5500</v>
      </c>
      <c r="H87">
        <v>3500</v>
      </c>
    </row>
    <row r="88" spans="1:13" hidden="1" x14ac:dyDescent="0.25">
      <c r="A88" s="112" t="s">
        <v>17</v>
      </c>
      <c r="B88" s="112"/>
      <c r="C88" s="112"/>
      <c r="D88" s="112"/>
      <c r="E88" s="78">
        <f>SUM(E81:E87)</f>
        <v>43</v>
      </c>
      <c r="F88" s="78">
        <f t="shared" ref="F88:H88" si="8">SUM(F81:F87)</f>
        <v>354000</v>
      </c>
      <c r="G88" s="78">
        <f t="shared" si="8"/>
        <v>212500</v>
      </c>
      <c r="H88" s="78">
        <f t="shared" si="8"/>
        <v>142500</v>
      </c>
    </row>
    <row r="89" spans="1:13" hidden="1" x14ac:dyDescent="0.25">
      <c r="A89" t="s">
        <v>30</v>
      </c>
      <c r="B89" s="3">
        <v>45726</v>
      </c>
      <c r="C89" t="s">
        <v>693</v>
      </c>
      <c r="D89" t="s">
        <v>13</v>
      </c>
      <c r="E89">
        <v>5</v>
      </c>
      <c r="F89">
        <f>E89*7000</f>
        <v>35000</v>
      </c>
      <c r="G89">
        <f>E89*4500</f>
        <v>22500</v>
      </c>
      <c r="H89">
        <f>E89*2500</f>
        <v>12500</v>
      </c>
    </row>
    <row r="90" spans="1:13" hidden="1" x14ac:dyDescent="0.25">
      <c r="D90" t="s">
        <v>14</v>
      </c>
      <c r="E90">
        <v>4</v>
      </c>
      <c r="F90">
        <v>40000</v>
      </c>
      <c r="G90">
        <f>E90*5500</f>
        <v>22000</v>
      </c>
      <c r="H90">
        <f>E90*4500</f>
        <v>18000</v>
      </c>
    </row>
    <row r="91" spans="1:13" hidden="1" x14ac:dyDescent="0.25">
      <c r="D91" t="s">
        <v>243</v>
      </c>
      <c r="E91">
        <v>0</v>
      </c>
      <c r="F91">
        <v>0</v>
      </c>
      <c r="G91">
        <v>0</v>
      </c>
      <c r="H91">
        <v>0</v>
      </c>
      <c r="M91">
        <f>E12+E26+E31+E34+E40+E50+E51+E56+E60+E63+E76+E79+E99+E106+E113+E114+E126+E127+E147+E160+E163+E178+E190+E202+E221+E227</f>
        <v>253</v>
      </c>
    </row>
    <row r="92" spans="1:13" hidden="1" x14ac:dyDescent="0.25">
      <c r="C92" t="s">
        <v>217</v>
      </c>
      <c r="D92" t="s">
        <v>13</v>
      </c>
      <c r="E92">
        <v>7</v>
      </c>
      <c r="F92">
        <f>E92*6500</f>
        <v>45500</v>
      </c>
      <c r="G92">
        <f>E92*4500</f>
        <v>31500</v>
      </c>
      <c r="H92">
        <f>E92*2500</f>
        <v>17500</v>
      </c>
    </row>
    <row r="93" spans="1:13" hidden="1" x14ac:dyDescent="0.25">
      <c r="D93" t="s">
        <v>14</v>
      </c>
      <c r="E93">
        <v>3</v>
      </c>
      <c r="F93">
        <f>E93*10000</f>
        <v>30000</v>
      </c>
      <c r="G93">
        <f>E93*5500</f>
        <v>16500</v>
      </c>
      <c r="H93">
        <f>E93*4500</f>
        <v>13500</v>
      </c>
    </row>
    <row r="94" spans="1:13" hidden="1" x14ac:dyDescent="0.25">
      <c r="A94" s="146" t="s">
        <v>17</v>
      </c>
      <c r="B94" s="146"/>
      <c r="C94" s="146"/>
      <c r="D94" s="146"/>
      <c r="E94" s="78">
        <f>SUM(E89:E93)</f>
        <v>19</v>
      </c>
      <c r="F94" s="78">
        <f t="shared" ref="F94:H94" si="9">SUM(F89:F93)</f>
        <v>150500</v>
      </c>
      <c r="G94" s="78">
        <f t="shared" si="9"/>
        <v>92500</v>
      </c>
      <c r="H94" s="78">
        <f t="shared" si="9"/>
        <v>61500</v>
      </c>
    </row>
    <row r="95" spans="1:13" hidden="1" x14ac:dyDescent="0.25">
      <c r="A95" t="s">
        <v>32</v>
      </c>
      <c r="B95" s="3">
        <v>45727</v>
      </c>
      <c r="C95" t="s">
        <v>693</v>
      </c>
      <c r="D95" t="s">
        <v>13</v>
      </c>
      <c r="E95">
        <v>12</v>
      </c>
      <c r="F95">
        <f>E95*7000</f>
        <v>84000</v>
      </c>
      <c r="G95">
        <f>E95*4500</f>
        <v>54000</v>
      </c>
      <c r="H95">
        <f>E95*2500</f>
        <v>30000</v>
      </c>
    </row>
    <row r="96" spans="1:13" hidden="1" x14ac:dyDescent="0.25">
      <c r="D96" t="s">
        <v>14</v>
      </c>
      <c r="E96">
        <v>2</v>
      </c>
      <c r="F96">
        <v>20000</v>
      </c>
      <c r="G96">
        <v>11000</v>
      </c>
      <c r="H96">
        <v>9000</v>
      </c>
    </row>
    <row r="97" spans="1:8" hidden="1" x14ac:dyDescent="0.25">
      <c r="C97" t="s">
        <v>217</v>
      </c>
      <c r="D97" t="s">
        <v>13</v>
      </c>
      <c r="E97">
        <v>9</v>
      </c>
      <c r="F97">
        <f>E97*6500</f>
        <v>58500</v>
      </c>
      <c r="G97">
        <f>E97*4500</f>
        <v>40500</v>
      </c>
      <c r="H97">
        <f>E97*2000</f>
        <v>18000</v>
      </c>
    </row>
    <row r="98" spans="1:8" hidden="1" x14ac:dyDescent="0.25">
      <c r="D98" t="s">
        <v>14</v>
      </c>
      <c r="E98">
        <v>7</v>
      </c>
      <c r="F98">
        <f>E98*10000</f>
        <v>70000</v>
      </c>
      <c r="G98">
        <f>E98*5500</f>
        <v>38500</v>
      </c>
      <c r="H98">
        <f>E98*4500</f>
        <v>31500</v>
      </c>
    </row>
    <row r="99" spans="1:8" hidden="1" x14ac:dyDescent="0.25">
      <c r="C99" t="s">
        <v>913</v>
      </c>
      <c r="D99" t="s">
        <v>243</v>
      </c>
      <c r="E99">
        <v>50</v>
      </c>
    </row>
    <row r="100" spans="1:8" hidden="1" x14ac:dyDescent="0.25">
      <c r="A100" s="112" t="s">
        <v>17</v>
      </c>
      <c r="B100" s="112"/>
      <c r="C100" s="112"/>
      <c r="D100" s="112"/>
      <c r="E100" s="80">
        <f>SUM(E95:E99)</f>
        <v>80</v>
      </c>
      <c r="F100" s="80">
        <f t="shared" ref="F100:H100" si="10">SUM(F95:F99)</f>
        <v>232500</v>
      </c>
      <c r="G100" s="80">
        <f t="shared" si="10"/>
        <v>144000</v>
      </c>
      <c r="H100" s="80">
        <f t="shared" si="10"/>
        <v>88500</v>
      </c>
    </row>
    <row r="101" spans="1:8" hidden="1" x14ac:dyDescent="0.25">
      <c r="A101" t="s">
        <v>8</v>
      </c>
      <c r="B101" s="3">
        <v>45728</v>
      </c>
      <c r="C101" t="s">
        <v>693</v>
      </c>
      <c r="D101" t="s">
        <v>13</v>
      </c>
      <c r="E101">
        <v>11</v>
      </c>
      <c r="F101">
        <f>E101*7000</f>
        <v>77000</v>
      </c>
      <c r="G101">
        <f>E101*4500</f>
        <v>49500</v>
      </c>
      <c r="H101">
        <f>E101*2500</f>
        <v>27500</v>
      </c>
    </row>
    <row r="102" spans="1:8" hidden="1" x14ac:dyDescent="0.25">
      <c r="D102" t="s">
        <v>14</v>
      </c>
      <c r="E102">
        <v>8</v>
      </c>
      <c r="F102">
        <f>E102*10000</f>
        <v>80000</v>
      </c>
      <c r="G102">
        <f>E102*5500</f>
        <v>44000</v>
      </c>
      <c r="H102">
        <f>E102*4500</f>
        <v>36000</v>
      </c>
    </row>
    <row r="103" spans="1:8" hidden="1" x14ac:dyDescent="0.25">
      <c r="C103" t="s">
        <v>217</v>
      </c>
      <c r="D103" t="s">
        <v>13</v>
      </c>
      <c r="E103">
        <v>2</v>
      </c>
      <c r="F103">
        <f>E103*6500</f>
        <v>13000</v>
      </c>
      <c r="G103">
        <f>E103*4500</f>
        <v>9000</v>
      </c>
      <c r="H103">
        <v>4000</v>
      </c>
    </row>
    <row r="104" spans="1:8" hidden="1" x14ac:dyDescent="0.25">
      <c r="D104" t="s">
        <v>14</v>
      </c>
      <c r="E104">
        <v>4</v>
      </c>
      <c r="F104">
        <f>E104*10000</f>
        <v>40000</v>
      </c>
      <c r="G104">
        <f>E104*5500</f>
        <v>22000</v>
      </c>
      <c r="H104">
        <f>E104*4500</f>
        <v>18000</v>
      </c>
    </row>
    <row r="105" spans="1:8" hidden="1" x14ac:dyDescent="0.25">
      <c r="C105" t="s">
        <v>554</v>
      </c>
      <c r="D105" t="s">
        <v>14</v>
      </c>
      <c r="E105">
        <v>2</v>
      </c>
    </row>
    <row r="106" spans="1:8" hidden="1" x14ac:dyDescent="0.25">
      <c r="D106" t="s">
        <v>243</v>
      </c>
      <c r="E106">
        <v>1</v>
      </c>
    </row>
    <row r="107" spans="1:8" hidden="1" x14ac:dyDescent="0.25">
      <c r="A107" s="111" t="s">
        <v>17</v>
      </c>
      <c r="B107" s="111"/>
      <c r="C107" s="111"/>
      <c r="D107" s="111"/>
      <c r="E107" s="1">
        <f>SUM(E101:E106)</f>
        <v>28</v>
      </c>
      <c r="F107" s="78">
        <f t="shared" ref="F107:H107" si="11">SUM(F101:F106)</f>
        <v>210000</v>
      </c>
      <c r="G107" s="78">
        <f t="shared" si="11"/>
        <v>124500</v>
      </c>
      <c r="H107" s="78">
        <f t="shared" si="11"/>
        <v>85500</v>
      </c>
    </row>
    <row r="108" spans="1:8" hidden="1" x14ac:dyDescent="0.25">
      <c r="A108" t="s">
        <v>18</v>
      </c>
      <c r="B108" s="3">
        <v>45729</v>
      </c>
      <c r="C108" t="s">
        <v>693</v>
      </c>
      <c r="D108" t="s">
        <v>13</v>
      </c>
      <c r="E108" s="99">
        <v>6</v>
      </c>
      <c r="F108" s="79">
        <f>E108*7000</f>
        <v>42000</v>
      </c>
      <c r="G108" s="79">
        <f>E108*4500</f>
        <v>27000</v>
      </c>
      <c r="H108" s="79">
        <f>E108*2500</f>
        <v>15000</v>
      </c>
    </row>
    <row r="109" spans="1:8" hidden="1" x14ac:dyDescent="0.25">
      <c r="D109" t="s">
        <v>14</v>
      </c>
      <c r="E109">
        <v>5</v>
      </c>
      <c r="F109" s="79">
        <f>E109*10000</f>
        <v>50000</v>
      </c>
      <c r="G109" s="79">
        <f>E109*5500</f>
        <v>27500</v>
      </c>
      <c r="H109" s="79">
        <f>E109*4500</f>
        <v>22500</v>
      </c>
    </row>
    <row r="110" spans="1:8" hidden="1" x14ac:dyDescent="0.25">
      <c r="C110" t="s">
        <v>217</v>
      </c>
      <c r="D110" t="s">
        <v>13</v>
      </c>
      <c r="E110">
        <v>1</v>
      </c>
      <c r="F110" s="79">
        <v>6500</v>
      </c>
      <c r="G110" s="79">
        <v>4500</v>
      </c>
      <c r="H110" s="79">
        <v>2000</v>
      </c>
    </row>
    <row r="111" spans="1:8" hidden="1" x14ac:dyDescent="0.25">
      <c r="D111" t="s">
        <v>14</v>
      </c>
      <c r="E111">
        <v>4</v>
      </c>
      <c r="F111" s="79">
        <f>E111*10000</f>
        <v>40000</v>
      </c>
      <c r="G111" s="79">
        <f>E111*5500</f>
        <v>22000</v>
      </c>
      <c r="H111" s="79">
        <f>E111*4500</f>
        <v>18000</v>
      </c>
    </row>
    <row r="112" spans="1:8" hidden="1" x14ac:dyDescent="0.25">
      <c r="C112" t="s">
        <v>554</v>
      </c>
      <c r="D112" t="s">
        <v>14</v>
      </c>
      <c r="E112">
        <v>5</v>
      </c>
      <c r="F112" s="79"/>
      <c r="G112" s="79"/>
      <c r="H112" s="79"/>
    </row>
    <row r="113" spans="1:8" hidden="1" x14ac:dyDescent="0.25">
      <c r="D113" t="s">
        <v>243</v>
      </c>
      <c r="E113">
        <v>1</v>
      </c>
      <c r="F113" s="79"/>
      <c r="G113" s="79"/>
      <c r="H113" s="79"/>
    </row>
    <row r="114" spans="1:8" hidden="1" x14ac:dyDescent="0.25">
      <c r="C114" t="s">
        <v>24</v>
      </c>
      <c r="D114" t="s">
        <v>243</v>
      </c>
      <c r="E114">
        <v>2</v>
      </c>
      <c r="F114" s="79">
        <v>30000</v>
      </c>
      <c r="G114" s="79">
        <v>20000</v>
      </c>
      <c r="H114" s="79">
        <v>10000</v>
      </c>
    </row>
    <row r="115" spans="1:8" hidden="1" x14ac:dyDescent="0.25">
      <c r="A115" s="112" t="s">
        <v>17</v>
      </c>
      <c r="B115" s="112"/>
      <c r="C115" s="112"/>
      <c r="D115" s="112"/>
      <c r="E115" s="78">
        <f>SUM(E108:E114)</f>
        <v>24</v>
      </c>
      <c r="F115" s="78">
        <f t="shared" ref="F115:H115" si="12">SUM(F108:F114)</f>
        <v>168500</v>
      </c>
      <c r="G115" s="78">
        <f t="shared" si="12"/>
        <v>101000</v>
      </c>
      <c r="H115" s="78">
        <f t="shared" si="12"/>
        <v>67500</v>
      </c>
    </row>
    <row r="116" spans="1:8" hidden="1" x14ac:dyDescent="0.25">
      <c r="A116" t="s">
        <v>22</v>
      </c>
      <c r="B116" s="3">
        <v>45730</v>
      </c>
      <c r="C116" t="s">
        <v>693</v>
      </c>
      <c r="D116" t="s">
        <v>13</v>
      </c>
      <c r="E116">
        <v>10</v>
      </c>
      <c r="F116" s="79">
        <f>E116*7000</f>
        <v>70000</v>
      </c>
      <c r="G116" s="79">
        <f>E116*4500</f>
        <v>45000</v>
      </c>
      <c r="H116" s="79">
        <f>E116*2500</f>
        <v>25000</v>
      </c>
    </row>
    <row r="117" spans="1:8" hidden="1" x14ac:dyDescent="0.25">
      <c r="D117" t="s">
        <v>14</v>
      </c>
      <c r="E117">
        <v>4</v>
      </c>
      <c r="F117" s="79">
        <f>E117*10000</f>
        <v>40000</v>
      </c>
      <c r="G117" s="79">
        <f>E117*5500</f>
        <v>22000</v>
      </c>
      <c r="H117" s="79">
        <f>E117*4500</f>
        <v>18000</v>
      </c>
    </row>
    <row r="118" spans="1:8" hidden="1" x14ac:dyDescent="0.25">
      <c r="D118" t="s">
        <v>902</v>
      </c>
      <c r="E118">
        <v>1</v>
      </c>
      <c r="F118" s="79">
        <v>7000</v>
      </c>
      <c r="G118" s="79">
        <v>5500</v>
      </c>
      <c r="H118" s="79">
        <v>1500</v>
      </c>
    </row>
    <row r="119" spans="1:8" hidden="1" x14ac:dyDescent="0.25">
      <c r="C119" t="s">
        <v>217</v>
      </c>
      <c r="D119" t="s">
        <v>13</v>
      </c>
      <c r="E119">
        <v>4</v>
      </c>
      <c r="F119" s="79">
        <f>E119*6500</f>
        <v>26000</v>
      </c>
      <c r="G119" s="79">
        <f>E119*4500</f>
        <v>18000</v>
      </c>
      <c r="H119" s="79">
        <f>E119*2000</f>
        <v>8000</v>
      </c>
    </row>
    <row r="120" spans="1:8" hidden="1" x14ac:dyDescent="0.25">
      <c r="D120" t="s">
        <v>14</v>
      </c>
      <c r="E120">
        <v>4</v>
      </c>
      <c r="F120" s="79">
        <f>E120*10000</f>
        <v>40000</v>
      </c>
      <c r="G120" s="79">
        <f>E120*5500</f>
        <v>22000</v>
      </c>
      <c r="H120" s="79">
        <f>E120*4500</f>
        <v>18000</v>
      </c>
    </row>
    <row r="121" spans="1:8" hidden="1" x14ac:dyDescent="0.25">
      <c r="A121" s="112" t="s">
        <v>17</v>
      </c>
      <c r="B121" s="112"/>
      <c r="C121" s="112"/>
      <c r="D121" s="112"/>
      <c r="E121" s="78">
        <f>SUM(E116:E120)</f>
        <v>23</v>
      </c>
      <c r="F121" s="78">
        <f t="shared" ref="F121:H121" si="13">SUM(F116:F120)</f>
        <v>183000</v>
      </c>
      <c r="G121" s="78">
        <f t="shared" si="13"/>
        <v>112500</v>
      </c>
      <c r="H121" s="78">
        <f t="shared" si="13"/>
        <v>70500</v>
      </c>
    </row>
    <row r="122" spans="1:8" hidden="1" x14ac:dyDescent="0.25">
      <c r="A122" t="s">
        <v>26</v>
      </c>
      <c r="B122" s="3">
        <v>45731</v>
      </c>
      <c r="C122" t="s">
        <v>693</v>
      </c>
      <c r="D122" t="s">
        <v>13</v>
      </c>
      <c r="E122">
        <v>20</v>
      </c>
      <c r="F122">
        <f>E122*7000</f>
        <v>140000</v>
      </c>
      <c r="G122">
        <f>E122*4500</f>
        <v>90000</v>
      </c>
      <c r="H122">
        <f>E122*2500</f>
        <v>50000</v>
      </c>
    </row>
    <row r="123" spans="1:8" hidden="1" x14ac:dyDescent="0.25">
      <c r="D123" t="s">
        <v>14</v>
      </c>
      <c r="E123">
        <v>5</v>
      </c>
      <c r="F123">
        <f>E123*1000</f>
        <v>5000</v>
      </c>
      <c r="G123">
        <f>E123*5500</f>
        <v>27500</v>
      </c>
      <c r="H123">
        <f>E123*4500</f>
        <v>22500</v>
      </c>
    </row>
    <row r="124" spans="1:8" hidden="1" x14ac:dyDescent="0.25">
      <c r="C124" t="s">
        <v>217</v>
      </c>
      <c r="D124" t="s">
        <v>13</v>
      </c>
      <c r="E124">
        <v>1</v>
      </c>
      <c r="F124">
        <v>6500</v>
      </c>
      <c r="G124">
        <v>4500</v>
      </c>
      <c r="H124">
        <v>2000</v>
      </c>
    </row>
    <row r="125" spans="1:8" hidden="1" x14ac:dyDescent="0.25">
      <c r="D125" t="s">
        <v>14</v>
      </c>
      <c r="E125">
        <v>2</v>
      </c>
      <c r="F125">
        <v>20000</v>
      </c>
      <c r="G125">
        <v>11000</v>
      </c>
      <c r="H125">
        <v>9000</v>
      </c>
    </row>
    <row r="126" spans="1:8" hidden="1" x14ac:dyDescent="0.25">
      <c r="C126" t="s">
        <v>24</v>
      </c>
      <c r="D126" t="s">
        <v>243</v>
      </c>
      <c r="E126">
        <v>4</v>
      </c>
      <c r="F126">
        <v>60000</v>
      </c>
      <c r="G126">
        <v>40000</v>
      </c>
      <c r="H126">
        <v>20000</v>
      </c>
    </row>
    <row r="127" spans="1:8" hidden="1" x14ac:dyDescent="0.25">
      <c r="C127" t="s">
        <v>554</v>
      </c>
      <c r="D127" t="s">
        <v>243</v>
      </c>
      <c r="E127">
        <v>2</v>
      </c>
    </row>
    <row r="128" spans="1:8" hidden="1" x14ac:dyDescent="0.25">
      <c r="A128" s="112" t="s">
        <v>17</v>
      </c>
      <c r="B128" s="112"/>
      <c r="C128" s="112"/>
      <c r="D128" s="112"/>
      <c r="E128" s="78">
        <f>SUM(E122:E127)</f>
        <v>34</v>
      </c>
      <c r="F128" s="78">
        <f t="shared" ref="F128:H128" si="14">SUM(F122:F127)</f>
        <v>231500</v>
      </c>
      <c r="G128" s="78">
        <f t="shared" si="14"/>
        <v>173000</v>
      </c>
      <c r="H128" s="78">
        <f t="shared" si="14"/>
        <v>103500</v>
      </c>
    </row>
    <row r="129" spans="1:8" hidden="1" x14ac:dyDescent="0.25">
      <c r="A129" t="s">
        <v>28</v>
      </c>
      <c r="B129" s="3">
        <v>45732</v>
      </c>
      <c r="C129" t="s">
        <v>693</v>
      </c>
      <c r="D129" t="s">
        <v>13</v>
      </c>
      <c r="E129">
        <v>8</v>
      </c>
      <c r="F129">
        <f>E129*7000</f>
        <v>56000</v>
      </c>
      <c r="G129">
        <f>E129*400</f>
        <v>3200</v>
      </c>
      <c r="H129">
        <f>E129*2500</f>
        <v>20000</v>
      </c>
    </row>
    <row r="130" spans="1:8" hidden="1" x14ac:dyDescent="0.25">
      <c r="D130" t="s">
        <v>14</v>
      </c>
      <c r="E130">
        <v>4</v>
      </c>
      <c r="F130">
        <v>40000</v>
      </c>
      <c r="G130">
        <f>E130*5500</f>
        <v>22000</v>
      </c>
      <c r="H130">
        <f>E130*4500</f>
        <v>18000</v>
      </c>
    </row>
    <row r="131" spans="1:8" hidden="1" x14ac:dyDescent="0.25">
      <c r="C131" t="s">
        <v>217</v>
      </c>
      <c r="D131" t="s">
        <v>13</v>
      </c>
      <c r="E131">
        <v>4</v>
      </c>
      <c r="F131">
        <f>E131*6500</f>
        <v>26000</v>
      </c>
      <c r="G131">
        <f>E131*4500</f>
        <v>18000</v>
      </c>
      <c r="H131">
        <v>8000</v>
      </c>
    </row>
    <row r="132" spans="1:8" hidden="1" x14ac:dyDescent="0.25">
      <c r="D132" t="s">
        <v>14</v>
      </c>
      <c r="E132">
        <v>2</v>
      </c>
      <c r="F132">
        <v>20000</v>
      </c>
      <c r="G132">
        <v>11000</v>
      </c>
      <c r="H132">
        <v>9000</v>
      </c>
    </row>
    <row r="133" spans="1:8" hidden="1" x14ac:dyDescent="0.25">
      <c r="C133" t="s">
        <v>554</v>
      </c>
      <c r="D133" t="s">
        <v>14</v>
      </c>
      <c r="E133">
        <v>5</v>
      </c>
      <c r="F133">
        <v>50000</v>
      </c>
      <c r="G133">
        <f>E133*5500</f>
        <v>27500</v>
      </c>
      <c r="H133">
        <f>E133*4500</f>
        <v>22500</v>
      </c>
    </row>
    <row r="134" spans="1:8" hidden="1" x14ac:dyDescent="0.25">
      <c r="A134" s="112" t="s">
        <v>17</v>
      </c>
      <c r="B134" s="112"/>
      <c r="C134" s="112"/>
      <c r="D134" s="112"/>
      <c r="E134" s="78">
        <f>SUM(E129:E133)</f>
        <v>23</v>
      </c>
      <c r="F134" s="78">
        <f t="shared" ref="F134:H134" si="15">SUM(F129:F133)</f>
        <v>192000</v>
      </c>
      <c r="G134" s="78">
        <f t="shared" si="15"/>
        <v>81700</v>
      </c>
      <c r="H134" s="78">
        <f t="shared" si="15"/>
        <v>77500</v>
      </c>
    </row>
    <row r="135" spans="1:8" hidden="1" x14ac:dyDescent="0.25">
      <c r="A135" t="s">
        <v>30</v>
      </c>
      <c r="B135" s="3">
        <v>45733</v>
      </c>
      <c r="C135" t="s">
        <v>693</v>
      </c>
      <c r="D135" t="s">
        <v>13</v>
      </c>
      <c r="E135">
        <v>9</v>
      </c>
      <c r="F135">
        <f>E135*7000</f>
        <v>63000</v>
      </c>
      <c r="G135">
        <f>E135*4500</f>
        <v>40500</v>
      </c>
      <c r="H135">
        <f>E135*2500</f>
        <v>22500</v>
      </c>
    </row>
    <row r="136" spans="1:8" hidden="1" x14ac:dyDescent="0.25">
      <c r="D136" t="s">
        <v>14</v>
      </c>
      <c r="E136">
        <v>4</v>
      </c>
      <c r="F136">
        <f>E136*10000</f>
        <v>40000</v>
      </c>
      <c r="G136">
        <f>E136*5500</f>
        <v>22000</v>
      </c>
      <c r="H136">
        <f>E136*4500</f>
        <v>18000</v>
      </c>
    </row>
    <row r="137" spans="1:8" hidden="1" x14ac:dyDescent="0.25">
      <c r="C137" t="s">
        <v>217</v>
      </c>
      <c r="D137" t="s">
        <v>13</v>
      </c>
      <c r="E137">
        <v>4</v>
      </c>
      <c r="F137">
        <f>E137*6500</f>
        <v>26000</v>
      </c>
      <c r="G137">
        <f>E137*4500</f>
        <v>18000</v>
      </c>
      <c r="H137">
        <f>E137*2000</f>
        <v>8000</v>
      </c>
    </row>
    <row r="138" spans="1:8" hidden="1" x14ac:dyDescent="0.25">
      <c r="D138" t="s">
        <v>14</v>
      </c>
      <c r="E138">
        <v>1</v>
      </c>
      <c r="F138">
        <v>10000</v>
      </c>
      <c r="G138">
        <v>5500</v>
      </c>
      <c r="H138">
        <v>4500</v>
      </c>
    </row>
    <row r="139" spans="1:8" hidden="1" x14ac:dyDescent="0.25">
      <c r="A139" s="112" t="s">
        <v>17</v>
      </c>
      <c r="B139" s="112"/>
      <c r="C139" s="112"/>
      <c r="D139" s="112"/>
      <c r="E139" s="78">
        <f>SUM(E135:E138)</f>
        <v>18</v>
      </c>
      <c r="F139" s="78">
        <f t="shared" ref="F139:H139" si="16">SUM(F135:F138)</f>
        <v>139000</v>
      </c>
      <c r="G139" s="78">
        <f t="shared" si="16"/>
        <v>86000</v>
      </c>
      <c r="H139" s="78">
        <f t="shared" si="16"/>
        <v>53000</v>
      </c>
    </row>
    <row r="140" spans="1:8" hidden="1" x14ac:dyDescent="0.25">
      <c r="A140" t="s">
        <v>32</v>
      </c>
      <c r="B140" s="3">
        <v>45734</v>
      </c>
      <c r="C140" t="s">
        <v>693</v>
      </c>
      <c r="D140" t="s">
        <v>13</v>
      </c>
      <c r="E140">
        <v>4</v>
      </c>
      <c r="F140">
        <f>E140*7000</f>
        <v>28000</v>
      </c>
      <c r="G140">
        <f>E140*4500</f>
        <v>18000</v>
      </c>
      <c r="H140">
        <f>E140*2500</f>
        <v>10000</v>
      </c>
    </row>
    <row r="141" spans="1:8" hidden="1" x14ac:dyDescent="0.25">
      <c r="D141" t="s">
        <v>14</v>
      </c>
      <c r="E141">
        <v>2</v>
      </c>
      <c r="F141">
        <v>20000</v>
      </c>
      <c r="G141">
        <v>11000</v>
      </c>
      <c r="H141">
        <v>9000</v>
      </c>
    </row>
    <row r="142" spans="1:8" hidden="1" x14ac:dyDescent="0.25">
      <c r="C142" t="s">
        <v>217</v>
      </c>
      <c r="D142" t="s">
        <v>13</v>
      </c>
      <c r="E142">
        <v>5</v>
      </c>
      <c r="F142">
        <f>E142*6500</f>
        <v>32500</v>
      </c>
      <c r="G142">
        <f>E142*4500</f>
        <v>22500</v>
      </c>
      <c r="H142">
        <f>E142*2000</f>
        <v>10000</v>
      </c>
    </row>
    <row r="143" spans="1:8" hidden="1" x14ac:dyDescent="0.25">
      <c r="D143" t="s">
        <v>14</v>
      </c>
      <c r="E143">
        <v>3</v>
      </c>
      <c r="F143">
        <f>E143*10000</f>
        <v>30000</v>
      </c>
      <c r="G143">
        <f>E143*5500</f>
        <v>16500</v>
      </c>
      <c r="H143">
        <f>E143*4500</f>
        <v>13500</v>
      </c>
    </row>
    <row r="144" spans="1:8" hidden="1" x14ac:dyDescent="0.25">
      <c r="A144" s="112" t="s">
        <v>17</v>
      </c>
      <c r="B144" s="112"/>
      <c r="C144" s="112"/>
      <c r="D144" s="112"/>
      <c r="E144" s="78">
        <f>SUM(E140:E143)</f>
        <v>14</v>
      </c>
      <c r="F144" s="78">
        <f t="shared" ref="F144:H144" si="17">SUM(F140:F143)</f>
        <v>110500</v>
      </c>
      <c r="G144" s="78">
        <f t="shared" si="17"/>
        <v>68000</v>
      </c>
      <c r="H144" s="78">
        <f t="shared" si="17"/>
        <v>42500</v>
      </c>
    </row>
    <row r="145" spans="1:8" hidden="1" x14ac:dyDescent="0.25">
      <c r="A145" t="s">
        <v>8</v>
      </c>
      <c r="B145" t="s">
        <v>942</v>
      </c>
      <c r="C145" t="s">
        <v>217</v>
      </c>
      <c r="D145" t="s">
        <v>13</v>
      </c>
      <c r="E145">
        <v>2</v>
      </c>
      <c r="F145">
        <v>13000</v>
      </c>
      <c r="G145">
        <v>9000</v>
      </c>
      <c r="H145">
        <v>4000</v>
      </c>
    </row>
    <row r="146" spans="1:8" hidden="1" x14ac:dyDescent="0.25">
      <c r="C146" t="s">
        <v>554</v>
      </c>
      <c r="D146" t="s">
        <v>13</v>
      </c>
      <c r="E146">
        <v>5</v>
      </c>
    </row>
    <row r="147" spans="1:8" hidden="1" x14ac:dyDescent="0.25">
      <c r="C147" t="s">
        <v>913</v>
      </c>
      <c r="D147" t="s">
        <v>243</v>
      </c>
      <c r="E147">
        <v>70</v>
      </c>
    </row>
    <row r="148" spans="1:8" hidden="1" x14ac:dyDescent="0.25">
      <c r="A148" s="111" t="s">
        <v>17</v>
      </c>
      <c r="B148" s="111"/>
      <c r="C148" s="111"/>
      <c r="D148" s="111"/>
      <c r="E148" s="1">
        <f>SUM(E145:E147)</f>
        <v>77</v>
      </c>
      <c r="F148" s="1">
        <f t="shared" ref="F148:H148" si="18">SUM(F145:F146)</f>
        <v>13000</v>
      </c>
      <c r="G148" s="1">
        <f t="shared" si="18"/>
        <v>9000</v>
      </c>
      <c r="H148" s="1">
        <f t="shared" si="18"/>
        <v>4000</v>
      </c>
    </row>
    <row r="149" spans="1:8" hidden="1" x14ac:dyDescent="0.25">
      <c r="A149" t="s">
        <v>18</v>
      </c>
      <c r="B149" s="3">
        <v>45371</v>
      </c>
      <c r="C149" t="s">
        <v>693</v>
      </c>
      <c r="D149" t="s">
        <v>13</v>
      </c>
      <c r="E149">
        <v>4</v>
      </c>
      <c r="F149">
        <f>E149*7000</f>
        <v>28000</v>
      </c>
      <c r="G149">
        <f>E149*4500</f>
        <v>18000</v>
      </c>
      <c r="H149">
        <f>E149*2500</f>
        <v>10000</v>
      </c>
    </row>
    <row r="150" spans="1:8" hidden="1" x14ac:dyDescent="0.25">
      <c r="D150" t="s">
        <v>14</v>
      </c>
      <c r="E150">
        <v>2</v>
      </c>
      <c r="F150">
        <v>20000</v>
      </c>
      <c r="G150">
        <v>11000</v>
      </c>
      <c r="H150">
        <v>9000</v>
      </c>
    </row>
    <row r="151" spans="1:8" hidden="1" x14ac:dyDescent="0.25">
      <c r="C151" t="s">
        <v>217</v>
      </c>
      <c r="D151" t="s">
        <v>13</v>
      </c>
      <c r="E151">
        <v>1</v>
      </c>
      <c r="F151">
        <v>6500</v>
      </c>
      <c r="G151">
        <v>4500</v>
      </c>
      <c r="H151">
        <v>2000</v>
      </c>
    </row>
    <row r="152" spans="1:8" hidden="1" x14ac:dyDescent="0.25">
      <c r="D152" t="s">
        <v>14</v>
      </c>
      <c r="E152">
        <v>2</v>
      </c>
      <c r="F152">
        <v>20000</v>
      </c>
      <c r="G152">
        <v>11000</v>
      </c>
      <c r="H152">
        <v>9000</v>
      </c>
    </row>
    <row r="153" spans="1:8" hidden="1" x14ac:dyDescent="0.25">
      <c r="A153" s="112" t="s">
        <v>17</v>
      </c>
      <c r="B153" s="112"/>
      <c r="C153" s="112"/>
      <c r="D153" s="112"/>
      <c r="E153" s="78">
        <f>SUM(E149:E152)</f>
        <v>9</v>
      </c>
      <c r="F153" s="78">
        <f t="shared" ref="F153:H153" si="19">SUM(F149:F152)</f>
        <v>74500</v>
      </c>
      <c r="G153" s="78">
        <f t="shared" si="19"/>
        <v>44500</v>
      </c>
      <c r="H153" s="78">
        <f t="shared" si="19"/>
        <v>30000</v>
      </c>
    </row>
    <row r="154" spans="1:8" hidden="1" x14ac:dyDescent="0.25">
      <c r="A154" t="s">
        <v>22</v>
      </c>
      <c r="B154" s="3">
        <v>45737</v>
      </c>
      <c r="C154" t="s">
        <v>217</v>
      </c>
      <c r="D154" t="s">
        <v>13</v>
      </c>
      <c r="E154">
        <v>11</v>
      </c>
      <c r="F154">
        <f>E154*6500</f>
        <v>71500</v>
      </c>
      <c r="G154">
        <f>E154*4500</f>
        <v>49500</v>
      </c>
      <c r="H154">
        <f>E154*2000</f>
        <v>22000</v>
      </c>
    </row>
    <row r="155" spans="1:8" hidden="1" x14ac:dyDescent="0.25">
      <c r="D155" t="s">
        <v>14</v>
      </c>
      <c r="E155">
        <v>2</v>
      </c>
      <c r="F155">
        <v>20000</v>
      </c>
      <c r="G155">
        <v>11000</v>
      </c>
      <c r="H155">
        <v>9000</v>
      </c>
    </row>
    <row r="156" spans="1:8" hidden="1" x14ac:dyDescent="0.25">
      <c r="D156" t="s">
        <v>902</v>
      </c>
      <c r="E156">
        <v>3</v>
      </c>
      <c r="F156">
        <v>18000</v>
      </c>
      <c r="G156">
        <f>E156*5500</f>
        <v>16500</v>
      </c>
      <c r="H156">
        <f>E156*500</f>
        <v>1500</v>
      </c>
    </row>
    <row r="157" spans="1:8" hidden="1" x14ac:dyDescent="0.25">
      <c r="C157" t="s">
        <v>20</v>
      </c>
      <c r="D157" t="s">
        <v>13</v>
      </c>
      <c r="E157">
        <v>4</v>
      </c>
      <c r="F157">
        <f>E157*8000</f>
        <v>32000</v>
      </c>
      <c r="G157">
        <f>E157*4500</f>
        <v>18000</v>
      </c>
      <c r="H157">
        <f>E157*3000</f>
        <v>12000</v>
      </c>
    </row>
    <row r="158" spans="1:8" hidden="1" x14ac:dyDescent="0.25">
      <c r="D158" t="s">
        <v>14</v>
      </c>
      <c r="E158">
        <v>3</v>
      </c>
      <c r="F158">
        <f>E158*10000</f>
        <v>30000</v>
      </c>
      <c r="G158">
        <f>E158*5500</f>
        <v>16500</v>
      </c>
      <c r="H158">
        <f>E158*4500</f>
        <v>13500</v>
      </c>
    </row>
    <row r="159" spans="1:8" hidden="1" x14ac:dyDescent="0.25">
      <c r="D159" t="s">
        <v>902</v>
      </c>
      <c r="E159">
        <v>5</v>
      </c>
      <c r="F159">
        <f>E159*8000</f>
        <v>40000</v>
      </c>
      <c r="G159">
        <f>E159*5500</f>
        <v>27500</v>
      </c>
      <c r="H159">
        <f>E159*3500</f>
        <v>17500</v>
      </c>
    </row>
    <row r="160" spans="1:8" hidden="1" x14ac:dyDescent="0.25">
      <c r="D160" t="s">
        <v>243</v>
      </c>
      <c r="E160">
        <v>3</v>
      </c>
      <c r="F160">
        <f>E160*15000</f>
        <v>45000</v>
      </c>
      <c r="G160">
        <f>E160*10000</f>
        <v>30000</v>
      </c>
      <c r="H160">
        <v>15000</v>
      </c>
    </row>
    <row r="161" spans="1:8" hidden="1" x14ac:dyDescent="0.25">
      <c r="D161" t="s">
        <v>919</v>
      </c>
      <c r="E161">
        <v>2</v>
      </c>
      <c r="F161">
        <f>E161*12000</f>
        <v>24000</v>
      </c>
      <c r="G161">
        <f>E161*5500</f>
        <v>11000</v>
      </c>
      <c r="H161">
        <f>E161*6500</f>
        <v>13000</v>
      </c>
    </row>
    <row r="162" spans="1:8" hidden="1" x14ac:dyDescent="0.25">
      <c r="D162" t="s">
        <v>933</v>
      </c>
      <c r="E162">
        <v>1</v>
      </c>
      <c r="F162">
        <v>10000</v>
      </c>
      <c r="G162">
        <v>4500</v>
      </c>
      <c r="H162">
        <v>3500</v>
      </c>
    </row>
    <row r="163" spans="1:8" hidden="1" x14ac:dyDescent="0.25">
      <c r="C163" t="s">
        <v>935</v>
      </c>
      <c r="D163" t="s">
        <v>243</v>
      </c>
      <c r="E163">
        <v>45</v>
      </c>
    </row>
    <row r="164" spans="1:8" hidden="1" x14ac:dyDescent="0.25">
      <c r="A164" s="112" t="s">
        <v>17</v>
      </c>
      <c r="B164" s="112"/>
      <c r="C164" s="112"/>
      <c r="D164" s="112"/>
      <c r="E164" s="78">
        <f>SUM(E154:E163)</f>
        <v>79</v>
      </c>
      <c r="F164" s="78">
        <f t="shared" ref="F164:H164" si="20">SUM(F154:F163)</f>
        <v>290500</v>
      </c>
      <c r="G164" s="78">
        <f t="shared" si="20"/>
        <v>184500</v>
      </c>
      <c r="H164" s="78">
        <f t="shared" si="20"/>
        <v>107000</v>
      </c>
    </row>
    <row r="165" spans="1:8" hidden="1" x14ac:dyDescent="0.25">
      <c r="A165" t="s">
        <v>26</v>
      </c>
      <c r="B165" s="3">
        <v>45738</v>
      </c>
      <c r="C165" t="s">
        <v>693</v>
      </c>
      <c r="D165" t="s">
        <v>13</v>
      </c>
      <c r="E165">
        <v>11</v>
      </c>
      <c r="F165">
        <f>E165*7000</f>
        <v>77000</v>
      </c>
      <c r="G165">
        <f>E165*4500</f>
        <v>49500</v>
      </c>
      <c r="H165">
        <f>E165*2500</f>
        <v>27500</v>
      </c>
    </row>
    <row r="166" spans="1:8" hidden="1" x14ac:dyDescent="0.25">
      <c r="D166" t="s">
        <v>14</v>
      </c>
      <c r="E166">
        <v>3</v>
      </c>
      <c r="F166">
        <f>E166*10000</f>
        <v>30000</v>
      </c>
      <c r="G166">
        <f>E166*5500</f>
        <v>16500</v>
      </c>
      <c r="H166">
        <f>E166*4500</f>
        <v>13500</v>
      </c>
    </row>
    <row r="167" spans="1:8" hidden="1" x14ac:dyDescent="0.25">
      <c r="C167" t="s">
        <v>217</v>
      </c>
      <c r="D167" t="s">
        <v>13</v>
      </c>
      <c r="E167">
        <v>6</v>
      </c>
      <c r="F167">
        <f>E167*6500</f>
        <v>39000</v>
      </c>
      <c r="G167">
        <f>E167*4500</f>
        <v>27000</v>
      </c>
      <c r="H167">
        <f>E167*2000</f>
        <v>12000</v>
      </c>
    </row>
    <row r="168" spans="1:8" hidden="1" x14ac:dyDescent="0.25">
      <c r="D168" t="s">
        <v>14</v>
      </c>
      <c r="E168">
        <v>4</v>
      </c>
      <c r="F168">
        <v>40000</v>
      </c>
      <c r="G168">
        <f>E168*5500</f>
        <v>22000</v>
      </c>
      <c r="H168">
        <f>E168*4500</f>
        <v>18000</v>
      </c>
    </row>
    <row r="169" spans="1:8" hidden="1" x14ac:dyDescent="0.25">
      <c r="C169" t="s">
        <v>20</v>
      </c>
      <c r="D169" t="s">
        <v>13</v>
      </c>
      <c r="E169">
        <v>5</v>
      </c>
      <c r="F169">
        <f>E169*8000</f>
        <v>40000</v>
      </c>
      <c r="G169">
        <f>E169*4500</f>
        <v>22500</v>
      </c>
      <c r="H169">
        <f>E169*3500</f>
        <v>17500</v>
      </c>
    </row>
    <row r="170" spans="1:8" hidden="1" x14ac:dyDescent="0.25">
      <c r="D170" t="s">
        <v>14</v>
      </c>
      <c r="E170">
        <v>7</v>
      </c>
      <c r="F170">
        <f>E170*12000</f>
        <v>84000</v>
      </c>
      <c r="G170">
        <f>E170*5500</f>
        <v>38500</v>
      </c>
      <c r="H170">
        <f>E170*6500</f>
        <v>45500</v>
      </c>
    </row>
    <row r="171" spans="1:8" hidden="1" x14ac:dyDescent="0.25">
      <c r="D171" t="s">
        <v>902</v>
      </c>
      <c r="E171">
        <v>3</v>
      </c>
      <c r="F171">
        <f>E171*8000</f>
        <v>24000</v>
      </c>
      <c r="G171">
        <f>E171*5500</f>
        <v>16500</v>
      </c>
      <c r="H171">
        <f>E171*2500</f>
        <v>7500</v>
      </c>
    </row>
    <row r="172" spans="1:8" hidden="1" x14ac:dyDescent="0.25">
      <c r="D172" t="s">
        <v>919</v>
      </c>
      <c r="E172">
        <v>2</v>
      </c>
      <c r="F172">
        <f>E172*12000</f>
        <v>24000</v>
      </c>
      <c r="G172">
        <f>E172*5500</f>
        <v>11000</v>
      </c>
      <c r="H172">
        <f>E172*6500</f>
        <v>13000</v>
      </c>
    </row>
    <row r="173" spans="1:8" hidden="1" x14ac:dyDescent="0.25">
      <c r="A173" s="112" t="s">
        <v>17</v>
      </c>
      <c r="B173" s="112"/>
      <c r="C173" s="112"/>
      <c r="D173" s="112"/>
      <c r="E173" s="78">
        <f>SUM(E165:E172)</f>
        <v>41</v>
      </c>
      <c r="F173" s="78">
        <f t="shared" ref="F173:H173" si="21">SUM(F165:F172)</f>
        <v>358000</v>
      </c>
      <c r="G173" s="78">
        <f t="shared" si="21"/>
        <v>203500</v>
      </c>
      <c r="H173" s="78">
        <f t="shared" si="21"/>
        <v>154500</v>
      </c>
    </row>
    <row r="174" spans="1:8" hidden="1" x14ac:dyDescent="0.25">
      <c r="A174" t="s">
        <v>28</v>
      </c>
      <c r="B174" s="3">
        <v>45739</v>
      </c>
      <c r="C174" t="s">
        <v>693</v>
      </c>
      <c r="D174" t="s">
        <v>13</v>
      </c>
      <c r="E174">
        <v>18</v>
      </c>
      <c r="F174" s="79">
        <f>E174*7000</f>
        <v>126000</v>
      </c>
      <c r="G174" s="79">
        <f>E174*4500</f>
        <v>81000</v>
      </c>
      <c r="H174" s="79">
        <f>E174*2500</f>
        <v>45000</v>
      </c>
    </row>
    <row r="175" spans="1:8" hidden="1" x14ac:dyDescent="0.25">
      <c r="D175" t="s">
        <v>14</v>
      </c>
      <c r="E175">
        <v>10</v>
      </c>
      <c r="F175" s="79">
        <f>E175*10000</f>
        <v>100000</v>
      </c>
      <c r="G175" s="79">
        <f>E175*5500</f>
        <v>55000</v>
      </c>
      <c r="H175" s="79">
        <f>E175*4500</f>
        <v>45000</v>
      </c>
    </row>
    <row r="176" spans="1:8" hidden="1" x14ac:dyDescent="0.25">
      <c r="C176" t="s">
        <v>217</v>
      </c>
      <c r="D176" t="s">
        <v>13</v>
      </c>
      <c r="E176">
        <v>20</v>
      </c>
      <c r="F176" s="79">
        <f>E176*6500</f>
        <v>130000</v>
      </c>
      <c r="G176" s="79">
        <f>E176*4500</f>
        <v>90000</v>
      </c>
      <c r="H176" s="79">
        <f>E176*2000</f>
        <v>40000</v>
      </c>
    </row>
    <row r="177" spans="1:8" hidden="1" x14ac:dyDescent="0.25">
      <c r="D177" t="s">
        <v>14</v>
      </c>
      <c r="E177">
        <v>20</v>
      </c>
      <c r="F177" s="79">
        <f>E177*10000</f>
        <v>200000</v>
      </c>
      <c r="G177" s="79">
        <f>E177*5500</f>
        <v>110000</v>
      </c>
      <c r="H177" s="79">
        <f>E177*4500</f>
        <v>90000</v>
      </c>
    </row>
    <row r="178" spans="1:8" hidden="1" x14ac:dyDescent="0.25">
      <c r="D178" t="s">
        <v>243</v>
      </c>
      <c r="E178">
        <v>1</v>
      </c>
      <c r="F178" s="79">
        <v>13000</v>
      </c>
      <c r="G178" s="79">
        <v>10000</v>
      </c>
      <c r="H178" s="79">
        <v>3000</v>
      </c>
    </row>
    <row r="179" spans="1:8" hidden="1" x14ac:dyDescent="0.25">
      <c r="C179" t="s">
        <v>20</v>
      </c>
      <c r="D179" t="s">
        <v>13</v>
      </c>
      <c r="E179">
        <v>3</v>
      </c>
      <c r="F179" s="79">
        <f>E179*8000</f>
        <v>24000</v>
      </c>
      <c r="G179" s="79">
        <f>E179*4500</f>
        <v>13500</v>
      </c>
      <c r="H179" s="79">
        <f>E179*3500</f>
        <v>10500</v>
      </c>
    </row>
    <row r="180" spans="1:8" hidden="1" x14ac:dyDescent="0.25">
      <c r="D180" t="s">
        <v>14</v>
      </c>
      <c r="E180">
        <v>2</v>
      </c>
      <c r="F180" s="79">
        <v>24000</v>
      </c>
      <c r="G180" s="79">
        <v>11000</v>
      </c>
      <c r="H180" s="79">
        <v>13000</v>
      </c>
    </row>
    <row r="181" spans="1:8" x14ac:dyDescent="0.25">
      <c r="D181" t="s">
        <v>943</v>
      </c>
      <c r="E181">
        <v>2</v>
      </c>
      <c r="F181" s="79">
        <v>16000</v>
      </c>
      <c r="G181" s="79">
        <v>11000</v>
      </c>
      <c r="H181" s="79">
        <v>5000</v>
      </c>
    </row>
    <row r="182" spans="1:8" hidden="1" x14ac:dyDescent="0.25">
      <c r="D182" t="s">
        <v>902</v>
      </c>
      <c r="E182">
        <v>4</v>
      </c>
      <c r="F182" s="79">
        <f>E182*8000</f>
        <v>32000</v>
      </c>
      <c r="G182" s="79">
        <f>E182*5500</f>
        <v>22000</v>
      </c>
      <c r="H182" s="79">
        <f>E182*3500</f>
        <v>14000</v>
      </c>
    </row>
    <row r="183" spans="1:8" hidden="1" x14ac:dyDescent="0.25">
      <c r="A183" s="112" t="s">
        <v>17</v>
      </c>
      <c r="B183" s="112"/>
      <c r="C183" s="112"/>
      <c r="D183" s="112"/>
      <c r="E183" s="78">
        <f>SUM(E174:E182)</f>
        <v>80</v>
      </c>
      <c r="F183" s="78">
        <f t="shared" ref="F183:H183" si="22">SUM(F174:F182)</f>
        <v>665000</v>
      </c>
      <c r="G183" s="78">
        <f t="shared" si="22"/>
        <v>403500</v>
      </c>
      <c r="H183" s="78">
        <f t="shared" si="22"/>
        <v>265500</v>
      </c>
    </row>
    <row r="184" spans="1:8" hidden="1" x14ac:dyDescent="0.25">
      <c r="A184" t="s">
        <v>30</v>
      </c>
      <c r="B184" s="3">
        <v>45740</v>
      </c>
      <c r="C184" t="s">
        <v>217</v>
      </c>
      <c r="D184" t="s">
        <v>13</v>
      </c>
      <c r="E184">
        <v>3</v>
      </c>
      <c r="F184" s="79">
        <f>E184*6500</f>
        <v>19500</v>
      </c>
      <c r="G184" s="79">
        <f>E184*4500</f>
        <v>13500</v>
      </c>
      <c r="H184" s="79">
        <f>E184*2000</f>
        <v>6000</v>
      </c>
    </row>
    <row r="185" spans="1:8" hidden="1" x14ac:dyDescent="0.25">
      <c r="D185" t="s">
        <v>14</v>
      </c>
      <c r="E185">
        <v>1</v>
      </c>
      <c r="F185" s="79">
        <v>10000</v>
      </c>
      <c r="G185" s="79">
        <v>5500</v>
      </c>
      <c r="H185" s="79">
        <v>4500</v>
      </c>
    </row>
    <row r="186" spans="1:8" hidden="1" x14ac:dyDescent="0.25">
      <c r="C186" t="s">
        <v>20</v>
      </c>
      <c r="D186" t="s">
        <v>13</v>
      </c>
      <c r="E186">
        <v>1</v>
      </c>
      <c r="F186" s="79">
        <v>8000</v>
      </c>
      <c r="G186" s="79">
        <v>4500</v>
      </c>
      <c r="H186" s="79">
        <v>3500</v>
      </c>
    </row>
    <row r="187" spans="1:8" hidden="1" x14ac:dyDescent="0.25">
      <c r="D187" t="s">
        <v>14</v>
      </c>
      <c r="E187">
        <v>4</v>
      </c>
      <c r="F187" s="79">
        <f>E187*12000</f>
        <v>48000</v>
      </c>
      <c r="G187" s="79">
        <f>E187*5500</f>
        <v>22000</v>
      </c>
      <c r="H187" s="79">
        <f>E187*6500</f>
        <v>26000</v>
      </c>
    </row>
    <row r="188" spans="1:8" hidden="1" x14ac:dyDescent="0.25">
      <c r="D188" t="s">
        <v>919</v>
      </c>
      <c r="E188">
        <v>1</v>
      </c>
      <c r="F188" s="79">
        <v>12000</v>
      </c>
      <c r="G188" s="79">
        <v>5500</v>
      </c>
      <c r="H188" s="79">
        <v>6500</v>
      </c>
    </row>
    <row r="189" spans="1:8" hidden="1" x14ac:dyDescent="0.25">
      <c r="D189" t="s">
        <v>902</v>
      </c>
      <c r="E189">
        <v>5</v>
      </c>
      <c r="F189" s="79">
        <f>E189*8000</f>
        <v>40000</v>
      </c>
      <c r="G189" s="79">
        <f>E189*5500</f>
        <v>27500</v>
      </c>
      <c r="H189" s="79">
        <f>E189*3500</f>
        <v>17500</v>
      </c>
    </row>
    <row r="190" spans="1:8" hidden="1" x14ac:dyDescent="0.25">
      <c r="D190" t="s">
        <v>434</v>
      </c>
      <c r="E190">
        <v>1</v>
      </c>
      <c r="F190" s="79">
        <v>5000</v>
      </c>
      <c r="G190" s="79">
        <v>3000</v>
      </c>
      <c r="H190" s="79">
        <v>2000</v>
      </c>
    </row>
    <row r="191" spans="1:8" hidden="1" x14ac:dyDescent="0.25">
      <c r="A191" s="112" t="s">
        <v>17</v>
      </c>
      <c r="B191" s="112"/>
      <c r="C191" s="112"/>
      <c r="D191" s="112"/>
      <c r="E191" s="78">
        <f>SUM(E184:E190)</f>
        <v>16</v>
      </c>
      <c r="F191" s="78">
        <f t="shared" ref="F191:H191" si="23">SUM(F184:F190)</f>
        <v>142500</v>
      </c>
      <c r="G191" s="78">
        <f t="shared" si="23"/>
        <v>81500</v>
      </c>
      <c r="H191" s="78">
        <f t="shared" si="23"/>
        <v>66000</v>
      </c>
    </row>
    <row r="192" spans="1:8" hidden="1" x14ac:dyDescent="0.25">
      <c r="A192" t="s">
        <v>32</v>
      </c>
      <c r="B192" s="3">
        <v>45741</v>
      </c>
      <c r="C192" t="s">
        <v>217</v>
      </c>
      <c r="D192" t="s">
        <v>13</v>
      </c>
      <c r="E192">
        <v>5</v>
      </c>
      <c r="F192" s="79">
        <f>E192*6500</f>
        <v>32500</v>
      </c>
      <c r="G192" s="79">
        <f>E192*4500</f>
        <v>22500</v>
      </c>
      <c r="H192" s="79">
        <f>E192*2000</f>
        <v>10000</v>
      </c>
    </row>
    <row r="193" spans="1:12" hidden="1" x14ac:dyDescent="0.25">
      <c r="D193" t="s">
        <v>14</v>
      </c>
      <c r="E193">
        <v>5</v>
      </c>
      <c r="F193" s="79">
        <f>E193*10000</f>
        <v>50000</v>
      </c>
      <c r="G193" s="79">
        <f>E193*5500</f>
        <v>27500</v>
      </c>
      <c r="H193" s="79">
        <f>E193*4500</f>
        <v>22500</v>
      </c>
    </row>
    <row r="194" spans="1:12" hidden="1" x14ac:dyDescent="0.25">
      <c r="C194" t="s">
        <v>20</v>
      </c>
      <c r="D194" t="s">
        <v>13</v>
      </c>
      <c r="E194">
        <v>1</v>
      </c>
      <c r="F194" s="79">
        <v>8000</v>
      </c>
      <c r="G194" s="79">
        <v>4500</v>
      </c>
      <c r="H194" s="79">
        <v>3500</v>
      </c>
    </row>
    <row r="195" spans="1:12" hidden="1" x14ac:dyDescent="0.25">
      <c r="D195" t="s">
        <v>14</v>
      </c>
      <c r="E195">
        <v>3</v>
      </c>
      <c r="F195" s="79">
        <v>30000</v>
      </c>
      <c r="G195" s="79">
        <f>E195*5500</f>
        <v>16500</v>
      </c>
      <c r="H195" s="79">
        <f>E195*4500</f>
        <v>13500</v>
      </c>
    </row>
    <row r="196" spans="1:12" hidden="1" x14ac:dyDescent="0.25">
      <c r="D196" t="s">
        <v>902</v>
      </c>
      <c r="E196">
        <v>3</v>
      </c>
      <c r="F196" s="79">
        <f>E196*8000</f>
        <v>24000</v>
      </c>
      <c r="G196" s="79">
        <f>E196*5500</f>
        <v>16500</v>
      </c>
      <c r="H196" s="79">
        <f>E196*2500</f>
        <v>7500</v>
      </c>
    </row>
    <row r="197" spans="1:12" hidden="1" x14ac:dyDescent="0.25">
      <c r="A197" s="112" t="s">
        <v>17</v>
      </c>
      <c r="B197" s="112"/>
      <c r="C197" s="112"/>
      <c r="D197" s="112"/>
      <c r="E197" s="78">
        <f>SUM(E192:E196)</f>
        <v>17</v>
      </c>
      <c r="F197" s="78">
        <f t="shared" ref="F197:H197" si="24">SUM(F192:F196)</f>
        <v>144500</v>
      </c>
      <c r="G197" s="78">
        <f t="shared" si="24"/>
        <v>87500</v>
      </c>
      <c r="H197" s="78">
        <f t="shared" si="24"/>
        <v>57000</v>
      </c>
    </row>
    <row r="198" spans="1:12" hidden="1" x14ac:dyDescent="0.25">
      <c r="A198" t="s">
        <v>8</v>
      </c>
      <c r="B198" s="3">
        <v>45742</v>
      </c>
      <c r="C198" t="s">
        <v>693</v>
      </c>
      <c r="D198" t="s">
        <v>13</v>
      </c>
      <c r="E198">
        <v>5</v>
      </c>
      <c r="F198" s="79">
        <f>E198*7000</f>
        <v>35000</v>
      </c>
      <c r="G198" s="79">
        <f>E198*4500</f>
        <v>22500</v>
      </c>
      <c r="H198" s="79">
        <f>E198*2500</f>
        <v>12500</v>
      </c>
    </row>
    <row r="199" spans="1:12" hidden="1" x14ac:dyDescent="0.25">
      <c r="D199" t="s">
        <v>14</v>
      </c>
      <c r="E199">
        <v>4</v>
      </c>
      <c r="F199" s="79">
        <f>E199*10000</f>
        <v>40000</v>
      </c>
      <c r="G199" s="79">
        <f>E199*5500</f>
        <v>22000</v>
      </c>
      <c r="H199" s="79">
        <f>E199*4500</f>
        <v>18000</v>
      </c>
    </row>
    <row r="200" spans="1:12" hidden="1" x14ac:dyDescent="0.25">
      <c r="C200" t="s">
        <v>217</v>
      </c>
      <c r="D200" t="s">
        <v>13</v>
      </c>
      <c r="E200">
        <v>7</v>
      </c>
      <c r="F200" s="79">
        <f>E200*6500</f>
        <v>45500</v>
      </c>
      <c r="G200" s="79">
        <f>E200*4500</f>
        <v>31500</v>
      </c>
      <c r="H200" s="79">
        <f>E200*2000</f>
        <v>14000</v>
      </c>
    </row>
    <row r="201" spans="1:12" hidden="1" x14ac:dyDescent="0.25">
      <c r="D201" t="s">
        <v>14</v>
      </c>
      <c r="E201">
        <v>7</v>
      </c>
      <c r="F201" s="79">
        <f>E201*10000</f>
        <v>70000</v>
      </c>
      <c r="G201" s="79">
        <f>E201*5500</f>
        <v>38500</v>
      </c>
      <c r="H201" s="79">
        <f>E201*4500</f>
        <v>31500</v>
      </c>
    </row>
    <row r="202" spans="1:12" hidden="1" x14ac:dyDescent="0.25">
      <c r="D202" t="s">
        <v>243</v>
      </c>
      <c r="E202">
        <v>1</v>
      </c>
      <c r="F202" s="79">
        <v>13000</v>
      </c>
      <c r="G202" s="79">
        <v>10000</v>
      </c>
      <c r="H202" s="79">
        <v>3000</v>
      </c>
    </row>
    <row r="203" spans="1:12" hidden="1" x14ac:dyDescent="0.25">
      <c r="C203" t="s">
        <v>20</v>
      </c>
      <c r="D203" t="s">
        <v>13</v>
      </c>
      <c r="E203">
        <v>2</v>
      </c>
      <c r="F203" s="79">
        <v>16000</v>
      </c>
      <c r="G203" s="79">
        <v>9000</v>
      </c>
      <c r="H203" s="79">
        <v>11000</v>
      </c>
    </row>
    <row r="204" spans="1:12" hidden="1" x14ac:dyDescent="0.25">
      <c r="D204" t="s">
        <v>14</v>
      </c>
      <c r="E204">
        <v>2</v>
      </c>
      <c r="F204" s="79">
        <f>E204*12000</f>
        <v>24000</v>
      </c>
      <c r="G204" s="79">
        <f>E204*5500</f>
        <v>11000</v>
      </c>
      <c r="H204" s="79">
        <f>E204*6500</f>
        <v>13000</v>
      </c>
    </row>
    <row r="205" spans="1:12" x14ac:dyDescent="0.25">
      <c r="D205" t="s">
        <v>940</v>
      </c>
      <c r="E205">
        <v>1</v>
      </c>
      <c r="F205" s="79">
        <v>10000</v>
      </c>
      <c r="G205" s="79">
        <v>5500</v>
      </c>
      <c r="H205" s="79">
        <v>4500</v>
      </c>
    </row>
    <row r="206" spans="1:12" x14ac:dyDescent="0.25">
      <c r="D206" t="s">
        <v>420</v>
      </c>
      <c r="E206">
        <v>2</v>
      </c>
      <c r="F206" s="79">
        <v>16000</v>
      </c>
      <c r="G206" s="79">
        <f>E206*5500</f>
        <v>11000</v>
      </c>
      <c r="H206" s="79">
        <f>E206*2500</f>
        <v>5000</v>
      </c>
    </row>
    <row r="207" spans="1:12" hidden="1" x14ac:dyDescent="0.25">
      <c r="D207" t="s">
        <v>919</v>
      </c>
      <c r="E207">
        <v>1</v>
      </c>
      <c r="F207" s="79">
        <v>12000</v>
      </c>
      <c r="G207" s="79">
        <v>5500</v>
      </c>
      <c r="H207" s="79">
        <v>6500</v>
      </c>
    </row>
    <row r="208" spans="1:12" hidden="1" x14ac:dyDescent="0.25">
      <c r="D208" t="s">
        <v>902</v>
      </c>
      <c r="E208">
        <v>4</v>
      </c>
      <c r="F208" s="79">
        <f>E208*8000</f>
        <v>32000</v>
      </c>
      <c r="G208" s="79">
        <f>E208*5500</f>
        <v>22000</v>
      </c>
      <c r="H208" s="79">
        <f>E208*2500</f>
        <v>10000</v>
      </c>
      <c r="L208">
        <f>E218+E208+E196+E189+E182+E171+E159+E156+E118+E87+E83+E70+E55+E49+E44+E25+E10+E4</f>
        <v>64</v>
      </c>
    </row>
    <row r="209" spans="1:8" hidden="1" x14ac:dyDescent="0.25">
      <c r="A209" s="112" t="s">
        <v>17</v>
      </c>
      <c r="B209" s="112"/>
      <c r="C209" s="112"/>
      <c r="D209" s="112"/>
      <c r="E209" s="78">
        <f>SUM(E198:E208)</f>
        <v>36</v>
      </c>
      <c r="F209" s="78">
        <f t="shared" ref="F209:H209" si="25">SUM(F198:F208)</f>
        <v>313500</v>
      </c>
      <c r="G209" s="78">
        <f t="shared" si="25"/>
        <v>188500</v>
      </c>
      <c r="H209" s="78">
        <f t="shared" si="25"/>
        <v>129000</v>
      </c>
    </row>
    <row r="210" spans="1:8" hidden="1" x14ac:dyDescent="0.25">
      <c r="A210" t="s">
        <v>18</v>
      </c>
      <c r="B210" t="s">
        <v>75</v>
      </c>
      <c r="C210" t="s">
        <v>75</v>
      </c>
      <c r="D210" t="s">
        <v>75</v>
      </c>
      <c r="E210" t="s">
        <v>75</v>
      </c>
      <c r="F210" t="s">
        <v>75</v>
      </c>
      <c r="G210" t="s">
        <v>75</v>
      </c>
      <c r="H210" t="s">
        <v>75</v>
      </c>
    </row>
    <row r="211" spans="1:8" hidden="1" x14ac:dyDescent="0.25">
      <c r="A211" t="s">
        <v>22</v>
      </c>
      <c r="B211" s="3">
        <v>45744</v>
      </c>
      <c r="C211" t="s">
        <v>693</v>
      </c>
      <c r="D211" t="s">
        <v>13</v>
      </c>
      <c r="E211">
        <v>8</v>
      </c>
      <c r="F211">
        <f>E211*7000</f>
        <v>56000</v>
      </c>
      <c r="G211">
        <f>E211*4500</f>
        <v>36000</v>
      </c>
      <c r="H211">
        <f>E211*2500</f>
        <v>20000</v>
      </c>
    </row>
    <row r="212" spans="1:8" hidden="1" x14ac:dyDescent="0.25">
      <c r="D212" t="s">
        <v>14</v>
      </c>
      <c r="E212">
        <v>4</v>
      </c>
      <c r="F212">
        <f>E212*10000</f>
        <v>40000</v>
      </c>
      <c r="G212">
        <f>E212*5500</f>
        <v>22000</v>
      </c>
      <c r="H212">
        <f>E212*4500</f>
        <v>18000</v>
      </c>
    </row>
    <row r="213" spans="1:8" hidden="1" x14ac:dyDescent="0.25">
      <c r="C213" t="s">
        <v>217</v>
      </c>
      <c r="D213" t="s">
        <v>13</v>
      </c>
      <c r="E213">
        <v>3</v>
      </c>
      <c r="F213">
        <f>E213*6500</f>
        <v>19500</v>
      </c>
      <c r="G213">
        <f>E213*4500</f>
        <v>13500</v>
      </c>
      <c r="H213">
        <f>E213*2000</f>
        <v>6000</v>
      </c>
    </row>
    <row r="214" spans="1:8" hidden="1" x14ac:dyDescent="0.25">
      <c r="D214" t="s">
        <v>14</v>
      </c>
      <c r="E214">
        <v>2</v>
      </c>
      <c r="F214">
        <v>20000</v>
      </c>
      <c r="G214">
        <v>11000</v>
      </c>
      <c r="H214">
        <v>9000</v>
      </c>
    </row>
    <row r="215" spans="1:8" hidden="1" x14ac:dyDescent="0.25">
      <c r="C215" t="s">
        <v>20</v>
      </c>
      <c r="D215" t="s">
        <v>13</v>
      </c>
      <c r="E215">
        <v>2</v>
      </c>
      <c r="F215">
        <v>16000</v>
      </c>
      <c r="G215">
        <v>9000</v>
      </c>
      <c r="H215">
        <v>7000</v>
      </c>
    </row>
    <row r="216" spans="1:8" hidden="1" x14ac:dyDescent="0.25">
      <c r="D216" t="s">
        <v>14</v>
      </c>
      <c r="E216">
        <v>5</v>
      </c>
      <c r="F216">
        <f>E216*12000</f>
        <v>60000</v>
      </c>
      <c r="G216">
        <f>E216*5500</f>
        <v>27500</v>
      </c>
      <c r="H216">
        <f>E216*6500</f>
        <v>32500</v>
      </c>
    </row>
    <row r="217" spans="1:8" x14ac:dyDescent="0.25">
      <c r="D217" t="s">
        <v>420</v>
      </c>
      <c r="E217">
        <v>5</v>
      </c>
      <c r="F217">
        <v>40000</v>
      </c>
      <c r="G217">
        <f>E217*5500</f>
        <v>27500</v>
      </c>
      <c r="H217">
        <f>E217*2500</f>
        <v>12500</v>
      </c>
    </row>
    <row r="218" spans="1:8" hidden="1" x14ac:dyDescent="0.25">
      <c r="D218" t="s">
        <v>902</v>
      </c>
      <c r="E218">
        <v>7</v>
      </c>
      <c r="F218">
        <f>E218*8000</f>
        <v>56000</v>
      </c>
      <c r="G218">
        <f>E218*5500</f>
        <v>38500</v>
      </c>
      <c r="H218">
        <f>E218*2500</f>
        <v>17500</v>
      </c>
    </row>
    <row r="219" spans="1:8" hidden="1" x14ac:dyDescent="0.25">
      <c r="D219" t="s">
        <v>919</v>
      </c>
      <c r="E219">
        <v>2</v>
      </c>
      <c r="F219">
        <f>E219*12000</f>
        <v>24000</v>
      </c>
      <c r="G219">
        <f>E219*5500</f>
        <v>11000</v>
      </c>
      <c r="H219">
        <f>E219*6500</f>
        <v>13000</v>
      </c>
    </row>
    <row r="220" spans="1:8" hidden="1" x14ac:dyDescent="0.25">
      <c r="C220" t="s">
        <v>24</v>
      </c>
      <c r="D220" t="s">
        <v>13</v>
      </c>
      <c r="E220">
        <v>4</v>
      </c>
      <c r="F220">
        <f>E220*8000</f>
        <v>32000</v>
      </c>
      <c r="G220">
        <f>E220*4500</f>
        <v>18000</v>
      </c>
      <c r="H220">
        <f>E220*3500</f>
        <v>14000</v>
      </c>
    </row>
    <row r="221" spans="1:8" hidden="1" x14ac:dyDescent="0.25">
      <c r="D221" t="s">
        <v>243</v>
      </c>
      <c r="E221">
        <v>1</v>
      </c>
      <c r="F221">
        <v>15000</v>
      </c>
      <c r="G221">
        <v>10000</v>
      </c>
      <c r="H221">
        <v>5000</v>
      </c>
    </row>
    <row r="222" spans="1:8" hidden="1" x14ac:dyDescent="0.25">
      <c r="A222" s="112" t="s">
        <v>17</v>
      </c>
      <c r="B222" s="112"/>
      <c r="C222" s="112"/>
      <c r="D222" s="112"/>
      <c r="E222" s="78">
        <f>SUM(E211:E221)</f>
        <v>43</v>
      </c>
      <c r="F222" s="78">
        <f t="shared" ref="F222:H222" si="26">SUM(F211:F221)</f>
        <v>378500</v>
      </c>
      <c r="G222" s="78">
        <f t="shared" si="26"/>
        <v>224000</v>
      </c>
      <c r="H222" s="78">
        <f t="shared" si="26"/>
        <v>154500</v>
      </c>
    </row>
    <row r="223" spans="1:8" hidden="1" x14ac:dyDescent="0.25">
      <c r="A223" t="s">
        <v>26</v>
      </c>
      <c r="B223" s="3">
        <v>45745</v>
      </c>
      <c r="C223" t="s">
        <v>693</v>
      </c>
      <c r="D223" t="s">
        <v>13</v>
      </c>
      <c r="E223">
        <v>9</v>
      </c>
      <c r="F223" s="79">
        <f>E223*7000</f>
        <v>63000</v>
      </c>
      <c r="G223" s="79">
        <f>E223*4500</f>
        <v>40500</v>
      </c>
      <c r="H223" s="79">
        <f>E223*2500</f>
        <v>22500</v>
      </c>
    </row>
    <row r="224" spans="1:8" hidden="1" x14ac:dyDescent="0.25">
      <c r="D224" t="s">
        <v>14</v>
      </c>
      <c r="E224">
        <v>7</v>
      </c>
      <c r="F224" s="79">
        <f>E224*10000</f>
        <v>70000</v>
      </c>
      <c r="G224" s="79">
        <f>E224*5500</f>
        <v>38500</v>
      </c>
      <c r="H224" s="79">
        <f>E224*4500</f>
        <v>31500</v>
      </c>
    </row>
    <row r="225" spans="1:8" hidden="1" x14ac:dyDescent="0.25">
      <c r="C225" t="s">
        <v>217</v>
      </c>
      <c r="D225" t="s">
        <v>13</v>
      </c>
      <c r="E225">
        <v>10</v>
      </c>
      <c r="F225" s="79">
        <f>E225*6500</f>
        <v>65000</v>
      </c>
      <c r="G225" s="79">
        <f>E225*4500</f>
        <v>45000</v>
      </c>
      <c r="H225" s="79">
        <f>E225*2000</f>
        <v>20000</v>
      </c>
    </row>
    <row r="226" spans="1:8" hidden="1" x14ac:dyDescent="0.25">
      <c r="D226" t="s">
        <v>14</v>
      </c>
      <c r="E226">
        <v>6</v>
      </c>
      <c r="F226" s="79">
        <f>E226*10000</f>
        <v>60000</v>
      </c>
      <c r="G226" s="79">
        <f>E226*5500</f>
        <v>33000</v>
      </c>
      <c r="H226" s="79">
        <f>E226*4500</f>
        <v>27000</v>
      </c>
    </row>
    <row r="227" spans="1:8" hidden="1" x14ac:dyDescent="0.25">
      <c r="C227" t="s">
        <v>24</v>
      </c>
      <c r="D227" t="s">
        <v>243</v>
      </c>
      <c r="E227">
        <v>1</v>
      </c>
      <c r="F227" s="79">
        <v>15000</v>
      </c>
      <c r="G227" s="79">
        <v>10000</v>
      </c>
      <c r="H227" s="79">
        <v>5000</v>
      </c>
    </row>
    <row r="228" spans="1:8" hidden="1" x14ac:dyDescent="0.25">
      <c r="A228" s="112" t="s">
        <v>17</v>
      </c>
      <c r="B228" s="112"/>
      <c r="C228" s="112"/>
      <c r="D228" s="112"/>
      <c r="E228" s="78">
        <f>SUM(E223:E227)</f>
        <v>33</v>
      </c>
      <c r="F228" s="78">
        <f t="shared" ref="F228:H228" si="27">SUM(F223:F227)</f>
        <v>273000</v>
      </c>
      <c r="G228" s="78">
        <f t="shared" si="27"/>
        <v>167000</v>
      </c>
      <c r="H228" s="78">
        <f t="shared" si="27"/>
        <v>106000</v>
      </c>
    </row>
    <row r="229" spans="1:8" hidden="1" x14ac:dyDescent="0.25">
      <c r="A229" s="1" t="s">
        <v>28</v>
      </c>
      <c r="B229" s="100">
        <v>45746</v>
      </c>
      <c r="C229" s="1" t="s">
        <v>75</v>
      </c>
      <c r="D229" s="1" t="s">
        <v>75</v>
      </c>
      <c r="E229" s="1" t="s">
        <v>75</v>
      </c>
      <c r="F229" s="1" t="s">
        <v>75</v>
      </c>
      <c r="G229" s="1" t="s">
        <v>75</v>
      </c>
      <c r="H229" s="1" t="s">
        <v>75</v>
      </c>
    </row>
    <row r="230" spans="1:8" hidden="1" x14ac:dyDescent="0.25">
      <c r="A230" s="1" t="s">
        <v>30</v>
      </c>
      <c r="B230" s="100">
        <v>45747</v>
      </c>
      <c r="C230" s="1" t="s">
        <v>75</v>
      </c>
      <c r="D230" s="1" t="s">
        <v>75</v>
      </c>
      <c r="E230" s="1" t="s">
        <v>75</v>
      </c>
      <c r="F230" s="1" t="s">
        <v>75</v>
      </c>
      <c r="G230" s="1" t="s">
        <v>75</v>
      </c>
      <c r="H230" s="1" t="s">
        <v>75</v>
      </c>
    </row>
  </sheetData>
  <autoFilter ref="A1:H230" xr:uid="{2AD96C8D-6F99-4A5F-8247-BFDB893B0374}">
    <filterColumn colId="3">
      <filters>
        <filter val="ES  SUSU RASA"/>
        <filter val="ES SUSU"/>
        <filter val="SUSU MURNI HANGAT"/>
      </filters>
    </filterColumn>
  </autoFilter>
  <mergeCells count="28">
    <mergeCell ref="A228:D228"/>
    <mergeCell ref="A153:D153"/>
    <mergeCell ref="A164:D164"/>
    <mergeCell ref="A191:D191"/>
    <mergeCell ref="A197:D197"/>
    <mergeCell ref="A183:D183"/>
    <mergeCell ref="A173:D173"/>
    <mergeCell ref="A222:D222"/>
    <mergeCell ref="A7:D7"/>
    <mergeCell ref="A18:D18"/>
    <mergeCell ref="A27:D27"/>
    <mergeCell ref="A41:D41"/>
    <mergeCell ref="A52:D52"/>
    <mergeCell ref="A64:D64"/>
    <mergeCell ref="A94:D94"/>
    <mergeCell ref="A100:D100"/>
    <mergeCell ref="A88:D88"/>
    <mergeCell ref="A80:D80"/>
    <mergeCell ref="A148:D148"/>
    <mergeCell ref="A209:D209"/>
    <mergeCell ref="A73:D73"/>
    <mergeCell ref="A144:D144"/>
    <mergeCell ref="A134:D134"/>
    <mergeCell ref="A139:D139"/>
    <mergeCell ref="A115:D115"/>
    <mergeCell ref="A121:D121"/>
    <mergeCell ref="A128:D128"/>
    <mergeCell ref="A107:D107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5EDE-D9BC-4BF9-9B7E-3EB1A7FCEC85}">
  <sheetPr filterMode="1"/>
  <dimension ref="A1:L223"/>
  <sheetViews>
    <sheetView workbookViewId="0">
      <selection activeCell="L221" sqref="L221"/>
    </sheetView>
  </sheetViews>
  <sheetFormatPr defaultRowHeight="15" x14ac:dyDescent="0.25"/>
  <cols>
    <col min="2" max="2" width="10.7109375" bestFit="1" customWidth="1"/>
  </cols>
  <sheetData>
    <row r="1" spans="1:12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12" hidden="1" x14ac:dyDescent="0.25">
      <c r="A2" t="s">
        <v>32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12" hidden="1" x14ac:dyDescent="0.25">
      <c r="A3" t="s">
        <v>8</v>
      </c>
      <c r="B3" t="s">
        <v>75</v>
      </c>
      <c r="C3" t="s">
        <v>75</v>
      </c>
      <c r="D3" t="s">
        <v>75</v>
      </c>
      <c r="E3" t="s">
        <v>75</v>
      </c>
      <c r="F3" t="s">
        <v>75</v>
      </c>
      <c r="G3" t="s">
        <v>75</v>
      </c>
      <c r="H3" t="s">
        <v>75</v>
      </c>
    </row>
    <row r="4" spans="1:12" hidden="1" x14ac:dyDescent="0.25">
      <c r="A4" t="s">
        <v>18</v>
      </c>
      <c r="B4" t="s">
        <v>75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</row>
    <row r="5" spans="1:12" hidden="1" x14ac:dyDescent="0.25">
      <c r="A5" t="s">
        <v>22</v>
      </c>
      <c r="B5" s="3">
        <v>45751</v>
      </c>
      <c r="C5" t="s">
        <v>20</v>
      </c>
      <c r="D5" t="s">
        <v>13</v>
      </c>
      <c r="E5">
        <v>2</v>
      </c>
      <c r="F5" s="79">
        <v>16000</v>
      </c>
      <c r="G5" s="79">
        <v>9000</v>
      </c>
      <c r="H5" s="79">
        <v>7000</v>
      </c>
    </row>
    <row r="6" spans="1:12" hidden="1" x14ac:dyDescent="0.25">
      <c r="D6" t="s">
        <v>14</v>
      </c>
      <c r="E6">
        <v>4</v>
      </c>
      <c r="F6" s="79">
        <v>40000</v>
      </c>
      <c r="G6" s="79">
        <f>E6*5500</f>
        <v>22000</v>
      </c>
      <c r="H6" s="79">
        <f>E6*4500</f>
        <v>18000</v>
      </c>
    </row>
    <row r="7" spans="1:12" hidden="1" x14ac:dyDescent="0.25">
      <c r="D7" t="s">
        <v>919</v>
      </c>
      <c r="E7">
        <v>2</v>
      </c>
      <c r="F7" s="79">
        <v>24000</v>
      </c>
      <c r="G7" s="79">
        <v>11000</v>
      </c>
      <c r="H7" s="79">
        <v>9000</v>
      </c>
    </row>
    <row r="8" spans="1:12" hidden="1" x14ac:dyDescent="0.25">
      <c r="D8" t="s">
        <v>944</v>
      </c>
      <c r="E8">
        <v>4</v>
      </c>
      <c r="F8" s="79">
        <v>32000</v>
      </c>
      <c r="G8" s="79">
        <f>E8*5500</f>
        <v>22000</v>
      </c>
      <c r="H8" s="79">
        <f>E8*2500</f>
        <v>10000</v>
      </c>
    </row>
    <row r="9" spans="1:12" hidden="1" x14ac:dyDescent="0.25">
      <c r="D9" t="s">
        <v>420</v>
      </c>
      <c r="E9">
        <v>3</v>
      </c>
      <c r="F9" s="79">
        <f>E9*8000</f>
        <v>24000</v>
      </c>
      <c r="G9" s="79">
        <f>E9*5500</f>
        <v>16500</v>
      </c>
      <c r="H9" s="79">
        <f>E9*2500</f>
        <v>7500</v>
      </c>
    </row>
    <row r="10" spans="1:12" hidden="1" x14ac:dyDescent="0.25">
      <c r="D10" t="s">
        <v>243</v>
      </c>
      <c r="E10">
        <v>3</v>
      </c>
      <c r="F10" s="79">
        <v>45000</v>
      </c>
      <c r="G10" s="79">
        <v>30000</v>
      </c>
      <c r="H10" s="79">
        <v>15000</v>
      </c>
    </row>
    <row r="11" spans="1:12" hidden="1" x14ac:dyDescent="0.25">
      <c r="A11" s="112" t="s">
        <v>17</v>
      </c>
      <c r="B11" s="112"/>
      <c r="C11" s="112"/>
      <c r="D11" s="112"/>
      <c r="E11" s="78">
        <f>SUM(E5:E10)</f>
        <v>18</v>
      </c>
      <c r="F11" s="78">
        <f t="shared" ref="F11:H11" si="0">SUM(F5:F10)</f>
        <v>181000</v>
      </c>
      <c r="G11" s="78">
        <f t="shared" si="0"/>
        <v>110500</v>
      </c>
      <c r="H11" s="78">
        <f t="shared" si="0"/>
        <v>66500</v>
      </c>
    </row>
    <row r="12" spans="1:12" hidden="1" x14ac:dyDescent="0.25">
      <c r="A12" t="s">
        <v>26</v>
      </c>
      <c r="B12" s="3">
        <v>45752</v>
      </c>
      <c r="C12" t="s">
        <v>20</v>
      </c>
      <c r="D12" t="s">
        <v>13</v>
      </c>
      <c r="E12">
        <v>4</v>
      </c>
      <c r="F12" s="79">
        <f>E12*8000</f>
        <v>32000</v>
      </c>
      <c r="G12" s="79">
        <f>E12*4500</f>
        <v>18000</v>
      </c>
      <c r="H12" s="79">
        <f>E12*3500</f>
        <v>14000</v>
      </c>
      <c r="L12">
        <f>E74+E80+E95+E99+E131+E138+E157+E165+E191+E203+E213</f>
        <v>186</v>
      </c>
    </row>
    <row r="13" spans="1:12" hidden="1" x14ac:dyDescent="0.25">
      <c r="D13" t="s">
        <v>14</v>
      </c>
      <c r="E13">
        <v>8</v>
      </c>
      <c r="F13" s="79">
        <f>E13*10000</f>
        <v>80000</v>
      </c>
      <c r="G13" s="79">
        <f>E13*5500</f>
        <v>44000</v>
      </c>
      <c r="H13" s="79">
        <f>E13*4500</f>
        <v>36000</v>
      </c>
      <c r="L13">
        <f>E39+E46+E73+E79+E94+E98+E130+E137+E156+E166+E190+E202+E213</f>
        <v>285</v>
      </c>
    </row>
    <row r="14" spans="1:12" hidden="1" x14ac:dyDescent="0.25">
      <c r="D14" t="s">
        <v>902</v>
      </c>
      <c r="E14">
        <v>8</v>
      </c>
      <c r="F14" s="79">
        <f>E14*8000</f>
        <v>64000</v>
      </c>
      <c r="G14" s="79">
        <f>E14*5500</f>
        <v>44000</v>
      </c>
      <c r="H14" s="79">
        <f>E14*2500</f>
        <v>20000</v>
      </c>
      <c r="L14">
        <f>E48+E53+E70+E77+E84+E97+E112+E132+E136+E154+E163+E188+E201</f>
        <v>667</v>
      </c>
    </row>
    <row r="15" spans="1:12" hidden="1" x14ac:dyDescent="0.25">
      <c r="D15" t="s">
        <v>243</v>
      </c>
      <c r="E15">
        <v>2</v>
      </c>
      <c r="F15" s="79">
        <f>E15*15000</f>
        <v>30000</v>
      </c>
      <c r="G15" s="79">
        <f>E15*10000</f>
        <v>20000</v>
      </c>
      <c r="H15" s="79">
        <v>10000</v>
      </c>
      <c r="L15">
        <f>E47+E71+E78+E85+E96+E129+E139+E147+E155+E164+E189+E200+E211</f>
        <v>378</v>
      </c>
    </row>
    <row r="16" spans="1:12" hidden="1" x14ac:dyDescent="0.25">
      <c r="D16" t="s">
        <v>243</v>
      </c>
      <c r="E16">
        <v>5</v>
      </c>
      <c r="F16" s="79"/>
      <c r="G16" s="79"/>
      <c r="H16" s="79"/>
      <c r="L16">
        <f>E40+E49+E55+E75+E81+E86+E100+E113+E133+E141+E148+E158+E167+E173+E192+E212</f>
        <v>345</v>
      </c>
    </row>
    <row r="17" spans="1:12" hidden="1" x14ac:dyDescent="0.25">
      <c r="D17" t="s">
        <v>13</v>
      </c>
      <c r="E17">
        <v>3</v>
      </c>
      <c r="F17" s="79"/>
      <c r="G17" s="79"/>
      <c r="H17" s="79"/>
    </row>
    <row r="18" spans="1:12" hidden="1" x14ac:dyDescent="0.25">
      <c r="C18" t="s">
        <v>554</v>
      </c>
      <c r="D18" t="s">
        <v>243</v>
      </c>
      <c r="E18">
        <v>4</v>
      </c>
      <c r="F18" s="79"/>
      <c r="G18" s="79"/>
      <c r="H18" s="79"/>
    </row>
    <row r="19" spans="1:12" hidden="1" x14ac:dyDescent="0.25">
      <c r="A19" s="112" t="s">
        <v>17</v>
      </c>
      <c r="B19" s="112"/>
      <c r="C19" s="112"/>
      <c r="D19" s="112"/>
      <c r="E19" s="78">
        <f>SUM(E12:E18)</f>
        <v>34</v>
      </c>
      <c r="F19" s="78">
        <f t="shared" ref="F19:H19" si="1">SUM(F12:F18)</f>
        <v>206000</v>
      </c>
      <c r="G19" s="78">
        <f t="shared" si="1"/>
        <v>126000</v>
      </c>
      <c r="H19" s="78">
        <f t="shared" si="1"/>
        <v>80000</v>
      </c>
      <c r="L19">
        <f>E5+E12+E17+E20+E22+E24+E28+E41+E51+E56+E62+E65+E67+E87+E90+E102+E107+E115+E116+E120+E123+E126+E142+E151+E170+E179+E183+E205+E216</f>
        <v>257</v>
      </c>
    </row>
    <row r="20" spans="1:12" hidden="1" x14ac:dyDescent="0.25">
      <c r="A20" t="s">
        <v>28</v>
      </c>
      <c r="B20" s="3">
        <v>45753</v>
      </c>
      <c r="C20" t="s">
        <v>20</v>
      </c>
      <c r="D20" t="s">
        <v>13</v>
      </c>
      <c r="E20">
        <v>35</v>
      </c>
      <c r="F20">
        <f>E20*8000</f>
        <v>280000</v>
      </c>
      <c r="G20">
        <f>E20*4500</f>
        <v>157500</v>
      </c>
      <c r="H20">
        <f>E20*3500</f>
        <v>122500</v>
      </c>
      <c r="L20">
        <f>E6+E13+E21+E23+E25+E29+E35+E42+E57+E63+E66+E88+E91+E103+E116+E121+E124+E143+E160+E175+E180+E181+E184+E195+E206+E217</f>
        <v>177</v>
      </c>
    </row>
    <row r="21" spans="1:12" hidden="1" x14ac:dyDescent="0.25">
      <c r="D21" t="s">
        <v>14</v>
      </c>
      <c r="E21">
        <v>25</v>
      </c>
      <c r="F21">
        <f>E21*10000</f>
        <v>250000</v>
      </c>
      <c r="G21">
        <f>E21*5500</f>
        <v>137500</v>
      </c>
      <c r="H21">
        <f>E21*4500</f>
        <v>112500</v>
      </c>
      <c r="L21">
        <f>E10+E16+E15+E18+E44+E68+E64+E82+E92+E110+E117+E127+E134+E149+E161+E168+E177+E186+E193+E218</f>
        <v>151</v>
      </c>
    </row>
    <row r="22" spans="1:12" hidden="1" x14ac:dyDescent="0.25">
      <c r="C22" t="s">
        <v>217</v>
      </c>
      <c r="D22" t="s">
        <v>13</v>
      </c>
      <c r="E22">
        <v>6</v>
      </c>
      <c r="F22">
        <f>E22*6500</f>
        <v>39000</v>
      </c>
      <c r="G22">
        <f>E22*4500</f>
        <v>27000</v>
      </c>
      <c r="H22">
        <f>E22*2000</f>
        <v>12000</v>
      </c>
      <c r="L22">
        <f>E8+E14+E26+E32+E36+E43+E58+E104+E108+E144+E152+E208+E215</f>
        <v>56</v>
      </c>
    </row>
    <row r="23" spans="1:12" hidden="1" x14ac:dyDescent="0.25">
      <c r="D23" t="s">
        <v>14</v>
      </c>
      <c r="E23">
        <v>10</v>
      </c>
      <c r="F23">
        <v>100000</v>
      </c>
      <c r="G23">
        <v>55000</v>
      </c>
      <c r="H23">
        <v>45000</v>
      </c>
    </row>
    <row r="24" spans="1:12" hidden="1" x14ac:dyDescent="0.25">
      <c r="C24" t="s">
        <v>945</v>
      </c>
      <c r="D24" t="s">
        <v>13</v>
      </c>
      <c r="E24">
        <v>6</v>
      </c>
      <c r="F24">
        <f>E24*8000</f>
        <v>48000</v>
      </c>
      <c r="G24">
        <f>E24*4500</f>
        <v>27000</v>
      </c>
      <c r="H24">
        <f>E24*3500</f>
        <v>21000</v>
      </c>
    </row>
    <row r="25" spans="1:12" hidden="1" x14ac:dyDescent="0.25">
      <c r="D25" t="s">
        <v>14</v>
      </c>
      <c r="E25">
        <v>1</v>
      </c>
      <c r="F25">
        <v>12000</v>
      </c>
      <c r="G25">
        <v>5500</v>
      </c>
      <c r="H25">
        <v>6500</v>
      </c>
    </row>
    <row r="26" spans="1:12" hidden="1" x14ac:dyDescent="0.25">
      <c r="D26" t="s">
        <v>902</v>
      </c>
      <c r="E26">
        <v>5</v>
      </c>
      <c r="F26">
        <f>E26*8000</f>
        <v>40000</v>
      </c>
      <c r="G26">
        <f>E26*5500</f>
        <v>27500</v>
      </c>
      <c r="H26">
        <f>E26*2500</f>
        <v>12500</v>
      </c>
    </row>
    <row r="27" spans="1:12" hidden="1" x14ac:dyDescent="0.25">
      <c r="A27" s="111" t="s">
        <v>17</v>
      </c>
      <c r="B27" s="111"/>
      <c r="C27" s="111"/>
      <c r="D27" s="111"/>
      <c r="E27" s="78">
        <f>SUM(E20:E26)</f>
        <v>88</v>
      </c>
      <c r="F27" s="78">
        <f t="shared" ref="F27:H27" si="2">SUM(F20:F26)</f>
        <v>769000</v>
      </c>
      <c r="G27" s="78">
        <f t="shared" si="2"/>
        <v>437000</v>
      </c>
      <c r="H27" s="78">
        <f t="shared" si="2"/>
        <v>332000</v>
      </c>
    </row>
    <row r="28" spans="1:12" hidden="1" x14ac:dyDescent="0.25">
      <c r="A28" t="s">
        <v>30</v>
      </c>
      <c r="B28" s="3">
        <v>45754</v>
      </c>
      <c r="C28" t="s">
        <v>20</v>
      </c>
      <c r="D28" t="s">
        <v>13</v>
      </c>
      <c r="E28">
        <v>2</v>
      </c>
      <c r="F28">
        <f>E28*8000</f>
        <v>16000</v>
      </c>
      <c r="G28">
        <f>E28*4500</f>
        <v>9000</v>
      </c>
      <c r="H28">
        <f>E28*3500</f>
        <v>7000</v>
      </c>
    </row>
    <row r="29" spans="1:12" hidden="1" x14ac:dyDescent="0.25">
      <c r="D29" t="s">
        <v>14</v>
      </c>
      <c r="E29">
        <v>4</v>
      </c>
      <c r="F29">
        <f>E29*12000</f>
        <v>48000</v>
      </c>
      <c r="G29">
        <f>E29*5500</f>
        <v>22000</v>
      </c>
      <c r="H29">
        <f>E29*6500</f>
        <v>26000</v>
      </c>
    </row>
    <row r="30" spans="1:12" hidden="1" x14ac:dyDescent="0.25">
      <c r="D30" t="s">
        <v>689</v>
      </c>
      <c r="E30">
        <v>1</v>
      </c>
      <c r="F30">
        <v>8000</v>
      </c>
      <c r="G30">
        <v>5500</v>
      </c>
      <c r="H30">
        <v>2500</v>
      </c>
    </row>
    <row r="31" spans="1:12" hidden="1" x14ac:dyDescent="0.25">
      <c r="D31" t="s">
        <v>919</v>
      </c>
      <c r="E31">
        <v>1</v>
      </c>
      <c r="F31">
        <v>12000</v>
      </c>
      <c r="G31">
        <v>5500</v>
      </c>
      <c r="H31">
        <v>6500</v>
      </c>
    </row>
    <row r="32" spans="1:12" hidden="1" x14ac:dyDescent="0.25">
      <c r="D32" t="s">
        <v>944</v>
      </c>
      <c r="E32">
        <v>1</v>
      </c>
      <c r="F32">
        <v>8000</v>
      </c>
      <c r="G32">
        <v>5500</v>
      </c>
      <c r="H32">
        <v>2500</v>
      </c>
    </row>
    <row r="33" spans="1:8" hidden="1" x14ac:dyDescent="0.25">
      <c r="A33" s="112" t="s">
        <v>17</v>
      </c>
      <c r="B33" s="112"/>
      <c r="C33" s="112"/>
      <c r="D33" s="112"/>
      <c r="E33" s="78">
        <f>SUM(E28:E32)</f>
        <v>9</v>
      </c>
      <c r="F33" s="78">
        <f t="shared" ref="F33:H33" si="3">SUM(F28:F32)</f>
        <v>92000</v>
      </c>
      <c r="G33" s="78">
        <f t="shared" si="3"/>
        <v>47500</v>
      </c>
      <c r="H33" s="78">
        <f t="shared" si="3"/>
        <v>44500</v>
      </c>
    </row>
    <row r="34" spans="1:8" hidden="1" x14ac:dyDescent="0.25">
      <c r="A34" t="s">
        <v>32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</row>
    <row r="35" spans="1:8" hidden="1" x14ac:dyDescent="0.25">
      <c r="A35" t="s">
        <v>8</v>
      </c>
      <c r="B35" s="3">
        <v>45756</v>
      </c>
      <c r="C35" t="s">
        <v>20</v>
      </c>
      <c r="D35" t="s">
        <v>14</v>
      </c>
      <c r="E35">
        <v>2</v>
      </c>
      <c r="F35">
        <f>E35*12000</f>
        <v>24000</v>
      </c>
      <c r="G35">
        <f>E35*5500</f>
        <v>11000</v>
      </c>
      <c r="H35">
        <f>E35*4500</f>
        <v>9000</v>
      </c>
    </row>
    <row r="36" spans="1:8" hidden="1" x14ac:dyDescent="0.25">
      <c r="D36" t="s">
        <v>902</v>
      </c>
      <c r="E36">
        <v>9</v>
      </c>
      <c r="F36">
        <f>E36*8000</f>
        <v>72000</v>
      </c>
      <c r="G36">
        <f>E36*5500</f>
        <v>49500</v>
      </c>
      <c r="H36">
        <f>E36*2500</f>
        <v>22500</v>
      </c>
    </row>
    <row r="37" spans="1:8" hidden="1" x14ac:dyDescent="0.25">
      <c r="D37" t="s">
        <v>919</v>
      </c>
      <c r="E37">
        <v>1</v>
      </c>
      <c r="F37">
        <v>12000</v>
      </c>
      <c r="G37">
        <v>5500</v>
      </c>
      <c r="H37">
        <v>6500</v>
      </c>
    </row>
    <row r="38" spans="1:8" hidden="1" x14ac:dyDescent="0.25">
      <c r="A38" s="112" t="s">
        <v>17</v>
      </c>
      <c r="B38" s="112"/>
      <c r="C38" s="112"/>
      <c r="D38" s="112"/>
      <c r="E38" s="78">
        <f>SUM(E35:E37)</f>
        <v>12</v>
      </c>
      <c r="F38" s="78">
        <f t="shared" ref="F38:H38" si="4">SUM(F35:F37)</f>
        <v>108000</v>
      </c>
      <c r="G38" s="78">
        <f t="shared" si="4"/>
        <v>66000</v>
      </c>
      <c r="H38" s="78">
        <f t="shared" si="4"/>
        <v>38000</v>
      </c>
    </row>
    <row r="39" spans="1:8" hidden="1" x14ac:dyDescent="0.25">
      <c r="A39" t="s">
        <v>18</v>
      </c>
      <c r="B39" s="3">
        <v>45757</v>
      </c>
      <c r="C39" t="s">
        <v>581</v>
      </c>
      <c r="D39" t="s">
        <v>914</v>
      </c>
      <c r="E39">
        <v>35</v>
      </c>
      <c r="F39" s="79">
        <f>E39*1600</f>
        <v>56000</v>
      </c>
      <c r="G39" s="79">
        <f>E39*500</f>
        <v>17500</v>
      </c>
      <c r="H39" s="79">
        <f>E39*1100</f>
        <v>38500</v>
      </c>
    </row>
    <row r="40" spans="1:8" hidden="1" x14ac:dyDescent="0.25">
      <c r="C40" t="s">
        <v>104</v>
      </c>
      <c r="D40" t="s">
        <v>420</v>
      </c>
      <c r="E40">
        <v>32</v>
      </c>
      <c r="F40" s="79">
        <f>E40*1500</f>
        <v>48000</v>
      </c>
      <c r="G40" s="79">
        <f>E40*500</f>
        <v>16000</v>
      </c>
      <c r="H40" s="79">
        <v>32000</v>
      </c>
    </row>
    <row r="41" spans="1:8" hidden="1" x14ac:dyDescent="0.25">
      <c r="C41" t="s">
        <v>20</v>
      </c>
      <c r="D41" t="s">
        <v>13</v>
      </c>
      <c r="E41">
        <v>7</v>
      </c>
      <c r="F41" s="79">
        <f>E41*8000</f>
        <v>56000</v>
      </c>
      <c r="G41" s="79">
        <f>E41*4500</f>
        <v>31500</v>
      </c>
      <c r="H41" s="79">
        <f>E41*3500</f>
        <v>24500</v>
      </c>
    </row>
    <row r="42" spans="1:8" hidden="1" x14ac:dyDescent="0.25">
      <c r="D42" t="s">
        <v>14</v>
      </c>
      <c r="E42">
        <v>2</v>
      </c>
      <c r="F42" s="79">
        <v>20000</v>
      </c>
      <c r="G42" s="79">
        <v>5500</v>
      </c>
      <c r="H42" s="79">
        <v>4500</v>
      </c>
    </row>
    <row r="43" spans="1:8" hidden="1" x14ac:dyDescent="0.25">
      <c r="D43" t="s">
        <v>902</v>
      </c>
      <c r="E43">
        <v>3</v>
      </c>
      <c r="F43" s="79">
        <v>24000</v>
      </c>
      <c r="G43" s="79">
        <f>E43*5500</f>
        <v>16500</v>
      </c>
      <c r="H43" s="79">
        <f>E43*2500</f>
        <v>7500</v>
      </c>
    </row>
    <row r="44" spans="1:8" hidden="1" x14ac:dyDescent="0.25">
      <c r="D44" t="s">
        <v>243</v>
      </c>
      <c r="E44">
        <v>5</v>
      </c>
      <c r="F44" s="79">
        <f>E44*15000</f>
        <v>75000</v>
      </c>
      <c r="G44" s="79">
        <v>50000</v>
      </c>
      <c r="H44" s="79">
        <v>25000</v>
      </c>
    </row>
    <row r="45" spans="1:8" hidden="1" x14ac:dyDescent="0.25">
      <c r="A45" s="112" t="s">
        <v>17</v>
      </c>
      <c r="B45" s="112"/>
      <c r="C45" s="112"/>
      <c r="D45" s="112"/>
      <c r="E45" s="78">
        <f>SUM(E39:E44)</f>
        <v>84</v>
      </c>
      <c r="F45" s="78">
        <f t="shared" ref="F45:H45" si="5">SUM(F39:F44)</f>
        <v>279000</v>
      </c>
      <c r="G45" s="78">
        <f t="shared" si="5"/>
        <v>137000</v>
      </c>
      <c r="H45" s="78">
        <f t="shared" si="5"/>
        <v>132000</v>
      </c>
    </row>
    <row r="46" spans="1:8" hidden="1" x14ac:dyDescent="0.25">
      <c r="A46" t="s">
        <v>22</v>
      </c>
      <c r="B46" s="3">
        <v>45758</v>
      </c>
      <c r="C46" t="s">
        <v>606</v>
      </c>
      <c r="D46" t="s">
        <v>914</v>
      </c>
      <c r="E46">
        <v>23</v>
      </c>
      <c r="F46" s="79">
        <f>E46*1600</f>
        <v>36800</v>
      </c>
      <c r="G46" s="79">
        <f>E46*500</f>
        <v>11500</v>
      </c>
      <c r="H46" s="79">
        <f>E46*1100</f>
        <v>25300</v>
      </c>
    </row>
    <row r="47" spans="1:8" hidden="1" x14ac:dyDescent="0.25">
      <c r="C47" t="s">
        <v>571</v>
      </c>
      <c r="D47" t="s">
        <v>11</v>
      </c>
      <c r="E47">
        <v>30</v>
      </c>
      <c r="F47" s="79">
        <f>E47*1700</f>
        <v>51000</v>
      </c>
      <c r="G47" s="79">
        <f>E47*500</f>
        <v>15000</v>
      </c>
      <c r="H47" s="79">
        <f>E47*1200</f>
        <v>36000</v>
      </c>
    </row>
    <row r="48" spans="1:8" hidden="1" x14ac:dyDescent="0.25">
      <c r="C48" t="s">
        <v>338</v>
      </c>
      <c r="D48" t="s">
        <v>11</v>
      </c>
      <c r="E48">
        <v>45</v>
      </c>
      <c r="F48" s="79">
        <f>E48*1500</f>
        <v>67500</v>
      </c>
      <c r="G48" s="79">
        <f>E48*500</f>
        <v>22500</v>
      </c>
      <c r="H48" s="79">
        <f>E48*1000</f>
        <v>45000</v>
      </c>
    </row>
    <row r="49" spans="1:8" hidden="1" x14ac:dyDescent="0.25">
      <c r="C49" t="s">
        <v>104</v>
      </c>
      <c r="D49" t="s">
        <v>11</v>
      </c>
      <c r="E49">
        <v>36</v>
      </c>
      <c r="F49" s="79">
        <f>E49*1500</f>
        <v>54000</v>
      </c>
      <c r="G49" s="79">
        <f>E49*500</f>
        <v>18000</v>
      </c>
      <c r="H49" s="79">
        <v>36000</v>
      </c>
    </row>
    <row r="50" spans="1:8" hidden="1" x14ac:dyDescent="0.25">
      <c r="C50" t="s">
        <v>20</v>
      </c>
      <c r="D50" t="s">
        <v>11</v>
      </c>
      <c r="E50">
        <v>20</v>
      </c>
      <c r="F50" s="79"/>
      <c r="G50" s="79">
        <v>0</v>
      </c>
      <c r="H50" s="79"/>
    </row>
    <row r="51" spans="1:8" hidden="1" x14ac:dyDescent="0.25">
      <c r="D51" t="s">
        <v>13</v>
      </c>
      <c r="E51">
        <v>1</v>
      </c>
      <c r="F51" s="79">
        <v>8000</v>
      </c>
      <c r="G51" s="79">
        <v>4500</v>
      </c>
      <c r="H51" s="79">
        <v>3500</v>
      </c>
    </row>
    <row r="52" spans="1:8" hidden="1" x14ac:dyDescent="0.25">
      <c r="A52" s="112" t="s">
        <v>17</v>
      </c>
      <c r="B52" s="112"/>
      <c r="C52" s="112"/>
      <c r="D52" s="112"/>
      <c r="E52" s="78">
        <f>SUM(E46:E51)</f>
        <v>155</v>
      </c>
      <c r="F52" s="78">
        <f t="shared" ref="F52:H52" si="6">SUM(F46:F51)</f>
        <v>217300</v>
      </c>
      <c r="G52" s="78">
        <f t="shared" si="6"/>
        <v>71500</v>
      </c>
      <c r="H52" s="78">
        <f t="shared" si="6"/>
        <v>145800</v>
      </c>
    </row>
    <row r="53" spans="1:8" hidden="1" x14ac:dyDescent="0.25">
      <c r="A53" t="s">
        <v>26</v>
      </c>
      <c r="B53" s="3">
        <v>45759</v>
      </c>
      <c r="C53" t="s">
        <v>338</v>
      </c>
      <c r="D53" t="s">
        <v>11</v>
      </c>
      <c r="E53">
        <v>50</v>
      </c>
      <c r="F53" s="79">
        <f>E53*1500</f>
        <v>75000</v>
      </c>
      <c r="G53" s="79">
        <f>E53*500</f>
        <v>25000</v>
      </c>
      <c r="H53" s="79">
        <v>50000</v>
      </c>
    </row>
    <row r="54" spans="1:8" hidden="1" x14ac:dyDescent="0.25">
      <c r="C54" t="s">
        <v>581</v>
      </c>
      <c r="F54" s="79"/>
      <c r="G54" s="79"/>
      <c r="H54" s="79"/>
    </row>
    <row r="55" spans="1:8" hidden="1" x14ac:dyDescent="0.25">
      <c r="C55" t="s">
        <v>104</v>
      </c>
      <c r="D55" t="s">
        <v>11</v>
      </c>
      <c r="E55">
        <v>3</v>
      </c>
      <c r="F55" s="79">
        <v>4500</v>
      </c>
      <c r="G55" s="79">
        <f>E55*500</f>
        <v>1500</v>
      </c>
      <c r="H55" s="79">
        <v>3000</v>
      </c>
    </row>
    <row r="56" spans="1:8" hidden="1" x14ac:dyDescent="0.25">
      <c r="C56" t="s">
        <v>20</v>
      </c>
      <c r="D56" t="s">
        <v>13</v>
      </c>
      <c r="E56">
        <v>1</v>
      </c>
      <c r="F56" s="79">
        <v>8000</v>
      </c>
      <c r="G56" s="79">
        <v>4500</v>
      </c>
      <c r="H56" s="79">
        <v>3500</v>
      </c>
    </row>
    <row r="57" spans="1:8" hidden="1" x14ac:dyDescent="0.25">
      <c r="D57" t="s">
        <v>14</v>
      </c>
      <c r="E57">
        <v>3</v>
      </c>
      <c r="F57" s="79">
        <f>E57*12000</f>
        <v>36000</v>
      </c>
      <c r="G57" s="79">
        <f>E57*5500</f>
        <v>16500</v>
      </c>
      <c r="H57" s="79">
        <f>E57*6500</f>
        <v>19500</v>
      </c>
    </row>
    <row r="58" spans="1:8" hidden="1" x14ac:dyDescent="0.25">
      <c r="D58" t="s">
        <v>902</v>
      </c>
      <c r="E58">
        <v>3</v>
      </c>
      <c r="F58" s="79">
        <f>E58*8000</f>
        <v>24000</v>
      </c>
      <c r="G58" s="79">
        <f>E58*5500</f>
        <v>16500</v>
      </c>
      <c r="H58" s="79">
        <f>E58*2500</f>
        <v>7500</v>
      </c>
    </row>
    <row r="59" spans="1:8" x14ac:dyDescent="0.25">
      <c r="D59" t="s">
        <v>404</v>
      </c>
      <c r="E59">
        <v>4</v>
      </c>
      <c r="F59" s="79">
        <v>16000</v>
      </c>
      <c r="G59" s="79">
        <v>8000</v>
      </c>
      <c r="H59" s="79">
        <v>8000</v>
      </c>
    </row>
    <row r="60" spans="1:8" hidden="1" x14ac:dyDescent="0.25">
      <c r="D60" t="s">
        <v>919</v>
      </c>
      <c r="E60">
        <v>1</v>
      </c>
      <c r="F60" s="79">
        <v>12000</v>
      </c>
      <c r="G60" s="79">
        <v>5500</v>
      </c>
      <c r="H60" s="79">
        <v>6500</v>
      </c>
    </row>
    <row r="61" spans="1:8" hidden="1" x14ac:dyDescent="0.25">
      <c r="A61" s="112" t="s">
        <v>17</v>
      </c>
      <c r="B61" s="112"/>
      <c r="C61" s="112"/>
      <c r="D61" s="112"/>
      <c r="E61" s="78">
        <f>SUM(E53:E60)</f>
        <v>65</v>
      </c>
      <c r="F61" s="78">
        <f t="shared" ref="F61:H61" si="7">SUM(F53:F60)</f>
        <v>175500</v>
      </c>
      <c r="G61" s="78">
        <f t="shared" si="7"/>
        <v>77500</v>
      </c>
      <c r="H61" s="78">
        <f t="shared" si="7"/>
        <v>98000</v>
      </c>
    </row>
    <row r="62" spans="1:8" hidden="1" x14ac:dyDescent="0.25">
      <c r="A62" t="s">
        <v>28</v>
      </c>
      <c r="B62" s="3">
        <v>45760</v>
      </c>
      <c r="C62" t="s">
        <v>693</v>
      </c>
      <c r="D62" t="s">
        <v>13</v>
      </c>
      <c r="E62">
        <v>30</v>
      </c>
      <c r="F62" s="79">
        <f>E62*7000</f>
        <v>210000</v>
      </c>
      <c r="G62" s="79">
        <f>E62*4500</f>
        <v>135000</v>
      </c>
      <c r="H62" s="79">
        <f>E62*2500</f>
        <v>75000</v>
      </c>
    </row>
    <row r="63" spans="1:8" hidden="1" x14ac:dyDescent="0.25">
      <c r="D63" t="s">
        <v>14</v>
      </c>
      <c r="E63">
        <v>22</v>
      </c>
      <c r="F63" s="79">
        <f>E63*10000</f>
        <v>220000</v>
      </c>
      <c r="G63" s="79">
        <f>E63*5500</f>
        <v>121000</v>
      </c>
      <c r="H63" s="79">
        <f>E63*4500</f>
        <v>99000</v>
      </c>
    </row>
    <row r="64" spans="1:8" hidden="1" x14ac:dyDescent="0.25">
      <c r="D64" t="s">
        <v>243</v>
      </c>
      <c r="E64">
        <v>1</v>
      </c>
      <c r="F64" s="79">
        <v>15000</v>
      </c>
      <c r="G64" s="79">
        <v>10000</v>
      </c>
      <c r="H64" s="79">
        <v>5000</v>
      </c>
    </row>
    <row r="65" spans="1:8" hidden="1" x14ac:dyDescent="0.25">
      <c r="C65" t="s">
        <v>217</v>
      </c>
      <c r="D65" t="s">
        <v>13</v>
      </c>
      <c r="E65">
        <v>11</v>
      </c>
      <c r="F65" s="79">
        <f>E65*6500</f>
        <v>71500</v>
      </c>
      <c r="G65" s="79">
        <f>E65*4500</f>
        <v>49500</v>
      </c>
      <c r="H65" s="79">
        <f>E65*2000</f>
        <v>22000</v>
      </c>
    </row>
    <row r="66" spans="1:8" hidden="1" x14ac:dyDescent="0.25">
      <c r="D66" t="s">
        <v>14</v>
      </c>
      <c r="E66">
        <v>6</v>
      </c>
      <c r="F66" s="79">
        <f>E66*10000</f>
        <v>60000</v>
      </c>
      <c r="G66" s="79">
        <f>E66*5500</f>
        <v>33000</v>
      </c>
      <c r="H66" s="79">
        <f>E66*4500</f>
        <v>27000</v>
      </c>
    </row>
    <row r="67" spans="1:8" hidden="1" x14ac:dyDescent="0.25">
      <c r="C67" t="s">
        <v>20</v>
      </c>
      <c r="D67" t="s">
        <v>13</v>
      </c>
      <c r="E67">
        <v>2</v>
      </c>
      <c r="F67" s="79">
        <v>16000</v>
      </c>
      <c r="G67" s="79">
        <f>E67*4500</f>
        <v>9000</v>
      </c>
      <c r="H67" s="79">
        <f>E67*3500</f>
        <v>7000</v>
      </c>
    </row>
    <row r="68" spans="1:8" hidden="1" x14ac:dyDescent="0.25">
      <c r="D68" t="s">
        <v>243</v>
      </c>
      <c r="E68">
        <v>1</v>
      </c>
      <c r="F68" s="79">
        <v>15000</v>
      </c>
      <c r="G68" s="79">
        <v>10000</v>
      </c>
      <c r="H68" s="79">
        <v>5000</v>
      </c>
    </row>
    <row r="69" spans="1:8" hidden="1" x14ac:dyDescent="0.25">
      <c r="A69" s="112" t="s">
        <v>17</v>
      </c>
      <c r="B69" s="112"/>
      <c r="C69" s="112"/>
      <c r="D69" s="112"/>
      <c r="E69" s="78">
        <f>SUM(E62:E68)</f>
        <v>73</v>
      </c>
      <c r="F69" s="78">
        <f t="shared" ref="F69:H69" si="8">SUM(F62:F68)</f>
        <v>607500</v>
      </c>
      <c r="G69" s="78">
        <f t="shared" si="8"/>
        <v>367500</v>
      </c>
      <c r="H69" s="78">
        <f t="shared" si="8"/>
        <v>240000</v>
      </c>
    </row>
    <row r="70" spans="1:8" hidden="1" x14ac:dyDescent="0.25">
      <c r="A70" t="s">
        <v>30</v>
      </c>
      <c r="B70" s="3">
        <v>45761</v>
      </c>
      <c r="C70" t="s">
        <v>338</v>
      </c>
      <c r="D70" t="s">
        <v>11</v>
      </c>
      <c r="E70">
        <v>50</v>
      </c>
      <c r="F70" s="79">
        <f>E70*1500</f>
        <v>75000</v>
      </c>
      <c r="G70" s="79">
        <f t="shared" ref="G70:G75" si="9">E70*500</f>
        <v>25000</v>
      </c>
      <c r="H70" s="79">
        <v>50000</v>
      </c>
    </row>
    <row r="71" spans="1:8" hidden="1" x14ac:dyDescent="0.25">
      <c r="C71" t="s">
        <v>571</v>
      </c>
      <c r="D71" t="s">
        <v>11</v>
      </c>
      <c r="E71">
        <v>30</v>
      </c>
      <c r="F71" s="79">
        <f>E71*1700</f>
        <v>51000</v>
      </c>
      <c r="G71" s="79">
        <f t="shared" si="9"/>
        <v>15000</v>
      </c>
      <c r="H71" s="79">
        <f>E71*1200</f>
        <v>36000</v>
      </c>
    </row>
    <row r="72" spans="1:8" hidden="1" x14ac:dyDescent="0.25">
      <c r="C72" t="s">
        <v>572</v>
      </c>
      <c r="D72" t="s">
        <v>11</v>
      </c>
      <c r="E72">
        <v>115</v>
      </c>
      <c r="F72" s="79">
        <f>E72*1700</f>
        <v>195500</v>
      </c>
      <c r="G72" s="79">
        <f t="shared" si="9"/>
        <v>57500</v>
      </c>
      <c r="H72" s="79">
        <f>E72*1200</f>
        <v>138000</v>
      </c>
    </row>
    <row r="73" spans="1:8" hidden="1" x14ac:dyDescent="0.25">
      <c r="C73" t="s">
        <v>581</v>
      </c>
      <c r="D73" t="s">
        <v>914</v>
      </c>
      <c r="E73">
        <v>27</v>
      </c>
      <c r="F73" s="79">
        <f>E73*1600</f>
        <v>43200</v>
      </c>
      <c r="G73" s="79">
        <f t="shared" si="9"/>
        <v>13500</v>
      </c>
      <c r="H73" s="79">
        <f>E73*1100</f>
        <v>29700</v>
      </c>
    </row>
    <row r="74" spans="1:8" hidden="1" x14ac:dyDescent="0.25">
      <c r="D74" t="s">
        <v>420</v>
      </c>
      <c r="E74">
        <v>20</v>
      </c>
      <c r="F74" s="79">
        <f>E74*1600</f>
        <v>32000</v>
      </c>
      <c r="G74" s="79">
        <f t="shared" si="9"/>
        <v>10000</v>
      </c>
      <c r="H74" s="79">
        <f>E74*1100</f>
        <v>22000</v>
      </c>
    </row>
    <row r="75" spans="1:8" hidden="1" x14ac:dyDescent="0.25">
      <c r="C75" t="s">
        <v>104</v>
      </c>
      <c r="D75" t="s">
        <v>11</v>
      </c>
      <c r="E75">
        <v>34</v>
      </c>
      <c r="F75" s="79">
        <f>E75*1500</f>
        <v>51000</v>
      </c>
      <c r="G75" s="79">
        <f t="shared" si="9"/>
        <v>17000</v>
      </c>
      <c r="H75" s="79">
        <f>E75*1100</f>
        <v>37400</v>
      </c>
    </row>
    <row r="76" spans="1:8" hidden="1" x14ac:dyDescent="0.25">
      <c r="A76" s="112" t="s">
        <v>17</v>
      </c>
      <c r="B76" s="112"/>
      <c r="C76" s="112"/>
      <c r="D76" s="112"/>
      <c r="E76" s="78">
        <f>SUM(E70:E75)</f>
        <v>276</v>
      </c>
      <c r="F76" s="78">
        <f t="shared" ref="F76:H76" si="10">SUM(F70:F75)</f>
        <v>447700</v>
      </c>
      <c r="G76" s="78">
        <f t="shared" si="10"/>
        <v>138000</v>
      </c>
      <c r="H76" s="78">
        <f t="shared" si="10"/>
        <v>313100</v>
      </c>
    </row>
    <row r="77" spans="1:8" hidden="1" x14ac:dyDescent="0.25">
      <c r="A77" t="s">
        <v>32</v>
      </c>
      <c r="B77" s="3">
        <v>45762</v>
      </c>
      <c r="C77" t="s">
        <v>338</v>
      </c>
      <c r="D77" t="s">
        <v>11</v>
      </c>
      <c r="E77">
        <v>50</v>
      </c>
      <c r="F77" s="79">
        <f>E77*1500</f>
        <v>75000</v>
      </c>
      <c r="G77" s="79">
        <f>E77*500</f>
        <v>25000</v>
      </c>
      <c r="H77" s="79">
        <v>50000</v>
      </c>
    </row>
    <row r="78" spans="1:8" hidden="1" x14ac:dyDescent="0.25">
      <c r="C78" t="s">
        <v>571</v>
      </c>
      <c r="D78" t="s">
        <v>11</v>
      </c>
      <c r="E78">
        <v>31</v>
      </c>
      <c r="F78" s="79">
        <f>E78*1700</f>
        <v>52700</v>
      </c>
      <c r="G78" s="79">
        <f>E78*500</f>
        <v>15500</v>
      </c>
      <c r="H78" s="79">
        <f>E78*1200</f>
        <v>37200</v>
      </c>
    </row>
    <row r="79" spans="1:8" hidden="1" x14ac:dyDescent="0.25">
      <c r="C79" t="s">
        <v>581</v>
      </c>
      <c r="D79" t="s">
        <v>914</v>
      </c>
      <c r="E79">
        <v>20</v>
      </c>
      <c r="F79" s="79">
        <f>E79*1600</f>
        <v>32000</v>
      </c>
      <c r="G79" s="79">
        <f>E79*500</f>
        <v>10000</v>
      </c>
      <c r="H79" s="79">
        <f>E79*1100</f>
        <v>22000</v>
      </c>
    </row>
    <row r="80" spans="1:8" hidden="1" x14ac:dyDescent="0.25">
      <c r="D80" t="s">
        <v>420</v>
      </c>
      <c r="E80">
        <v>20</v>
      </c>
      <c r="F80" s="79">
        <f>E80*1600</f>
        <v>32000</v>
      </c>
      <c r="G80" s="79">
        <f>E80*500</f>
        <v>10000</v>
      </c>
      <c r="H80" s="79">
        <f>E80*1100</f>
        <v>22000</v>
      </c>
    </row>
    <row r="81" spans="1:8" hidden="1" x14ac:dyDescent="0.25">
      <c r="C81" t="s">
        <v>104</v>
      </c>
      <c r="D81" t="s">
        <v>11</v>
      </c>
      <c r="E81">
        <v>30</v>
      </c>
      <c r="F81" s="79">
        <f>E81*1500</f>
        <v>45000</v>
      </c>
      <c r="G81" s="79">
        <f>E81*500</f>
        <v>15000</v>
      </c>
      <c r="H81" s="79">
        <f>E81*1000</f>
        <v>30000</v>
      </c>
    </row>
    <row r="82" spans="1:8" hidden="1" x14ac:dyDescent="0.25">
      <c r="C82" t="s">
        <v>20</v>
      </c>
      <c r="D82" t="s">
        <v>243</v>
      </c>
      <c r="E82">
        <v>1</v>
      </c>
      <c r="F82" s="79">
        <v>15000</v>
      </c>
      <c r="G82" s="79">
        <v>10000</v>
      </c>
      <c r="H82" s="79">
        <v>5000</v>
      </c>
    </row>
    <row r="83" spans="1:8" hidden="1" x14ac:dyDescent="0.25">
      <c r="A83" s="112" t="s">
        <v>17</v>
      </c>
      <c r="B83" s="112"/>
      <c r="C83" s="112"/>
      <c r="D83" s="112"/>
      <c r="E83" s="78">
        <f>SUM(E77:E82)</f>
        <v>152</v>
      </c>
      <c r="F83" s="78">
        <f t="shared" ref="F83:H83" si="11">SUM(F77:F82)</f>
        <v>251700</v>
      </c>
      <c r="G83" s="78">
        <f t="shared" si="11"/>
        <v>85500</v>
      </c>
      <c r="H83" s="78">
        <f t="shared" si="11"/>
        <v>166200</v>
      </c>
    </row>
    <row r="84" spans="1:8" hidden="1" x14ac:dyDescent="0.25">
      <c r="A84" t="s">
        <v>8</v>
      </c>
      <c r="B84" s="3">
        <v>45763</v>
      </c>
      <c r="C84" t="s">
        <v>338</v>
      </c>
      <c r="D84" t="s">
        <v>11</v>
      </c>
      <c r="E84">
        <v>50</v>
      </c>
      <c r="F84" s="79">
        <v>75000</v>
      </c>
      <c r="G84" s="79">
        <v>25000</v>
      </c>
      <c r="H84" s="79">
        <v>50000</v>
      </c>
    </row>
    <row r="85" spans="1:8" hidden="1" x14ac:dyDescent="0.25">
      <c r="C85" t="s">
        <v>571</v>
      </c>
      <c r="D85" t="s">
        <v>11</v>
      </c>
      <c r="E85">
        <v>32</v>
      </c>
      <c r="F85" s="79">
        <f>E85*1700</f>
        <v>54400</v>
      </c>
      <c r="G85" s="79">
        <f>E85*500</f>
        <v>16000</v>
      </c>
      <c r="H85" s="79">
        <f>E85*1200</f>
        <v>38400</v>
      </c>
    </row>
    <row r="86" spans="1:8" hidden="1" x14ac:dyDescent="0.25">
      <c r="C86" t="s">
        <v>104</v>
      </c>
      <c r="D86" t="s">
        <v>11</v>
      </c>
      <c r="E86">
        <v>22</v>
      </c>
      <c r="F86" s="79">
        <f>E86*1500</f>
        <v>33000</v>
      </c>
      <c r="G86" s="79">
        <f>E86*500</f>
        <v>11000</v>
      </c>
      <c r="H86" s="79">
        <v>22000</v>
      </c>
    </row>
    <row r="87" spans="1:8" hidden="1" x14ac:dyDescent="0.25">
      <c r="C87" t="s">
        <v>20</v>
      </c>
      <c r="D87" t="s">
        <v>13</v>
      </c>
      <c r="E87">
        <v>8</v>
      </c>
      <c r="F87" s="79">
        <f>E87*8000</f>
        <v>64000</v>
      </c>
      <c r="G87" s="79">
        <f>E87*4500</f>
        <v>36000</v>
      </c>
      <c r="H87" s="79">
        <f>E87*3500</f>
        <v>28000</v>
      </c>
    </row>
    <row r="88" spans="1:8" hidden="1" x14ac:dyDescent="0.25">
      <c r="D88" t="s">
        <v>14</v>
      </c>
      <c r="E88">
        <v>1</v>
      </c>
      <c r="F88" s="79">
        <v>12000</v>
      </c>
      <c r="G88" s="79">
        <v>5500</v>
      </c>
      <c r="H88" s="79">
        <v>6500</v>
      </c>
    </row>
    <row r="89" spans="1:8" hidden="1" x14ac:dyDescent="0.25">
      <c r="D89" t="s">
        <v>919</v>
      </c>
      <c r="E89">
        <v>2</v>
      </c>
      <c r="F89" s="79">
        <v>24000</v>
      </c>
      <c r="G89" s="79">
        <v>11000</v>
      </c>
      <c r="H89" s="79">
        <v>13000</v>
      </c>
    </row>
    <row r="90" spans="1:8" hidden="1" x14ac:dyDescent="0.25">
      <c r="C90" t="s">
        <v>24</v>
      </c>
      <c r="D90" t="s">
        <v>13</v>
      </c>
      <c r="E90">
        <v>2</v>
      </c>
      <c r="F90" s="79">
        <v>16000</v>
      </c>
      <c r="G90" s="79">
        <v>9000</v>
      </c>
      <c r="H90" s="79">
        <v>11000</v>
      </c>
    </row>
    <row r="91" spans="1:8" hidden="1" x14ac:dyDescent="0.25">
      <c r="D91" t="s">
        <v>14</v>
      </c>
      <c r="E91">
        <v>1</v>
      </c>
      <c r="F91" s="79">
        <v>12000</v>
      </c>
      <c r="G91" s="79">
        <v>5500</v>
      </c>
      <c r="H91" s="79">
        <v>6500</v>
      </c>
    </row>
    <row r="92" spans="1:8" hidden="1" x14ac:dyDescent="0.25">
      <c r="D92" t="s">
        <v>243</v>
      </c>
      <c r="E92">
        <v>2</v>
      </c>
      <c r="F92" s="79">
        <v>30000</v>
      </c>
      <c r="G92" s="79">
        <v>20000</v>
      </c>
      <c r="H92" s="79">
        <v>10000</v>
      </c>
    </row>
    <row r="93" spans="1:8" hidden="1" x14ac:dyDescent="0.25">
      <c r="A93" s="112" t="s">
        <v>17</v>
      </c>
      <c r="B93" s="112"/>
      <c r="C93" s="112"/>
      <c r="D93" s="112"/>
      <c r="E93" s="78">
        <f>SUM(E84:E92)</f>
        <v>120</v>
      </c>
      <c r="F93" s="78">
        <f t="shared" ref="F93:H93" si="12">SUM(F84:F92)</f>
        <v>320400</v>
      </c>
      <c r="G93" s="78">
        <f t="shared" si="12"/>
        <v>139000</v>
      </c>
      <c r="H93" s="78">
        <f t="shared" si="12"/>
        <v>185400</v>
      </c>
    </row>
    <row r="94" spans="1:8" hidden="1" x14ac:dyDescent="0.25">
      <c r="A94" t="s">
        <v>18</v>
      </c>
      <c r="B94" s="3">
        <v>45764</v>
      </c>
      <c r="C94" t="s">
        <v>581</v>
      </c>
      <c r="D94" t="s">
        <v>914</v>
      </c>
      <c r="E94">
        <v>20</v>
      </c>
      <c r="F94" s="79">
        <f>E94*1600</f>
        <v>32000</v>
      </c>
      <c r="G94" s="79">
        <f>E94*500</f>
        <v>10000</v>
      </c>
      <c r="H94" s="79">
        <f>E94*1100</f>
        <v>22000</v>
      </c>
    </row>
    <row r="95" spans="1:8" hidden="1" x14ac:dyDescent="0.25">
      <c r="D95" t="s">
        <v>420</v>
      </c>
      <c r="E95">
        <v>20</v>
      </c>
      <c r="F95" s="79">
        <v>32000</v>
      </c>
      <c r="G95" s="79">
        <v>10000</v>
      </c>
      <c r="H95" s="79">
        <v>22000</v>
      </c>
    </row>
    <row r="96" spans="1:8" hidden="1" x14ac:dyDescent="0.25">
      <c r="C96" t="s">
        <v>571</v>
      </c>
      <c r="D96" t="s">
        <v>11</v>
      </c>
      <c r="E96">
        <v>35</v>
      </c>
      <c r="F96" s="79">
        <f>E96*1700</f>
        <v>59500</v>
      </c>
      <c r="G96" s="79">
        <f>E96*500</f>
        <v>17500</v>
      </c>
      <c r="H96" s="79">
        <f>E96*1200</f>
        <v>42000</v>
      </c>
    </row>
    <row r="97" spans="1:8" hidden="1" x14ac:dyDescent="0.25">
      <c r="C97" t="s">
        <v>338</v>
      </c>
      <c r="D97" t="s">
        <v>11</v>
      </c>
      <c r="E97">
        <v>50</v>
      </c>
      <c r="F97" s="79">
        <v>75000</v>
      </c>
      <c r="G97" s="79">
        <v>25000</v>
      </c>
      <c r="H97" s="79">
        <v>50000</v>
      </c>
    </row>
    <row r="98" spans="1:8" hidden="1" x14ac:dyDescent="0.25">
      <c r="C98" t="s">
        <v>581</v>
      </c>
      <c r="D98" t="s">
        <v>914</v>
      </c>
      <c r="E98">
        <v>29</v>
      </c>
      <c r="F98" s="79">
        <f>E98*1600</f>
        <v>46400</v>
      </c>
      <c r="G98" s="79">
        <f>E98*500</f>
        <v>14500</v>
      </c>
      <c r="H98" s="79">
        <f>E98*1100</f>
        <v>31900</v>
      </c>
    </row>
    <row r="99" spans="1:8" hidden="1" x14ac:dyDescent="0.25">
      <c r="D99" t="s">
        <v>420</v>
      </c>
      <c r="E99">
        <v>20</v>
      </c>
      <c r="F99" s="79">
        <f>E99*1600</f>
        <v>32000</v>
      </c>
      <c r="G99" s="79">
        <f>E99*500</f>
        <v>10000</v>
      </c>
      <c r="H99" s="79">
        <f>E99*1100</f>
        <v>22000</v>
      </c>
    </row>
    <row r="100" spans="1:8" hidden="1" x14ac:dyDescent="0.25">
      <c r="C100" t="s">
        <v>104</v>
      </c>
      <c r="D100" t="s">
        <v>11</v>
      </c>
      <c r="E100">
        <v>22</v>
      </c>
      <c r="F100" s="79">
        <f>E100*1500</f>
        <v>33000</v>
      </c>
      <c r="G100" s="79">
        <f>E100*500</f>
        <v>11000</v>
      </c>
      <c r="H100" s="79">
        <f>E100*1000</f>
        <v>22000</v>
      </c>
    </row>
    <row r="101" spans="1:8" hidden="1" x14ac:dyDescent="0.25">
      <c r="C101" t="s">
        <v>20</v>
      </c>
      <c r="D101" t="s">
        <v>11</v>
      </c>
      <c r="E101">
        <v>2</v>
      </c>
      <c r="F101" s="79">
        <v>6000</v>
      </c>
      <c r="G101" s="79">
        <f>E101*500</f>
        <v>1000</v>
      </c>
      <c r="H101" s="79">
        <v>5000</v>
      </c>
    </row>
    <row r="102" spans="1:8" hidden="1" x14ac:dyDescent="0.25">
      <c r="D102" t="s">
        <v>13</v>
      </c>
      <c r="E102">
        <v>6</v>
      </c>
      <c r="F102" s="79">
        <f>E102*8000</f>
        <v>48000</v>
      </c>
      <c r="G102" s="79">
        <f>E102*4500</f>
        <v>27000</v>
      </c>
      <c r="H102" s="79">
        <f>E102*3500</f>
        <v>21000</v>
      </c>
    </row>
    <row r="103" spans="1:8" hidden="1" x14ac:dyDescent="0.25">
      <c r="D103" t="s">
        <v>14</v>
      </c>
      <c r="E103">
        <v>2</v>
      </c>
      <c r="F103" s="79">
        <v>20000</v>
      </c>
      <c r="G103" s="79">
        <f>E103*5500</f>
        <v>11000</v>
      </c>
      <c r="H103" s="79">
        <f>E103*4500</f>
        <v>9000</v>
      </c>
    </row>
    <row r="104" spans="1:8" hidden="1" x14ac:dyDescent="0.25">
      <c r="D104" t="s">
        <v>902</v>
      </c>
      <c r="E104">
        <v>3</v>
      </c>
      <c r="F104" s="79">
        <f>E104*8000</f>
        <v>24000</v>
      </c>
      <c r="G104" s="79">
        <f>E104*5500</f>
        <v>16500</v>
      </c>
      <c r="H104" s="79">
        <f>E104*2500</f>
        <v>7500</v>
      </c>
    </row>
    <row r="105" spans="1:8" hidden="1" x14ac:dyDescent="0.25">
      <c r="D105" t="s">
        <v>919</v>
      </c>
      <c r="E105">
        <v>1</v>
      </c>
      <c r="F105" s="79">
        <v>12000</v>
      </c>
      <c r="G105" s="79">
        <v>5500</v>
      </c>
      <c r="H105" s="79">
        <v>6500</v>
      </c>
    </row>
    <row r="106" spans="1:8" hidden="1" x14ac:dyDescent="0.25">
      <c r="A106" s="111" t="s">
        <v>17</v>
      </c>
      <c r="B106" s="111"/>
      <c r="C106" s="111"/>
      <c r="D106" s="111"/>
      <c r="E106" s="1">
        <f>SUM(E94:E105)</f>
        <v>210</v>
      </c>
      <c r="F106" s="78">
        <f t="shared" ref="F106" si="13">SUM(F94:F105)</f>
        <v>419900</v>
      </c>
      <c r="G106" s="78">
        <f>SUM(G94:G105)</f>
        <v>159000</v>
      </c>
      <c r="H106" s="78">
        <f>SUM(H94:H105)</f>
        <v>260900</v>
      </c>
    </row>
    <row r="107" spans="1:8" hidden="1" x14ac:dyDescent="0.25">
      <c r="A107" t="s">
        <v>22</v>
      </c>
      <c r="B107" s="3">
        <v>45765</v>
      </c>
      <c r="C107" t="s">
        <v>20</v>
      </c>
      <c r="D107" t="s">
        <v>13</v>
      </c>
      <c r="E107">
        <v>3</v>
      </c>
      <c r="F107" s="79">
        <f>E107*8000</f>
        <v>24000</v>
      </c>
      <c r="G107" s="79">
        <f>E107*4500</f>
        <v>13500</v>
      </c>
      <c r="H107" s="79">
        <f>E107*3500</f>
        <v>10500</v>
      </c>
    </row>
    <row r="108" spans="1:8" hidden="1" x14ac:dyDescent="0.25">
      <c r="D108" t="s">
        <v>902</v>
      </c>
      <c r="E108">
        <v>3</v>
      </c>
      <c r="F108" s="79">
        <f>E108*8000</f>
        <v>24000</v>
      </c>
      <c r="G108" s="79">
        <f>E108*5500</f>
        <v>16500</v>
      </c>
      <c r="H108" s="79">
        <f>E108*2500</f>
        <v>7500</v>
      </c>
    </row>
    <row r="109" spans="1:8" hidden="1" x14ac:dyDescent="0.25">
      <c r="D109" t="s">
        <v>933</v>
      </c>
      <c r="E109">
        <v>1</v>
      </c>
      <c r="F109" s="79">
        <v>10000</v>
      </c>
      <c r="G109" s="79">
        <v>4500</v>
      </c>
      <c r="H109" s="79">
        <v>5500</v>
      </c>
    </row>
    <row r="110" spans="1:8" hidden="1" x14ac:dyDescent="0.25">
      <c r="C110" t="s">
        <v>937</v>
      </c>
      <c r="D110" t="s">
        <v>243</v>
      </c>
      <c r="E110">
        <v>100</v>
      </c>
      <c r="F110" s="79"/>
      <c r="G110" s="79"/>
      <c r="H110" s="79"/>
    </row>
    <row r="111" spans="1:8" hidden="1" x14ac:dyDescent="0.25">
      <c r="A111" s="112" t="s">
        <v>17</v>
      </c>
      <c r="B111" s="112"/>
      <c r="C111" s="112"/>
      <c r="D111" s="112"/>
      <c r="E111" s="78">
        <f>SUM(E107:E110)</f>
        <v>107</v>
      </c>
      <c r="F111" s="78">
        <f t="shared" ref="F111:H111" si="14">SUM(F107:F110)</f>
        <v>58000</v>
      </c>
      <c r="G111" s="78">
        <f t="shared" si="14"/>
        <v>34500</v>
      </c>
      <c r="H111" s="78">
        <f t="shared" si="14"/>
        <v>23500</v>
      </c>
    </row>
    <row r="112" spans="1:8" hidden="1" x14ac:dyDescent="0.25">
      <c r="A112" t="s">
        <v>26</v>
      </c>
      <c r="B112" s="3">
        <v>45766</v>
      </c>
      <c r="C112" t="s">
        <v>338</v>
      </c>
      <c r="D112" t="s">
        <v>11</v>
      </c>
      <c r="E112">
        <v>50</v>
      </c>
      <c r="F112" s="79">
        <f>E112*1500</f>
        <v>75000</v>
      </c>
      <c r="G112" s="79">
        <f>E112*500</f>
        <v>25000</v>
      </c>
      <c r="H112" s="79">
        <v>50000</v>
      </c>
    </row>
    <row r="113" spans="1:8" hidden="1" x14ac:dyDescent="0.25">
      <c r="C113" t="s">
        <v>104</v>
      </c>
      <c r="D113" t="s">
        <v>11</v>
      </c>
      <c r="E113">
        <f>10500/1500</f>
        <v>7</v>
      </c>
      <c r="F113" s="79">
        <f>E113*1500</f>
        <v>10500</v>
      </c>
      <c r="G113" s="79">
        <f>E113*500</f>
        <v>3500</v>
      </c>
      <c r="H113" s="79">
        <f>E113*1000</f>
        <v>7000</v>
      </c>
    </row>
    <row r="114" spans="1:8" hidden="1" x14ac:dyDescent="0.25">
      <c r="C114" t="s">
        <v>217</v>
      </c>
      <c r="D114" t="s">
        <v>11</v>
      </c>
      <c r="E114">
        <v>10</v>
      </c>
      <c r="F114" s="79">
        <f>E114*1500</f>
        <v>15000</v>
      </c>
      <c r="G114" s="79">
        <f>E114*500</f>
        <v>5000</v>
      </c>
      <c r="H114" s="79">
        <v>10000</v>
      </c>
    </row>
    <row r="115" spans="1:8" hidden="1" x14ac:dyDescent="0.25">
      <c r="D115" t="s">
        <v>13</v>
      </c>
      <c r="E115">
        <v>5</v>
      </c>
      <c r="F115" s="79">
        <f>E115*6500</f>
        <v>32500</v>
      </c>
      <c r="G115" s="79">
        <f>E115*4500</f>
        <v>22500</v>
      </c>
      <c r="H115" s="79">
        <f>E115*2000</f>
        <v>10000</v>
      </c>
    </row>
    <row r="116" spans="1:8" hidden="1" x14ac:dyDescent="0.25">
      <c r="D116" t="s">
        <v>14</v>
      </c>
      <c r="E116">
        <v>3</v>
      </c>
      <c r="F116" s="79">
        <f>E116*10000</f>
        <v>30000</v>
      </c>
      <c r="G116" s="79">
        <f>E116*5500</f>
        <v>16500</v>
      </c>
      <c r="H116" s="79">
        <f>E116*4500</f>
        <v>13500</v>
      </c>
    </row>
    <row r="117" spans="1:8" hidden="1" x14ac:dyDescent="0.25">
      <c r="D117" t="s">
        <v>243</v>
      </c>
      <c r="E117">
        <v>2</v>
      </c>
      <c r="F117" s="79">
        <v>30000</v>
      </c>
      <c r="G117" s="79">
        <v>20000</v>
      </c>
      <c r="H117" s="79">
        <v>10000</v>
      </c>
    </row>
    <row r="118" spans="1:8" x14ac:dyDescent="0.25">
      <c r="C118" t="s">
        <v>24</v>
      </c>
      <c r="D118" t="s">
        <v>946</v>
      </c>
      <c r="E118">
        <v>2</v>
      </c>
      <c r="F118" s="79">
        <f>E118*18000</f>
        <v>36000</v>
      </c>
      <c r="G118" s="79">
        <f>E118*12000</f>
        <v>24000</v>
      </c>
      <c r="H118" s="79">
        <f>E118*6000</f>
        <v>12000</v>
      </c>
    </row>
    <row r="119" spans="1:8" hidden="1" x14ac:dyDescent="0.25">
      <c r="A119" s="112" t="s">
        <v>17</v>
      </c>
      <c r="B119" s="112"/>
      <c r="C119" s="112"/>
      <c r="D119" s="112"/>
      <c r="E119" s="78">
        <f>SUM(E112:E118)</f>
        <v>79</v>
      </c>
      <c r="F119" s="78">
        <f t="shared" ref="F119:H119" si="15">SUM(F112:F118)</f>
        <v>229000</v>
      </c>
      <c r="G119" s="78">
        <f t="shared" si="15"/>
        <v>116500</v>
      </c>
      <c r="H119" s="78">
        <f t="shared" si="15"/>
        <v>112500</v>
      </c>
    </row>
    <row r="120" spans="1:8" hidden="1" x14ac:dyDescent="0.25">
      <c r="A120" t="s">
        <v>28</v>
      </c>
      <c r="B120" s="3">
        <v>45767</v>
      </c>
      <c r="C120" t="s">
        <v>693</v>
      </c>
      <c r="D120" t="s">
        <v>13</v>
      </c>
      <c r="E120">
        <v>37</v>
      </c>
      <c r="F120" s="79">
        <f>E120*7000</f>
        <v>259000</v>
      </c>
      <c r="G120" s="79">
        <f>E120*4500</f>
        <v>166500</v>
      </c>
      <c r="H120" s="79">
        <f>E120*2500</f>
        <v>92500</v>
      </c>
    </row>
    <row r="121" spans="1:8" hidden="1" x14ac:dyDescent="0.25">
      <c r="D121" t="s">
        <v>14</v>
      </c>
      <c r="E121">
        <v>27</v>
      </c>
      <c r="F121" s="79">
        <f>E121*10000</f>
        <v>270000</v>
      </c>
      <c r="G121" s="79">
        <f>E121*5500</f>
        <v>148500</v>
      </c>
      <c r="H121" s="79">
        <f>E121*4500</f>
        <v>121500</v>
      </c>
    </row>
    <row r="122" spans="1:8" hidden="1" x14ac:dyDescent="0.25">
      <c r="C122" t="s">
        <v>217</v>
      </c>
      <c r="D122" t="s">
        <v>11</v>
      </c>
      <c r="E122">
        <v>10</v>
      </c>
      <c r="F122" s="79">
        <f>E122*1500</f>
        <v>15000</v>
      </c>
      <c r="G122" s="79">
        <f>E122*500</f>
        <v>5000</v>
      </c>
      <c r="H122" s="79">
        <v>10000</v>
      </c>
    </row>
    <row r="123" spans="1:8" hidden="1" x14ac:dyDescent="0.25">
      <c r="D123" t="s">
        <v>13</v>
      </c>
      <c r="E123">
        <v>12</v>
      </c>
      <c r="F123" s="79">
        <f>E123*6500</f>
        <v>78000</v>
      </c>
      <c r="G123" s="79">
        <f>E123*4500</f>
        <v>54000</v>
      </c>
      <c r="H123" s="79">
        <f>E123*2000</f>
        <v>24000</v>
      </c>
    </row>
    <row r="124" spans="1:8" hidden="1" x14ac:dyDescent="0.25">
      <c r="D124" t="s">
        <v>14</v>
      </c>
      <c r="E124">
        <v>4</v>
      </c>
      <c r="F124" s="79">
        <v>40000</v>
      </c>
      <c r="G124" s="79">
        <f>E124*5500</f>
        <v>22000</v>
      </c>
      <c r="H124" s="79">
        <f>E124*4500</f>
        <v>18000</v>
      </c>
    </row>
    <row r="125" spans="1:8" hidden="1" x14ac:dyDescent="0.25">
      <c r="C125" t="s">
        <v>24</v>
      </c>
      <c r="D125" t="s">
        <v>11</v>
      </c>
      <c r="E125">
        <v>50</v>
      </c>
      <c r="F125" s="79"/>
      <c r="G125" s="79"/>
      <c r="H125" s="79"/>
    </row>
    <row r="126" spans="1:8" hidden="1" x14ac:dyDescent="0.25">
      <c r="D126" t="s">
        <v>13</v>
      </c>
      <c r="E126">
        <v>12</v>
      </c>
      <c r="F126" s="79"/>
      <c r="G126" s="79"/>
      <c r="H126" s="79"/>
    </row>
    <row r="127" spans="1:8" hidden="1" x14ac:dyDescent="0.25">
      <c r="D127" t="s">
        <v>243</v>
      </c>
      <c r="E127">
        <v>4</v>
      </c>
      <c r="F127" s="79"/>
      <c r="G127" s="79"/>
      <c r="H127" s="79"/>
    </row>
    <row r="128" spans="1:8" hidden="1" x14ac:dyDescent="0.25">
      <c r="A128" s="112" t="s">
        <v>17</v>
      </c>
      <c r="B128" s="112"/>
      <c r="C128" s="112"/>
      <c r="D128" s="112"/>
      <c r="E128" s="78">
        <f>SUM(E120:E127)</f>
        <v>156</v>
      </c>
      <c r="F128" s="78">
        <f t="shared" ref="F128:H128" si="16">SUM(F120:F127)</f>
        <v>662000</v>
      </c>
      <c r="G128" s="78">
        <f t="shared" si="16"/>
        <v>396000</v>
      </c>
      <c r="H128" s="78">
        <f t="shared" si="16"/>
        <v>266000</v>
      </c>
    </row>
    <row r="129" spans="1:8" hidden="1" x14ac:dyDescent="0.25">
      <c r="A129" t="s">
        <v>30</v>
      </c>
      <c r="B129" s="3">
        <v>45768</v>
      </c>
      <c r="C129" t="s">
        <v>571</v>
      </c>
      <c r="D129" t="s">
        <v>11</v>
      </c>
      <c r="E129">
        <v>21</v>
      </c>
      <c r="F129" s="79">
        <f>E129*1700</f>
        <v>35700</v>
      </c>
      <c r="G129" s="79">
        <f>E129*500</f>
        <v>10500</v>
      </c>
      <c r="H129" s="79">
        <f>E129*1200</f>
        <v>25200</v>
      </c>
    </row>
    <row r="130" spans="1:8" hidden="1" x14ac:dyDescent="0.25">
      <c r="C130" t="s">
        <v>376</v>
      </c>
      <c r="D130" t="s">
        <v>914</v>
      </c>
      <c r="E130">
        <v>35</v>
      </c>
      <c r="F130" s="79">
        <f>E130*1600</f>
        <v>56000</v>
      </c>
      <c r="G130" s="79">
        <f>E130*500</f>
        <v>17500</v>
      </c>
      <c r="H130" s="79">
        <f>E130*1100</f>
        <v>38500</v>
      </c>
    </row>
    <row r="131" spans="1:8" hidden="1" x14ac:dyDescent="0.25">
      <c r="D131" t="s">
        <v>925</v>
      </c>
      <c r="E131">
        <v>29</v>
      </c>
      <c r="F131" s="79">
        <f>E131*1600</f>
        <v>46400</v>
      </c>
      <c r="G131" s="79">
        <f>E131*500</f>
        <v>14500</v>
      </c>
      <c r="H131" s="79">
        <f>E131*1100</f>
        <v>31900</v>
      </c>
    </row>
    <row r="132" spans="1:8" hidden="1" x14ac:dyDescent="0.25">
      <c r="C132" t="s">
        <v>338</v>
      </c>
      <c r="D132" t="s">
        <v>11</v>
      </c>
      <c r="E132">
        <v>49</v>
      </c>
      <c r="F132" s="79">
        <f>E132*1500</f>
        <v>73500</v>
      </c>
      <c r="G132" s="79">
        <f>E132*500</f>
        <v>24500</v>
      </c>
      <c r="H132" s="79">
        <v>49000</v>
      </c>
    </row>
    <row r="133" spans="1:8" hidden="1" x14ac:dyDescent="0.25">
      <c r="C133" t="s">
        <v>104</v>
      </c>
      <c r="D133" t="s">
        <v>11</v>
      </c>
      <c r="E133">
        <v>12</v>
      </c>
      <c r="F133" s="79">
        <f>E133*1500</f>
        <v>18000</v>
      </c>
      <c r="G133" s="79">
        <f>E133*500</f>
        <v>6000</v>
      </c>
      <c r="H133" s="79">
        <v>12000</v>
      </c>
    </row>
    <row r="134" spans="1:8" hidden="1" x14ac:dyDescent="0.25">
      <c r="C134" t="s">
        <v>24</v>
      </c>
      <c r="D134" t="s">
        <v>243</v>
      </c>
      <c r="E134">
        <v>2</v>
      </c>
      <c r="F134" s="79">
        <v>30000</v>
      </c>
      <c r="G134" s="79">
        <v>20000</v>
      </c>
      <c r="H134" s="79">
        <v>10000</v>
      </c>
    </row>
    <row r="135" spans="1:8" hidden="1" x14ac:dyDescent="0.25">
      <c r="A135" s="112" t="s">
        <v>17</v>
      </c>
      <c r="B135" s="112"/>
      <c r="C135" s="112"/>
      <c r="D135" s="112"/>
      <c r="E135" s="78">
        <f>SUM(E129:E134)</f>
        <v>148</v>
      </c>
      <c r="F135" s="78">
        <f t="shared" ref="F135:H135" si="17">SUM(F129:F134)</f>
        <v>259600</v>
      </c>
      <c r="G135" s="78">
        <f t="shared" si="17"/>
        <v>93000</v>
      </c>
      <c r="H135" s="78">
        <f t="shared" si="17"/>
        <v>166600</v>
      </c>
    </row>
    <row r="136" spans="1:8" hidden="1" x14ac:dyDescent="0.25">
      <c r="A136" t="s">
        <v>32</v>
      </c>
      <c r="B136" s="3">
        <v>45769</v>
      </c>
      <c r="C136" t="s">
        <v>338</v>
      </c>
      <c r="D136" t="s">
        <v>11</v>
      </c>
      <c r="E136">
        <v>50</v>
      </c>
      <c r="F136" s="79">
        <f>E136*1500</f>
        <v>75000</v>
      </c>
      <c r="G136" s="79">
        <f t="shared" ref="G136:G141" si="18">E136*500</f>
        <v>25000</v>
      </c>
      <c r="H136" s="79">
        <v>50000</v>
      </c>
    </row>
    <row r="137" spans="1:8" hidden="1" x14ac:dyDescent="0.25">
      <c r="C137" t="s">
        <v>581</v>
      </c>
      <c r="D137" t="s">
        <v>914</v>
      </c>
      <c r="E137">
        <v>23</v>
      </c>
      <c r="F137" s="79">
        <f>E137*1600</f>
        <v>36800</v>
      </c>
      <c r="G137" s="79">
        <f t="shared" si="18"/>
        <v>11500</v>
      </c>
      <c r="H137" s="79">
        <f>E137*1100</f>
        <v>25300</v>
      </c>
    </row>
    <row r="138" spans="1:8" hidden="1" x14ac:dyDescent="0.25">
      <c r="D138" t="s">
        <v>925</v>
      </c>
      <c r="E138">
        <v>22</v>
      </c>
      <c r="F138" s="79">
        <f>E138*1600</f>
        <v>35200</v>
      </c>
      <c r="G138" s="79">
        <f t="shared" si="18"/>
        <v>11000</v>
      </c>
      <c r="H138" s="79">
        <f>E138*1100</f>
        <v>24200</v>
      </c>
    </row>
    <row r="139" spans="1:8" hidden="1" x14ac:dyDescent="0.25">
      <c r="C139" t="s">
        <v>571</v>
      </c>
      <c r="D139" t="s">
        <v>11</v>
      </c>
      <c r="E139">
        <v>33</v>
      </c>
      <c r="F139" s="79">
        <f>E139*1700</f>
        <v>56100</v>
      </c>
      <c r="G139" s="79">
        <f t="shared" si="18"/>
        <v>16500</v>
      </c>
      <c r="H139" s="79">
        <f>E139*1200</f>
        <v>39600</v>
      </c>
    </row>
    <row r="140" spans="1:8" hidden="1" x14ac:dyDescent="0.25">
      <c r="C140" t="s">
        <v>306</v>
      </c>
      <c r="D140" t="s">
        <v>11</v>
      </c>
      <c r="E140">
        <v>9</v>
      </c>
      <c r="F140" s="79">
        <f>E140*1800</f>
        <v>16200</v>
      </c>
      <c r="G140" s="79">
        <f t="shared" si="18"/>
        <v>4500</v>
      </c>
      <c r="H140" s="79">
        <f>E140*1300</f>
        <v>11700</v>
      </c>
    </row>
    <row r="141" spans="1:8" hidden="1" x14ac:dyDescent="0.25">
      <c r="C141" t="s">
        <v>104</v>
      </c>
      <c r="D141" t="s">
        <v>11</v>
      </c>
      <c r="E141">
        <v>17</v>
      </c>
      <c r="F141" s="79">
        <f>E141*1500</f>
        <v>25500</v>
      </c>
      <c r="G141" s="79">
        <f t="shared" si="18"/>
        <v>8500</v>
      </c>
      <c r="H141" s="79">
        <f>E141*1000</f>
        <v>17000</v>
      </c>
    </row>
    <row r="142" spans="1:8" hidden="1" x14ac:dyDescent="0.25">
      <c r="C142" t="s">
        <v>20</v>
      </c>
      <c r="D142" t="s">
        <v>13</v>
      </c>
      <c r="E142">
        <v>6</v>
      </c>
      <c r="F142" s="79">
        <f>E142*8000</f>
        <v>48000</v>
      </c>
      <c r="G142" s="79">
        <f>E142*4500</f>
        <v>27000</v>
      </c>
      <c r="H142" s="79">
        <f>E142*3500</f>
        <v>21000</v>
      </c>
    </row>
    <row r="143" spans="1:8" hidden="1" x14ac:dyDescent="0.25">
      <c r="D143" t="s">
        <v>14</v>
      </c>
      <c r="E143">
        <v>4</v>
      </c>
      <c r="F143" s="79">
        <f>E143*10000</f>
        <v>40000</v>
      </c>
      <c r="G143" s="79">
        <f>E143*5500</f>
        <v>22000</v>
      </c>
      <c r="H143" s="79">
        <f>E143*4500</f>
        <v>18000</v>
      </c>
    </row>
    <row r="144" spans="1:8" hidden="1" x14ac:dyDescent="0.25">
      <c r="D144" t="s">
        <v>902</v>
      </c>
      <c r="E144">
        <v>1</v>
      </c>
      <c r="F144" s="79">
        <v>8000</v>
      </c>
      <c r="G144" s="79">
        <v>5500</v>
      </c>
      <c r="H144" s="79">
        <v>2500</v>
      </c>
    </row>
    <row r="145" spans="1:12" hidden="1" x14ac:dyDescent="0.25">
      <c r="D145" t="s">
        <v>919</v>
      </c>
      <c r="E145">
        <v>1</v>
      </c>
      <c r="F145" s="79">
        <v>12000</v>
      </c>
      <c r="G145" s="79">
        <v>5500</v>
      </c>
      <c r="H145" s="79">
        <v>6500</v>
      </c>
    </row>
    <row r="146" spans="1:12" hidden="1" x14ac:dyDescent="0.25">
      <c r="A146" s="112" t="s">
        <v>17</v>
      </c>
      <c r="B146" s="112"/>
      <c r="C146" s="112"/>
      <c r="D146" s="112"/>
      <c r="E146" s="78">
        <f>SUM(E136:E145)</f>
        <v>166</v>
      </c>
      <c r="F146" s="78">
        <f t="shared" ref="F146:H146" si="19">SUM(F136:F145)</f>
        <v>352800</v>
      </c>
      <c r="G146" s="78">
        <f t="shared" si="19"/>
        <v>137000</v>
      </c>
      <c r="H146" s="78">
        <f t="shared" si="19"/>
        <v>215800</v>
      </c>
    </row>
    <row r="147" spans="1:12" hidden="1" x14ac:dyDescent="0.25">
      <c r="A147" t="s">
        <v>8</v>
      </c>
      <c r="B147" s="3">
        <v>45770</v>
      </c>
      <c r="C147" t="s">
        <v>571</v>
      </c>
      <c r="D147" t="s">
        <v>11</v>
      </c>
      <c r="E147">
        <v>33</v>
      </c>
      <c r="F147" s="79">
        <f>E147*1700</f>
        <v>56100</v>
      </c>
      <c r="G147" s="79">
        <f>E147*500</f>
        <v>16500</v>
      </c>
      <c r="H147" s="79">
        <f>E147*1200</f>
        <v>39600</v>
      </c>
    </row>
    <row r="148" spans="1:12" hidden="1" x14ac:dyDescent="0.25">
      <c r="C148" t="s">
        <v>104</v>
      </c>
      <c r="D148" t="s">
        <v>11</v>
      </c>
      <c r="E148">
        <v>34</v>
      </c>
      <c r="F148" s="79">
        <f>E148*1500</f>
        <v>51000</v>
      </c>
      <c r="G148" s="79">
        <f>E148*500</f>
        <v>17000</v>
      </c>
      <c r="H148" s="79">
        <f>E148*1000</f>
        <v>34000</v>
      </c>
    </row>
    <row r="149" spans="1:12" hidden="1" x14ac:dyDescent="0.25">
      <c r="C149" t="s">
        <v>24</v>
      </c>
      <c r="D149" t="s">
        <v>243</v>
      </c>
      <c r="E149">
        <v>10</v>
      </c>
      <c r="F149" s="79">
        <f>E149*15000</f>
        <v>150000</v>
      </c>
      <c r="G149" s="79">
        <f>E149*10000</f>
        <v>100000</v>
      </c>
      <c r="H149" s="79">
        <v>50000</v>
      </c>
    </row>
    <row r="150" spans="1:12" hidden="1" x14ac:dyDescent="0.25">
      <c r="C150" t="s">
        <v>20</v>
      </c>
      <c r="D150" t="s">
        <v>11</v>
      </c>
      <c r="E150">
        <v>1</v>
      </c>
      <c r="F150" s="79">
        <v>3000</v>
      </c>
      <c r="G150" s="79">
        <v>500</v>
      </c>
      <c r="H150" s="79">
        <v>2500</v>
      </c>
    </row>
    <row r="151" spans="1:12" hidden="1" x14ac:dyDescent="0.25">
      <c r="D151" t="s">
        <v>13</v>
      </c>
      <c r="E151">
        <v>1</v>
      </c>
      <c r="F151" s="79">
        <v>8000</v>
      </c>
      <c r="G151" s="79">
        <v>4500</v>
      </c>
      <c r="H151" s="79">
        <v>3500</v>
      </c>
    </row>
    <row r="152" spans="1:12" hidden="1" x14ac:dyDescent="0.25">
      <c r="D152" t="s">
        <v>902</v>
      </c>
      <c r="E152">
        <v>3</v>
      </c>
      <c r="F152" s="79">
        <f>E152*7000</f>
        <v>21000</v>
      </c>
      <c r="G152" s="79">
        <f>E152*5500</f>
        <v>16500</v>
      </c>
      <c r="H152" s="79">
        <f>E152*1500</f>
        <v>4500</v>
      </c>
    </row>
    <row r="153" spans="1:12" hidden="1" x14ac:dyDescent="0.25">
      <c r="A153" s="112" t="s">
        <v>17</v>
      </c>
      <c r="B153" s="112"/>
      <c r="C153" s="112"/>
      <c r="D153" s="112"/>
      <c r="E153" s="78">
        <f>SUM(E147:E152)</f>
        <v>82</v>
      </c>
      <c r="F153" s="78">
        <f t="shared" ref="F153:H153" si="20">SUM(F147:F152)</f>
        <v>289100</v>
      </c>
      <c r="G153" s="78">
        <f t="shared" si="20"/>
        <v>155000</v>
      </c>
      <c r="H153" s="78">
        <f t="shared" si="20"/>
        <v>134100</v>
      </c>
    </row>
    <row r="154" spans="1:12" hidden="1" x14ac:dyDescent="0.25">
      <c r="A154" t="s">
        <v>18</v>
      </c>
      <c r="B154" s="3">
        <v>45771</v>
      </c>
      <c r="C154" t="s">
        <v>338</v>
      </c>
      <c r="D154" t="s">
        <v>11</v>
      </c>
      <c r="E154">
        <v>100</v>
      </c>
      <c r="F154" s="79">
        <f>E154*1500</f>
        <v>150000</v>
      </c>
      <c r="G154" s="79">
        <f>E154*500</f>
        <v>50000</v>
      </c>
      <c r="H154" s="79">
        <f>E154*1000</f>
        <v>100000</v>
      </c>
    </row>
    <row r="155" spans="1:12" hidden="1" x14ac:dyDescent="0.25">
      <c r="C155" t="s">
        <v>571</v>
      </c>
      <c r="D155" t="s">
        <v>11</v>
      </c>
      <c r="E155">
        <v>21</v>
      </c>
      <c r="F155" s="79">
        <f>E155*1700</f>
        <v>35700</v>
      </c>
      <c r="G155" s="79">
        <f>E155*500</f>
        <v>10500</v>
      </c>
      <c r="H155" s="79">
        <f>E155*1200</f>
        <v>25200</v>
      </c>
    </row>
    <row r="156" spans="1:12" hidden="1" x14ac:dyDescent="0.25">
      <c r="C156" t="s">
        <v>581</v>
      </c>
      <c r="D156" t="s">
        <v>914</v>
      </c>
      <c r="E156">
        <v>14</v>
      </c>
      <c r="F156" s="79">
        <f>E156*1600</f>
        <v>22400</v>
      </c>
      <c r="G156" s="79">
        <f>E156*500</f>
        <v>7000</v>
      </c>
      <c r="H156" s="79">
        <f>E156*1100</f>
        <v>15400</v>
      </c>
      <c r="L156">
        <f>E213+E165</f>
        <v>25</v>
      </c>
    </row>
    <row r="157" spans="1:12" hidden="1" x14ac:dyDescent="0.25">
      <c r="D157" t="s">
        <v>925</v>
      </c>
      <c r="E157">
        <v>14</v>
      </c>
      <c r="F157" s="79">
        <f>E157*1600</f>
        <v>22400</v>
      </c>
      <c r="G157" s="79">
        <f>E157*500</f>
        <v>7000</v>
      </c>
      <c r="H157" s="79">
        <f>E157*1100</f>
        <v>15400</v>
      </c>
    </row>
    <row r="158" spans="1:12" hidden="1" x14ac:dyDescent="0.25">
      <c r="C158" t="s">
        <v>104</v>
      </c>
      <c r="D158" t="s">
        <v>11</v>
      </c>
      <c r="E158">
        <v>35</v>
      </c>
      <c r="F158" s="79">
        <f>E158*1500</f>
        <v>52500</v>
      </c>
      <c r="G158" s="79">
        <f>E158*500</f>
        <v>17500</v>
      </c>
      <c r="H158" s="79">
        <v>35000</v>
      </c>
    </row>
    <row r="159" spans="1:12" hidden="1" x14ac:dyDescent="0.25">
      <c r="C159" t="s">
        <v>20</v>
      </c>
      <c r="D159" t="s">
        <v>420</v>
      </c>
      <c r="E159">
        <v>1</v>
      </c>
      <c r="F159" s="79">
        <v>8000</v>
      </c>
      <c r="G159" s="79">
        <v>5500</v>
      </c>
      <c r="H159" s="79">
        <v>3500</v>
      </c>
    </row>
    <row r="160" spans="1:12" hidden="1" x14ac:dyDescent="0.25">
      <c r="D160" t="s">
        <v>14</v>
      </c>
      <c r="E160">
        <v>1</v>
      </c>
      <c r="F160" s="79">
        <v>10000</v>
      </c>
      <c r="G160" s="79">
        <v>5500</v>
      </c>
      <c r="H160" s="79">
        <v>4500</v>
      </c>
    </row>
    <row r="161" spans="1:8" hidden="1" x14ac:dyDescent="0.25">
      <c r="C161" t="s">
        <v>24</v>
      </c>
      <c r="D161" t="s">
        <v>243</v>
      </c>
      <c r="E161">
        <v>2</v>
      </c>
      <c r="F161" s="79">
        <v>30000</v>
      </c>
      <c r="G161" s="79">
        <v>20000</v>
      </c>
      <c r="H161" s="79">
        <v>10000</v>
      </c>
    </row>
    <row r="162" spans="1:8" hidden="1" x14ac:dyDescent="0.25">
      <c r="A162" s="112" t="s">
        <v>17</v>
      </c>
      <c r="B162" s="112"/>
      <c r="C162" s="112"/>
      <c r="D162" s="112"/>
      <c r="E162" s="78">
        <f>SUM(E154:E161)</f>
        <v>188</v>
      </c>
      <c r="F162" s="78">
        <f t="shared" ref="F162:H162" si="21">SUM(F154:F161)</f>
        <v>331000</v>
      </c>
      <c r="G162" s="78">
        <f t="shared" si="21"/>
        <v>123000</v>
      </c>
      <c r="H162" s="78">
        <f t="shared" si="21"/>
        <v>209000</v>
      </c>
    </row>
    <row r="163" spans="1:8" hidden="1" x14ac:dyDescent="0.25">
      <c r="A163" t="s">
        <v>22</v>
      </c>
      <c r="B163" s="3">
        <v>45772</v>
      </c>
      <c r="C163" t="s">
        <v>338</v>
      </c>
      <c r="D163" t="s">
        <v>11</v>
      </c>
      <c r="E163">
        <v>50</v>
      </c>
      <c r="F163" s="79">
        <f>E163*1500</f>
        <v>75000</v>
      </c>
      <c r="G163" s="79">
        <f>E163*500</f>
        <v>25000</v>
      </c>
      <c r="H163" s="79">
        <v>50000</v>
      </c>
    </row>
    <row r="164" spans="1:8" hidden="1" x14ac:dyDescent="0.25">
      <c r="C164" t="s">
        <v>571</v>
      </c>
      <c r="D164" t="s">
        <v>11</v>
      </c>
      <c r="E164">
        <v>30</v>
      </c>
      <c r="F164" s="79">
        <f>E164*1700</f>
        <v>51000</v>
      </c>
      <c r="G164" s="79">
        <f>E164*500</f>
        <v>15000</v>
      </c>
      <c r="H164" s="79">
        <f>E164*1200</f>
        <v>36000</v>
      </c>
    </row>
    <row r="165" spans="1:8" hidden="1" x14ac:dyDescent="0.25">
      <c r="C165" t="s">
        <v>581</v>
      </c>
      <c r="D165" t="s">
        <v>925</v>
      </c>
      <c r="E165">
        <v>22</v>
      </c>
      <c r="F165" s="79">
        <f>E165*1600</f>
        <v>35200</v>
      </c>
      <c r="G165" s="79">
        <f>E165*500</f>
        <v>11000</v>
      </c>
      <c r="H165" s="79">
        <f>E165*1100</f>
        <v>24200</v>
      </c>
    </row>
    <row r="166" spans="1:8" hidden="1" x14ac:dyDescent="0.25">
      <c r="D166" t="s">
        <v>914</v>
      </c>
      <c r="E166">
        <v>38</v>
      </c>
      <c r="F166" s="79">
        <f>E166*1600</f>
        <v>60800</v>
      </c>
      <c r="G166" s="79">
        <f>E166*500</f>
        <v>19000</v>
      </c>
      <c r="H166" s="79">
        <f>E166*1100</f>
        <v>41800</v>
      </c>
    </row>
    <row r="167" spans="1:8" hidden="1" x14ac:dyDescent="0.25">
      <c r="C167" t="s">
        <v>104</v>
      </c>
      <c r="D167" t="s">
        <v>11</v>
      </c>
      <c r="E167">
        <v>35</v>
      </c>
      <c r="F167" s="79">
        <f>E167*1500</f>
        <v>52500</v>
      </c>
      <c r="G167" s="79">
        <f>E167*500</f>
        <v>17500</v>
      </c>
      <c r="H167" s="79">
        <f>E167*1000</f>
        <v>35000</v>
      </c>
    </row>
    <row r="168" spans="1:8" hidden="1" x14ac:dyDescent="0.25">
      <c r="C168" t="s">
        <v>24</v>
      </c>
      <c r="D168" t="s">
        <v>243</v>
      </c>
      <c r="E168">
        <v>2</v>
      </c>
      <c r="F168" s="79">
        <f>E168*15000</f>
        <v>30000</v>
      </c>
      <c r="G168" s="79">
        <v>20000</v>
      </c>
      <c r="H168" s="79">
        <v>10000</v>
      </c>
    </row>
    <row r="169" spans="1:8" hidden="1" x14ac:dyDescent="0.25">
      <c r="C169" t="s">
        <v>20</v>
      </c>
      <c r="D169" t="s">
        <v>11</v>
      </c>
      <c r="E169">
        <v>2</v>
      </c>
      <c r="F169" s="79">
        <v>6000</v>
      </c>
      <c r="G169" s="79">
        <f>E169*500</f>
        <v>1000</v>
      </c>
      <c r="H169" s="79">
        <v>5000</v>
      </c>
    </row>
    <row r="170" spans="1:8" hidden="1" x14ac:dyDescent="0.25">
      <c r="D170" t="s">
        <v>13</v>
      </c>
      <c r="E170">
        <v>2</v>
      </c>
      <c r="F170" s="79">
        <f>E170*8000</f>
        <v>16000</v>
      </c>
      <c r="G170" s="79">
        <f>E170*4500</f>
        <v>9000</v>
      </c>
      <c r="H170" s="79">
        <f>E170*3500</f>
        <v>7000</v>
      </c>
    </row>
    <row r="171" spans="1:8" hidden="1" x14ac:dyDescent="0.25">
      <c r="D171" t="s">
        <v>919</v>
      </c>
      <c r="E171">
        <v>1</v>
      </c>
      <c r="F171" s="79">
        <v>12000</v>
      </c>
      <c r="G171" s="79">
        <v>5500</v>
      </c>
      <c r="H171" s="79">
        <v>6500</v>
      </c>
    </row>
    <row r="172" spans="1:8" hidden="1" x14ac:dyDescent="0.25">
      <c r="A172" s="112" t="s">
        <v>947</v>
      </c>
      <c r="B172" s="112"/>
      <c r="C172" s="112"/>
      <c r="D172" s="112"/>
      <c r="E172" s="78">
        <f>SUM(E163:E171)</f>
        <v>182</v>
      </c>
      <c r="F172" s="78">
        <f t="shared" ref="F172:H172" si="22">SUM(F163:F171)</f>
        <v>338500</v>
      </c>
      <c r="G172" s="78">
        <f t="shared" si="22"/>
        <v>123000</v>
      </c>
      <c r="H172" s="78">
        <f t="shared" si="22"/>
        <v>215500</v>
      </c>
    </row>
    <row r="173" spans="1:8" hidden="1" x14ac:dyDescent="0.25">
      <c r="A173" t="s">
        <v>26</v>
      </c>
      <c r="B173" s="3">
        <v>45773</v>
      </c>
      <c r="C173" t="s">
        <v>104</v>
      </c>
      <c r="D173" t="s">
        <v>11</v>
      </c>
      <c r="E173">
        <v>5</v>
      </c>
      <c r="F173" s="79">
        <f>E173*1500</f>
        <v>7500</v>
      </c>
      <c r="G173" s="79">
        <f>E173*500</f>
        <v>2500</v>
      </c>
      <c r="H173" s="96">
        <v>5000</v>
      </c>
    </row>
    <row r="174" spans="1:8" hidden="1" x14ac:dyDescent="0.25">
      <c r="C174" t="s">
        <v>20</v>
      </c>
      <c r="D174" t="s">
        <v>11</v>
      </c>
      <c r="E174">
        <v>3</v>
      </c>
      <c r="F174" s="79">
        <v>9000</v>
      </c>
      <c r="G174" s="79">
        <f>E174*500</f>
        <v>1500</v>
      </c>
      <c r="H174" s="79">
        <f>E174*2500</f>
        <v>7500</v>
      </c>
    </row>
    <row r="175" spans="1:8" hidden="1" x14ac:dyDescent="0.25">
      <c r="D175" t="s">
        <v>14</v>
      </c>
      <c r="E175">
        <v>3</v>
      </c>
      <c r="F175" s="79">
        <v>30000</v>
      </c>
      <c r="G175" s="79">
        <f>E175*5500</f>
        <v>16500</v>
      </c>
      <c r="H175" s="79">
        <f>E175*4500</f>
        <v>13500</v>
      </c>
    </row>
    <row r="176" spans="1:8" hidden="1" x14ac:dyDescent="0.25">
      <c r="D176" t="s">
        <v>420</v>
      </c>
      <c r="E176">
        <v>3</v>
      </c>
      <c r="F176" s="79">
        <v>24000</v>
      </c>
      <c r="G176" s="79">
        <f>E176*4500</f>
        <v>13500</v>
      </c>
      <c r="H176" s="79">
        <f>E176*3500</f>
        <v>10500</v>
      </c>
    </row>
    <row r="177" spans="1:8" hidden="1" x14ac:dyDescent="0.25">
      <c r="D177" t="s">
        <v>243</v>
      </c>
      <c r="E177">
        <v>1</v>
      </c>
      <c r="F177" s="79">
        <v>15000</v>
      </c>
      <c r="G177" s="79">
        <v>10000</v>
      </c>
      <c r="H177" s="79">
        <v>5000</v>
      </c>
    </row>
    <row r="178" spans="1:8" hidden="1" x14ac:dyDescent="0.25">
      <c r="A178" s="112" t="s">
        <v>17</v>
      </c>
      <c r="B178" s="112"/>
      <c r="C178" s="112"/>
      <c r="D178" s="112"/>
      <c r="E178" s="78">
        <f>SUM(E173:E177)</f>
        <v>15</v>
      </c>
      <c r="F178" s="78">
        <f t="shared" ref="F178:H178" si="23">SUM(F173:F177)</f>
        <v>85500</v>
      </c>
      <c r="G178" s="78">
        <f t="shared" si="23"/>
        <v>44000</v>
      </c>
      <c r="H178" s="78">
        <f t="shared" si="23"/>
        <v>41500</v>
      </c>
    </row>
    <row r="179" spans="1:8" hidden="1" x14ac:dyDescent="0.25">
      <c r="A179" t="s">
        <v>28</v>
      </c>
      <c r="B179" s="3">
        <v>45774</v>
      </c>
      <c r="C179" t="s">
        <v>896</v>
      </c>
      <c r="D179" t="s">
        <v>13</v>
      </c>
      <c r="E179">
        <v>15</v>
      </c>
      <c r="F179" s="79">
        <f>E179*7000</f>
        <v>105000</v>
      </c>
      <c r="G179" s="79">
        <f>E179*4500</f>
        <v>67500</v>
      </c>
      <c r="H179" s="79">
        <f>E179*2500</f>
        <v>37500</v>
      </c>
    </row>
    <row r="180" spans="1:8" hidden="1" x14ac:dyDescent="0.25">
      <c r="D180" t="s">
        <v>14</v>
      </c>
      <c r="E180">
        <v>1</v>
      </c>
      <c r="F180" s="79">
        <v>10000</v>
      </c>
      <c r="G180" s="79">
        <v>5500</v>
      </c>
      <c r="H180" s="79">
        <v>4500</v>
      </c>
    </row>
    <row r="181" spans="1:8" hidden="1" x14ac:dyDescent="0.25">
      <c r="C181" t="s">
        <v>20</v>
      </c>
      <c r="D181" t="s">
        <v>14</v>
      </c>
      <c r="E181">
        <v>4</v>
      </c>
      <c r="F181" s="79">
        <f>E181*10000</f>
        <v>40000</v>
      </c>
      <c r="G181" s="79">
        <f>E181*5500</f>
        <v>22000</v>
      </c>
      <c r="H181" s="79">
        <f>E181*4500</f>
        <v>18000</v>
      </c>
    </row>
    <row r="182" spans="1:8" hidden="1" x14ac:dyDescent="0.25">
      <c r="D182" t="s">
        <v>420</v>
      </c>
      <c r="E182">
        <v>1</v>
      </c>
      <c r="F182" s="79">
        <v>8000</v>
      </c>
      <c r="G182" s="79">
        <v>5500</v>
      </c>
      <c r="H182" s="79">
        <v>2500</v>
      </c>
    </row>
    <row r="183" spans="1:8" hidden="1" x14ac:dyDescent="0.25">
      <c r="C183" t="s">
        <v>693</v>
      </c>
      <c r="D183" t="s">
        <v>13</v>
      </c>
      <c r="E183">
        <v>33</v>
      </c>
      <c r="F183" s="79">
        <f>E183*7000</f>
        <v>231000</v>
      </c>
      <c r="G183" s="79">
        <f>E183*4500</f>
        <v>148500</v>
      </c>
      <c r="H183" s="79">
        <f>E183*2500</f>
        <v>82500</v>
      </c>
    </row>
    <row r="184" spans="1:8" hidden="1" x14ac:dyDescent="0.25">
      <c r="D184" t="s">
        <v>14</v>
      </c>
      <c r="E184">
        <v>32</v>
      </c>
      <c r="F184" s="79">
        <f>E184*10000</f>
        <v>320000</v>
      </c>
      <c r="G184" s="79">
        <f>E184*5500</f>
        <v>176000</v>
      </c>
      <c r="H184" s="79">
        <f>E184*4500</f>
        <v>144000</v>
      </c>
    </row>
    <row r="185" spans="1:8" hidden="1" x14ac:dyDescent="0.25">
      <c r="D185" t="s">
        <v>11</v>
      </c>
      <c r="E185">
        <v>9</v>
      </c>
      <c r="F185" s="79">
        <f>E185*2000</f>
        <v>18000</v>
      </c>
      <c r="G185" s="79">
        <f>E185*2000</f>
        <v>18000</v>
      </c>
      <c r="H185" s="79">
        <f>E185*1500</f>
        <v>13500</v>
      </c>
    </row>
    <row r="186" spans="1:8" hidden="1" x14ac:dyDescent="0.25">
      <c r="C186" t="s">
        <v>24</v>
      </c>
      <c r="D186" t="s">
        <v>243</v>
      </c>
      <c r="E186">
        <v>2</v>
      </c>
      <c r="F186" s="79">
        <v>30000</v>
      </c>
      <c r="G186" s="79">
        <v>20000</v>
      </c>
      <c r="H186" s="79">
        <v>10000</v>
      </c>
    </row>
    <row r="187" spans="1:8" hidden="1" x14ac:dyDescent="0.25">
      <c r="A187" s="112" t="s">
        <v>17</v>
      </c>
      <c r="B187" s="112"/>
      <c r="C187" s="112"/>
      <c r="D187" s="112"/>
      <c r="E187" s="78">
        <f>SUM(E179:E186)</f>
        <v>97</v>
      </c>
      <c r="F187" s="78">
        <f t="shared" ref="F187:H187" si="24">SUM(F179:F186)</f>
        <v>762000</v>
      </c>
      <c r="G187" s="78">
        <f t="shared" si="24"/>
        <v>463000</v>
      </c>
      <c r="H187" s="78">
        <f t="shared" si="24"/>
        <v>312500</v>
      </c>
    </row>
    <row r="188" spans="1:8" hidden="1" x14ac:dyDescent="0.25">
      <c r="A188" t="s">
        <v>30</v>
      </c>
      <c r="B188" s="3">
        <v>45775</v>
      </c>
      <c r="C188" t="s">
        <v>338</v>
      </c>
      <c r="D188" t="s">
        <v>11</v>
      </c>
      <c r="E188">
        <v>63</v>
      </c>
      <c r="F188" s="79">
        <f>E188*1500</f>
        <v>94500</v>
      </c>
      <c r="G188" s="79">
        <f>E188*500</f>
        <v>31500</v>
      </c>
      <c r="H188" s="79">
        <f>E188*1000</f>
        <v>63000</v>
      </c>
    </row>
    <row r="189" spans="1:8" hidden="1" x14ac:dyDescent="0.25">
      <c r="C189" t="s">
        <v>571</v>
      </c>
      <c r="D189" t="s">
        <v>11</v>
      </c>
      <c r="E189">
        <v>27</v>
      </c>
      <c r="F189" s="79">
        <f>E189*1700</f>
        <v>45900</v>
      </c>
      <c r="G189" s="79">
        <f>E189*500</f>
        <v>13500</v>
      </c>
      <c r="H189" s="79">
        <f>E189*1200</f>
        <v>32400</v>
      </c>
    </row>
    <row r="190" spans="1:8" hidden="1" x14ac:dyDescent="0.25">
      <c r="C190" t="s">
        <v>581</v>
      </c>
      <c r="D190" t="s">
        <v>914</v>
      </c>
      <c r="E190">
        <v>10</v>
      </c>
      <c r="F190" s="79">
        <f>E190*1600</f>
        <v>16000</v>
      </c>
      <c r="G190" s="79">
        <f>E190*500</f>
        <v>5000</v>
      </c>
      <c r="H190" s="79">
        <f>E190*1100</f>
        <v>11000</v>
      </c>
    </row>
    <row r="191" spans="1:8" hidden="1" x14ac:dyDescent="0.25">
      <c r="D191" t="s">
        <v>925</v>
      </c>
      <c r="E191">
        <v>9</v>
      </c>
      <c r="F191" s="79">
        <f>E191*1600</f>
        <v>14400</v>
      </c>
      <c r="G191" s="79">
        <f>E191*500</f>
        <v>4500</v>
      </c>
      <c r="H191" s="79">
        <f>E191*1100</f>
        <v>9900</v>
      </c>
    </row>
    <row r="192" spans="1:8" hidden="1" x14ac:dyDescent="0.25">
      <c r="C192" t="s">
        <v>104</v>
      </c>
      <c r="D192" t="s">
        <v>11</v>
      </c>
      <c r="E192">
        <v>18</v>
      </c>
      <c r="F192" s="79">
        <f>E192*1500</f>
        <v>27000</v>
      </c>
      <c r="G192" s="79">
        <f>E192*500</f>
        <v>9000</v>
      </c>
      <c r="H192" s="79">
        <v>1800</v>
      </c>
    </row>
    <row r="193" spans="1:8" hidden="1" x14ac:dyDescent="0.25">
      <c r="C193" t="s">
        <v>24</v>
      </c>
      <c r="D193" t="s">
        <v>243</v>
      </c>
      <c r="E193">
        <v>1</v>
      </c>
      <c r="F193" s="79">
        <v>12000</v>
      </c>
      <c r="G193" s="79">
        <v>10000</v>
      </c>
      <c r="H193" s="79">
        <v>2000</v>
      </c>
    </row>
    <row r="194" spans="1:8" hidden="1" x14ac:dyDescent="0.25">
      <c r="C194" t="s">
        <v>20</v>
      </c>
      <c r="D194" t="s">
        <v>902</v>
      </c>
      <c r="E194">
        <v>6</v>
      </c>
      <c r="F194" s="79">
        <f>E194*8000</f>
        <v>48000</v>
      </c>
      <c r="G194" s="79">
        <f>E194*5500</f>
        <v>33000</v>
      </c>
      <c r="H194" s="79">
        <f>E194*2500</f>
        <v>15000</v>
      </c>
    </row>
    <row r="195" spans="1:8" hidden="1" x14ac:dyDescent="0.25">
      <c r="D195" t="s">
        <v>14</v>
      </c>
      <c r="E195">
        <v>1</v>
      </c>
      <c r="F195" s="79">
        <v>12000</v>
      </c>
      <c r="G195" s="79">
        <v>5500</v>
      </c>
      <c r="H195" s="79">
        <v>6500</v>
      </c>
    </row>
    <row r="196" spans="1:8" hidden="1" x14ac:dyDescent="0.25">
      <c r="D196" t="s">
        <v>420</v>
      </c>
      <c r="E196">
        <v>5</v>
      </c>
      <c r="F196" s="79">
        <f>E196*8000</f>
        <v>40000</v>
      </c>
      <c r="G196" s="79">
        <f>E196*5500</f>
        <v>27500</v>
      </c>
      <c r="H196" s="79">
        <f>E196*2500</f>
        <v>12500</v>
      </c>
    </row>
    <row r="197" spans="1:8" hidden="1" x14ac:dyDescent="0.25">
      <c r="D197" t="s">
        <v>919</v>
      </c>
      <c r="E197">
        <v>1</v>
      </c>
      <c r="F197" s="79">
        <v>12000</v>
      </c>
      <c r="G197" s="79">
        <v>5500</v>
      </c>
      <c r="H197" s="79">
        <v>6500</v>
      </c>
    </row>
    <row r="198" spans="1:8" hidden="1" x14ac:dyDescent="0.25">
      <c r="D198" t="s">
        <v>922</v>
      </c>
      <c r="E198">
        <v>1</v>
      </c>
      <c r="F198" s="79">
        <v>12000</v>
      </c>
      <c r="G198" s="79">
        <v>5500</v>
      </c>
      <c r="H198" s="79">
        <v>6500</v>
      </c>
    </row>
    <row r="199" spans="1:8" hidden="1" x14ac:dyDescent="0.25">
      <c r="A199" s="112" t="s">
        <v>17</v>
      </c>
      <c r="B199" s="112"/>
      <c r="C199" s="112"/>
      <c r="D199" s="112"/>
      <c r="E199" s="78">
        <f>SUM(E188:E198)</f>
        <v>142</v>
      </c>
      <c r="F199" s="78">
        <f t="shared" ref="F199:H199" si="25">SUM(F188:F198)</f>
        <v>333800</v>
      </c>
      <c r="G199" s="78">
        <f t="shared" si="25"/>
        <v>150500</v>
      </c>
      <c r="H199" s="78">
        <f t="shared" si="25"/>
        <v>167100</v>
      </c>
    </row>
    <row r="200" spans="1:8" hidden="1" x14ac:dyDescent="0.25">
      <c r="A200" t="s">
        <v>32</v>
      </c>
      <c r="B200" s="3">
        <v>45776</v>
      </c>
      <c r="C200" t="s">
        <v>571</v>
      </c>
      <c r="D200" t="s">
        <v>11</v>
      </c>
      <c r="E200">
        <v>33</v>
      </c>
      <c r="F200" s="79">
        <f>E200*1700</f>
        <v>56100</v>
      </c>
      <c r="G200" s="79">
        <f>E200*500</f>
        <v>16500</v>
      </c>
      <c r="H200" s="79">
        <f>E200*1200</f>
        <v>39600</v>
      </c>
    </row>
    <row r="201" spans="1:8" hidden="1" x14ac:dyDescent="0.25">
      <c r="C201" t="s">
        <v>338</v>
      </c>
      <c r="D201" t="s">
        <v>11</v>
      </c>
      <c r="E201">
        <v>10</v>
      </c>
      <c r="F201" s="79">
        <v>15000</v>
      </c>
      <c r="G201" s="79">
        <f>E201*500</f>
        <v>5000</v>
      </c>
      <c r="H201" s="79">
        <v>10000</v>
      </c>
    </row>
    <row r="202" spans="1:8" hidden="1" x14ac:dyDescent="0.25">
      <c r="C202" t="s">
        <v>581</v>
      </c>
      <c r="D202" t="s">
        <v>914</v>
      </c>
      <c r="E202">
        <v>8</v>
      </c>
      <c r="F202" s="79">
        <f>E202*1600</f>
        <v>12800</v>
      </c>
      <c r="G202" s="79">
        <f>E202*500</f>
        <v>4000</v>
      </c>
      <c r="H202" s="79">
        <f>E202*1100</f>
        <v>8800</v>
      </c>
    </row>
    <row r="203" spans="1:8" hidden="1" x14ac:dyDescent="0.25">
      <c r="D203" t="s">
        <v>925</v>
      </c>
      <c r="E203">
        <v>7</v>
      </c>
      <c r="F203" s="79">
        <f>E203*1600</f>
        <v>11200</v>
      </c>
      <c r="G203" s="79">
        <f>E203*500</f>
        <v>3500</v>
      </c>
      <c r="H203" s="79">
        <f>E203*1100</f>
        <v>7700</v>
      </c>
    </row>
    <row r="204" spans="1:8" hidden="1" x14ac:dyDescent="0.25">
      <c r="C204" t="s">
        <v>20</v>
      </c>
      <c r="D204" t="s">
        <v>11</v>
      </c>
      <c r="E204">
        <v>6</v>
      </c>
      <c r="F204" s="79">
        <v>12000</v>
      </c>
      <c r="G204" s="79">
        <f>E204*500</f>
        <v>3000</v>
      </c>
      <c r="H204" s="79">
        <f>E204*1500</f>
        <v>9000</v>
      </c>
    </row>
    <row r="205" spans="1:8" hidden="1" x14ac:dyDescent="0.25">
      <c r="D205" t="s">
        <v>13</v>
      </c>
      <c r="E205">
        <v>1</v>
      </c>
      <c r="F205" s="79">
        <v>8000</v>
      </c>
      <c r="G205" s="79">
        <v>4500</v>
      </c>
      <c r="H205" s="79">
        <v>3500</v>
      </c>
    </row>
    <row r="206" spans="1:8" hidden="1" x14ac:dyDescent="0.25">
      <c r="D206" t="s">
        <v>14</v>
      </c>
      <c r="E206">
        <v>2</v>
      </c>
      <c r="F206" s="79">
        <v>20000</v>
      </c>
      <c r="G206" s="79">
        <v>11000</v>
      </c>
      <c r="H206" s="79">
        <v>9000</v>
      </c>
    </row>
    <row r="207" spans="1:8" hidden="1" x14ac:dyDescent="0.25">
      <c r="D207" t="s">
        <v>919</v>
      </c>
      <c r="E207">
        <v>1</v>
      </c>
      <c r="F207" s="79">
        <v>12000</v>
      </c>
      <c r="G207" s="79">
        <v>5500</v>
      </c>
      <c r="H207" s="79">
        <v>6500</v>
      </c>
    </row>
    <row r="208" spans="1:8" hidden="1" x14ac:dyDescent="0.25">
      <c r="D208" t="s">
        <v>902</v>
      </c>
      <c r="E208">
        <v>6</v>
      </c>
      <c r="F208" s="79">
        <v>48000</v>
      </c>
      <c r="G208" s="79">
        <f>E208*5500</f>
        <v>33000</v>
      </c>
      <c r="H208" s="79">
        <f>E208*2500</f>
        <v>15000</v>
      </c>
    </row>
    <row r="209" spans="1:11" hidden="1" x14ac:dyDescent="0.25">
      <c r="D209" t="s">
        <v>420</v>
      </c>
      <c r="E209">
        <v>1</v>
      </c>
      <c r="F209" s="79">
        <v>8000</v>
      </c>
      <c r="G209" s="79">
        <v>5500</v>
      </c>
      <c r="H209" s="79">
        <v>2500</v>
      </c>
    </row>
    <row r="210" spans="1:11" hidden="1" x14ac:dyDescent="0.25">
      <c r="A210" s="112" t="s">
        <v>17</v>
      </c>
      <c r="B210" s="112"/>
      <c r="C210" s="112"/>
      <c r="D210" s="112"/>
      <c r="E210" s="78">
        <f>SUM(E200:E209)</f>
        <v>75</v>
      </c>
      <c r="F210" s="78">
        <f t="shared" ref="F210:H210" si="26">SUM(F200:F209)</f>
        <v>203100</v>
      </c>
      <c r="G210" s="78">
        <f t="shared" si="26"/>
        <v>91500</v>
      </c>
      <c r="H210" s="78">
        <f t="shared" si="26"/>
        <v>111600</v>
      </c>
    </row>
    <row r="211" spans="1:11" hidden="1" x14ac:dyDescent="0.25">
      <c r="A211" t="s">
        <v>8</v>
      </c>
      <c r="B211" s="3">
        <v>45777</v>
      </c>
      <c r="C211" t="s">
        <v>571</v>
      </c>
      <c r="D211" t="s">
        <v>11</v>
      </c>
      <c r="E211">
        <v>22</v>
      </c>
      <c r="F211" s="79">
        <f>E211*1700</f>
        <v>37400</v>
      </c>
      <c r="G211" s="79">
        <f>E211*500</f>
        <v>11000</v>
      </c>
      <c r="H211" s="79">
        <f>E211*1200</f>
        <v>26400</v>
      </c>
    </row>
    <row r="212" spans="1:11" hidden="1" x14ac:dyDescent="0.25">
      <c r="C212" t="s">
        <v>104</v>
      </c>
      <c r="D212" t="s">
        <v>11</v>
      </c>
      <c r="E212">
        <v>3</v>
      </c>
      <c r="F212" s="79">
        <f>E212*1500</f>
        <v>4500</v>
      </c>
      <c r="G212" s="79">
        <f>E212*500</f>
        <v>1500</v>
      </c>
      <c r="H212" s="79">
        <f>E212*1000</f>
        <v>3000</v>
      </c>
    </row>
    <row r="213" spans="1:11" hidden="1" x14ac:dyDescent="0.25">
      <c r="C213" t="s">
        <v>581</v>
      </c>
      <c r="D213" t="s">
        <v>925</v>
      </c>
      <c r="E213">
        <v>3</v>
      </c>
      <c r="F213" s="79">
        <f>E213*1600</f>
        <v>4800</v>
      </c>
      <c r="G213" s="79">
        <f>E213*500</f>
        <v>1500</v>
      </c>
      <c r="H213" s="79">
        <f>E213*1100</f>
        <v>3300</v>
      </c>
    </row>
    <row r="214" spans="1:11" hidden="1" x14ac:dyDescent="0.25">
      <c r="D214" t="s">
        <v>914</v>
      </c>
      <c r="E214">
        <v>5</v>
      </c>
      <c r="F214" s="79">
        <f>E214*1600</f>
        <v>8000</v>
      </c>
      <c r="G214" s="79">
        <f>E214*500</f>
        <v>2500</v>
      </c>
      <c r="H214" s="79">
        <f>E214*1100</f>
        <v>5500</v>
      </c>
    </row>
    <row r="215" spans="1:11" hidden="1" x14ac:dyDescent="0.25">
      <c r="C215" t="s">
        <v>20</v>
      </c>
      <c r="D215" t="s">
        <v>902</v>
      </c>
      <c r="E215">
        <v>7</v>
      </c>
      <c r="F215" s="79">
        <f>E215*8000</f>
        <v>56000</v>
      </c>
      <c r="G215" s="79">
        <f>E215*5500</f>
        <v>38500</v>
      </c>
      <c r="H215" s="79">
        <f>E215*2500</f>
        <v>17500</v>
      </c>
    </row>
    <row r="216" spans="1:11" hidden="1" x14ac:dyDescent="0.25">
      <c r="D216" t="s">
        <v>13</v>
      </c>
      <c r="E216">
        <v>1</v>
      </c>
      <c r="F216" s="79">
        <v>8000</v>
      </c>
      <c r="G216" s="79">
        <f>E216*4500</f>
        <v>4500</v>
      </c>
      <c r="H216" s="79">
        <v>3500</v>
      </c>
    </row>
    <row r="217" spans="1:11" hidden="1" x14ac:dyDescent="0.25">
      <c r="D217" t="s">
        <v>14</v>
      </c>
      <c r="E217">
        <v>4</v>
      </c>
      <c r="F217" s="79">
        <f>E217*10000</f>
        <v>40000</v>
      </c>
      <c r="G217" s="79">
        <f>E217*5500</f>
        <v>22000</v>
      </c>
      <c r="H217" s="79">
        <f>E217*4500</f>
        <v>18000</v>
      </c>
    </row>
    <row r="218" spans="1:11" hidden="1" x14ac:dyDescent="0.25">
      <c r="D218" t="s">
        <v>243</v>
      </c>
      <c r="E218">
        <v>1</v>
      </c>
      <c r="F218" s="79">
        <v>15000</v>
      </c>
      <c r="G218" s="79">
        <v>10000</v>
      </c>
      <c r="H218" s="79">
        <v>5000</v>
      </c>
    </row>
    <row r="219" spans="1:11" hidden="1" x14ac:dyDescent="0.25">
      <c r="D219" t="s">
        <v>919</v>
      </c>
      <c r="E219">
        <v>4</v>
      </c>
      <c r="F219" s="79">
        <f>E219*12000</f>
        <v>48000</v>
      </c>
      <c r="G219" s="79">
        <f>E219*5500</f>
        <v>22000</v>
      </c>
      <c r="H219" s="79">
        <f>E219*6500</f>
        <v>26000</v>
      </c>
    </row>
    <row r="220" spans="1:11" hidden="1" x14ac:dyDescent="0.25">
      <c r="D220" t="s">
        <v>420</v>
      </c>
      <c r="E220">
        <v>3</v>
      </c>
      <c r="F220" s="79">
        <f>E220*8000</f>
        <v>24000</v>
      </c>
      <c r="G220" s="79">
        <f>E220*5500</f>
        <v>16500</v>
      </c>
      <c r="H220" s="79">
        <f>E220*2500</f>
        <v>7500</v>
      </c>
      <c r="K220">
        <f>E174+E150+E125+E101+E50</f>
        <v>76</v>
      </c>
    </row>
    <row r="221" spans="1:11" hidden="1" x14ac:dyDescent="0.25">
      <c r="D221" t="s">
        <v>441</v>
      </c>
      <c r="E221">
        <v>1</v>
      </c>
      <c r="F221" s="79">
        <v>10000</v>
      </c>
      <c r="G221" s="79">
        <v>5500</v>
      </c>
      <c r="H221" s="79">
        <v>4500</v>
      </c>
    </row>
    <row r="222" spans="1:11" hidden="1" x14ac:dyDescent="0.25">
      <c r="C222" t="s">
        <v>581</v>
      </c>
      <c r="D222" t="s">
        <v>11</v>
      </c>
      <c r="E222">
        <v>209</v>
      </c>
      <c r="F222" s="79"/>
      <c r="G222" s="79"/>
      <c r="H222" s="79"/>
      <c r="K222">
        <f>E219+E207+E197+E171+E145+E105+E89+E60+E37+E31+E7</f>
        <v>16</v>
      </c>
    </row>
    <row r="223" spans="1:11" hidden="1" x14ac:dyDescent="0.25">
      <c r="A223" s="112" t="s">
        <v>17</v>
      </c>
      <c r="B223" s="112"/>
      <c r="C223" s="112"/>
      <c r="D223" s="112"/>
      <c r="E223" s="78">
        <f>SUM(E211:E222)</f>
        <v>263</v>
      </c>
      <c r="F223" s="78">
        <f t="shared" ref="F223:H223" si="27">SUM(F211:F221)</f>
        <v>255700</v>
      </c>
      <c r="G223" s="78">
        <f t="shared" si="27"/>
        <v>135500</v>
      </c>
      <c r="H223" s="78">
        <f t="shared" si="27"/>
        <v>120200</v>
      </c>
    </row>
  </sheetData>
  <autoFilter ref="A1:H223" xr:uid="{7E515EDE-D9BC-4BF9-9B7E-3EB1A7FCEC85}">
    <filterColumn colId="3">
      <filters>
        <filter val="ES TEA"/>
        <filter val="TAWAR RASA2"/>
      </filters>
    </filterColumn>
  </autoFilter>
  <mergeCells count="26">
    <mergeCell ref="A199:D199"/>
    <mergeCell ref="A187:D187"/>
    <mergeCell ref="A111:D111"/>
    <mergeCell ref="A106:D106"/>
    <mergeCell ref="A153:D153"/>
    <mergeCell ref="A135:D135"/>
    <mergeCell ref="A119:D119"/>
    <mergeCell ref="A128:D128"/>
    <mergeCell ref="A172:D172"/>
    <mergeCell ref="A162:D162"/>
    <mergeCell ref="A223:D223"/>
    <mergeCell ref="A83:D83"/>
    <mergeCell ref="A11:D11"/>
    <mergeCell ref="A19:D19"/>
    <mergeCell ref="A27:D27"/>
    <mergeCell ref="A33:D33"/>
    <mergeCell ref="A38:D38"/>
    <mergeCell ref="A76:D76"/>
    <mergeCell ref="A61:D61"/>
    <mergeCell ref="A69:D69"/>
    <mergeCell ref="A52:D52"/>
    <mergeCell ref="A45:D45"/>
    <mergeCell ref="A210:D210"/>
    <mergeCell ref="A93:D93"/>
    <mergeCell ref="A178:D178"/>
    <mergeCell ref="A146:D14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6FEB-F510-4340-9125-18F623FA6D64}">
  <dimension ref="A1:O249"/>
  <sheetViews>
    <sheetView topLeftCell="A238" workbookViewId="0">
      <selection activeCell="C164" sqref="C164:C165"/>
    </sheetView>
  </sheetViews>
  <sheetFormatPr defaultRowHeight="15" x14ac:dyDescent="0.25"/>
  <cols>
    <col min="2" max="2" width="10.7109375" bestFit="1" customWidth="1"/>
    <col min="5" max="5" width="9.28515625" bestFit="1" customWidth="1"/>
    <col min="6" max="6" width="10.5703125" bestFit="1" customWidth="1"/>
    <col min="7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18</v>
      </c>
      <c r="B2" s="3">
        <v>45778</v>
      </c>
      <c r="C2" t="s">
        <v>20</v>
      </c>
      <c r="D2" t="s">
        <v>14</v>
      </c>
      <c r="E2">
        <v>3</v>
      </c>
      <c r="F2" s="79">
        <v>30000</v>
      </c>
      <c r="G2" s="79">
        <f>E2*5500</f>
        <v>16500</v>
      </c>
      <c r="H2" s="79">
        <f>E2*4500</f>
        <v>13500</v>
      </c>
    </row>
    <row r="3" spans="1:8" x14ac:dyDescent="0.25">
      <c r="C3" t="s">
        <v>20</v>
      </c>
      <c r="D3" t="s">
        <v>902</v>
      </c>
      <c r="E3">
        <v>12</v>
      </c>
      <c r="F3" s="79">
        <f>E3*8000</f>
        <v>96000</v>
      </c>
      <c r="G3" s="79">
        <f>E3*5500</f>
        <v>66000</v>
      </c>
      <c r="H3" s="79">
        <f>E3*2500</f>
        <v>30000</v>
      </c>
    </row>
    <row r="4" spans="1:8" x14ac:dyDescent="0.25">
      <c r="C4" t="s">
        <v>20</v>
      </c>
      <c r="D4" t="s">
        <v>420</v>
      </c>
      <c r="E4">
        <v>1</v>
      </c>
      <c r="F4" s="79">
        <v>8000</v>
      </c>
      <c r="G4" s="79">
        <v>5500</v>
      </c>
      <c r="H4" s="79">
        <v>2500</v>
      </c>
    </row>
    <row r="5" spans="1:8" x14ac:dyDescent="0.25">
      <c r="C5" t="s">
        <v>20</v>
      </c>
      <c r="D5" t="s">
        <v>948</v>
      </c>
      <c r="E5">
        <v>1</v>
      </c>
      <c r="F5" s="79">
        <v>10000</v>
      </c>
      <c r="G5" s="79">
        <v>5500</v>
      </c>
      <c r="H5" s="79">
        <v>4500</v>
      </c>
    </row>
    <row r="6" spans="1:8" x14ac:dyDescent="0.25">
      <c r="C6" t="s">
        <v>20</v>
      </c>
      <c r="D6" t="s">
        <v>919</v>
      </c>
      <c r="E6">
        <v>2</v>
      </c>
      <c r="F6" s="79">
        <v>24000</v>
      </c>
      <c r="G6" s="79">
        <f>E6*5500</f>
        <v>11000</v>
      </c>
      <c r="H6" s="79">
        <f>E6*6500</f>
        <v>13000</v>
      </c>
    </row>
    <row r="7" spans="1:8" x14ac:dyDescent="0.25">
      <c r="A7" s="112" t="s">
        <v>17</v>
      </c>
      <c r="B7" s="112"/>
      <c r="C7" s="112"/>
      <c r="D7" s="112"/>
      <c r="E7" s="78">
        <f>SUM(E2:E6)</f>
        <v>19</v>
      </c>
      <c r="F7" s="78">
        <f t="shared" ref="F7:H7" si="0">SUM(F2:F6)</f>
        <v>168000</v>
      </c>
      <c r="G7" s="78">
        <f t="shared" si="0"/>
        <v>104500</v>
      </c>
      <c r="H7" s="78">
        <f t="shared" si="0"/>
        <v>63500</v>
      </c>
    </row>
    <row r="8" spans="1:8" x14ac:dyDescent="0.25">
      <c r="A8" t="s">
        <v>22</v>
      </c>
      <c r="B8" s="3">
        <v>45779</v>
      </c>
      <c r="C8" t="s">
        <v>571</v>
      </c>
      <c r="D8" t="s">
        <v>11</v>
      </c>
      <c r="E8">
        <v>27</v>
      </c>
      <c r="F8" s="79">
        <f>E8*1700</f>
        <v>45900</v>
      </c>
      <c r="G8" s="79">
        <f>E8*500</f>
        <v>13500</v>
      </c>
      <c r="H8" s="79">
        <f>E8*1200</f>
        <v>32400</v>
      </c>
    </row>
    <row r="9" spans="1:8" x14ac:dyDescent="0.25">
      <c r="C9" t="s">
        <v>338</v>
      </c>
      <c r="D9" t="s">
        <v>11</v>
      </c>
      <c r="E9">
        <v>10</v>
      </c>
      <c r="F9" s="79">
        <f>E9*1500</f>
        <v>15000</v>
      </c>
      <c r="G9" s="79">
        <f>E9*500</f>
        <v>5000</v>
      </c>
      <c r="H9" s="79">
        <v>10000</v>
      </c>
    </row>
    <row r="10" spans="1:8" x14ac:dyDescent="0.25">
      <c r="C10" t="s">
        <v>572</v>
      </c>
      <c r="D10" t="s">
        <v>11</v>
      </c>
      <c r="E10">
        <v>130</v>
      </c>
      <c r="F10" s="79">
        <f>E10*1700</f>
        <v>221000</v>
      </c>
      <c r="G10" s="79">
        <f>E10*500</f>
        <v>65000</v>
      </c>
      <c r="H10" s="79">
        <f>E10*1200</f>
        <v>156000</v>
      </c>
    </row>
    <row r="11" spans="1:8" x14ac:dyDescent="0.25">
      <c r="C11" t="s">
        <v>104</v>
      </c>
      <c r="D11" t="s">
        <v>11</v>
      </c>
      <c r="E11">
        <v>15</v>
      </c>
      <c r="F11" s="79">
        <f>E11*1500</f>
        <v>22500</v>
      </c>
      <c r="G11" s="79">
        <f>E11*500</f>
        <v>7500</v>
      </c>
      <c r="H11" s="79">
        <f>E11*1000</f>
        <v>15000</v>
      </c>
    </row>
    <row r="12" spans="1:8" x14ac:dyDescent="0.25">
      <c r="C12" t="s">
        <v>20</v>
      </c>
      <c r="D12" t="s">
        <v>11</v>
      </c>
      <c r="E12">
        <v>3</v>
      </c>
      <c r="F12" s="79">
        <v>9000</v>
      </c>
      <c r="G12" s="79">
        <f>E12*500</f>
        <v>1500</v>
      </c>
      <c r="H12" s="79">
        <f>E12*2500</f>
        <v>7500</v>
      </c>
    </row>
    <row r="13" spans="1:8" x14ac:dyDescent="0.25">
      <c r="C13" t="s">
        <v>20</v>
      </c>
      <c r="D13" t="s">
        <v>14</v>
      </c>
      <c r="E13">
        <v>1</v>
      </c>
      <c r="F13" s="79">
        <v>12000</v>
      </c>
      <c r="G13" s="79">
        <v>5500</v>
      </c>
      <c r="H13" s="79">
        <v>6500</v>
      </c>
    </row>
    <row r="14" spans="1:8" x14ac:dyDescent="0.25">
      <c r="C14" t="s">
        <v>20</v>
      </c>
      <c r="D14" t="s">
        <v>420</v>
      </c>
      <c r="E14">
        <v>1</v>
      </c>
      <c r="F14" s="79">
        <v>8000</v>
      </c>
      <c r="G14" s="79">
        <v>5500</v>
      </c>
      <c r="H14" s="79">
        <v>2500</v>
      </c>
    </row>
    <row r="15" spans="1:8" x14ac:dyDescent="0.25">
      <c r="C15" t="s">
        <v>20</v>
      </c>
      <c r="D15" t="s">
        <v>902</v>
      </c>
      <c r="E15">
        <v>4</v>
      </c>
      <c r="F15" s="79">
        <f>E15*8000</f>
        <v>32000</v>
      </c>
      <c r="G15" s="79">
        <f>E15*5500</f>
        <v>22000</v>
      </c>
      <c r="H15" s="79">
        <f>E15*2500</f>
        <v>10000</v>
      </c>
    </row>
    <row r="16" spans="1:8" x14ac:dyDescent="0.25">
      <c r="C16" t="s">
        <v>20</v>
      </c>
      <c r="D16" t="s">
        <v>919</v>
      </c>
      <c r="E16">
        <v>1</v>
      </c>
      <c r="F16" s="79">
        <v>12000</v>
      </c>
      <c r="G16" s="79">
        <v>5500</v>
      </c>
      <c r="H16" s="79">
        <v>6500</v>
      </c>
    </row>
    <row r="17" spans="1:8" x14ac:dyDescent="0.25">
      <c r="C17" t="s">
        <v>24</v>
      </c>
      <c r="D17" t="s">
        <v>243</v>
      </c>
      <c r="E17">
        <v>1</v>
      </c>
      <c r="F17" s="79">
        <v>15000</v>
      </c>
      <c r="G17" s="79">
        <v>10000</v>
      </c>
      <c r="H17" s="79">
        <v>5000</v>
      </c>
    </row>
    <row r="18" spans="1:8" x14ac:dyDescent="0.25">
      <c r="A18" s="112" t="s">
        <v>17</v>
      </c>
      <c r="B18" s="112"/>
      <c r="C18" s="112"/>
      <c r="D18" s="112"/>
      <c r="E18" s="78">
        <f>SUM(E8:E17)</f>
        <v>193</v>
      </c>
      <c r="F18" s="78">
        <f t="shared" ref="F18:H18" si="1">SUM(F8:F17)</f>
        <v>392400</v>
      </c>
      <c r="G18" s="78">
        <f t="shared" si="1"/>
        <v>141000</v>
      </c>
      <c r="H18" s="78">
        <f t="shared" si="1"/>
        <v>251400</v>
      </c>
    </row>
    <row r="19" spans="1:8" x14ac:dyDescent="0.25">
      <c r="A19" t="s">
        <v>26</v>
      </c>
      <c r="B19" s="3">
        <v>45780</v>
      </c>
      <c r="C19" t="s">
        <v>104</v>
      </c>
      <c r="D19" t="s">
        <v>11</v>
      </c>
      <c r="E19">
        <v>7</v>
      </c>
      <c r="F19" s="79">
        <f>E19*1500</f>
        <v>10500</v>
      </c>
      <c r="G19" s="79">
        <f>E19*500</f>
        <v>3500</v>
      </c>
      <c r="H19" s="79">
        <v>7000</v>
      </c>
    </row>
    <row r="20" spans="1:8" x14ac:dyDescent="0.25">
      <c r="C20" t="s">
        <v>20</v>
      </c>
      <c r="D20" t="s">
        <v>11</v>
      </c>
      <c r="E20">
        <v>4</v>
      </c>
      <c r="F20" s="79">
        <f>E20*2500</f>
        <v>10000</v>
      </c>
      <c r="G20" s="79">
        <f>E20*500</f>
        <v>2000</v>
      </c>
      <c r="H20" s="79">
        <v>8000</v>
      </c>
    </row>
    <row r="21" spans="1:8" x14ac:dyDescent="0.25">
      <c r="C21" t="s">
        <v>20</v>
      </c>
      <c r="D21" t="s">
        <v>13</v>
      </c>
      <c r="E21">
        <v>6</v>
      </c>
      <c r="F21" s="79">
        <v>48000</v>
      </c>
      <c r="G21" s="79">
        <f>E21*4500</f>
        <v>27000</v>
      </c>
      <c r="H21" s="79">
        <f>E21*3500</f>
        <v>21000</v>
      </c>
    </row>
    <row r="22" spans="1:8" x14ac:dyDescent="0.25">
      <c r="C22" t="s">
        <v>20</v>
      </c>
      <c r="D22" t="s">
        <v>902</v>
      </c>
      <c r="E22">
        <v>8</v>
      </c>
      <c r="F22" s="79">
        <f>E22*8000</f>
        <v>64000</v>
      </c>
      <c r="G22" s="79">
        <f>E22*5500</f>
        <v>44000</v>
      </c>
      <c r="H22" s="79">
        <f>E22*2500</f>
        <v>20000</v>
      </c>
    </row>
    <row r="23" spans="1:8" x14ac:dyDescent="0.25">
      <c r="C23" t="s">
        <v>20</v>
      </c>
      <c r="D23" t="s">
        <v>420</v>
      </c>
      <c r="E23">
        <v>1</v>
      </c>
      <c r="F23" s="79">
        <v>8000</v>
      </c>
      <c r="G23" s="79">
        <v>5500</v>
      </c>
      <c r="H23" s="79">
        <v>2500</v>
      </c>
    </row>
    <row r="24" spans="1:8" x14ac:dyDescent="0.25">
      <c r="C24" t="s">
        <v>20</v>
      </c>
      <c r="D24" t="s">
        <v>919</v>
      </c>
      <c r="E24">
        <v>1</v>
      </c>
      <c r="F24" s="79">
        <v>12000</v>
      </c>
      <c r="G24" s="79">
        <v>5500</v>
      </c>
      <c r="H24" s="79">
        <v>6500</v>
      </c>
    </row>
    <row r="25" spans="1:8" x14ac:dyDescent="0.25">
      <c r="C25" t="s">
        <v>20</v>
      </c>
      <c r="D25" t="s">
        <v>243</v>
      </c>
      <c r="E25">
        <v>1</v>
      </c>
      <c r="F25" s="79">
        <v>15000</v>
      </c>
      <c r="G25" s="79">
        <v>10000</v>
      </c>
      <c r="H25" s="79">
        <v>5000</v>
      </c>
    </row>
    <row r="26" spans="1:8" x14ac:dyDescent="0.25">
      <c r="A26" s="112" t="s">
        <v>17</v>
      </c>
      <c r="B26" s="112"/>
      <c r="C26" s="112"/>
      <c r="D26" s="112"/>
      <c r="E26" s="78">
        <f>SUM(E19:E25)</f>
        <v>28</v>
      </c>
      <c r="F26" s="78">
        <f t="shared" ref="F26:H26" si="2">SUM(F19:F25)</f>
        <v>167500</v>
      </c>
      <c r="G26" s="78">
        <f t="shared" si="2"/>
        <v>97500</v>
      </c>
      <c r="H26" s="78">
        <f t="shared" si="2"/>
        <v>70000</v>
      </c>
    </row>
    <row r="27" spans="1:8" x14ac:dyDescent="0.25">
      <c r="A27" t="s">
        <v>28</v>
      </c>
      <c r="B27" s="3">
        <v>45781</v>
      </c>
      <c r="C27" t="s">
        <v>693</v>
      </c>
      <c r="D27" t="s">
        <v>11</v>
      </c>
      <c r="E27">
        <v>13</v>
      </c>
      <c r="F27" s="79">
        <f>E27*2000</f>
        <v>26000</v>
      </c>
      <c r="G27" s="79">
        <f>E27*500</f>
        <v>6500</v>
      </c>
      <c r="H27" s="79">
        <f>E27*1500</f>
        <v>19500</v>
      </c>
    </row>
    <row r="28" spans="1:8" x14ac:dyDescent="0.25">
      <c r="C28" t="s">
        <v>693</v>
      </c>
      <c r="D28" t="s">
        <v>13</v>
      </c>
      <c r="E28">
        <v>43</v>
      </c>
      <c r="F28" s="79">
        <f>E28*7000</f>
        <v>301000</v>
      </c>
      <c r="G28" s="79">
        <f>E28*4500</f>
        <v>193500</v>
      </c>
      <c r="H28" s="79">
        <f>E28*2500</f>
        <v>107500</v>
      </c>
    </row>
    <row r="29" spans="1:8" x14ac:dyDescent="0.25">
      <c r="C29" t="s">
        <v>693</v>
      </c>
      <c r="D29" t="s">
        <v>14</v>
      </c>
      <c r="E29">
        <v>25</v>
      </c>
      <c r="F29" s="79">
        <f>E29*10000</f>
        <v>250000</v>
      </c>
      <c r="G29" s="79">
        <f>E29*5500</f>
        <v>137500</v>
      </c>
      <c r="H29" s="79">
        <f>E29*4500</f>
        <v>112500</v>
      </c>
    </row>
    <row r="30" spans="1:8" x14ac:dyDescent="0.25">
      <c r="C30" t="s">
        <v>693</v>
      </c>
      <c r="D30" t="s">
        <v>243</v>
      </c>
      <c r="E30">
        <v>3</v>
      </c>
      <c r="F30" s="79">
        <f>E30*15000</f>
        <v>45000</v>
      </c>
      <c r="G30" s="79">
        <f>E30*10000</f>
        <v>30000</v>
      </c>
      <c r="H30" s="79">
        <f>E30*5000</f>
        <v>15000</v>
      </c>
    </row>
    <row r="31" spans="1:8" x14ac:dyDescent="0.25">
      <c r="C31" t="s">
        <v>217</v>
      </c>
      <c r="D31" t="s">
        <v>11</v>
      </c>
      <c r="E31">
        <v>10</v>
      </c>
      <c r="F31" s="79">
        <f>E31*1500</f>
        <v>15000</v>
      </c>
      <c r="G31" s="79">
        <f>E31*500</f>
        <v>5000</v>
      </c>
      <c r="H31" s="79">
        <v>10000</v>
      </c>
    </row>
    <row r="32" spans="1:8" x14ac:dyDescent="0.25">
      <c r="C32" t="s">
        <v>217</v>
      </c>
      <c r="D32" t="s">
        <v>13</v>
      </c>
      <c r="E32">
        <v>11</v>
      </c>
      <c r="F32" s="79">
        <f>E32*6500</f>
        <v>71500</v>
      </c>
      <c r="G32" s="79">
        <f>E32*4500</f>
        <v>49500</v>
      </c>
      <c r="H32" s="79">
        <f>E32*2000</f>
        <v>22000</v>
      </c>
    </row>
    <row r="33" spans="1:8" x14ac:dyDescent="0.25">
      <c r="C33" t="s">
        <v>217</v>
      </c>
      <c r="D33" t="s">
        <v>14</v>
      </c>
      <c r="E33">
        <v>11</v>
      </c>
      <c r="F33" s="79">
        <f>E33*10000</f>
        <v>110000</v>
      </c>
      <c r="G33" s="79">
        <f>E33*5500</f>
        <v>60500</v>
      </c>
      <c r="H33" s="79">
        <f>E33*4500</f>
        <v>49500</v>
      </c>
    </row>
    <row r="34" spans="1:8" x14ac:dyDescent="0.25">
      <c r="C34" t="s">
        <v>24</v>
      </c>
      <c r="D34" t="s">
        <v>592</v>
      </c>
      <c r="E34">
        <v>2</v>
      </c>
      <c r="F34" s="79"/>
      <c r="G34" s="79"/>
      <c r="H34" s="79"/>
    </row>
    <row r="35" spans="1:8" x14ac:dyDescent="0.25">
      <c r="A35" s="112" t="s">
        <v>17</v>
      </c>
      <c r="B35" s="112"/>
      <c r="C35" s="112"/>
      <c r="D35" s="112"/>
      <c r="E35" s="78">
        <f>SUM(E27:E34)</f>
        <v>118</v>
      </c>
      <c r="F35" s="78">
        <f t="shared" ref="F35:H35" si="3">SUM(F27:F34)</f>
        <v>818500</v>
      </c>
      <c r="G35" s="78">
        <f t="shared" si="3"/>
        <v>482500</v>
      </c>
      <c r="H35" s="78">
        <f t="shared" si="3"/>
        <v>336000</v>
      </c>
    </row>
    <row r="36" spans="1:8" x14ac:dyDescent="0.25">
      <c r="A36" t="s">
        <v>30</v>
      </c>
      <c r="B36" s="3">
        <v>45782</v>
      </c>
      <c r="C36" t="s">
        <v>338</v>
      </c>
      <c r="D36" t="s">
        <v>11</v>
      </c>
      <c r="E36">
        <v>61</v>
      </c>
      <c r="F36" s="79">
        <f>E36*1500</f>
        <v>91500</v>
      </c>
      <c r="G36" s="79">
        <f>E36*500</f>
        <v>30500</v>
      </c>
      <c r="H36" s="79">
        <f>E36*1000</f>
        <v>61000</v>
      </c>
    </row>
    <row r="37" spans="1:8" x14ac:dyDescent="0.25">
      <c r="C37" t="s">
        <v>571</v>
      </c>
      <c r="D37" t="s">
        <v>11</v>
      </c>
      <c r="E37">
        <v>20</v>
      </c>
      <c r="F37" s="79">
        <f>E37*1700</f>
        <v>34000</v>
      </c>
      <c r="G37" s="79">
        <f>E37*500</f>
        <v>10000</v>
      </c>
      <c r="H37" s="79">
        <f>E37*1200</f>
        <v>24000</v>
      </c>
    </row>
    <row r="38" spans="1:8" x14ac:dyDescent="0.25">
      <c r="C38" t="s">
        <v>581</v>
      </c>
      <c r="D38" t="s">
        <v>420</v>
      </c>
      <c r="E38">
        <v>13</v>
      </c>
      <c r="F38" s="79">
        <f>E38*1600</f>
        <v>20800</v>
      </c>
      <c r="G38" s="79">
        <f>E38*500</f>
        <v>6500</v>
      </c>
      <c r="H38" s="79">
        <f>E38*1100</f>
        <v>14300</v>
      </c>
    </row>
    <row r="39" spans="1:8" x14ac:dyDescent="0.25">
      <c r="C39" t="s">
        <v>104</v>
      </c>
      <c r="D39" t="s">
        <v>11</v>
      </c>
      <c r="E39">
        <v>41</v>
      </c>
      <c r="F39" s="79">
        <f>E39*1500</f>
        <v>61500</v>
      </c>
      <c r="G39" s="79">
        <f>E39*500</f>
        <v>20500</v>
      </c>
      <c r="H39" s="79">
        <f>E39*1000</f>
        <v>41000</v>
      </c>
    </row>
    <row r="40" spans="1:8" x14ac:dyDescent="0.25">
      <c r="C40" t="s">
        <v>24</v>
      </c>
      <c r="D40" t="s">
        <v>243</v>
      </c>
      <c r="E40">
        <v>1</v>
      </c>
      <c r="F40" s="79">
        <v>15000</v>
      </c>
      <c r="G40" s="79">
        <v>10000</v>
      </c>
      <c r="H40" s="79">
        <v>5000</v>
      </c>
    </row>
    <row r="41" spans="1:8" x14ac:dyDescent="0.25">
      <c r="C41" t="s">
        <v>20</v>
      </c>
      <c r="D41" t="s">
        <v>902</v>
      </c>
      <c r="E41">
        <v>2</v>
      </c>
      <c r="F41" s="79">
        <v>16000</v>
      </c>
      <c r="G41" s="79">
        <f>E41*5500</f>
        <v>11000</v>
      </c>
      <c r="H41" s="79">
        <v>5000</v>
      </c>
    </row>
    <row r="42" spans="1:8" x14ac:dyDescent="0.25">
      <c r="C42" t="s">
        <v>20</v>
      </c>
      <c r="D42" t="s">
        <v>420</v>
      </c>
      <c r="E42">
        <v>2</v>
      </c>
      <c r="F42" s="79">
        <v>16000</v>
      </c>
      <c r="G42" s="79">
        <f>E42*5500</f>
        <v>11000</v>
      </c>
      <c r="H42" s="79">
        <v>5000</v>
      </c>
    </row>
    <row r="43" spans="1:8" x14ac:dyDescent="0.25">
      <c r="C43" t="s">
        <v>20</v>
      </c>
      <c r="D43" t="s">
        <v>918</v>
      </c>
      <c r="E43">
        <v>1</v>
      </c>
      <c r="F43" s="79">
        <v>18000</v>
      </c>
      <c r="G43" s="79">
        <v>10000</v>
      </c>
      <c r="H43" s="79">
        <v>8000</v>
      </c>
    </row>
    <row r="44" spans="1:8" x14ac:dyDescent="0.25">
      <c r="C44" t="s">
        <v>20</v>
      </c>
      <c r="D44" t="s">
        <v>243</v>
      </c>
      <c r="E44">
        <v>1</v>
      </c>
      <c r="F44" s="79">
        <v>17000</v>
      </c>
      <c r="G44" s="79">
        <v>10000</v>
      </c>
      <c r="H44" s="79">
        <v>7000</v>
      </c>
    </row>
    <row r="45" spans="1:8" x14ac:dyDescent="0.25">
      <c r="C45" t="s">
        <v>24</v>
      </c>
      <c r="D45" t="s">
        <v>13</v>
      </c>
      <c r="E45">
        <v>10</v>
      </c>
      <c r="F45" s="79"/>
      <c r="G45" s="79"/>
      <c r="H45" s="79"/>
    </row>
    <row r="46" spans="1:8" x14ac:dyDescent="0.25">
      <c r="C46" t="s">
        <v>24</v>
      </c>
      <c r="D46" t="s">
        <v>14</v>
      </c>
      <c r="E46">
        <v>12</v>
      </c>
      <c r="F46" s="79"/>
      <c r="G46" s="79"/>
      <c r="H46" s="79"/>
    </row>
    <row r="47" spans="1:8" x14ac:dyDescent="0.25">
      <c r="A47" s="112" t="s">
        <v>17</v>
      </c>
      <c r="B47" s="112"/>
      <c r="C47" s="112"/>
      <c r="D47" s="112"/>
      <c r="E47" s="78">
        <f>SUM(E36:E46)</f>
        <v>164</v>
      </c>
      <c r="F47" s="78">
        <f t="shared" ref="F47:H47" si="4">SUM(F36:F46)</f>
        <v>289800</v>
      </c>
      <c r="G47" s="78">
        <f t="shared" si="4"/>
        <v>119500</v>
      </c>
      <c r="H47" s="78">
        <f t="shared" si="4"/>
        <v>170300</v>
      </c>
    </row>
    <row r="48" spans="1:8" x14ac:dyDescent="0.25">
      <c r="A48" t="s">
        <v>32</v>
      </c>
      <c r="B48" s="3">
        <v>45783</v>
      </c>
      <c r="C48" t="s">
        <v>338</v>
      </c>
      <c r="D48" t="s">
        <v>11</v>
      </c>
      <c r="E48">
        <v>45</v>
      </c>
      <c r="F48" s="79">
        <f>E48*1500</f>
        <v>67500</v>
      </c>
      <c r="G48" s="79">
        <f>E48*500</f>
        <v>22500</v>
      </c>
      <c r="H48" s="79">
        <f>E48*1000</f>
        <v>45000</v>
      </c>
    </row>
    <row r="49" spans="1:11" x14ac:dyDescent="0.25">
      <c r="C49" t="s">
        <v>571</v>
      </c>
      <c r="D49" t="s">
        <v>11</v>
      </c>
      <c r="E49">
        <v>20</v>
      </c>
      <c r="F49" s="79">
        <f>E49*1700</f>
        <v>34000</v>
      </c>
      <c r="G49" s="79">
        <f>E49*500</f>
        <v>10000</v>
      </c>
      <c r="H49" s="79">
        <f>E49*1200</f>
        <v>24000</v>
      </c>
    </row>
    <row r="50" spans="1:11" x14ac:dyDescent="0.25">
      <c r="C50" t="s">
        <v>104</v>
      </c>
      <c r="D50" t="s">
        <v>11</v>
      </c>
      <c r="E50">
        <v>15</v>
      </c>
      <c r="F50" s="79">
        <f>E50*1500</f>
        <v>22500</v>
      </c>
      <c r="G50" s="79">
        <f>E50*500</f>
        <v>7500</v>
      </c>
      <c r="H50" s="79">
        <v>15000</v>
      </c>
    </row>
    <row r="51" spans="1:11" x14ac:dyDescent="0.25">
      <c r="A51" s="112" t="s">
        <v>17</v>
      </c>
      <c r="B51" s="112"/>
      <c r="C51" s="112"/>
      <c r="D51" s="112"/>
      <c r="E51" s="78">
        <f>SUM(E48:E50)</f>
        <v>80</v>
      </c>
      <c r="F51" s="78">
        <f t="shared" ref="F51:H51" si="5">SUM(F48:F50)</f>
        <v>124000</v>
      </c>
      <c r="G51" s="78">
        <f t="shared" si="5"/>
        <v>40000</v>
      </c>
      <c r="H51" s="78">
        <f t="shared" si="5"/>
        <v>84000</v>
      </c>
    </row>
    <row r="52" spans="1:11" x14ac:dyDescent="0.25">
      <c r="A52" t="s">
        <v>8</v>
      </c>
      <c r="B52" s="3">
        <v>45784</v>
      </c>
      <c r="C52" t="s">
        <v>338</v>
      </c>
      <c r="D52" t="s">
        <v>11</v>
      </c>
      <c r="E52">
        <v>50</v>
      </c>
      <c r="F52" s="79">
        <f>E52*1500</f>
        <v>75000</v>
      </c>
      <c r="G52" s="79">
        <f>E52*500</f>
        <v>25000</v>
      </c>
      <c r="H52" s="79">
        <v>50000</v>
      </c>
    </row>
    <row r="53" spans="1:11" x14ac:dyDescent="0.25">
      <c r="C53" t="s">
        <v>104</v>
      </c>
      <c r="D53" t="s">
        <v>11</v>
      </c>
      <c r="E53">
        <v>31</v>
      </c>
      <c r="F53" s="79">
        <f>E53*1500</f>
        <v>46500</v>
      </c>
      <c r="G53" s="79">
        <f>E53*500</f>
        <v>15500</v>
      </c>
      <c r="H53" s="79">
        <v>31000</v>
      </c>
    </row>
    <row r="54" spans="1:11" x14ac:dyDescent="0.25">
      <c r="C54" t="s">
        <v>581</v>
      </c>
      <c r="D54" t="s">
        <v>11</v>
      </c>
      <c r="E54">
        <v>46</v>
      </c>
      <c r="F54" s="79">
        <f>E54*1600</f>
        <v>73600</v>
      </c>
      <c r="G54" s="79">
        <f>E54*500</f>
        <v>23000</v>
      </c>
      <c r="H54" s="79">
        <f>E54*1100</f>
        <v>50600</v>
      </c>
    </row>
    <row r="55" spans="1:11" x14ac:dyDescent="0.25">
      <c r="C55" t="s">
        <v>20</v>
      </c>
      <c r="D55" t="s">
        <v>902</v>
      </c>
      <c r="E55">
        <v>4</v>
      </c>
      <c r="F55" s="79">
        <f>E55*8000</f>
        <v>32000</v>
      </c>
      <c r="G55" s="79">
        <f>E55*5500</f>
        <v>22000</v>
      </c>
      <c r="H55" s="79">
        <f>E55*2500</f>
        <v>10000</v>
      </c>
      <c r="K55">
        <f>E3+E15+E22+E41+E55+E67+E76+E86+E102+E110+E155+E161+E175+E180+E188+E193+E203+E208+E214+E220+E235+E239</f>
        <v>88</v>
      </c>
    </row>
    <row r="56" spans="1:11" x14ac:dyDescent="0.25">
      <c r="C56" t="s">
        <v>20</v>
      </c>
      <c r="D56" t="s">
        <v>11</v>
      </c>
      <c r="E56">
        <v>2</v>
      </c>
      <c r="F56" s="79">
        <v>6000</v>
      </c>
      <c r="G56" s="79">
        <v>1000</v>
      </c>
      <c r="H56" s="79">
        <v>5000</v>
      </c>
    </row>
    <row r="57" spans="1:11" x14ac:dyDescent="0.25">
      <c r="C57" t="s">
        <v>20</v>
      </c>
      <c r="D57" t="s">
        <v>13</v>
      </c>
      <c r="E57">
        <v>2</v>
      </c>
      <c r="F57" s="79">
        <v>16000</v>
      </c>
      <c r="G57" s="79">
        <v>9000</v>
      </c>
      <c r="H57" s="79">
        <v>7000</v>
      </c>
    </row>
    <row r="58" spans="1:11" x14ac:dyDescent="0.25">
      <c r="C58" t="s">
        <v>20</v>
      </c>
      <c r="D58" t="s">
        <v>14</v>
      </c>
      <c r="E58">
        <v>1</v>
      </c>
      <c r="F58" s="79">
        <v>12000</v>
      </c>
      <c r="G58" s="79">
        <v>5500</v>
      </c>
      <c r="H58" s="79">
        <v>6500</v>
      </c>
    </row>
    <row r="59" spans="1:11" x14ac:dyDescent="0.25">
      <c r="C59" t="s">
        <v>20</v>
      </c>
      <c r="D59" t="s">
        <v>919</v>
      </c>
      <c r="E59">
        <v>1</v>
      </c>
      <c r="F59" s="79">
        <v>12000</v>
      </c>
      <c r="G59" s="79">
        <v>5500</v>
      </c>
      <c r="H59" s="79">
        <v>6500</v>
      </c>
    </row>
    <row r="60" spans="1:11" x14ac:dyDescent="0.25">
      <c r="A60" s="112" t="s">
        <v>17</v>
      </c>
      <c r="B60" s="112"/>
      <c r="C60" s="112"/>
      <c r="D60" s="112"/>
      <c r="E60" s="78">
        <f>SUM(E52:E59)</f>
        <v>137</v>
      </c>
      <c r="F60" s="78">
        <f t="shared" ref="F60:H60" si="6">SUM(F52:F59)</f>
        <v>273100</v>
      </c>
      <c r="G60" s="78">
        <f t="shared" si="6"/>
        <v>106500</v>
      </c>
      <c r="H60" s="78">
        <f t="shared" si="6"/>
        <v>166600</v>
      </c>
    </row>
    <row r="61" spans="1:11" x14ac:dyDescent="0.25">
      <c r="A61" t="s">
        <v>18</v>
      </c>
      <c r="B61" s="3">
        <v>45785</v>
      </c>
      <c r="C61" t="s">
        <v>338</v>
      </c>
      <c r="D61" t="s">
        <v>11</v>
      </c>
      <c r="E61">
        <v>50</v>
      </c>
      <c r="F61" s="79">
        <f>E61*1500</f>
        <v>75000</v>
      </c>
      <c r="G61" s="79">
        <f t="shared" ref="G61:G66" si="7">E61*500</f>
        <v>25000</v>
      </c>
      <c r="H61" s="79">
        <v>50000</v>
      </c>
    </row>
    <row r="62" spans="1:11" x14ac:dyDescent="0.25">
      <c r="C62" t="s">
        <v>571</v>
      </c>
      <c r="D62" t="s">
        <v>11</v>
      </c>
      <c r="E62">
        <v>22</v>
      </c>
      <c r="F62" s="79">
        <f>E62*1700</f>
        <v>37400</v>
      </c>
      <c r="G62" s="79">
        <f t="shared" si="7"/>
        <v>11000</v>
      </c>
      <c r="H62" s="79">
        <f>E62*1200</f>
        <v>26400</v>
      </c>
    </row>
    <row r="63" spans="1:11" x14ac:dyDescent="0.25">
      <c r="C63" t="s">
        <v>104</v>
      </c>
      <c r="D63" t="s">
        <v>11</v>
      </c>
      <c r="E63">
        <v>11</v>
      </c>
      <c r="F63" s="79">
        <f>E63*1500</f>
        <v>16500</v>
      </c>
      <c r="G63" s="79">
        <f t="shared" si="7"/>
        <v>5500</v>
      </c>
      <c r="H63" s="79">
        <v>11000</v>
      </c>
    </row>
    <row r="64" spans="1:11" x14ac:dyDescent="0.25">
      <c r="C64" t="s">
        <v>581</v>
      </c>
      <c r="D64" t="s">
        <v>914</v>
      </c>
      <c r="E64">
        <v>15</v>
      </c>
      <c r="F64" s="79">
        <f>E64*1600</f>
        <v>24000</v>
      </c>
      <c r="G64" s="79">
        <f t="shared" si="7"/>
        <v>7500</v>
      </c>
      <c r="H64" s="79">
        <f>E64*1100</f>
        <v>16500</v>
      </c>
    </row>
    <row r="65" spans="1:12" x14ac:dyDescent="0.25">
      <c r="C65" t="s">
        <v>581</v>
      </c>
      <c r="D65" t="s">
        <v>925</v>
      </c>
      <c r="E65">
        <v>19</v>
      </c>
      <c r="F65" s="79">
        <f>E65*1600</f>
        <v>30400</v>
      </c>
      <c r="G65" s="79">
        <f t="shared" si="7"/>
        <v>9500</v>
      </c>
      <c r="H65" s="79">
        <f>E65*1100</f>
        <v>20900</v>
      </c>
    </row>
    <row r="66" spans="1:12" x14ac:dyDescent="0.25">
      <c r="C66" t="s">
        <v>20</v>
      </c>
      <c r="D66" t="s">
        <v>11</v>
      </c>
      <c r="E66">
        <v>3</v>
      </c>
      <c r="F66" s="79">
        <f>E66*2000</f>
        <v>6000</v>
      </c>
      <c r="G66" s="79">
        <f t="shared" si="7"/>
        <v>1500</v>
      </c>
      <c r="H66" s="79">
        <f>E66*1500</f>
        <v>4500</v>
      </c>
    </row>
    <row r="67" spans="1:12" x14ac:dyDescent="0.25">
      <c r="C67" t="s">
        <v>20</v>
      </c>
      <c r="D67" t="s">
        <v>902</v>
      </c>
      <c r="E67">
        <v>6</v>
      </c>
      <c r="F67" s="79">
        <f>E67*8000</f>
        <v>48000</v>
      </c>
      <c r="G67" s="79">
        <f>E67*5500</f>
        <v>33000</v>
      </c>
      <c r="H67" s="79">
        <f>E67*2500</f>
        <v>15000</v>
      </c>
    </row>
    <row r="68" spans="1:12" x14ac:dyDescent="0.25">
      <c r="C68" t="s">
        <v>20</v>
      </c>
      <c r="D68" t="s">
        <v>404</v>
      </c>
      <c r="E68">
        <v>1</v>
      </c>
      <c r="F68" s="79">
        <v>4000</v>
      </c>
      <c r="G68" s="79">
        <v>2000</v>
      </c>
      <c r="H68" s="79">
        <v>2000</v>
      </c>
    </row>
    <row r="69" spans="1:12" x14ac:dyDescent="0.25">
      <c r="C69" t="s">
        <v>20</v>
      </c>
      <c r="D69" t="s">
        <v>918</v>
      </c>
      <c r="E69">
        <v>1</v>
      </c>
      <c r="F69" s="79">
        <v>15000</v>
      </c>
      <c r="G69" s="79">
        <v>10000</v>
      </c>
      <c r="H69" s="79">
        <v>5000</v>
      </c>
    </row>
    <row r="70" spans="1:12" x14ac:dyDescent="0.25">
      <c r="C70" t="s">
        <v>20</v>
      </c>
      <c r="D70" t="s">
        <v>13</v>
      </c>
      <c r="E70">
        <v>3</v>
      </c>
      <c r="F70" s="79">
        <v>24000</v>
      </c>
      <c r="G70" s="79">
        <f>E70*4500</f>
        <v>13500</v>
      </c>
      <c r="H70" s="79">
        <f>E70*3500</f>
        <v>10500</v>
      </c>
      <c r="L70" s="92">
        <f>E21+E28+E32+E45+E57+E70+E75+E92+E96+E100+E118+E139+E145+E153+E157+E165+E173+E178+E186+E191+E199+E205+E210+E213+E218+E223+E234+E238+E246</f>
        <v>328</v>
      </c>
    </row>
    <row r="71" spans="1:12" x14ac:dyDescent="0.25">
      <c r="C71" t="s">
        <v>24</v>
      </c>
      <c r="D71" t="s">
        <v>243</v>
      </c>
      <c r="E71">
        <v>1</v>
      </c>
      <c r="F71" s="79">
        <v>15000</v>
      </c>
      <c r="G71" s="79">
        <v>10000</v>
      </c>
      <c r="H71" s="79">
        <v>5000</v>
      </c>
    </row>
    <row r="72" spans="1:12" x14ac:dyDescent="0.25">
      <c r="A72" s="111" t="s">
        <v>17</v>
      </c>
      <c r="B72" s="111"/>
      <c r="C72" s="111"/>
      <c r="D72" s="111"/>
      <c r="E72" s="78">
        <f>SUM(E61:E71)</f>
        <v>132</v>
      </c>
      <c r="F72" s="78">
        <f t="shared" ref="F72:H72" si="8">SUM(F61:F71)</f>
        <v>295300</v>
      </c>
      <c r="G72" s="78">
        <f t="shared" si="8"/>
        <v>128500</v>
      </c>
      <c r="H72" s="78">
        <f t="shared" si="8"/>
        <v>166800</v>
      </c>
    </row>
    <row r="73" spans="1:12" x14ac:dyDescent="0.25">
      <c r="A73" t="s">
        <v>22</v>
      </c>
      <c r="B73" s="3">
        <v>45786</v>
      </c>
      <c r="C73" t="s">
        <v>338</v>
      </c>
      <c r="D73" t="s">
        <v>11</v>
      </c>
      <c r="E73">
        <v>30</v>
      </c>
      <c r="F73" s="79">
        <f>E73*1500</f>
        <v>45000</v>
      </c>
      <c r="G73" s="79">
        <f>E73*500</f>
        <v>15000</v>
      </c>
      <c r="H73" s="79">
        <f>E73*1000</f>
        <v>30000</v>
      </c>
    </row>
    <row r="74" spans="1:12" x14ac:dyDescent="0.25">
      <c r="C74" t="s">
        <v>104</v>
      </c>
      <c r="D74" t="s">
        <v>11</v>
      </c>
      <c r="E74">
        <v>11</v>
      </c>
      <c r="F74" s="79">
        <f>E74*1500</f>
        <v>16500</v>
      </c>
      <c r="G74" s="79">
        <f>E74*500</f>
        <v>5500</v>
      </c>
      <c r="H74" s="79">
        <f>E74*1000</f>
        <v>11000</v>
      </c>
    </row>
    <row r="75" spans="1:12" x14ac:dyDescent="0.25">
      <c r="C75" t="s">
        <v>20</v>
      </c>
      <c r="D75" t="s">
        <v>13</v>
      </c>
      <c r="E75">
        <v>2</v>
      </c>
      <c r="F75" s="79">
        <v>16000</v>
      </c>
      <c r="G75" s="79">
        <v>9000</v>
      </c>
      <c r="H75" s="79">
        <v>7000</v>
      </c>
    </row>
    <row r="76" spans="1:12" x14ac:dyDescent="0.25">
      <c r="C76" t="s">
        <v>20</v>
      </c>
      <c r="D76" t="s">
        <v>902</v>
      </c>
      <c r="E76">
        <v>3</v>
      </c>
      <c r="F76" s="79">
        <v>24000</v>
      </c>
      <c r="G76" s="79">
        <f>E76*5500</f>
        <v>16500</v>
      </c>
      <c r="H76" s="79">
        <f>E76*2500</f>
        <v>7500</v>
      </c>
      <c r="L76">
        <f>E3+E15+E22+E41+E55+E67+E76+E86+E102+E110+E161+E175+E180+E188+E193+E203+E214+E220+E235+E239</f>
        <v>84</v>
      </c>
    </row>
    <row r="77" spans="1:12" x14ac:dyDescent="0.25">
      <c r="C77" t="s">
        <v>20</v>
      </c>
      <c r="D77" t="s">
        <v>919</v>
      </c>
      <c r="E77">
        <v>1</v>
      </c>
      <c r="F77" s="79">
        <v>12000</v>
      </c>
      <c r="G77" s="79">
        <v>5500</v>
      </c>
      <c r="H77" s="79">
        <v>6500</v>
      </c>
    </row>
    <row r="78" spans="1:12" x14ac:dyDescent="0.25">
      <c r="C78" t="s">
        <v>20</v>
      </c>
      <c r="D78" t="s">
        <v>420</v>
      </c>
      <c r="E78">
        <v>2</v>
      </c>
      <c r="F78" s="79">
        <v>20000</v>
      </c>
      <c r="G78" s="79">
        <v>11000</v>
      </c>
      <c r="H78" s="79">
        <v>9000</v>
      </c>
    </row>
    <row r="79" spans="1:12" x14ac:dyDescent="0.25">
      <c r="C79" t="s">
        <v>24</v>
      </c>
      <c r="D79" t="s">
        <v>243</v>
      </c>
      <c r="E79">
        <v>2</v>
      </c>
      <c r="F79" s="79">
        <v>30000</v>
      </c>
      <c r="G79" s="79">
        <v>20000</v>
      </c>
      <c r="H79" s="79">
        <v>10000</v>
      </c>
    </row>
    <row r="80" spans="1:12" x14ac:dyDescent="0.25">
      <c r="A80" s="112" t="s">
        <v>17</v>
      </c>
      <c r="B80" s="112"/>
      <c r="C80" s="112"/>
      <c r="D80" s="112"/>
      <c r="E80" s="78">
        <f>SUM(E73:E79)</f>
        <v>51</v>
      </c>
      <c r="F80" s="78">
        <f t="shared" ref="F80:H80" si="9">SUM(F73:F79)</f>
        <v>163500</v>
      </c>
      <c r="G80" s="78">
        <f t="shared" si="9"/>
        <v>82500</v>
      </c>
      <c r="H80" s="78">
        <f t="shared" si="9"/>
        <v>81000</v>
      </c>
    </row>
    <row r="81" spans="1:8" x14ac:dyDescent="0.25">
      <c r="A81" t="s">
        <v>26</v>
      </c>
      <c r="B81" s="3">
        <v>45787</v>
      </c>
      <c r="C81" t="s">
        <v>338</v>
      </c>
      <c r="D81" t="s">
        <v>11</v>
      </c>
      <c r="E81">
        <v>43</v>
      </c>
      <c r="F81" s="79">
        <f>E81*1500</f>
        <v>64500</v>
      </c>
      <c r="G81" s="79">
        <f>E81*500</f>
        <v>21500</v>
      </c>
      <c r="H81" s="79">
        <v>43000</v>
      </c>
    </row>
    <row r="82" spans="1:8" x14ac:dyDescent="0.25">
      <c r="C82" t="s">
        <v>104</v>
      </c>
      <c r="D82" t="s">
        <v>11</v>
      </c>
      <c r="E82">
        <v>7</v>
      </c>
      <c r="F82" s="79">
        <f>E82*1500</f>
        <v>10500</v>
      </c>
      <c r="G82" s="79">
        <f>E82*500</f>
        <v>3500</v>
      </c>
      <c r="H82" s="79">
        <f>E82*1000</f>
        <v>7000</v>
      </c>
    </row>
    <row r="83" spans="1:8" x14ac:dyDescent="0.25">
      <c r="C83" t="s">
        <v>581</v>
      </c>
      <c r="D83" t="s">
        <v>925</v>
      </c>
      <c r="E83">
        <v>18</v>
      </c>
      <c r="F83" s="79">
        <f>E83*1600</f>
        <v>28800</v>
      </c>
      <c r="G83" s="79">
        <f>E83*500</f>
        <v>9000</v>
      </c>
      <c r="H83" s="79">
        <f>E83*1100</f>
        <v>19800</v>
      </c>
    </row>
    <row r="84" spans="1:8" x14ac:dyDescent="0.25">
      <c r="C84" t="s">
        <v>20</v>
      </c>
      <c r="D84" t="s">
        <v>11</v>
      </c>
      <c r="E84">
        <v>2</v>
      </c>
      <c r="F84" s="79">
        <v>6000</v>
      </c>
      <c r="G84" s="79">
        <v>1000</v>
      </c>
      <c r="H84" s="79">
        <v>5000</v>
      </c>
    </row>
    <row r="85" spans="1:8" x14ac:dyDescent="0.25">
      <c r="C85" t="s">
        <v>20</v>
      </c>
      <c r="D85" t="s">
        <v>14</v>
      </c>
      <c r="E85">
        <v>1</v>
      </c>
      <c r="F85" s="79">
        <v>12000</v>
      </c>
      <c r="G85" s="79">
        <v>5500</v>
      </c>
      <c r="H85" s="79">
        <v>6500</v>
      </c>
    </row>
    <row r="86" spans="1:8" x14ac:dyDescent="0.25">
      <c r="C86" t="s">
        <v>20</v>
      </c>
      <c r="D86" t="s">
        <v>902</v>
      </c>
      <c r="E86">
        <v>2</v>
      </c>
      <c r="F86" s="79">
        <v>16000</v>
      </c>
      <c r="G86" s="79">
        <v>11000</v>
      </c>
      <c r="H86" s="79">
        <v>6000</v>
      </c>
    </row>
    <row r="87" spans="1:8" x14ac:dyDescent="0.25">
      <c r="C87" t="s">
        <v>20</v>
      </c>
      <c r="D87" t="s">
        <v>918</v>
      </c>
      <c r="E87">
        <v>3</v>
      </c>
      <c r="F87" s="79">
        <v>45000</v>
      </c>
      <c r="G87" s="79">
        <v>30000</v>
      </c>
      <c r="H87" s="79">
        <v>15000</v>
      </c>
    </row>
    <row r="88" spans="1:8" x14ac:dyDescent="0.25">
      <c r="C88" t="s">
        <v>20</v>
      </c>
      <c r="D88" t="s">
        <v>919</v>
      </c>
      <c r="E88">
        <v>1</v>
      </c>
      <c r="F88" s="79">
        <v>12000</v>
      </c>
      <c r="G88" s="79">
        <v>5500</v>
      </c>
      <c r="H88" s="79">
        <v>6500</v>
      </c>
    </row>
    <row r="89" spans="1:8" x14ac:dyDescent="0.25">
      <c r="C89" t="s">
        <v>20</v>
      </c>
      <c r="D89" t="s">
        <v>243</v>
      </c>
      <c r="E89">
        <v>1</v>
      </c>
      <c r="F89" s="79">
        <v>15000</v>
      </c>
      <c r="G89" s="79">
        <v>10000</v>
      </c>
      <c r="H89" s="79">
        <v>5000</v>
      </c>
    </row>
    <row r="90" spans="1:8" x14ac:dyDescent="0.25">
      <c r="A90" s="112" t="s">
        <v>17</v>
      </c>
      <c r="B90" s="112"/>
      <c r="C90" s="112"/>
      <c r="D90" s="112"/>
      <c r="E90" s="78">
        <f>SUM(E81:E89)</f>
        <v>78</v>
      </c>
      <c r="F90" s="78">
        <f t="shared" ref="F90:H90" si="10">SUM(F81:F89)</f>
        <v>209800</v>
      </c>
      <c r="G90" s="78">
        <f t="shared" si="10"/>
        <v>97000</v>
      </c>
      <c r="H90" s="78">
        <f t="shared" si="10"/>
        <v>113800</v>
      </c>
    </row>
    <row r="91" spans="1:8" x14ac:dyDescent="0.25">
      <c r="A91" t="s">
        <v>28</v>
      </c>
      <c r="B91" s="3">
        <v>45788</v>
      </c>
      <c r="C91" t="s">
        <v>693</v>
      </c>
      <c r="D91" t="s">
        <v>11</v>
      </c>
      <c r="E91">
        <v>5</v>
      </c>
      <c r="F91" s="79">
        <f>E91*2000</f>
        <v>10000</v>
      </c>
      <c r="G91" s="79">
        <f>E91*500</f>
        <v>2500</v>
      </c>
      <c r="H91" s="79">
        <f>E91*1500</f>
        <v>7500</v>
      </c>
    </row>
    <row r="92" spans="1:8" x14ac:dyDescent="0.25">
      <c r="C92" t="s">
        <v>693</v>
      </c>
      <c r="D92" t="s">
        <v>13</v>
      </c>
      <c r="E92">
        <v>56</v>
      </c>
      <c r="F92" s="79">
        <f>E92*7000</f>
        <v>392000</v>
      </c>
      <c r="G92" s="79">
        <f>E92*4500</f>
        <v>252000</v>
      </c>
      <c r="H92" s="79">
        <f>E92*2500</f>
        <v>140000</v>
      </c>
    </row>
    <row r="93" spans="1:8" x14ac:dyDescent="0.25">
      <c r="C93" t="s">
        <v>693</v>
      </c>
      <c r="D93" t="s">
        <v>14</v>
      </c>
      <c r="E93">
        <v>30</v>
      </c>
      <c r="F93" s="79">
        <f>E93*10000</f>
        <v>300000</v>
      </c>
      <c r="G93" s="79">
        <f>E93*5500</f>
        <v>165000</v>
      </c>
      <c r="H93" s="79">
        <f>E93*4500</f>
        <v>135000</v>
      </c>
    </row>
    <row r="94" spans="1:8" x14ac:dyDescent="0.25">
      <c r="C94" t="s">
        <v>693</v>
      </c>
      <c r="D94" t="s">
        <v>243</v>
      </c>
      <c r="E94">
        <v>2</v>
      </c>
      <c r="F94" s="79">
        <v>30000</v>
      </c>
      <c r="G94" s="79">
        <v>20000</v>
      </c>
      <c r="H94" s="79">
        <v>10000</v>
      </c>
    </row>
    <row r="95" spans="1:8" x14ac:dyDescent="0.25">
      <c r="C95" t="s">
        <v>896</v>
      </c>
      <c r="D95" t="s">
        <v>11</v>
      </c>
      <c r="E95">
        <v>1</v>
      </c>
      <c r="F95" s="79">
        <v>3000</v>
      </c>
      <c r="G95" s="79">
        <v>500</v>
      </c>
      <c r="H95" s="79">
        <v>2500</v>
      </c>
    </row>
    <row r="96" spans="1:8" x14ac:dyDescent="0.25">
      <c r="C96" t="s">
        <v>896</v>
      </c>
      <c r="D96" t="s">
        <v>13</v>
      </c>
      <c r="E96">
        <v>17</v>
      </c>
      <c r="F96" s="79">
        <f>E96*7000</f>
        <v>119000</v>
      </c>
      <c r="G96" s="79">
        <f>E96*4500</f>
        <v>76500</v>
      </c>
      <c r="H96" s="79">
        <f>E96*2500</f>
        <v>42500</v>
      </c>
    </row>
    <row r="97" spans="1:12" x14ac:dyDescent="0.25">
      <c r="C97" t="s">
        <v>896</v>
      </c>
      <c r="D97" t="s">
        <v>14</v>
      </c>
      <c r="E97">
        <v>12</v>
      </c>
      <c r="F97" s="79">
        <v>120000</v>
      </c>
      <c r="G97" s="79">
        <f>E97*5500</f>
        <v>66000</v>
      </c>
      <c r="H97" s="79">
        <f>E97*4500</f>
        <v>54000</v>
      </c>
    </row>
    <row r="98" spans="1:12" x14ac:dyDescent="0.25">
      <c r="C98" t="s">
        <v>24</v>
      </c>
      <c r="D98" t="s">
        <v>243</v>
      </c>
      <c r="E98">
        <v>3</v>
      </c>
      <c r="F98" s="79">
        <v>36000</v>
      </c>
      <c r="G98" s="79">
        <v>30000</v>
      </c>
      <c r="H98" s="79">
        <v>6000</v>
      </c>
    </row>
    <row r="99" spans="1:12" x14ac:dyDescent="0.25">
      <c r="A99" s="112" t="s">
        <v>17</v>
      </c>
      <c r="B99" s="112"/>
      <c r="C99" s="112"/>
      <c r="D99" s="112"/>
      <c r="E99" s="78">
        <f>SUM(E91:E98)</f>
        <v>126</v>
      </c>
      <c r="F99" s="78">
        <f t="shared" ref="F99:H99" si="11">SUM(F91:F98)</f>
        <v>1010000</v>
      </c>
      <c r="G99" s="78">
        <f t="shared" si="11"/>
        <v>612500</v>
      </c>
      <c r="H99" s="78">
        <f t="shared" si="11"/>
        <v>397500</v>
      </c>
    </row>
    <row r="100" spans="1:12" x14ac:dyDescent="0.25">
      <c r="A100" t="s">
        <v>30</v>
      </c>
      <c r="B100" s="3">
        <v>45789</v>
      </c>
      <c r="C100" t="s">
        <v>20</v>
      </c>
      <c r="D100" t="s">
        <v>13</v>
      </c>
      <c r="E100">
        <v>2</v>
      </c>
      <c r="F100" s="79">
        <v>16000</v>
      </c>
      <c r="G100" s="79">
        <v>9000</v>
      </c>
      <c r="H100" s="79">
        <v>7000</v>
      </c>
    </row>
    <row r="101" spans="1:12" x14ac:dyDescent="0.25">
      <c r="C101" t="s">
        <v>20</v>
      </c>
      <c r="D101" t="s">
        <v>14</v>
      </c>
      <c r="E101">
        <v>2</v>
      </c>
      <c r="F101" s="79">
        <v>20000</v>
      </c>
      <c r="G101" s="79">
        <v>11000</v>
      </c>
      <c r="H101" s="79">
        <v>9000</v>
      </c>
      <c r="L101">
        <f>E2+E13+E29+E33+E46+E58+E85+E93+E97+E101+E112+E119+E136+E146+E154+E158+E162+E174+E179+E187+E192+E200+E206+E211+E236+E247</f>
        <v>242</v>
      </c>
    </row>
    <row r="102" spans="1:12" x14ac:dyDescent="0.25">
      <c r="C102" t="s">
        <v>20</v>
      </c>
      <c r="D102" t="s">
        <v>902</v>
      </c>
      <c r="E102">
        <v>10</v>
      </c>
      <c r="F102" s="79">
        <f>E102*8000</f>
        <v>80000</v>
      </c>
      <c r="G102" s="79">
        <f>E102*5500</f>
        <v>55000</v>
      </c>
      <c r="H102" s="79">
        <f>E102*2500</f>
        <v>25000</v>
      </c>
    </row>
    <row r="103" spans="1:12" x14ac:dyDescent="0.25">
      <c r="C103" t="s">
        <v>20</v>
      </c>
      <c r="D103" t="s">
        <v>919</v>
      </c>
      <c r="E103">
        <v>4</v>
      </c>
      <c r="F103" s="79">
        <f>E103*12000</f>
        <v>48000</v>
      </c>
      <c r="G103" s="79">
        <f>E103*5500</f>
        <v>22000</v>
      </c>
      <c r="H103" s="79">
        <f>E103*6500</f>
        <v>26000</v>
      </c>
    </row>
    <row r="104" spans="1:12" x14ac:dyDescent="0.25">
      <c r="C104" t="s">
        <v>20</v>
      </c>
      <c r="D104" t="s">
        <v>404</v>
      </c>
      <c r="E104">
        <v>1</v>
      </c>
      <c r="F104" s="79">
        <v>4000</v>
      </c>
      <c r="G104" s="79">
        <v>2000</v>
      </c>
      <c r="H104" s="79">
        <v>2000</v>
      </c>
    </row>
    <row r="105" spans="1:12" x14ac:dyDescent="0.25">
      <c r="C105" t="s">
        <v>20</v>
      </c>
      <c r="D105" t="s">
        <v>948</v>
      </c>
      <c r="E105">
        <v>1</v>
      </c>
      <c r="F105" s="79">
        <v>10000</v>
      </c>
      <c r="G105" s="79">
        <v>5000</v>
      </c>
      <c r="H105" s="79">
        <v>5000</v>
      </c>
    </row>
    <row r="106" spans="1:12" x14ac:dyDescent="0.25">
      <c r="C106" t="s">
        <v>20</v>
      </c>
      <c r="D106" t="s">
        <v>243</v>
      </c>
      <c r="E106">
        <v>5</v>
      </c>
      <c r="F106" s="79">
        <v>75000</v>
      </c>
      <c r="G106" s="79">
        <v>50000</v>
      </c>
      <c r="H106" s="79">
        <v>15000</v>
      </c>
    </row>
    <row r="107" spans="1:12" x14ac:dyDescent="0.25">
      <c r="A107" s="112" t="s">
        <v>17</v>
      </c>
      <c r="B107" s="112"/>
      <c r="C107" s="112"/>
      <c r="D107" s="112"/>
      <c r="E107" s="78">
        <f>SUM(E100:E106)</f>
        <v>25</v>
      </c>
      <c r="F107" s="78">
        <f t="shared" ref="F107:H107" si="12">SUM(F100:F106)</f>
        <v>253000</v>
      </c>
      <c r="G107" s="78">
        <f t="shared" si="12"/>
        <v>154000</v>
      </c>
      <c r="H107" s="78">
        <f t="shared" si="12"/>
        <v>89000</v>
      </c>
    </row>
    <row r="108" spans="1:12" x14ac:dyDescent="0.25">
      <c r="A108" t="s">
        <v>32</v>
      </c>
      <c r="B108" s="3">
        <v>45790</v>
      </c>
      <c r="C108" t="s">
        <v>20</v>
      </c>
      <c r="D108" t="s">
        <v>11</v>
      </c>
      <c r="E108">
        <v>60</v>
      </c>
    </row>
    <row r="109" spans="1:12" x14ac:dyDescent="0.25">
      <c r="C109" t="s">
        <v>20</v>
      </c>
      <c r="D109" t="s">
        <v>11</v>
      </c>
      <c r="E109">
        <v>1</v>
      </c>
      <c r="F109" s="79">
        <v>3000</v>
      </c>
      <c r="G109" s="79">
        <v>500</v>
      </c>
      <c r="H109" s="79">
        <v>2500</v>
      </c>
    </row>
    <row r="110" spans="1:12" x14ac:dyDescent="0.25">
      <c r="C110" t="s">
        <v>20</v>
      </c>
      <c r="D110" t="s">
        <v>902</v>
      </c>
      <c r="E110">
        <v>2</v>
      </c>
      <c r="F110" s="79">
        <v>16000</v>
      </c>
      <c r="G110" s="79">
        <v>11000</v>
      </c>
      <c r="H110" s="79">
        <v>5000</v>
      </c>
    </row>
    <row r="111" spans="1:12" x14ac:dyDescent="0.25">
      <c r="C111" t="s">
        <v>20</v>
      </c>
      <c r="D111" t="s">
        <v>919</v>
      </c>
      <c r="E111">
        <v>1</v>
      </c>
      <c r="F111" s="79">
        <v>12000</v>
      </c>
      <c r="G111" s="79">
        <v>5500</v>
      </c>
      <c r="H111" s="79">
        <v>6500</v>
      </c>
    </row>
    <row r="112" spans="1:12" x14ac:dyDescent="0.25">
      <c r="C112" t="s">
        <v>20</v>
      </c>
      <c r="D112" t="s">
        <v>14</v>
      </c>
      <c r="E112">
        <v>2</v>
      </c>
      <c r="F112" s="79">
        <v>20000</v>
      </c>
      <c r="G112" s="79">
        <v>11000</v>
      </c>
      <c r="H112" s="79">
        <v>9000</v>
      </c>
    </row>
    <row r="113" spans="1:12" x14ac:dyDescent="0.25">
      <c r="C113" t="s">
        <v>20</v>
      </c>
      <c r="D113" t="s">
        <v>592</v>
      </c>
      <c r="E113">
        <v>2</v>
      </c>
      <c r="F113" s="79">
        <v>36000</v>
      </c>
      <c r="G113" s="79">
        <v>30000</v>
      </c>
      <c r="H113" s="79">
        <v>6000</v>
      </c>
    </row>
    <row r="114" spans="1:12" x14ac:dyDescent="0.25">
      <c r="A114" s="112" t="s">
        <v>17</v>
      </c>
      <c r="B114" s="112"/>
      <c r="C114" s="112"/>
      <c r="D114" s="112"/>
      <c r="E114" s="78">
        <f>SUM(E108:E113)</f>
        <v>68</v>
      </c>
      <c r="F114" s="78">
        <f t="shared" ref="F114:H114" si="13">SUM(F108:F113)</f>
        <v>87000</v>
      </c>
      <c r="G114" s="78">
        <f t="shared" si="13"/>
        <v>58000</v>
      </c>
      <c r="H114" s="78">
        <f t="shared" si="13"/>
        <v>29000</v>
      </c>
    </row>
    <row r="115" spans="1:12" x14ac:dyDescent="0.25">
      <c r="A115" t="s">
        <v>8</v>
      </c>
      <c r="B115" s="3">
        <v>45791</v>
      </c>
      <c r="C115" t="s">
        <v>338</v>
      </c>
      <c r="D115" t="s">
        <v>11</v>
      </c>
      <c r="E115">
        <v>30</v>
      </c>
      <c r="F115" s="79">
        <f>E115*1500</f>
        <v>45000</v>
      </c>
      <c r="G115" s="79">
        <f>E115*500</f>
        <v>15000</v>
      </c>
      <c r="H115" s="79">
        <v>30000</v>
      </c>
    </row>
    <row r="116" spans="1:12" x14ac:dyDescent="0.25">
      <c r="C116" t="s">
        <v>104</v>
      </c>
      <c r="D116" t="s">
        <v>11</v>
      </c>
      <c r="E116">
        <v>20</v>
      </c>
      <c r="F116" s="79">
        <f>E116*1500</f>
        <v>30000</v>
      </c>
      <c r="G116" s="79">
        <f>E116*500</f>
        <v>10000</v>
      </c>
      <c r="H116" s="79">
        <f>E116*1000</f>
        <v>20000</v>
      </c>
    </row>
    <row r="117" spans="1:12" x14ac:dyDescent="0.25">
      <c r="C117" t="s">
        <v>581</v>
      </c>
      <c r="D117" t="s">
        <v>11</v>
      </c>
      <c r="E117">
        <v>11</v>
      </c>
      <c r="F117" s="79">
        <f>E117*1600</f>
        <v>17600</v>
      </c>
      <c r="G117" s="79">
        <f>E117*500</f>
        <v>5500</v>
      </c>
      <c r="H117" s="79">
        <f>E117*1000</f>
        <v>11000</v>
      </c>
    </row>
    <row r="118" spans="1:12" x14ac:dyDescent="0.25">
      <c r="C118" t="s">
        <v>20</v>
      </c>
      <c r="D118" t="s">
        <v>13</v>
      </c>
      <c r="E118">
        <v>4</v>
      </c>
      <c r="F118" s="79">
        <f>E118*8000</f>
        <v>32000</v>
      </c>
      <c r="G118" s="79">
        <f>E118*4500</f>
        <v>18000</v>
      </c>
      <c r="H118" s="79">
        <f>E118*3500</f>
        <v>14000</v>
      </c>
    </row>
    <row r="119" spans="1:12" x14ac:dyDescent="0.25">
      <c r="C119" t="s">
        <v>20</v>
      </c>
      <c r="D119" t="s">
        <v>14</v>
      </c>
      <c r="E119">
        <v>3</v>
      </c>
      <c r="F119" s="79">
        <f>E119*10000</f>
        <v>30000</v>
      </c>
      <c r="G119" s="79">
        <f>E119*5500</f>
        <v>16500</v>
      </c>
      <c r="H119" s="79">
        <f>E119*4500</f>
        <v>13500</v>
      </c>
    </row>
    <row r="120" spans="1:12" x14ac:dyDescent="0.25">
      <c r="C120" t="s">
        <v>20</v>
      </c>
      <c r="D120" t="s">
        <v>919</v>
      </c>
      <c r="E120">
        <v>2</v>
      </c>
      <c r="F120" s="79">
        <v>24000</v>
      </c>
      <c r="G120" s="79">
        <v>11000</v>
      </c>
      <c r="H120" s="79">
        <v>13000</v>
      </c>
    </row>
    <row r="121" spans="1:12" x14ac:dyDescent="0.25">
      <c r="C121" t="s">
        <v>24</v>
      </c>
      <c r="D121" t="s">
        <v>243</v>
      </c>
      <c r="E121">
        <v>5</v>
      </c>
    </row>
    <row r="122" spans="1:12" x14ac:dyDescent="0.25">
      <c r="C122" t="s">
        <v>24</v>
      </c>
      <c r="D122" t="s">
        <v>243</v>
      </c>
      <c r="E122">
        <v>2</v>
      </c>
      <c r="F122" s="79">
        <v>30000</v>
      </c>
      <c r="G122" s="79">
        <v>20000</v>
      </c>
      <c r="H122" s="79">
        <v>10000</v>
      </c>
      <c r="I122" s="79"/>
    </row>
    <row r="123" spans="1:12" x14ac:dyDescent="0.25">
      <c r="A123" s="112" t="s">
        <v>17</v>
      </c>
      <c r="B123" s="112"/>
      <c r="C123" s="112"/>
      <c r="D123" s="112"/>
      <c r="E123" s="78">
        <f>SUM(E115:E122)</f>
        <v>77</v>
      </c>
      <c r="F123" s="78">
        <f t="shared" ref="F123:H123" si="14">SUM(F115:F122)</f>
        <v>208600</v>
      </c>
      <c r="G123" s="78">
        <f t="shared" si="14"/>
        <v>96000</v>
      </c>
      <c r="H123" s="78">
        <f t="shared" si="14"/>
        <v>111500</v>
      </c>
    </row>
    <row r="124" spans="1:12" x14ac:dyDescent="0.25">
      <c r="A124" t="s">
        <v>18</v>
      </c>
      <c r="B124" s="3">
        <v>45792</v>
      </c>
      <c r="C124" t="s">
        <v>338</v>
      </c>
      <c r="D124" t="s">
        <v>11</v>
      </c>
      <c r="E124">
        <v>42</v>
      </c>
      <c r="F124" s="79">
        <f>E124*1500</f>
        <v>63000</v>
      </c>
      <c r="G124" s="79">
        <f>E124*500</f>
        <v>21000</v>
      </c>
      <c r="H124" s="79">
        <v>42000</v>
      </c>
      <c r="L124">
        <f>E9+E36+E48+E52+E61+E73+E81+E115+E124+E129+E142+E226</f>
        <v>482</v>
      </c>
    </row>
    <row r="125" spans="1:12" x14ac:dyDescent="0.25">
      <c r="C125" t="s">
        <v>571</v>
      </c>
      <c r="D125" t="s">
        <v>11</v>
      </c>
      <c r="E125">
        <v>9</v>
      </c>
      <c r="F125" s="79">
        <f>E125*1700</f>
        <v>15300</v>
      </c>
      <c r="G125" s="79">
        <f>E125*500</f>
        <v>4500</v>
      </c>
      <c r="H125" s="79">
        <f>E125*1200</f>
        <v>10800</v>
      </c>
    </row>
    <row r="126" spans="1:12" x14ac:dyDescent="0.25">
      <c r="C126" t="s">
        <v>581</v>
      </c>
      <c r="D126" t="s">
        <v>11</v>
      </c>
      <c r="E126">
        <v>11</v>
      </c>
      <c r="F126" s="79">
        <f>E126*1600</f>
        <v>17600</v>
      </c>
      <c r="G126" s="79">
        <f>E126*500</f>
        <v>5500</v>
      </c>
      <c r="H126" s="79">
        <f>E126*1000</f>
        <v>11000</v>
      </c>
    </row>
    <row r="127" spans="1:12" x14ac:dyDescent="0.25">
      <c r="C127" t="s">
        <v>104</v>
      </c>
      <c r="D127" t="s">
        <v>11</v>
      </c>
      <c r="E127">
        <v>9</v>
      </c>
      <c r="F127" s="79">
        <f>E127*1500</f>
        <v>13500</v>
      </c>
      <c r="G127" s="79">
        <f>E127*500</f>
        <v>4500</v>
      </c>
      <c r="H127" s="79">
        <f>E127*1000</f>
        <v>9000</v>
      </c>
    </row>
    <row r="128" spans="1:12" x14ac:dyDescent="0.25">
      <c r="A128" s="112" t="s">
        <v>17</v>
      </c>
      <c r="B128" s="112"/>
      <c r="C128" s="112"/>
      <c r="D128" s="112"/>
      <c r="E128" s="78">
        <f>SUM(E124:E127)</f>
        <v>71</v>
      </c>
      <c r="F128" s="78">
        <f t="shared" ref="F128:H128" si="15">SUM(F124:F127)</f>
        <v>109400</v>
      </c>
      <c r="G128" s="78">
        <f t="shared" si="15"/>
        <v>35500</v>
      </c>
      <c r="H128" s="78">
        <f t="shared" si="15"/>
        <v>72800</v>
      </c>
    </row>
    <row r="129" spans="1:8" x14ac:dyDescent="0.25">
      <c r="A129" t="s">
        <v>22</v>
      </c>
      <c r="B129" s="3">
        <v>45793</v>
      </c>
      <c r="C129" t="s">
        <v>338</v>
      </c>
      <c r="D129" t="s">
        <v>11</v>
      </c>
      <c r="E129">
        <v>30</v>
      </c>
      <c r="F129" s="79">
        <f>E129*1500</f>
        <v>45000</v>
      </c>
      <c r="G129" s="79">
        <f>E129*500</f>
        <v>15000</v>
      </c>
      <c r="H129" s="79">
        <v>30000</v>
      </c>
    </row>
    <row r="130" spans="1:8" x14ac:dyDescent="0.25">
      <c r="C130" t="s">
        <v>571</v>
      </c>
      <c r="D130" t="s">
        <v>11</v>
      </c>
      <c r="E130">
        <v>9</v>
      </c>
      <c r="F130" s="79">
        <f>E130*1700</f>
        <v>15300</v>
      </c>
      <c r="G130" s="79">
        <f>E130*500</f>
        <v>4500</v>
      </c>
      <c r="H130" s="79">
        <f>E130*1200</f>
        <v>10800</v>
      </c>
    </row>
    <row r="131" spans="1:8" x14ac:dyDescent="0.25">
      <c r="C131" t="s">
        <v>104</v>
      </c>
      <c r="D131" t="s">
        <v>11</v>
      </c>
      <c r="E131">
        <v>13</v>
      </c>
      <c r="F131" s="79">
        <f>E131*1500</f>
        <v>19500</v>
      </c>
      <c r="G131" s="79">
        <f>E131*500</f>
        <v>6500</v>
      </c>
      <c r="H131" s="79">
        <v>13000</v>
      </c>
    </row>
    <row r="132" spans="1:8" x14ac:dyDescent="0.25">
      <c r="C132" t="s">
        <v>24</v>
      </c>
      <c r="D132" t="s">
        <v>243</v>
      </c>
      <c r="E132">
        <v>2</v>
      </c>
      <c r="F132" s="79">
        <v>30000</v>
      </c>
      <c r="G132" s="79">
        <v>20000</v>
      </c>
      <c r="H132" s="79">
        <v>10000</v>
      </c>
    </row>
    <row r="133" spans="1:8" x14ac:dyDescent="0.25">
      <c r="C133" t="s">
        <v>24</v>
      </c>
      <c r="D133" t="s">
        <v>592</v>
      </c>
      <c r="E133">
        <v>3</v>
      </c>
      <c r="F133" s="79">
        <f>E133*18000</f>
        <v>54000</v>
      </c>
      <c r="G133" s="79">
        <f>E133*12000</f>
        <v>36000</v>
      </c>
      <c r="H133" s="79">
        <f>E133*6000</f>
        <v>18000</v>
      </c>
    </row>
    <row r="134" spans="1:8" x14ac:dyDescent="0.25">
      <c r="C134" t="s">
        <v>24</v>
      </c>
      <c r="D134" t="s">
        <v>243</v>
      </c>
      <c r="E134">
        <v>2</v>
      </c>
      <c r="F134" s="79">
        <v>30000</v>
      </c>
      <c r="G134" s="79">
        <v>20000</v>
      </c>
      <c r="H134" s="79">
        <v>10000</v>
      </c>
    </row>
    <row r="135" spans="1:8" x14ac:dyDescent="0.25">
      <c r="C135" t="s">
        <v>24</v>
      </c>
      <c r="D135" t="s">
        <v>243</v>
      </c>
      <c r="E135">
        <v>2</v>
      </c>
      <c r="F135" s="79"/>
      <c r="G135" s="79"/>
      <c r="H135" s="79"/>
    </row>
    <row r="136" spans="1:8" x14ac:dyDescent="0.25">
      <c r="C136" t="s">
        <v>24</v>
      </c>
      <c r="D136" t="s">
        <v>14</v>
      </c>
      <c r="E136">
        <v>5</v>
      </c>
      <c r="F136" s="79">
        <v>50000</v>
      </c>
      <c r="G136" s="79">
        <f>E136*5500</f>
        <v>27500</v>
      </c>
      <c r="H136" s="79">
        <f>E136*4500</f>
        <v>22500</v>
      </c>
    </row>
    <row r="137" spans="1:8" x14ac:dyDescent="0.25">
      <c r="C137" t="s">
        <v>24</v>
      </c>
      <c r="D137" t="s">
        <v>243</v>
      </c>
      <c r="E137">
        <v>5</v>
      </c>
      <c r="F137" s="79">
        <f>E137*15000</f>
        <v>75000</v>
      </c>
      <c r="G137" s="79">
        <v>50000</v>
      </c>
      <c r="H137" s="79">
        <v>25000</v>
      </c>
    </row>
    <row r="138" spans="1:8" x14ac:dyDescent="0.25">
      <c r="C138" t="s">
        <v>24</v>
      </c>
      <c r="D138" t="s">
        <v>243</v>
      </c>
      <c r="E138">
        <v>2</v>
      </c>
      <c r="F138" s="79">
        <v>30000</v>
      </c>
      <c r="G138" s="79">
        <v>20000</v>
      </c>
      <c r="H138" s="79">
        <v>10000</v>
      </c>
    </row>
    <row r="139" spans="1:8" x14ac:dyDescent="0.25">
      <c r="C139" t="s">
        <v>24</v>
      </c>
      <c r="D139" t="s">
        <v>13</v>
      </c>
      <c r="E139">
        <v>8</v>
      </c>
      <c r="F139" s="79">
        <f>E139*8000</f>
        <v>64000</v>
      </c>
      <c r="G139" s="79">
        <f>E139*4500</f>
        <v>36000</v>
      </c>
      <c r="H139" s="79">
        <f>E139*3500</f>
        <v>28000</v>
      </c>
    </row>
    <row r="140" spans="1:8" x14ac:dyDescent="0.25">
      <c r="D140" t="s">
        <v>21</v>
      </c>
      <c r="E140">
        <v>1</v>
      </c>
      <c r="F140" s="79">
        <v>17000</v>
      </c>
      <c r="G140" s="79">
        <v>10000</v>
      </c>
      <c r="H140" s="79">
        <v>70100</v>
      </c>
    </row>
    <row r="141" spans="1:8" x14ac:dyDescent="0.25">
      <c r="A141" s="112" t="s">
        <v>17</v>
      </c>
      <c r="B141" s="112"/>
      <c r="C141" s="112"/>
      <c r="D141" s="112"/>
      <c r="E141" s="78">
        <f>SUM(E129:E140)</f>
        <v>82</v>
      </c>
      <c r="F141" s="78">
        <f t="shared" ref="F141:H141" si="16">SUM(F129:F140)</f>
        <v>429800</v>
      </c>
      <c r="G141" s="78">
        <f t="shared" si="16"/>
        <v>245500</v>
      </c>
      <c r="H141" s="78">
        <f t="shared" si="16"/>
        <v>247400</v>
      </c>
    </row>
    <row r="142" spans="1:8" x14ac:dyDescent="0.25">
      <c r="A142" t="s">
        <v>26</v>
      </c>
      <c r="B142" s="3">
        <v>45794</v>
      </c>
      <c r="C142" t="s">
        <v>338</v>
      </c>
      <c r="D142" t="s">
        <v>11</v>
      </c>
      <c r="E142">
        <v>30</v>
      </c>
      <c r="F142" s="79">
        <f>E142*1500</f>
        <v>45000</v>
      </c>
      <c r="G142" s="79">
        <f>E142*500</f>
        <v>15000</v>
      </c>
      <c r="H142" s="79">
        <v>30000</v>
      </c>
    </row>
    <row r="143" spans="1:8" x14ac:dyDescent="0.25">
      <c r="C143" t="s">
        <v>104</v>
      </c>
      <c r="D143" t="s">
        <v>11</v>
      </c>
      <c r="E143">
        <v>15</v>
      </c>
      <c r="F143" s="79">
        <f>E143*1500</f>
        <v>22500</v>
      </c>
      <c r="G143" s="79">
        <f>E143*500</f>
        <v>7500</v>
      </c>
      <c r="H143" s="79">
        <f>E143*1000</f>
        <v>15000</v>
      </c>
    </row>
    <row r="144" spans="1:8" x14ac:dyDescent="0.25">
      <c r="C144" t="s">
        <v>20</v>
      </c>
      <c r="D144" t="s">
        <v>11</v>
      </c>
      <c r="E144">
        <v>1</v>
      </c>
      <c r="F144" s="79">
        <v>3000</v>
      </c>
      <c r="G144" s="79">
        <v>500</v>
      </c>
      <c r="H144" s="79">
        <v>2500</v>
      </c>
    </row>
    <row r="145" spans="1:8" x14ac:dyDescent="0.25">
      <c r="C145" t="s">
        <v>20</v>
      </c>
      <c r="D145" t="s">
        <v>13</v>
      </c>
      <c r="E145">
        <v>2</v>
      </c>
      <c r="F145" s="79">
        <v>16000</v>
      </c>
      <c r="G145" s="79">
        <v>9000</v>
      </c>
      <c r="H145" s="79">
        <v>7000</v>
      </c>
    </row>
    <row r="146" spans="1:8" x14ac:dyDescent="0.25">
      <c r="C146" t="s">
        <v>20</v>
      </c>
      <c r="D146" t="s">
        <v>14</v>
      </c>
      <c r="E146">
        <v>2</v>
      </c>
      <c r="F146" s="79">
        <v>20000</v>
      </c>
      <c r="G146" s="79">
        <v>11000</v>
      </c>
      <c r="H146" s="79">
        <v>9000</v>
      </c>
    </row>
    <row r="147" spans="1:8" x14ac:dyDescent="0.25">
      <c r="C147" t="s">
        <v>20</v>
      </c>
      <c r="D147" t="s">
        <v>420</v>
      </c>
      <c r="E147">
        <v>1</v>
      </c>
      <c r="F147" s="79">
        <v>8000</v>
      </c>
      <c r="G147" s="79">
        <v>5500</v>
      </c>
      <c r="H147" s="79">
        <v>3500</v>
      </c>
    </row>
    <row r="148" spans="1:8" x14ac:dyDescent="0.25">
      <c r="C148" t="s">
        <v>20</v>
      </c>
      <c r="D148" t="s">
        <v>415</v>
      </c>
      <c r="E148">
        <v>1</v>
      </c>
      <c r="F148" s="79">
        <v>7000</v>
      </c>
      <c r="G148" s="79">
        <v>4500</v>
      </c>
      <c r="H148" s="79">
        <v>2500</v>
      </c>
    </row>
    <row r="149" spans="1:8" x14ac:dyDescent="0.25">
      <c r="C149" t="s">
        <v>20</v>
      </c>
      <c r="D149" t="s">
        <v>919</v>
      </c>
      <c r="E149">
        <v>1</v>
      </c>
      <c r="F149" s="79">
        <v>12000</v>
      </c>
      <c r="G149" s="79">
        <v>5500</v>
      </c>
      <c r="H149" s="79">
        <v>6500</v>
      </c>
    </row>
    <row r="150" spans="1:8" x14ac:dyDescent="0.25">
      <c r="C150" t="s">
        <v>20</v>
      </c>
      <c r="D150" t="s">
        <v>948</v>
      </c>
      <c r="E150">
        <v>3</v>
      </c>
      <c r="F150" s="79">
        <v>30000</v>
      </c>
      <c r="G150" s="79">
        <f>E150*4500</f>
        <v>13500</v>
      </c>
      <c r="H150" s="79">
        <f>E150*5500</f>
        <v>16500</v>
      </c>
    </row>
    <row r="151" spans="1:8" x14ac:dyDescent="0.25">
      <c r="A151" s="112" t="s">
        <v>17</v>
      </c>
      <c r="B151" s="112"/>
      <c r="C151" s="112"/>
      <c r="D151" s="112"/>
      <c r="E151" s="78">
        <f>SUM(E142:E150)</f>
        <v>56</v>
      </c>
      <c r="F151" s="78">
        <f t="shared" ref="F151:H151" si="17">SUM(F142:F150)</f>
        <v>163500</v>
      </c>
      <c r="G151" s="78">
        <f t="shared" si="17"/>
        <v>72000</v>
      </c>
      <c r="H151" s="78">
        <f t="shared" si="17"/>
        <v>92500</v>
      </c>
    </row>
    <row r="152" spans="1:8" x14ac:dyDescent="0.25">
      <c r="A152" t="s">
        <v>28</v>
      </c>
      <c r="B152" s="3">
        <v>45795</v>
      </c>
      <c r="C152" t="s">
        <v>693</v>
      </c>
      <c r="D152" t="s">
        <v>11</v>
      </c>
      <c r="E152">
        <v>7</v>
      </c>
      <c r="F152" s="79">
        <f>E152*2000</f>
        <v>14000</v>
      </c>
      <c r="G152" s="79">
        <f>E152*500</f>
        <v>3500</v>
      </c>
      <c r="H152" s="79">
        <f>E152*1500</f>
        <v>10500</v>
      </c>
    </row>
    <row r="153" spans="1:8" x14ac:dyDescent="0.25">
      <c r="C153" t="s">
        <v>693</v>
      </c>
      <c r="D153" t="s">
        <v>13</v>
      </c>
      <c r="E153">
        <v>39</v>
      </c>
      <c r="F153" s="79">
        <f>E153*7000</f>
        <v>273000</v>
      </c>
      <c r="G153" s="79">
        <f>E153*4500</f>
        <v>175500</v>
      </c>
      <c r="H153" s="79">
        <f>E153*2500</f>
        <v>97500</v>
      </c>
    </row>
    <row r="154" spans="1:8" x14ac:dyDescent="0.25">
      <c r="C154" t="s">
        <v>693</v>
      </c>
      <c r="D154" t="s">
        <v>14</v>
      </c>
      <c r="E154">
        <v>29</v>
      </c>
      <c r="F154" s="79">
        <f>E154*10000</f>
        <v>290000</v>
      </c>
      <c r="G154" s="79">
        <f>E154*5500</f>
        <v>159500</v>
      </c>
      <c r="H154" s="79">
        <f>E154*4500</f>
        <v>130500</v>
      </c>
    </row>
    <row r="155" spans="1:8" x14ac:dyDescent="0.25">
      <c r="C155" t="s">
        <v>693</v>
      </c>
      <c r="D155" t="s">
        <v>902</v>
      </c>
      <c r="E155">
        <v>1</v>
      </c>
      <c r="F155" s="79">
        <v>7000</v>
      </c>
      <c r="G155" s="79">
        <v>4500</v>
      </c>
      <c r="H155" s="79">
        <v>2500</v>
      </c>
    </row>
    <row r="156" spans="1:8" x14ac:dyDescent="0.25">
      <c r="C156" t="s">
        <v>217</v>
      </c>
      <c r="D156" t="s">
        <v>11</v>
      </c>
      <c r="E156">
        <v>6</v>
      </c>
      <c r="F156" s="79">
        <f>E156*1500</f>
        <v>9000</v>
      </c>
      <c r="G156" s="79">
        <f>E156*500</f>
        <v>3000</v>
      </c>
      <c r="H156" s="79">
        <f>E156*1000</f>
        <v>6000</v>
      </c>
    </row>
    <row r="157" spans="1:8" x14ac:dyDescent="0.25">
      <c r="C157" t="s">
        <v>217</v>
      </c>
      <c r="D157" t="s">
        <v>13</v>
      </c>
      <c r="E157">
        <v>14</v>
      </c>
      <c r="F157" s="79">
        <f>E157*6500</f>
        <v>91000</v>
      </c>
      <c r="G157" s="79">
        <f>E157*4500</f>
        <v>63000</v>
      </c>
      <c r="H157" s="79">
        <f>E157*2000</f>
        <v>28000</v>
      </c>
    </row>
    <row r="158" spans="1:8" x14ac:dyDescent="0.25">
      <c r="C158" t="s">
        <v>217</v>
      </c>
      <c r="D158" t="s">
        <v>14</v>
      </c>
      <c r="E158">
        <v>8</v>
      </c>
      <c r="F158" s="79">
        <f>E158*10000</f>
        <v>80000</v>
      </c>
      <c r="G158" s="79">
        <f>E158*5500</f>
        <v>44000</v>
      </c>
      <c r="H158" s="79">
        <f>E158*4500</f>
        <v>36000</v>
      </c>
    </row>
    <row r="159" spans="1:8" x14ac:dyDescent="0.25">
      <c r="C159" t="s">
        <v>20</v>
      </c>
      <c r="D159" t="s">
        <v>11</v>
      </c>
      <c r="E159">
        <v>60</v>
      </c>
      <c r="F159" s="79">
        <f>E159*1500</f>
        <v>90000</v>
      </c>
      <c r="G159" s="79">
        <f>E159*500</f>
        <v>30000</v>
      </c>
      <c r="H159" s="79">
        <f>E159*1000</f>
        <v>60000</v>
      </c>
    </row>
    <row r="160" spans="1:8" x14ac:dyDescent="0.25">
      <c r="C160" t="s">
        <v>20</v>
      </c>
      <c r="D160" t="s">
        <v>11</v>
      </c>
      <c r="E160">
        <v>4</v>
      </c>
      <c r="F160" s="79">
        <f>E160*3000</f>
        <v>12000</v>
      </c>
      <c r="G160" s="79">
        <f>E160*500</f>
        <v>2000</v>
      </c>
      <c r="H160" s="79">
        <f>E160*2500</f>
        <v>10000</v>
      </c>
    </row>
    <row r="161" spans="1:12" x14ac:dyDescent="0.25">
      <c r="C161" t="s">
        <v>20</v>
      </c>
      <c r="D161" t="s">
        <v>902</v>
      </c>
      <c r="E161">
        <v>7</v>
      </c>
      <c r="F161" s="79">
        <f>E161*8000</f>
        <v>56000</v>
      </c>
      <c r="G161" s="79">
        <f>E161*5500</f>
        <v>38500</v>
      </c>
      <c r="H161" s="79">
        <f>E161*2500</f>
        <v>17500</v>
      </c>
    </row>
    <row r="162" spans="1:12" x14ac:dyDescent="0.25">
      <c r="C162" t="s">
        <v>20</v>
      </c>
      <c r="D162" t="s">
        <v>14</v>
      </c>
      <c r="E162">
        <v>1</v>
      </c>
      <c r="F162" s="79">
        <v>12000</v>
      </c>
      <c r="G162" s="79">
        <v>5500</v>
      </c>
      <c r="H162" s="79">
        <v>6500</v>
      </c>
    </row>
    <row r="163" spans="1:12" x14ac:dyDescent="0.25">
      <c r="C163" t="s">
        <v>20</v>
      </c>
      <c r="D163" t="s">
        <v>919</v>
      </c>
      <c r="E163">
        <v>1</v>
      </c>
      <c r="F163" s="79">
        <v>12000</v>
      </c>
      <c r="G163" s="79">
        <v>5500</v>
      </c>
      <c r="H163" s="79">
        <v>6500</v>
      </c>
    </row>
    <row r="164" spans="1:12" x14ac:dyDescent="0.25">
      <c r="C164" t="s">
        <v>24</v>
      </c>
      <c r="D164" t="s">
        <v>243</v>
      </c>
      <c r="E164">
        <v>7</v>
      </c>
      <c r="F164" s="79">
        <f>E164*15000</f>
        <v>105000</v>
      </c>
      <c r="G164" s="79">
        <f>E164*10000</f>
        <v>70000</v>
      </c>
      <c r="H164" s="79">
        <f>E164*5000</f>
        <v>35000</v>
      </c>
    </row>
    <row r="165" spans="1:12" x14ac:dyDescent="0.25">
      <c r="C165" t="s">
        <v>24</v>
      </c>
      <c r="D165" t="s">
        <v>13</v>
      </c>
      <c r="E165">
        <v>9</v>
      </c>
      <c r="F165" s="79">
        <f>E165*8000</f>
        <v>72000</v>
      </c>
      <c r="G165" s="79">
        <f>E165*4500</f>
        <v>40500</v>
      </c>
      <c r="H165" s="79">
        <f>E165*5500</f>
        <v>49500</v>
      </c>
    </row>
    <row r="166" spans="1:12" x14ac:dyDescent="0.25">
      <c r="A166" s="112" t="s">
        <v>17</v>
      </c>
      <c r="B166" s="112"/>
      <c r="C166" s="112"/>
      <c r="D166" s="112"/>
      <c r="E166" s="78">
        <f>SUM(E152:E165)</f>
        <v>193</v>
      </c>
      <c r="F166" s="78">
        <f t="shared" ref="F166:H166" si="18">SUM(F152:F165)</f>
        <v>1123000</v>
      </c>
      <c r="G166" s="78">
        <f t="shared" si="18"/>
        <v>645000</v>
      </c>
      <c r="H166" s="78">
        <f t="shared" si="18"/>
        <v>496000</v>
      </c>
    </row>
    <row r="167" spans="1:12" x14ac:dyDescent="0.25">
      <c r="A167" t="s">
        <v>30</v>
      </c>
      <c r="B167" s="3">
        <v>45796</v>
      </c>
      <c r="C167" t="s">
        <v>24</v>
      </c>
      <c r="D167" t="s">
        <v>243</v>
      </c>
      <c r="E167">
        <v>5</v>
      </c>
      <c r="F167" s="79">
        <f>E167*15000</f>
        <v>75000</v>
      </c>
      <c r="G167" s="79">
        <f>E167*10000</f>
        <v>50000</v>
      </c>
      <c r="H167" s="79">
        <v>25000</v>
      </c>
    </row>
    <row r="168" spans="1:12" x14ac:dyDescent="0.25">
      <c r="C168" t="s">
        <v>24</v>
      </c>
      <c r="D168" t="s">
        <v>243</v>
      </c>
      <c r="E168">
        <v>2</v>
      </c>
      <c r="F168" s="79">
        <v>30000</v>
      </c>
      <c r="G168" s="79">
        <v>20000</v>
      </c>
      <c r="H168" s="79">
        <v>10000</v>
      </c>
    </row>
    <row r="169" spans="1:12" x14ac:dyDescent="0.25">
      <c r="C169" t="s">
        <v>104</v>
      </c>
      <c r="D169" t="s">
        <v>11</v>
      </c>
      <c r="E169">
        <v>3</v>
      </c>
      <c r="F169" s="79">
        <f>E169*1500</f>
        <v>4500</v>
      </c>
      <c r="G169" s="79">
        <f>E169*500</f>
        <v>1500</v>
      </c>
      <c r="H169" s="79">
        <v>3000</v>
      </c>
      <c r="K169" t="s">
        <v>612</v>
      </c>
    </row>
    <row r="170" spans="1:12" x14ac:dyDescent="0.25">
      <c r="A170" s="112" t="s">
        <v>17</v>
      </c>
      <c r="B170" s="112"/>
      <c r="C170" s="112"/>
      <c r="D170" s="112"/>
      <c r="E170" s="78">
        <f>SUM(E167:E169)</f>
        <v>10</v>
      </c>
      <c r="F170" s="78">
        <f t="shared" ref="F170:H170" si="19">SUM(F167:F169)</f>
        <v>109500</v>
      </c>
      <c r="G170" s="78">
        <f t="shared" si="19"/>
        <v>71500</v>
      </c>
      <c r="H170" s="78">
        <f t="shared" si="19"/>
        <v>38000</v>
      </c>
    </row>
    <row r="171" spans="1:12" x14ac:dyDescent="0.25">
      <c r="A171" t="s">
        <v>32</v>
      </c>
      <c r="B171" s="3">
        <v>45797</v>
      </c>
      <c r="C171" t="s">
        <v>581</v>
      </c>
      <c r="D171" t="s">
        <v>925</v>
      </c>
      <c r="E171">
        <v>5</v>
      </c>
      <c r="F171" s="79">
        <f>E171*1600</f>
        <v>8000</v>
      </c>
      <c r="G171" s="79">
        <f>E171*500</f>
        <v>2500</v>
      </c>
      <c r="H171" s="79">
        <f>E171*1100</f>
        <v>5500</v>
      </c>
      <c r="L171">
        <f>E54+E117+E126</f>
        <v>68</v>
      </c>
    </row>
    <row r="172" spans="1:12" x14ac:dyDescent="0.25">
      <c r="C172" t="s">
        <v>104</v>
      </c>
      <c r="D172" t="s">
        <v>11</v>
      </c>
      <c r="E172">
        <v>2</v>
      </c>
      <c r="F172" s="79">
        <v>3000</v>
      </c>
      <c r="G172" s="79">
        <v>1000</v>
      </c>
      <c r="H172" s="79">
        <v>2000</v>
      </c>
    </row>
    <row r="173" spans="1:12" x14ac:dyDescent="0.25">
      <c r="C173" t="s">
        <v>20</v>
      </c>
      <c r="D173" t="s">
        <v>13</v>
      </c>
      <c r="E173">
        <v>2</v>
      </c>
      <c r="F173" s="79">
        <v>16000</v>
      </c>
      <c r="G173" s="79">
        <v>9000</v>
      </c>
      <c r="H173" s="79">
        <v>7000</v>
      </c>
    </row>
    <row r="174" spans="1:12" x14ac:dyDescent="0.25">
      <c r="C174" t="s">
        <v>20</v>
      </c>
      <c r="D174" t="s">
        <v>14</v>
      </c>
      <c r="E174">
        <v>1</v>
      </c>
      <c r="F174" s="79">
        <v>12000</v>
      </c>
      <c r="G174" s="79">
        <v>5500</v>
      </c>
      <c r="H174" s="79">
        <v>6500</v>
      </c>
    </row>
    <row r="175" spans="1:12" x14ac:dyDescent="0.25">
      <c r="C175" t="s">
        <v>20</v>
      </c>
      <c r="D175" t="s">
        <v>902</v>
      </c>
      <c r="E175">
        <v>1</v>
      </c>
      <c r="F175" s="79">
        <v>8000</v>
      </c>
      <c r="G175" s="79">
        <v>5500</v>
      </c>
      <c r="H175" s="79">
        <v>2500</v>
      </c>
    </row>
    <row r="176" spans="1:12" x14ac:dyDescent="0.25">
      <c r="A176" s="112" t="s">
        <v>17</v>
      </c>
      <c r="B176" s="112"/>
      <c r="C176" s="112"/>
      <c r="D176" s="112"/>
      <c r="E176" s="78">
        <f>SUM(E171:E175)</f>
        <v>11</v>
      </c>
      <c r="F176" s="78">
        <f t="shared" ref="F176:H176" si="20">SUM(F171:F175)</f>
        <v>47000</v>
      </c>
      <c r="G176" s="78">
        <f t="shared" si="20"/>
        <v>23500</v>
      </c>
      <c r="H176" s="78">
        <f t="shared" si="20"/>
        <v>23500</v>
      </c>
    </row>
    <row r="177" spans="1:8" x14ac:dyDescent="0.25">
      <c r="A177" t="s">
        <v>8</v>
      </c>
      <c r="B177" s="3">
        <v>45798</v>
      </c>
      <c r="C177" t="s">
        <v>24</v>
      </c>
      <c r="D177" t="s">
        <v>243</v>
      </c>
      <c r="E177">
        <v>5</v>
      </c>
      <c r="F177" s="79">
        <f>E177*15000</f>
        <v>75000</v>
      </c>
      <c r="G177" s="79">
        <f>E177*10000</f>
        <v>50000</v>
      </c>
      <c r="H177" s="79">
        <f>E177*5000</f>
        <v>25000</v>
      </c>
    </row>
    <row r="178" spans="1:8" x14ac:dyDescent="0.25">
      <c r="C178" t="s">
        <v>20</v>
      </c>
      <c r="D178" t="s">
        <v>13</v>
      </c>
      <c r="E178">
        <v>2</v>
      </c>
      <c r="F178" s="79">
        <v>16000</v>
      </c>
      <c r="G178" s="79">
        <v>9000</v>
      </c>
      <c r="H178" s="79">
        <v>7000</v>
      </c>
    </row>
    <row r="179" spans="1:8" x14ac:dyDescent="0.25">
      <c r="C179" t="s">
        <v>20</v>
      </c>
      <c r="D179" t="s">
        <v>14</v>
      </c>
      <c r="E179">
        <v>1</v>
      </c>
      <c r="F179" s="79">
        <v>10000</v>
      </c>
      <c r="G179" s="79">
        <v>5500</v>
      </c>
      <c r="H179" s="79">
        <v>4500</v>
      </c>
    </row>
    <row r="180" spans="1:8" x14ac:dyDescent="0.25">
      <c r="C180" t="s">
        <v>20</v>
      </c>
      <c r="D180" t="s">
        <v>902</v>
      </c>
      <c r="E180">
        <v>5</v>
      </c>
      <c r="F180" s="79">
        <v>40000</v>
      </c>
      <c r="G180" s="79">
        <f>E180*5500</f>
        <v>27500</v>
      </c>
      <c r="H180" s="79">
        <f>E180*2500</f>
        <v>12500</v>
      </c>
    </row>
    <row r="181" spans="1:8" x14ac:dyDescent="0.25">
      <c r="C181" t="s">
        <v>20</v>
      </c>
      <c r="D181" t="s">
        <v>919</v>
      </c>
      <c r="E181">
        <v>2</v>
      </c>
      <c r="F181" s="79">
        <f>E181*12000</f>
        <v>24000</v>
      </c>
      <c r="G181" s="79">
        <f>E181*5500</f>
        <v>11000</v>
      </c>
      <c r="H181" s="79">
        <f>E181*6500</f>
        <v>13000</v>
      </c>
    </row>
    <row r="182" spans="1:8" x14ac:dyDescent="0.25">
      <c r="C182" t="s">
        <v>20</v>
      </c>
      <c r="D182" t="s">
        <v>933</v>
      </c>
      <c r="E182">
        <v>1</v>
      </c>
      <c r="F182" s="79">
        <v>10000</v>
      </c>
      <c r="G182" s="79">
        <v>4500</v>
      </c>
      <c r="H182" s="79">
        <v>5500</v>
      </c>
    </row>
    <row r="183" spans="1:8" x14ac:dyDescent="0.25">
      <c r="A183" s="112" t="s">
        <v>17</v>
      </c>
      <c r="B183" s="112"/>
      <c r="C183" s="112"/>
      <c r="D183" s="112"/>
      <c r="E183" s="78">
        <f>SUM(E177:E182)</f>
        <v>16</v>
      </c>
      <c r="F183" s="78">
        <f t="shared" ref="F183:H183" si="21">SUM(F177:F182)</f>
        <v>175000</v>
      </c>
      <c r="G183" s="78">
        <f t="shared" si="21"/>
        <v>107500</v>
      </c>
      <c r="H183" s="78">
        <f t="shared" si="21"/>
        <v>67500</v>
      </c>
    </row>
    <row r="184" spans="1:8" x14ac:dyDescent="0.25">
      <c r="A184" t="s">
        <v>18</v>
      </c>
      <c r="B184" s="3">
        <v>45799</v>
      </c>
      <c r="C184" t="s">
        <v>24</v>
      </c>
      <c r="D184" t="s">
        <v>243</v>
      </c>
      <c r="E184" s="79">
        <v>5</v>
      </c>
      <c r="F184" s="79">
        <v>75000</v>
      </c>
      <c r="G184" s="79">
        <v>50000</v>
      </c>
      <c r="H184" s="79">
        <v>25000</v>
      </c>
    </row>
    <row r="185" spans="1:8" x14ac:dyDescent="0.25">
      <c r="A185" s="111" t="s">
        <v>17</v>
      </c>
      <c r="B185" s="111"/>
      <c r="C185" s="111"/>
      <c r="D185" s="111"/>
      <c r="E185" s="78">
        <v>5</v>
      </c>
      <c r="F185" s="78">
        <v>75000</v>
      </c>
      <c r="G185" s="78">
        <v>50000</v>
      </c>
      <c r="H185" s="78">
        <v>25000</v>
      </c>
    </row>
    <row r="186" spans="1:8" x14ac:dyDescent="0.25">
      <c r="A186" t="s">
        <v>22</v>
      </c>
      <c r="B186" s="3">
        <v>45800</v>
      </c>
      <c r="C186" t="s">
        <v>20</v>
      </c>
      <c r="D186" t="s">
        <v>13</v>
      </c>
      <c r="E186" s="79">
        <v>4</v>
      </c>
      <c r="F186" s="79">
        <v>32000</v>
      </c>
      <c r="G186" s="79">
        <f>E186*4500</f>
        <v>18000</v>
      </c>
      <c r="H186" s="79">
        <f>E186*3500</f>
        <v>14000</v>
      </c>
    </row>
    <row r="187" spans="1:8" x14ac:dyDescent="0.25">
      <c r="C187" t="s">
        <v>20</v>
      </c>
      <c r="D187" t="s">
        <v>14</v>
      </c>
      <c r="E187">
        <v>2</v>
      </c>
      <c r="F187" s="96">
        <v>24000</v>
      </c>
      <c r="G187" s="96">
        <v>11000</v>
      </c>
      <c r="H187" s="96">
        <v>13000</v>
      </c>
    </row>
    <row r="188" spans="1:8" x14ac:dyDescent="0.25">
      <c r="C188" t="s">
        <v>20</v>
      </c>
      <c r="D188" t="s">
        <v>902</v>
      </c>
      <c r="E188">
        <v>1</v>
      </c>
      <c r="F188" s="96">
        <v>8000</v>
      </c>
      <c r="G188" s="96">
        <v>5500</v>
      </c>
      <c r="H188" s="96">
        <v>2500</v>
      </c>
    </row>
    <row r="189" spans="1:8" x14ac:dyDescent="0.25">
      <c r="C189" t="s">
        <v>20</v>
      </c>
      <c r="D189" t="s">
        <v>949</v>
      </c>
      <c r="E189">
        <v>2</v>
      </c>
      <c r="F189" s="96">
        <v>24000</v>
      </c>
      <c r="G189" s="96">
        <v>11000</v>
      </c>
      <c r="H189" s="96">
        <v>13000</v>
      </c>
    </row>
    <row r="190" spans="1:8" x14ac:dyDescent="0.25">
      <c r="A190" s="111" t="s">
        <v>17</v>
      </c>
      <c r="B190" s="111"/>
      <c r="C190" s="111"/>
      <c r="D190" s="111"/>
      <c r="E190" s="93">
        <f>SUM(E186:E189)</f>
        <v>9</v>
      </c>
      <c r="F190" s="93">
        <f t="shared" ref="F190:H190" si="22">SUM(F186:F189)</f>
        <v>88000</v>
      </c>
      <c r="G190" s="93">
        <f t="shared" si="22"/>
        <v>45500</v>
      </c>
      <c r="H190" s="93">
        <f t="shared" si="22"/>
        <v>42500</v>
      </c>
    </row>
    <row r="191" spans="1:8" x14ac:dyDescent="0.25">
      <c r="A191" t="s">
        <v>26</v>
      </c>
      <c r="B191" s="3">
        <v>45801</v>
      </c>
      <c r="C191" t="s">
        <v>846</v>
      </c>
      <c r="D191" t="s">
        <v>13</v>
      </c>
      <c r="E191">
        <v>13</v>
      </c>
      <c r="F191" s="79">
        <f>E191*8000</f>
        <v>104000</v>
      </c>
      <c r="G191" s="79">
        <f>E191*4500</f>
        <v>58500</v>
      </c>
      <c r="H191" s="79">
        <f>E191*3500</f>
        <v>45500</v>
      </c>
    </row>
    <row r="192" spans="1:8" x14ac:dyDescent="0.25">
      <c r="C192" t="s">
        <v>846</v>
      </c>
      <c r="D192" t="s">
        <v>14</v>
      </c>
      <c r="E192">
        <v>5</v>
      </c>
      <c r="F192" s="79">
        <f>E192*12000</f>
        <v>60000</v>
      </c>
      <c r="G192" s="79">
        <f>E192*5500</f>
        <v>27500</v>
      </c>
      <c r="H192" s="79">
        <f>E192*6500</f>
        <v>32500</v>
      </c>
    </row>
    <row r="193" spans="1:8" x14ac:dyDescent="0.25">
      <c r="C193" t="s">
        <v>846</v>
      </c>
      <c r="D193" t="s">
        <v>902</v>
      </c>
      <c r="E193">
        <v>4</v>
      </c>
      <c r="F193" s="79">
        <f>E193*8000</f>
        <v>32000</v>
      </c>
      <c r="G193" s="79">
        <f>E193*5500</f>
        <v>22000</v>
      </c>
      <c r="H193" s="79">
        <f>E193*2500</f>
        <v>10000</v>
      </c>
    </row>
    <row r="194" spans="1:8" x14ac:dyDescent="0.25">
      <c r="C194" t="s">
        <v>846</v>
      </c>
      <c r="D194" t="s">
        <v>918</v>
      </c>
      <c r="E194">
        <v>1</v>
      </c>
      <c r="F194" s="79">
        <v>15000</v>
      </c>
      <c r="G194" s="79">
        <v>10000</v>
      </c>
      <c r="H194" s="79">
        <v>5000</v>
      </c>
    </row>
    <row r="195" spans="1:8" x14ac:dyDescent="0.25">
      <c r="C195" t="s">
        <v>846</v>
      </c>
      <c r="D195" t="s">
        <v>919</v>
      </c>
      <c r="E195">
        <v>3</v>
      </c>
      <c r="F195" s="79">
        <f>E195*12000</f>
        <v>36000</v>
      </c>
      <c r="G195" s="79">
        <f>E195*5500</f>
        <v>16500</v>
      </c>
      <c r="H195" s="79">
        <f>E195*6500</f>
        <v>19500</v>
      </c>
    </row>
    <row r="196" spans="1:8" x14ac:dyDescent="0.25">
      <c r="C196" t="s">
        <v>846</v>
      </c>
      <c r="D196" t="s">
        <v>415</v>
      </c>
      <c r="E196">
        <v>1</v>
      </c>
      <c r="F196" s="79">
        <v>7000</v>
      </c>
      <c r="G196" s="79">
        <v>4000</v>
      </c>
      <c r="H196" s="79">
        <v>3000</v>
      </c>
    </row>
    <row r="197" spans="1:8" x14ac:dyDescent="0.25">
      <c r="C197" t="s">
        <v>846</v>
      </c>
      <c r="D197" t="s">
        <v>243</v>
      </c>
      <c r="E197">
        <v>1</v>
      </c>
      <c r="F197" s="79">
        <v>15000</v>
      </c>
      <c r="G197" s="79">
        <v>10000</v>
      </c>
      <c r="H197" s="79">
        <v>5000</v>
      </c>
    </row>
    <row r="198" spans="1:8" x14ac:dyDescent="0.25">
      <c r="A198" s="112" t="s">
        <v>17</v>
      </c>
      <c r="B198" s="112"/>
      <c r="C198" s="112"/>
      <c r="D198" s="112"/>
      <c r="E198" s="78">
        <f>SUM(E191:E197)</f>
        <v>28</v>
      </c>
      <c r="F198" s="78">
        <f t="shared" ref="F198:H198" si="23">SUM(F191:F197)</f>
        <v>269000</v>
      </c>
      <c r="G198" s="78">
        <f t="shared" si="23"/>
        <v>148500</v>
      </c>
      <c r="H198" s="78">
        <f t="shared" si="23"/>
        <v>120500</v>
      </c>
    </row>
    <row r="199" spans="1:8" x14ac:dyDescent="0.25">
      <c r="A199" t="s">
        <v>28</v>
      </c>
      <c r="B199" s="3">
        <v>45802</v>
      </c>
      <c r="C199" t="s">
        <v>846</v>
      </c>
      <c r="D199" t="s">
        <v>13</v>
      </c>
      <c r="E199">
        <v>2</v>
      </c>
      <c r="F199" s="79">
        <v>16000</v>
      </c>
      <c r="G199" s="79">
        <v>9000</v>
      </c>
      <c r="H199" s="79">
        <v>7000</v>
      </c>
    </row>
    <row r="200" spans="1:8" x14ac:dyDescent="0.25">
      <c r="C200" t="s">
        <v>846</v>
      </c>
      <c r="D200" t="s">
        <v>14</v>
      </c>
      <c r="E200">
        <v>5</v>
      </c>
      <c r="F200" s="79">
        <v>60000</v>
      </c>
      <c r="G200" s="79">
        <f>E200*5500</f>
        <v>27500</v>
      </c>
      <c r="H200" s="79">
        <f>E200*6500</f>
        <v>32500</v>
      </c>
    </row>
    <row r="201" spans="1:8" x14ac:dyDescent="0.25">
      <c r="C201" t="s">
        <v>846</v>
      </c>
      <c r="D201" t="s">
        <v>918</v>
      </c>
      <c r="E201">
        <v>1</v>
      </c>
      <c r="F201" s="79">
        <v>15000</v>
      </c>
      <c r="G201" s="79">
        <v>10000</v>
      </c>
      <c r="H201" s="79">
        <v>50000</v>
      </c>
    </row>
    <row r="202" spans="1:8" x14ac:dyDescent="0.25">
      <c r="C202" t="s">
        <v>846</v>
      </c>
      <c r="D202" t="s">
        <v>919</v>
      </c>
      <c r="E202">
        <v>1</v>
      </c>
      <c r="F202" s="79">
        <v>12000</v>
      </c>
      <c r="G202" s="79">
        <v>5500</v>
      </c>
      <c r="H202" s="79">
        <v>6500</v>
      </c>
    </row>
    <row r="203" spans="1:8" x14ac:dyDescent="0.25">
      <c r="C203" t="s">
        <v>846</v>
      </c>
      <c r="D203" t="s">
        <v>902</v>
      </c>
      <c r="E203">
        <v>2</v>
      </c>
      <c r="F203" s="79">
        <v>16000</v>
      </c>
      <c r="G203" s="79">
        <v>11000</v>
      </c>
      <c r="H203" s="79">
        <v>5000</v>
      </c>
    </row>
    <row r="204" spans="1:8" x14ac:dyDescent="0.25">
      <c r="C204" t="s">
        <v>846</v>
      </c>
      <c r="D204" t="s">
        <v>404</v>
      </c>
      <c r="E204">
        <v>1</v>
      </c>
      <c r="F204" s="79">
        <v>5000</v>
      </c>
      <c r="G204" s="79">
        <v>3000</v>
      </c>
      <c r="H204" s="79">
        <v>2000</v>
      </c>
    </row>
    <row r="205" spans="1:8" x14ac:dyDescent="0.25">
      <c r="C205" t="s">
        <v>693</v>
      </c>
      <c r="D205" t="s">
        <v>13</v>
      </c>
      <c r="E205">
        <v>31</v>
      </c>
      <c r="F205" s="79">
        <f>E205*7000</f>
        <v>217000</v>
      </c>
      <c r="G205" s="79">
        <f>E205*4500</f>
        <v>139500</v>
      </c>
      <c r="H205" s="79">
        <f>E205*2500</f>
        <v>77500</v>
      </c>
    </row>
    <row r="206" spans="1:8" x14ac:dyDescent="0.25">
      <c r="C206" t="s">
        <v>693</v>
      </c>
      <c r="D206" t="s">
        <v>14</v>
      </c>
      <c r="E206">
        <v>16</v>
      </c>
      <c r="F206" s="79">
        <v>160000</v>
      </c>
      <c r="G206" s="79">
        <f>E206*5500</f>
        <v>88000</v>
      </c>
      <c r="H206" s="79">
        <f>E206*4500</f>
        <v>72000</v>
      </c>
    </row>
    <row r="207" spans="1:8" x14ac:dyDescent="0.25">
      <c r="C207" t="s">
        <v>693</v>
      </c>
      <c r="D207" t="s">
        <v>243</v>
      </c>
      <c r="E207">
        <v>2</v>
      </c>
      <c r="F207" s="79">
        <v>30000</v>
      </c>
      <c r="G207" s="79">
        <v>20000</v>
      </c>
      <c r="H207" s="79">
        <v>10000</v>
      </c>
    </row>
    <row r="208" spans="1:8" x14ac:dyDescent="0.25">
      <c r="C208" t="s">
        <v>693</v>
      </c>
      <c r="D208" t="s">
        <v>902</v>
      </c>
      <c r="E208">
        <v>3</v>
      </c>
      <c r="F208" s="79">
        <v>21000</v>
      </c>
      <c r="G208" s="79">
        <f>E208*4500</f>
        <v>13500</v>
      </c>
      <c r="H208" s="79">
        <f>E208*2500</f>
        <v>7500</v>
      </c>
    </row>
    <row r="209" spans="1:15" x14ac:dyDescent="0.25">
      <c r="C209" t="s">
        <v>217</v>
      </c>
      <c r="D209" t="s">
        <v>11</v>
      </c>
      <c r="E209">
        <v>12</v>
      </c>
      <c r="F209" s="79">
        <f>E209*1500</f>
        <v>18000</v>
      </c>
      <c r="G209" s="79">
        <f>E209*500</f>
        <v>6000</v>
      </c>
      <c r="H209" s="79">
        <v>12000</v>
      </c>
    </row>
    <row r="210" spans="1:15" x14ac:dyDescent="0.25">
      <c r="C210" t="s">
        <v>217</v>
      </c>
      <c r="D210" t="s">
        <v>13</v>
      </c>
      <c r="E210">
        <v>21</v>
      </c>
      <c r="F210" s="79">
        <f>E210*6500</f>
        <v>136500</v>
      </c>
      <c r="G210" s="79">
        <f>E210*4500</f>
        <v>94500</v>
      </c>
      <c r="H210" s="79">
        <f>E210*2500</f>
        <v>52500</v>
      </c>
    </row>
    <row r="211" spans="1:15" x14ac:dyDescent="0.25">
      <c r="C211" t="s">
        <v>217</v>
      </c>
      <c r="D211" t="s">
        <v>14</v>
      </c>
      <c r="E211">
        <v>11</v>
      </c>
      <c r="F211" s="79">
        <v>110000</v>
      </c>
      <c r="G211" s="79">
        <f>E211*5500</f>
        <v>60500</v>
      </c>
      <c r="H211" s="79">
        <f>E211*4500</f>
        <v>49500</v>
      </c>
    </row>
    <row r="212" spans="1:15" x14ac:dyDescent="0.25">
      <c r="A212" s="112" t="s">
        <v>17</v>
      </c>
      <c r="B212" s="112"/>
      <c r="C212" s="112"/>
      <c r="D212" s="112"/>
      <c r="E212" s="78">
        <f>SUM(E199:E211)</f>
        <v>108</v>
      </c>
      <c r="F212" s="78">
        <f t="shared" ref="F212:H212" si="24">SUM(F199:F211)</f>
        <v>816500</v>
      </c>
      <c r="G212" s="78">
        <f t="shared" si="24"/>
        <v>488000</v>
      </c>
      <c r="H212" s="78">
        <f t="shared" si="24"/>
        <v>384000</v>
      </c>
    </row>
    <row r="213" spans="1:15" x14ac:dyDescent="0.25">
      <c r="A213" t="s">
        <v>30</v>
      </c>
      <c r="B213" s="3">
        <v>45803</v>
      </c>
      <c r="C213" t="s">
        <v>846</v>
      </c>
      <c r="D213" t="s">
        <v>13</v>
      </c>
      <c r="E213">
        <v>1</v>
      </c>
      <c r="F213" s="79">
        <v>8000</v>
      </c>
      <c r="G213" s="79">
        <v>4500</v>
      </c>
      <c r="H213" s="79">
        <v>3500</v>
      </c>
    </row>
    <row r="214" spans="1:15" x14ac:dyDescent="0.25">
      <c r="C214" t="s">
        <v>846</v>
      </c>
      <c r="D214" t="s">
        <v>902</v>
      </c>
      <c r="E214">
        <v>2</v>
      </c>
      <c r="F214" s="79">
        <v>16000</v>
      </c>
      <c r="G214" s="79">
        <v>11000</v>
      </c>
      <c r="H214" s="79">
        <v>5000</v>
      </c>
    </row>
    <row r="215" spans="1:15" x14ac:dyDescent="0.25">
      <c r="C215" t="s">
        <v>846</v>
      </c>
      <c r="D215" t="s">
        <v>404</v>
      </c>
      <c r="E215">
        <v>1</v>
      </c>
      <c r="F215" s="79">
        <v>5000</v>
      </c>
      <c r="G215" s="79">
        <v>3000</v>
      </c>
      <c r="H215" s="79">
        <v>2000</v>
      </c>
    </row>
    <row r="216" spans="1:15" x14ac:dyDescent="0.25">
      <c r="C216" t="s">
        <v>846</v>
      </c>
      <c r="D216" t="s">
        <v>919</v>
      </c>
      <c r="E216">
        <v>1</v>
      </c>
      <c r="F216" s="79">
        <v>12000</v>
      </c>
      <c r="G216" s="79">
        <v>5500</v>
      </c>
      <c r="H216" s="79">
        <v>6500</v>
      </c>
    </row>
    <row r="217" spans="1:15" x14ac:dyDescent="0.25">
      <c r="A217" s="112" t="s">
        <v>17</v>
      </c>
      <c r="B217" s="112"/>
      <c r="C217" s="112"/>
      <c r="D217" s="112"/>
      <c r="E217" s="78">
        <f>SUM(E213:E216)</f>
        <v>5</v>
      </c>
      <c r="F217" s="78">
        <f t="shared" ref="F217:H217" si="25">SUM(F213:F216)</f>
        <v>41000</v>
      </c>
      <c r="G217" s="78">
        <f t="shared" si="25"/>
        <v>24000</v>
      </c>
      <c r="H217" s="78">
        <f t="shared" si="25"/>
        <v>17000</v>
      </c>
    </row>
    <row r="218" spans="1:15" x14ac:dyDescent="0.25">
      <c r="A218" t="s">
        <v>32</v>
      </c>
      <c r="B218" s="3">
        <v>45804</v>
      </c>
      <c r="C218" t="s">
        <v>846</v>
      </c>
      <c r="D218" t="s">
        <v>13</v>
      </c>
      <c r="E218">
        <v>4</v>
      </c>
      <c r="F218" s="79">
        <v>32000</v>
      </c>
      <c r="G218">
        <f>E218*4500</f>
        <v>18000</v>
      </c>
      <c r="H218">
        <f>E218*3500</f>
        <v>14000</v>
      </c>
      <c r="N218" t="s">
        <v>13</v>
      </c>
      <c r="O218" s="92">
        <f>E21+E57+E70+E75+E100+E118+E145+E173+E178+E186+E191+E199+E213+E218+E234+E238+E246</f>
        <v>59</v>
      </c>
    </row>
    <row r="219" spans="1:15" x14ac:dyDescent="0.25">
      <c r="C219" t="s">
        <v>846</v>
      </c>
      <c r="D219" t="s">
        <v>919</v>
      </c>
      <c r="E219">
        <v>2</v>
      </c>
      <c r="F219" s="79">
        <f>E219*12000</f>
        <v>24000</v>
      </c>
      <c r="G219" s="79">
        <f>E219*5500</f>
        <v>11000</v>
      </c>
      <c r="H219" s="79">
        <f>E219*6500</f>
        <v>13000</v>
      </c>
    </row>
    <row r="220" spans="1:15" x14ac:dyDescent="0.25">
      <c r="C220" t="s">
        <v>846</v>
      </c>
      <c r="D220" t="s">
        <v>902</v>
      </c>
      <c r="E220">
        <v>2</v>
      </c>
      <c r="F220" s="79">
        <v>16000</v>
      </c>
      <c r="G220" s="79">
        <v>11000</v>
      </c>
      <c r="H220" s="79">
        <v>5000</v>
      </c>
    </row>
    <row r="221" spans="1:15" x14ac:dyDescent="0.25">
      <c r="C221" t="s">
        <v>846</v>
      </c>
      <c r="D221" t="s">
        <v>933</v>
      </c>
      <c r="E221">
        <v>1</v>
      </c>
      <c r="F221" s="79">
        <v>10000</v>
      </c>
      <c r="G221" s="79">
        <v>5500</v>
      </c>
      <c r="H221" s="79">
        <v>4500</v>
      </c>
    </row>
    <row r="222" spans="1:15" x14ac:dyDescent="0.25">
      <c r="C222" t="s">
        <v>846</v>
      </c>
      <c r="D222" t="s">
        <v>243</v>
      </c>
      <c r="E222">
        <v>1</v>
      </c>
      <c r="F222" s="79">
        <v>17000</v>
      </c>
      <c r="G222" s="79">
        <v>10000</v>
      </c>
      <c r="H222" s="79">
        <v>7000</v>
      </c>
    </row>
    <row r="223" spans="1:15" x14ac:dyDescent="0.25">
      <c r="C223" t="s">
        <v>24</v>
      </c>
      <c r="D223" t="s">
        <v>13</v>
      </c>
      <c r="E223">
        <v>10</v>
      </c>
      <c r="F223" s="79">
        <v>70000</v>
      </c>
      <c r="G223" s="79">
        <f>E223*4500</f>
        <v>45000</v>
      </c>
      <c r="H223" s="79">
        <v>25000</v>
      </c>
    </row>
    <row r="224" spans="1:15" x14ac:dyDescent="0.25">
      <c r="A224" s="112" t="s">
        <v>17</v>
      </c>
      <c r="B224" s="112"/>
      <c r="C224" s="112"/>
      <c r="D224" s="112"/>
      <c r="E224" s="78">
        <f>SUM(E218:E223)</f>
        <v>20</v>
      </c>
      <c r="F224" s="78">
        <f t="shared" ref="F224:H224" si="26">SUM(F218:F223)</f>
        <v>169000</v>
      </c>
      <c r="G224" s="78">
        <f t="shared" si="26"/>
        <v>100500</v>
      </c>
      <c r="H224" s="78">
        <f t="shared" si="26"/>
        <v>68500</v>
      </c>
    </row>
    <row r="225" spans="1:14" x14ac:dyDescent="0.25">
      <c r="A225" t="s">
        <v>8</v>
      </c>
      <c r="B225" s="3">
        <v>45805</v>
      </c>
      <c r="C225" t="s">
        <v>581</v>
      </c>
      <c r="D225" t="s">
        <v>925</v>
      </c>
      <c r="E225">
        <v>33</v>
      </c>
      <c r="F225" s="79">
        <f>E225*1500</f>
        <v>49500</v>
      </c>
      <c r="G225" s="79">
        <f>E225*500</f>
        <v>16500</v>
      </c>
      <c r="H225" s="79">
        <f>E225*1000</f>
        <v>33000</v>
      </c>
      <c r="L225">
        <f>E225+E171+E83</f>
        <v>56</v>
      </c>
    </row>
    <row r="226" spans="1:14" x14ac:dyDescent="0.25">
      <c r="C226" t="s">
        <v>338</v>
      </c>
      <c r="D226" t="s">
        <v>11</v>
      </c>
      <c r="E226">
        <v>61</v>
      </c>
      <c r="F226" s="79">
        <f>E226*1500</f>
        <v>91500</v>
      </c>
      <c r="G226" s="79">
        <f>E226*500</f>
        <v>30500</v>
      </c>
      <c r="H226" s="79">
        <f>E226*1000</f>
        <v>61000</v>
      </c>
    </row>
    <row r="227" spans="1:14" x14ac:dyDescent="0.25">
      <c r="C227" t="s">
        <v>104</v>
      </c>
      <c r="D227" t="s">
        <v>11</v>
      </c>
      <c r="E227">
        <v>19</v>
      </c>
      <c r="F227" s="79">
        <f>E227*1500</f>
        <v>28500</v>
      </c>
      <c r="G227" s="79">
        <f>E227*500</f>
        <v>9500</v>
      </c>
      <c r="H227" s="79">
        <f>E227*1000</f>
        <v>19000</v>
      </c>
    </row>
    <row r="228" spans="1:14" x14ac:dyDescent="0.25">
      <c r="C228" t="s">
        <v>572</v>
      </c>
      <c r="D228" t="s">
        <v>11</v>
      </c>
      <c r="E228">
        <v>90</v>
      </c>
      <c r="F228" s="79">
        <f>E228*1700</f>
        <v>153000</v>
      </c>
      <c r="G228" s="79">
        <f>E228*500</f>
        <v>45000</v>
      </c>
      <c r="H228" s="79">
        <f>E228*1200</f>
        <v>108000</v>
      </c>
    </row>
    <row r="229" spans="1:14" x14ac:dyDescent="0.25">
      <c r="C229" t="s">
        <v>571</v>
      </c>
      <c r="D229" t="s">
        <v>11</v>
      </c>
      <c r="E229">
        <v>20</v>
      </c>
      <c r="F229" s="79">
        <f>E229*1700</f>
        <v>34000</v>
      </c>
      <c r="G229" s="79">
        <f>E229*500</f>
        <v>10000</v>
      </c>
      <c r="H229" s="79">
        <f>E229*1200</f>
        <v>24000</v>
      </c>
    </row>
    <row r="230" spans="1:14" x14ac:dyDescent="0.25">
      <c r="C230" t="s">
        <v>24</v>
      </c>
      <c r="D230" t="s">
        <v>592</v>
      </c>
      <c r="E230">
        <v>2</v>
      </c>
      <c r="F230" s="79">
        <f>E230*18000</f>
        <v>36000</v>
      </c>
      <c r="G230" s="79">
        <f>E230*12000</f>
        <v>24000</v>
      </c>
      <c r="H230" s="79">
        <f>E230*6000</f>
        <v>12000</v>
      </c>
    </row>
    <row r="231" spans="1:14" x14ac:dyDescent="0.25">
      <c r="C231" t="s">
        <v>24</v>
      </c>
      <c r="D231" t="s">
        <v>243</v>
      </c>
      <c r="E231">
        <v>1</v>
      </c>
      <c r="F231" s="79">
        <v>15000</v>
      </c>
      <c r="G231" s="79">
        <v>10000</v>
      </c>
      <c r="H231" s="79">
        <v>5000</v>
      </c>
      <c r="K231" s="92">
        <f>E243+E231+E222+E207+E197+E184+E177+E168+E167+E164+E138+E137+E135+E134+E132+E122+E121+E106+E98+E94+E89+E79+E71+E44+E40+E30+E25+E17</f>
        <v>71</v>
      </c>
    </row>
    <row r="232" spans="1:14" x14ac:dyDescent="0.25">
      <c r="A232" s="112" t="s">
        <v>17</v>
      </c>
      <c r="B232" s="112"/>
      <c r="C232" s="112"/>
      <c r="D232" s="112"/>
      <c r="E232" s="78">
        <f>SUM(E225:E231)</f>
        <v>226</v>
      </c>
      <c r="F232" s="78">
        <f t="shared" ref="F232:H232" si="27">SUM(F225:F231)</f>
        <v>407500</v>
      </c>
      <c r="G232" s="78">
        <f t="shared" si="27"/>
        <v>145500</v>
      </c>
      <c r="H232" s="78">
        <f t="shared" si="27"/>
        <v>262000</v>
      </c>
    </row>
    <row r="233" spans="1:14" x14ac:dyDescent="0.25">
      <c r="A233" t="s">
        <v>18</v>
      </c>
      <c r="B233" s="3">
        <v>45806</v>
      </c>
      <c r="C233" t="s">
        <v>846</v>
      </c>
      <c r="D233" t="s">
        <v>950</v>
      </c>
      <c r="E233">
        <v>1</v>
      </c>
      <c r="F233" s="79">
        <v>10000</v>
      </c>
      <c r="G233" s="79">
        <v>5500</v>
      </c>
      <c r="H233" s="79">
        <v>4500</v>
      </c>
    </row>
    <row r="234" spans="1:14" x14ac:dyDescent="0.25">
      <c r="C234" t="s">
        <v>846</v>
      </c>
      <c r="D234" t="s">
        <v>13</v>
      </c>
      <c r="E234">
        <v>3</v>
      </c>
      <c r="F234" s="79">
        <v>24000</v>
      </c>
      <c r="G234" s="79">
        <f>E234*4500</f>
        <v>13500</v>
      </c>
      <c r="H234" s="79">
        <f>E234*3500</f>
        <v>10500</v>
      </c>
      <c r="N234" t="s">
        <v>14</v>
      </c>
    </row>
    <row r="235" spans="1:14" x14ac:dyDescent="0.25">
      <c r="C235" t="s">
        <v>846</v>
      </c>
      <c r="D235" t="s">
        <v>902</v>
      </c>
      <c r="E235">
        <v>5</v>
      </c>
      <c r="F235" s="79">
        <f>E235*8000</f>
        <v>40000</v>
      </c>
      <c r="G235" s="79">
        <f>E235*5500</f>
        <v>27500</v>
      </c>
      <c r="H235" s="79">
        <f>E235*2500</f>
        <v>12500</v>
      </c>
    </row>
    <row r="236" spans="1:14" x14ac:dyDescent="0.25">
      <c r="C236" t="s">
        <v>24</v>
      </c>
      <c r="D236" t="s">
        <v>14</v>
      </c>
      <c r="E236">
        <v>52</v>
      </c>
      <c r="F236" s="79"/>
      <c r="G236" s="79"/>
      <c r="H236" s="79"/>
    </row>
    <row r="237" spans="1:14" x14ac:dyDescent="0.25">
      <c r="A237" s="112" t="s">
        <v>17</v>
      </c>
      <c r="B237" s="112"/>
      <c r="C237" s="112"/>
      <c r="D237" s="112"/>
      <c r="E237" s="78">
        <f>SUM(E233:E236)</f>
        <v>61</v>
      </c>
      <c r="F237" s="78">
        <f t="shared" ref="F237:H237" si="28">SUM(F233:F236)</f>
        <v>74000</v>
      </c>
      <c r="G237" s="78">
        <f t="shared" si="28"/>
        <v>46500</v>
      </c>
      <c r="H237" s="78">
        <f t="shared" si="28"/>
        <v>27500</v>
      </c>
    </row>
    <row r="238" spans="1:14" x14ac:dyDescent="0.25">
      <c r="A238" t="s">
        <v>22</v>
      </c>
      <c r="B238" s="3">
        <v>45807</v>
      </c>
      <c r="C238" t="s">
        <v>846</v>
      </c>
      <c r="D238" t="s">
        <v>13</v>
      </c>
      <c r="E238">
        <v>3</v>
      </c>
      <c r="F238" s="79">
        <f>E238*8000</f>
        <v>24000</v>
      </c>
      <c r="G238" s="79">
        <f>E238*4500</f>
        <v>13500</v>
      </c>
      <c r="H238" s="79">
        <f>E238*3500</f>
        <v>10500</v>
      </c>
    </row>
    <row r="239" spans="1:14" x14ac:dyDescent="0.25">
      <c r="C239" t="s">
        <v>846</v>
      </c>
      <c r="D239" t="s">
        <v>902</v>
      </c>
      <c r="E239">
        <v>2</v>
      </c>
      <c r="F239" s="79">
        <v>16000</v>
      </c>
      <c r="G239" s="79">
        <v>11000</v>
      </c>
      <c r="H239" s="79">
        <v>5000</v>
      </c>
    </row>
    <row r="240" spans="1:14" x14ac:dyDescent="0.25">
      <c r="C240" t="s">
        <v>846</v>
      </c>
      <c r="D240" t="s">
        <v>918</v>
      </c>
      <c r="E240">
        <v>1</v>
      </c>
      <c r="F240" s="79">
        <v>15000</v>
      </c>
      <c r="G240" s="79">
        <v>10000</v>
      </c>
      <c r="H240" s="79">
        <v>5000</v>
      </c>
    </row>
    <row r="241" spans="1:8" x14ac:dyDescent="0.25">
      <c r="C241" t="s">
        <v>846</v>
      </c>
      <c r="D241" t="s">
        <v>933</v>
      </c>
      <c r="E241">
        <v>1</v>
      </c>
      <c r="F241" s="79">
        <v>10000</v>
      </c>
      <c r="G241" s="79">
        <v>5500</v>
      </c>
      <c r="H241" s="79">
        <v>4500</v>
      </c>
    </row>
    <row r="242" spans="1:8" x14ac:dyDescent="0.25">
      <c r="C242" t="s">
        <v>846</v>
      </c>
      <c r="D242" t="s">
        <v>919</v>
      </c>
      <c r="E242">
        <v>1</v>
      </c>
      <c r="F242" s="79">
        <v>12000</v>
      </c>
      <c r="G242" s="79">
        <v>5500</v>
      </c>
      <c r="H242" s="79">
        <v>6500</v>
      </c>
    </row>
    <row r="243" spans="1:8" x14ac:dyDescent="0.25">
      <c r="C243" t="s">
        <v>846</v>
      </c>
      <c r="D243" t="s">
        <v>243</v>
      </c>
      <c r="E243">
        <v>1</v>
      </c>
      <c r="F243" s="79">
        <v>17000</v>
      </c>
      <c r="G243" s="79">
        <v>10000</v>
      </c>
      <c r="H243" s="79">
        <v>7000</v>
      </c>
    </row>
    <row r="244" spans="1:8" x14ac:dyDescent="0.25">
      <c r="C244" t="s">
        <v>24</v>
      </c>
      <c r="D244" t="s">
        <v>592</v>
      </c>
      <c r="E244">
        <v>2</v>
      </c>
      <c r="F244" s="79"/>
      <c r="G244" s="79"/>
      <c r="H244" s="79"/>
    </row>
    <row r="245" spans="1:8" x14ac:dyDescent="0.25">
      <c r="A245" s="112" t="s">
        <v>17</v>
      </c>
      <c r="B245" s="112"/>
      <c r="C245" s="112"/>
      <c r="D245" s="112"/>
      <c r="E245" s="78">
        <f>SUM(E238:E244)</f>
        <v>11</v>
      </c>
      <c r="F245" s="78">
        <f t="shared" ref="F245:H245" si="29">SUM(F238:F244)</f>
        <v>94000</v>
      </c>
      <c r="G245" s="78">
        <f t="shared" si="29"/>
        <v>55500</v>
      </c>
      <c r="H245" s="78">
        <f t="shared" si="29"/>
        <v>38500</v>
      </c>
    </row>
    <row r="246" spans="1:8" x14ac:dyDescent="0.25">
      <c r="A246" t="s">
        <v>26</v>
      </c>
      <c r="B246" s="3">
        <v>45808</v>
      </c>
      <c r="C246" t="s">
        <v>846</v>
      </c>
      <c r="D246" t="s">
        <v>13</v>
      </c>
      <c r="E246">
        <v>4</v>
      </c>
      <c r="F246" s="79">
        <f>E246*8000</f>
        <v>32000</v>
      </c>
      <c r="G246" s="79">
        <f>E246*4500</f>
        <v>18000</v>
      </c>
      <c r="H246" s="79">
        <f>E246*3500</f>
        <v>14000</v>
      </c>
    </row>
    <row r="247" spans="1:8" x14ac:dyDescent="0.25">
      <c r="C247" t="s">
        <v>846</v>
      </c>
      <c r="D247" t="s">
        <v>14</v>
      </c>
      <c r="E247">
        <v>1</v>
      </c>
      <c r="F247" s="79">
        <v>12000</v>
      </c>
      <c r="G247" s="79">
        <v>5500</v>
      </c>
      <c r="H247" s="79">
        <v>6500</v>
      </c>
    </row>
    <row r="248" spans="1:8" x14ac:dyDescent="0.25">
      <c r="C248" t="s">
        <v>846</v>
      </c>
      <c r="D248" t="s">
        <v>919</v>
      </c>
      <c r="E248">
        <v>1</v>
      </c>
      <c r="F248" s="79">
        <v>12000</v>
      </c>
      <c r="G248" s="79">
        <v>5500</v>
      </c>
      <c r="H248" s="79">
        <v>6500</v>
      </c>
    </row>
    <row r="249" spans="1:8" x14ac:dyDescent="0.25">
      <c r="A249" s="112" t="s">
        <v>17</v>
      </c>
      <c r="B249" s="112"/>
      <c r="C249" s="112"/>
      <c r="D249" s="112"/>
      <c r="E249" s="78">
        <f>SUM(E246:E248)</f>
        <v>6</v>
      </c>
      <c r="F249" s="78">
        <f t="shared" ref="F249:H249" si="30">SUM(F246:F248)</f>
        <v>56000</v>
      </c>
      <c r="G249" s="78">
        <f t="shared" si="30"/>
        <v>29000</v>
      </c>
      <c r="H249" s="78">
        <f t="shared" si="30"/>
        <v>27000</v>
      </c>
    </row>
  </sheetData>
  <autoFilter ref="A1:H249" xr:uid="{B6C66FEB-F510-4340-9125-18F623FA6D64}"/>
  <mergeCells count="31">
    <mergeCell ref="A224:D224"/>
    <mergeCell ref="A245:D245"/>
    <mergeCell ref="A170:D170"/>
    <mergeCell ref="A114:D114"/>
    <mergeCell ref="A166:D166"/>
    <mergeCell ref="A198:D198"/>
    <mergeCell ref="A212:D212"/>
    <mergeCell ref="A151:D151"/>
    <mergeCell ref="A185:D185"/>
    <mergeCell ref="A141:D141"/>
    <mergeCell ref="A128:D128"/>
    <mergeCell ref="A123:D123"/>
    <mergeCell ref="A190:D190"/>
    <mergeCell ref="A237:D237"/>
    <mergeCell ref="A232:D232"/>
    <mergeCell ref="A249:D249"/>
    <mergeCell ref="A107:D107"/>
    <mergeCell ref="A183:D183"/>
    <mergeCell ref="A7:D7"/>
    <mergeCell ref="A18:D18"/>
    <mergeCell ref="A26:D26"/>
    <mergeCell ref="A35:D35"/>
    <mergeCell ref="A47:D47"/>
    <mergeCell ref="A51:D51"/>
    <mergeCell ref="A90:D90"/>
    <mergeCell ref="A99:D99"/>
    <mergeCell ref="A80:D80"/>
    <mergeCell ref="A176:D176"/>
    <mergeCell ref="A72:D72"/>
    <mergeCell ref="A60:D60"/>
    <mergeCell ref="A217:D21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3A63-B4C4-48D5-9FCA-11142A0687B3}">
  <dimension ref="A1:T297"/>
  <sheetViews>
    <sheetView topLeftCell="A295" workbookViewId="0">
      <selection activeCell="G308" sqref="G308"/>
    </sheetView>
  </sheetViews>
  <sheetFormatPr defaultRowHeight="15" x14ac:dyDescent="0.25"/>
  <cols>
    <col min="2" max="2" width="10.7109375" bestFit="1" customWidth="1"/>
    <col min="6" max="6" width="11.28515625" customWidth="1"/>
    <col min="12" max="12" width="9.42578125" customWidth="1"/>
    <col min="13" max="13" width="7.140625" customWidth="1"/>
    <col min="14" max="14" width="10.85546875" customWidth="1"/>
    <col min="15" max="16" width="10.5703125" bestFit="1" customWidth="1"/>
    <col min="17" max="17" width="9.28515625" bestFit="1" customWidth="1"/>
    <col min="19" max="19" width="12.5703125" customWidth="1"/>
  </cols>
  <sheetData>
    <row r="1" spans="1:17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17" x14ac:dyDescent="0.25">
      <c r="A2" t="s">
        <v>951</v>
      </c>
      <c r="B2" s="3">
        <v>45809</v>
      </c>
      <c r="C2" t="s">
        <v>693</v>
      </c>
      <c r="D2" t="s">
        <v>13</v>
      </c>
      <c r="E2">
        <v>57</v>
      </c>
      <c r="F2" s="79">
        <f>E2*7000</f>
        <v>399000</v>
      </c>
      <c r="G2" s="79">
        <f>E2*4500</f>
        <v>256500</v>
      </c>
      <c r="H2" s="79">
        <f>E2*2500</f>
        <v>142500</v>
      </c>
    </row>
    <row r="3" spans="1:17" x14ac:dyDescent="0.25">
      <c r="B3" s="3">
        <v>45809</v>
      </c>
      <c r="C3" t="s">
        <v>693</v>
      </c>
      <c r="D3" t="s">
        <v>14</v>
      </c>
      <c r="E3">
        <v>35</v>
      </c>
      <c r="F3" s="79">
        <f>E3*10000</f>
        <v>350000</v>
      </c>
      <c r="G3" s="79">
        <f>E3*5500</f>
        <v>192500</v>
      </c>
      <c r="H3" s="79">
        <f>E3*4500</f>
        <v>157500</v>
      </c>
    </row>
    <row r="4" spans="1:17" x14ac:dyDescent="0.25">
      <c r="B4" s="3">
        <v>45809</v>
      </c>
      <c r="C4" t="s">
        <v>693</v>
      </c>
      <c r="D4" t="s">
        <v>902</v>
      </c>
      <c r="E4">
        <v>2</v>
      </c>
      <c r="F4" s="79">
        <f>E4*8000</f>
        <v>16000</v>
      </c>
      <c r="G4" s="79">
        <f>E4*5500</f>
        <v>11000</v>
      </c>
      <c r="H4" s="79">
        <f>E4*2500</f>
        <v>5000</v>
      </c>
      <c r="N4" s="81"/>
      <c r="O4" s="81"/>
      <c r="P4" s="81"/>
      <c r="Q4" s="81"/>
    </row>
    <row r="5" spans="1:17" x14ac:dyDescent="0.25">
      <c r="B5" s="3">
        <v>45809</v>
      </c>
      <c r="C5" t="s">
        <v>693</v>
      </c>
      <c r="D5" t="s">
        <v>243</v>
      </c>
      <c r="E5">
        <v>2</v>
      </c>
      <c r="F5" s="79">
        <f>E5*15000</f>
        <v>30000</v>
      </c>
      <c r="G5" s="79">
        <f>E5*10000</f>
        <v>20000</v>
      </c>
      <c r="H5" s="79">
        <f>E5*5000</f>
        <v>10000</v>
      </c>
      <c r="N5" s="81"/>
      <c r="O5" s="81"/>
      <c r="P5" s="81"/>
      <c r="Q5" s="81"/>
    </row>
    <row r="6" spans="1:17" x14ac:dyDescent="0.25">
      <c r="B6" s="3">
        <v>45809</v>
      </c>
      <c r="C6" t="s">
        <v>217</v>
      </c>
      <c r="D6" t="s">
        <v>11</v>
      </c>
      <c r="E6">
        <v>8</v>
      </c>
      <c r="F6" s="79">
        <f>E6*1500</f>
        <v>12000</v>
      </c>
      <c r="G6" s="79">
        <f>E6*500</f>
        <v>4000</v>
      </c>
      <c r="H6" s="79">
        <f>E6*1000</f>
        <v>8000</v>
      </c>
      <c r="N6" s="81"/>
      <c r="O6" s="81"/>
      <c r="P6" s="81"/>
      <c r="Q6" s="81"/>
    </row>
    <row r="7" spans="1:17" x14ac:dyDescent="0.25">
      <c r="B7" s="3">
        <v>45809</v>
      </c>
      <c r="C7" t="s">
        <v>217</v>
      </c>
      <c r="D7" t="s">
        <v>13</v>
      </c>
      <c r="E7">
        <v>15</v>
      </c>
      <c r="F7" s="79">
        <f>E7*6500</f>
        <v>97500</v>
      </c>
      <c r="G7" s="79">
        <f>E7*4500</f>
        <v>67500</v>
      </c>
      <c r="H7" s="79">
        <f>E7*2500</f>
        <v>37500</v>
      </c>
      <c r="N7" s="81"/>
      <c r="O7" s="81"/>
      <c r="P7" s="81"/>
      <c r="Q7" s="81"/>
    </row>
    <row r="8" spans="1:17" x14ac:dyDescent="0.25">
      <c r="B8" s="3">
        <v>45809</v>
      </c>
      <c r="C8" t="s">
        <v>217</v>
      </c>
      <c r="D8" t="s">
        <v>14</v>
      </c>
      <c r="E8">
        <v>14</v>
      </c>
      <c r="F8" s="79">
        <f>E8*10000</f>
        <v>140000</v>
      </c>
      <c r="G8" s="79">
        <f>E8*5500</f>
        <v>77000</v>
      </c>
      <c r="H8" s="79">
        <f>E8*4500</f>
        <v>63000</v>
      </c>
      <c r="N8" s="81"/>
      <c r="O8" s="81"/>
      <c r="P8" s="81"/>
      <c r="Q8" s="81"/>
    </row>
    <row r="9" spans="1:17" x14ac:dyDescent="0.25">
      <c r="B9" s="3">
        <v>45809</v>
      </c>
      <c r="C9" t="s">
        <v>952</v>
      </c>
      <c r="D9" t="s">
        <v>243</v>
      </c>
      <c r="E9">
        <v>2</v>
      </c>
      <c r="F9" s="79">
        <v>20000</v>
      </c>
      <c r="G9" s="79">
        <v>17000</v>
      </c>
      <c r="H9" s="79">
        <v>3000</v>
      </c>
      <c r="N9" s="81"/>
      <c r="O9" s="81"/>
      <c r="P9" s="81"/>
      <c r="Q9" s="81"/>
    </row>
    <row r="10" spans="1:17" x14ac:dyDescent="0.25">
      <c r="B10" s="3">
        <v>45809</v>
      </c>
      <c r="C10" t="s">
        <v>952</v>
      </c>
      <c r="D10" t="s">
        <v>14</v>
      </c>
      <c r="E10">
        <v>25</v>
      </c>
      <c r="F10" s="79"/>
      <c r="G10" s="79"/>
      <c r="H10" s="79"/>
      <c r="N10" s="81"/>
      <c r="O10" s="81"/>
      <c r="P10" s="81"/>
      <c r="Q10" s="81"/>
    </row>
    <row r="11" spans="1:17" x14ac:dyDescent="0.25">
      <c r="B11" s="3">
        <v>45809</v>
      </c>
      <c r="C11" t="s">
        <v>846</v>
      </c>
      <c r="D11" t="s">
        <v>13</v>
      </c>
      <c r="E11">
        <v>11</v>
      </c>
      <c r="F11" s="79">
        <f>E11*8000</f>
        <v>88000</v>
      </c>
      <c r="G11" s="79">
        <f>E11*4500</f>
        <v>49500</v>
      </c>
      <c r="H11" s="79">
        <f>E11*3500</f>
        <v>38500</v>
      </c>
      <c r="N11" s="81"/>
      <c r="O11" s="81"/>
      <c r="P11" s="81"/>
      <c r="Q11" s="81"/>
    </row>
    <row r="12" spans="1:17" x14ac:dyDescent="0.25">
      <c r="B12" s="3">
        <v>45809</v>
      </c>
      <c r="C12" t="s">
        <v>846</v>
      </c>
      <c r="D12" t="s">
        <v>14</v>
      </c>
      <c r="E12">
        <v>3</v>
      </c>
      <c r="F12" s="79">
        <f>E12*12000</f>
        <v>36000</v>
      </c>
      <c r="G12" s="79">
        <f>E12*5500</f>
        <v>16500</v>
      </c>
      <c r="H12" s="79">
        <f>E12*6500</f>
        <v>19500</v>
      </c>
      <c r="N12" s="81"/>
      <c r="O12" s="81"/>
      <c r="P12" s="81"/>
      <c r="Q12" s="81"/>
    </row>
    <row r="13" spans="1:17" x14ac:dyDescent="0.25">
      <c r="B13" s="3">
        <v>45809</v>
      </c>
      <c r="C13" t="s">
        <v>846</v>
      </c>
      <c r="D13" t="s">
        <v>902</v>
      </c>
      <c r="E13">
        <v>1</v>
      </c>
      <c r="F13" s="79">
        <v>8000</v>
      </c>
      <c r="G13" s="79">
        <v>5500</v>
      </c>
      <c r="H13" s="79">
        <v>2500</v>
      </c>
      <c r="N13" s="81"/>
      <c r="O13" s="81"/>
      <c r="P13" s="81"/>
      <c r="Q13" s="81"/>
    </row>
    <row r="14" spans="1:17" x14ac:dyDescent="0.25">
      <c r="B14" s="3">
        <v>45809</v>
      </c>
      <c r="C14" t="s">
        <v>846</v>
      </c>
      <c r="D14" t="s">
        <v>919</v>
      </c>
      <c r="E14">
        <v>4</v>
      </c>
      <c r="F14" s="79">
        <f>E14*12000</f>
        <v>48000</v>
      </c>
      <c r="G14" s="79">
        <f>E14*5500</f>
        <v>22000</v>
      </c>
      <c r="H14" s="79">
        <f>E14*6500</f>
        <v>26000</v>
      </c>
      <c r="N14" s="81"/>
      <c r="O14" s="81"/>
      <c r="P14" s="81"/>
      <c r="Q14" s="81"/>
    </row>
    <row r="15" spans="1:17" x14ac:dyDescent="0.25">
      <c r="B15" s="3">
        <v>45809</v>
      </c>
      <c r="C15" t="s">
        <v>846</v>
      </c>
      <c r="D15" t="s">
        <v>918</v>
      </c>
      <c r="E15">
        <v>2</v>
      </c>
      <c r="F15" s="79">
        <v>30000</v>
      </c>
      <c r="G15" s="79">
        <v>20000</v>
      </c>
      <c r="H15" s="79">
        <v>10000</v>
      </c>
      <c r="N15" s="81"/>
      <c r="O15" s="81"/>
      <c r="P15" s="81"/>
      <c r="Q15" s="81"/>
    </row>
    <row r="16" spans="1:17" x14ac:dyDescent="0.25">
      <c r="A16" s="112" t="s">
        <v>17</v>
      </c>
      <c r="B16" s="112"/>
      <c r="C16" s="112"/>
      <c r="D16" s="112"/>
      <c r="E16" s="78">
        <f>SUM(E2:E15)</f>
        <v>181</v>
      </c>
      <c r="F16" s="78">
        <f t="shared" ref="F16:H16" si="0">SUM(F2:F15)</f>
        <v>1274500</v>
      </c>
      <c r="G16" s="78">
        <f t="shared" si="0"/>
        <v>759000</v>
      </c>
      <c r="H16" s="78">
        <f t="shared" si="0"/>
        <v>523000</v>
      </c>
      <c r="M16" s="101"/>
      <c r="N16" s="101"/>
      <c r="O16" s="101"/>
      <c r="P16" s="101"/>
      <c r="Q16" s="101"/>
    </row>
    <row r="17" spans="1:20" x14ac:dyDescent="0.25">
      <c r="A17" t="s">
        <v>30</v>
      </c>
      <c r="B17" s="3">
        <v>45810</v>
      </c>
      <c r="C17" t="s">
        <v>338</v>
      </c>
      <c r="D17" t="s">
        <v>11</v>
      </c>
      <c r="E17">
        <v>80</v>
      </c>
      <c r="F17" s="79">
        <f>E17*1500</f>
        <v>120000</v>
      </c>
      <c r="G17" s="79">
        <f>E17*500</f>
        <v>40000</v>
      </c>
      <c r="H17" s="79">
        <v>80000</v>
      </c>
    </row>
    <row r="18" spans="1:20" x14ac:dyDescent="0.25">
      <c r="B18" s="3">
        <v>45810</v>
      </c>
      <c r="C18" t="s">
        <v>571</v>
      </c>
      <c r="D18" t="s">
        <v>11</v>
      </c>
      <c r="E18">
        <v>22</v>
      </c>
      <c r="F18" s="79">
        <f>E18*1700</f>
        <v>37400</v>
      </c>
      <c r="G18" s="79">
        <f>E18*500</f>
        <v>11000</v>
      </c>
      <c r="H18" s="79">
        <f>E18*1200</f>
        <v>26400</v>
      </c>
      <c r="L18" s="102"/>
      <c r="M18" s="102"/>
      <c r="N18" s="103"/>
      <c r="R18" s="102"/>
      <c r="S18" s="102"/>
      <c r="T18" s="102"/>
    </row>
    <row r="19" spans="1:20" x14ac:dyDescent="0.25">
      <c r="B19" s="3">
        <v>45810</v>
      </c>
      <c r="C19" t="s">
        <v>104</v>
      </c>
      <c r="D19" t="s">
        <v>11</v>
      </c>
      <c r="E19">
        <v>15</v>
      </c>
      <c r="F19" s="79">
        <f>E19*1500</f>
        <v>22500</v>
      </c>
      <c r="G19" s="79">
        <f>E19*500</f>
        <v>7500</v>
      </c>
      <c r="H19" s="79">
        <v>15000</v>
      </c>
      <c r="N19" s="81"/>
      <c r="O19" s="81"/>
      <c r="P19" s="81"/>
      <c r="Q19" s="81"/>
    </row>
    <row r="20" spans="1:20" x14ac:dyDescent="0.25">
      <c r="B20" s="3">
        <v>45810</v>
      </c>
      <c r="C20" t="s">
        <v>846</v>
      </c>
      <c r="D20" t="s">
        <v>11</v>
      </c>
      <c r="E20">
        <v>5</v>
      </c>
      <c r="F20" s="79">
        <f>E20*3000</f>
        <v>15000</v>
      </c>
      <c r="G20" s="79">
        <f>E20*500</f>
        <v>2500</v>
      </c>
      <c r="H20" s="79">
        <f>E20*2500</f>
        <v>12500</v>
      </c>
      <c r="N20" s="81"/>
      <c r="O20" s="81"/>
      <c r="P20" s="81"/>
      <c r="Q20" s="81"/>
    </row>
    <row r="21" spans="1:20" x14ac:dyDescent="0.25">
      <c r="B21" s="3">
        <v>45810</v>
      </c>
      <c r="C21" t="s">
        <v>846</v>
      </c>
      <c r="D21" t="s">
        <v>902</v>
      </c>
      <c r="E21">
        <v>5</v>
      </c>
      <c r="F21" s="79">
        <f>E21*8000</f>
        <v>40000</v>
      </c>
      <c r="G21" s="79">
        <f>E21*5500</f>
        <v>27500</v>
      </c>
      <c r="H21" s="79">
        <f>E21*2500</f>
        <v>12500</v>
      </c>
      <c r="N21" s="81"/>
      <c r="O21" s="81"/>
      <c r="P21" s="81"/>
      <c r="Q21" s="81"/>
    </row>
    <row r="22" spans="1:20" x14ac:dyDescent="0.25">
      <c r="B22" s="3">
        <v>45810</v>
      </c>
      <c r="C22" t="s">
        <v>846</v>
      </c>
      <c r="D22" t="s">
        <v>436</v>
      </c>
      <c r="E22">
        <v>1</v>
      </c>
      <c r="F22" s="79">
        <v>10000</v>
      </c>
      <c r="G22" s="79">
        <v>5500</v>
      </c>
      <c r="H22" s="79">
        <v>4500</v>
      </c>
      <c r="N22" s="81"/>
      <c r="O22" s="81"/>
      <c r="P22" s="81"/>
      <c r="Q22" s="81"/>
    </row>
    <row r="23" spans="1:20" x14ac:dyDescent="0.25">
      <c r="B23" s="3">
        <v>45810</v>
      </c>
      <c r="C23" t="s">
        <v>846</v>
      </c>
      <c r="D23" t="s">
        <v>243</v>
      </c>
      <c r="E23">
        <v>1</v>
      </c>
      <c r="F23" s="79">
        <v>17000</v>
      </c>
      <c r="G23" s="79">
        <v>10000</v>
      </c>
      <c r="H23" s="79">
        <v>7000</v>
      </c>
      <c r="N23" s="81"/>
      <c r="O23" s="81"/>
      <c r="P23" s="81"/>
      <c r="Q23" s="81"/>
    </row>
    <row r="24" spans="1:20" x14ac:dyDescent="0.25">
      <c r="A24" s="112" t="s">
        <v>17</v>
      </c>
      <c r="B24" s="112"/>
      <c r="C24" s="112"/>
      <c r="D24" s="112"/>
      <c r="E24" s="78">
        <f>SUM(E17:E23)</f>
        <v>129</v>
      </c>
      <c r="F24" s="78">
        <f t="shared" ref="F24:H24" si="1">SUM(F17:F23)</f>
        <v>261900</v>
      </c>
      <c r="G24" s="78">
        <f t="shared" si="1"/>
        <v>104000</v>
      </c>
      <c r="H24" s="78">
        <f t="shared" si="1"/>
        <v>157900</v>
      </c>
      <c r="N24" s="81"/>
      <c r="O24" s="81"/>
      <c r="P24" s="81"/>
      <c r="Q24" s="81"/>
    </row>
    <row r="25" spans="1:20" x14ac:dyDescent="0.25">
      <c r="A25" t="s">
        <v>32</v>
      </c>
      <c r="B25" s="3">
        <v>45811</v>
      </c>
      <c r="C25" t="s">
        <v>338</v>
      </c>
      <c r="D25" t="s">
        <v>11</v>
      </c>
      <c r="E25">
        <v>41</v>
      </c>
      <c r="F25" s="79">
        <f>E25*1500</f>
        <v>61500</v>
      </c>
      <c r="G25" s="79">
        <f>E25*500</f>
        <v>20500</v>
      </c>
      <c r="H25" s="79">
        <f>E25*1000</f>
        <v>41000</v>
      </c>
      <c r="N25" s="81"/>
      <c r="O25" s="81"/>
      <c r="P25" s="81"/>
      <c r="Q25" s="81"/>
    </row>
    <row r="26" spans="1:20" x14ac:dyDescent="0.25">
      <c r="B26" s="3">
        <v>45811</v>
      </c>
      <c r="C26" t="s">
        <v>104</v>
      </c>
      <c r="D26" t="s">
        <v>11</v>
      </c>
      <c r="E26">
        <v>17</v>
      </c>
      <c r="F26" s="79">
        <f>E26*1500</f>
        <v>25500</v>
      </c>
      <c r="G26" s="79">
        <f>E26*500</f>
        <v>8500</v>
      </c>
      <c r="H26" s="79">
        <v>17000</v>
      </c>
      <c r="N26" s="81"/>
      <c r="O26" s="81"/>
      <c r="P26" s="81"/>
      <c r="Q26" s="81"/>
    </row>
    <row r="27" spans="1:20" x14ac:dyDescent="0.25">
      <c r="B27" s="3">
        <v>45811</v>
      </c>
      <c r="C27" t="s">
        <v>571</v>
      </c>
      <c r="D27" t="s">
        <v>11</v>
      </c>
      <c r="E27">
        <v>14</v>
      </c>
      <c r="F27" s="79">
        <f>E27*1700</f>
        <v>23800</v>
      </c>
      <c r="G27" s="79">
        <f>E27*500</f>
        <v>7000</v>
      </c>
      <c r="H27" s="79">
        <f>E27*1000</f>
        <v>14000</v>
      </c>
      <c r="N27" s="81"/>
      <c r="O27" s="81"/>
      <c r="P27" s="81"/>
      <c r="Q27" s="81"/>
    </row>
    <row r="28" spans="1:20" x14ac:dyDescent="0.25">
      <c r="B28" s="3">
        <v>45811</v>
      </c>
      <c r="C28" t="s">
        <v>581</v>
      </c>
      <c r="E28">
        <v>21</v>
      </c>
      <c r="F28" s="79">
        <f>E28*1500</f>
        <v>31500</v>
      </c>
      <c r="G28" s="79">
        <f>E28*500</f>
        <v>10500</v>
      </c>
      <c r="H28" s="79">
        <v>31000</v>
      </c>
      <c r="N28" s="81"/>
      <c r="O28" s="81"/>
      <c r="P28" s="81"/>
      <c r="Q28" s="81"/>
    </row>
    <row r="29" spans="1:20" x14ac:dyDescent="0.25">
      <c r="B29" s="3">
        <v>45811</v>
      </c>
      <c r="C29" t="s">
        <v>846</v>
      </c>
      <c r="D29" t="s">
        <v>13</v>
      </c>
      <c r="E29">
        <v>2</v>
      </c>
      <c r="F29" s="79">
        <v>16000</v>
      </c>
      <c r="G29" s="79">
        <v>9000</v>
      </c>
      <c r="H29" s="79">
        <v>7000</v>
      </c>
      <c r="N29" s="81"/>
      <c r="O29" s="81"/>
      <c r="P29" s="81"/>
      <c r="Q29" s="81"/>
    </row>
    <row r="30" spans="1:20" x14ac:dyDescent="0.25">
      <c r="B30" s="3">
        <v>45811</v>
      </c>
      <c r="C30" t="s">
        <v>846</v>
      </c>
      <c r="D30" t="s">
        <v>902</v>
      </c>
      <c r="E30">
        <v>2</v>
      </c>
      <c r="F30" s="79">
        <v>16000</v>
      </c>
      <c r="G30" s="79">
        <v>11000</v>
      </c>
      <c r="H30" s="79">
        <v>5000</v>
      </c>
      <c r="N30" s="81"/>
      <c r="O30" s="81"/>
      <c r="P30" s="81"/>
      <c r="Q30" s="81"/>
    </row>
    <row r="31" spans="1:20" x14ac:dyDescent="0.25">
      <c r="B31" s="3">
        <v>45811</v>
      </c>
      <c r="C31" t="s">
        <v>846</v>
      </c>
      <c r="D31" t="s">
        <v>918</v>
      </c>
      <c r="E31">
        <v>1</v>
      </c>
      <c r="F31" s="79">
        <v>15000</v>
      </c>
      <c r="G31" s="79">
        <v>10000</v>
      </c>
      <c r="H31" s="79">
        <v>5000</v>
      </c>
      <c r="L31" s="1"/>
      <c r="M31" s="101"/>
      <c r="N31" s="101"/>
      <c r="O31" s="101"/>
      <c r="P31" s="101"/>
      <c r="Q31" s="101"/>
      <c r="R31" s="1"/>
      <c r="S31" s="101"/>
      <c r="T31" s="1"/>
    </row>
    <row r="32" spans="1:20" x14ac:dyDescent="0.25">
      <c r="A32" s="112" t="s">
        <v>17</v>
      </c>
      <c r="B32" s="112"/>
      <c r="C32" s="112"/>
      <c r="D32" s="112"/>
      <c r="E32" s="78">
        <f>SUM(E25:E31)</f>
        <v>98</v>
      </c>
      <c r="F32" s="78">
        <f t="shared" ref="F32:H32" si="2">SUM(F25:F31)</f>
        <v>189300</v>
      </c>
      <c r="G32" s="78">
        <f t="shared" si="2"/>
        <v>76500</v>
      </c>
      <c r="H32" s="78">
        <f t="shared" si="2"/>
        <v>120000</v>
      </c>
    </row>
    <row r="33" spans="1:14" x14ac:dyDescent="0.25">
      <c r="A33" t="s">
        <v>8</v>
      </c>
      <c r="B33" s="3">
        <v>45812</v>
      </c>
      <c r="C33" t="s">
        <v>338</v>
      </c>
      <c r="D33" t="s">
        <v>11</v>
      </c>
      <c r="E33">
        <v>26</v>
      </c>
      <c r="F33" s="79">
        <f>E33*1500</f>
        <v>39000</v>
      </c>
      <c r="G33" s="79">
        <f>E33*500</f>
        <v>13000</v>
      </c>
      <c r="H33" s="79">
        <f>E33*1000</f>
        <v>26000</v>
      </c>
    </row>
    <row r="34" spans="1:14" x14ac:dyDescent="0.25">
      <c r="B34" s="3">
        <v>45812</v>
      </c>
      <c r="C34" t="s">
        <v>581</v>
      </c>
      <c r="D34" t="s">
        <v>11</v>
      </c>
      <c r="E34">
        <v>12</v>
      </c>
      <c r="F34" s="79">
        <f>E34*1500</f>
        <v>18000</v>
      </c>
      <c r="G34" s="79">
        <f>E34*500</f>
        <v>6000</v>
      </c>
      <c r="H34" s="79">
        <f>E34*1000</f>
        <v>12000</v>
      </c>
    </row>
    <row r="35" spans="1:14" x14ac:dyDescent="0.25">
      <c r="B35" s="3">
        <v>45812</v>
      </c>
      <c r="C35" t="s">
        <v>104</v>
      </c>
      <c r="D35" t="s">
        <v>11</v>
      </c>
      <c r="E35">
        <v>20</v>
      </c>
      <c r="F35" s="79">
        <f>E35*1500</f>
        <v>30000</v>
      </c>
      <c r="G35" s="79">
        <f>E35*500</f>
        <v>10000</v>
      </c>
      <c r="H35" s="79">
        <f>E35*1000</f>
        <v>20000</v>
      </c>
    </row>
    <row r="36" spans="1:14" x14ac:dyDescent="0.25">
      <c r="B36" s="3">
        <v>45812</v>
      </c>
      <c r="C36" t="s">
        <v>554</v>
      </c>
      <c r="D36" t="s">
        <v>415</v>
      </c>
      <c r="E36">
        <v>6</v>
      </c>
      <c r="F36" s="79"/>
      <c r="G36" s="79"/>
      <c r="H36" s="79"/>
      <c r="L36" s="111"/>
      <c r="M36" s="111"/>
      <c r="N36" s="111"/>
    </row>
    <row r="37" spans="1:14" x14ac:dyDescent="0.25">
      <c r="B37" s="3">
        <v>45812</v>
      </c>
      <c r="C37" t="s">
        <v>554</v>
      </c>
      <c r="D37" t="s">
        <v>432</v>
      </c>
      <c r="E37">
        <v>4</v>
      </c>
      <c r="F37" s="79"/>
      <c r="G37" s="79"/>
      <c r="H37" s="79"/>
      <c r="M37" s="143"/>
      <c r="N37" s="143"/>
    </row>
    <row r="38" spans="1:14" x14ac:dyDescent="0.25">
      <c r="B38" s="3">
        <v>45812</v>
      </c>
      <c r="C38" t="s">
        <v>952</v>
      </c>
      <c r="D38" t="s">
        <v>243</v>
      </c>
      <c r="E38">
        <v>20</v>
      </c>
      <c r="F38" s="79">
        <f>E38*12000</f>
        <v>240000</v>
      </c>
      <c r="G38" s="79">
        <f>E38*9000</f>
        <v>180000</v>
      </c>
      <c r="H38" s="79">
        <f>E38*3000</f>
        <v>60000</v>
      </c>
      <c r="M38" s="143"/>
      <c r="N38" s="143"/>
    </row>
    <row r="39" spans="1:14" x14ac:dyDescent="0.25">
      <c r="B39" s="3">
        <v>45812</v>
      </c>
      <c r="C39" t="s">
        <v>952</v>
      </c>
      <c r="D39" t="s">
        <v>14</v>
      </c>
      <c r="E39">
        <v>2</v>
      </c>
      <c r="F39" s="79"/>
      <c r="G39" s="79"/>
      <c r="H39" s="79"/>
      <c r="M39" s="143"/>
      <c r="N39" s="143"/>
    </row>
    <row r="40" spans="1:14" x14ac:dyDescent="0.25">
      <c r="B40" s="3">
        <v>45812</v>
      </c>
      <c r="C40" t="s">
        <v>952</v>
      </c>
      <c r="D40" t="s">
        <v>243</v>
      </c>
      <c r="E40">
        <v>1</v>
      </c>
      <c r="F40" s="79"/>
      <c r="G40" s="79"/>
      <c r="H40" s="79"/>
      <c r="M40" s="143"/>
      <c r="N40" s="143"/>
    </row>
    <row r="41" spans="1:14" x14ac:dyDescent="0.25">
      <c r="B41" s="3">
        <v>45812</v>
      </c>
      <c r="C41" t="s">
        <v>952</v>
      </c>
      <c r="D41" t="s">
        <v>592</v>
      </c>
      <c r="E41">
        <v>3</v>
      </c>
      <c r="F41" s="79">
        <f>E41*15000</f>
        <v>45000</v>
      </c>
      <c r="G41" s="79">
        <f>E41*10000</f>
        <v>30000</v>
      </c>
      <c r="H41" s="79">
        <v>15000</v>
      </c>
      <c r="M41" s="143"/>
      <c r="N41" s="143"/>
    </row>
    <row r="42" spans="1:14" x14ac:dyDescent="0.25">
      <c r="B42" s="3">
        <v>45812</v>
      </c>
      <c r="C42" t="s">
        <v>952</v>
      </c>
      <c r="D42" t="s">
        <v>243</v>
      </c>
      <c r="E42">
        <v>3</v>
      </c>
      <c r="F42" s="79">
        <f>E42*15000</f>
        <v>45000</v>
      </c>
      <c r="G42" s="79">
        <f>E42*10000</f>
        <v>30000</v>
      </c>
      <c r="H42" s="79">
        <v>15000</v>
      </c>
      <c r="M42" s="143"/>
      <c r="N42" s="143"/>
    </row>
    <row r="43" spans="1:14" x14ac:dyDescent="0.25">
      <c r="A43" s="112" t="s">
        <v>17</v>
      </c>
      <c r="B43" s="112"/>
      <c r="C43" s="112"/>
      <c r="D43" s="112"/>
      <c r="E43" s="78">
        <f>SUM(E33:E42)</f>
        <v>97</v>
      </c>
      <c r="F43" s="78">
        <f t="shared" ref="F43:H43" si="3">SUM(F33:F42)</f>
        <v>417000</v>
      </c>
      <c r="G43" s="78">
        <f t="shared" si="3"/>
        <v>269000</v>
      </c>
      <c r="H43" s="78">
        <f t="shared" si="3"/>
        <v>148000</v>
      </c>
      <c r="M43" s="143"/>
      <c r="N43" s="143"/>
    </row>
    <row r="44" spans="1:14" x14ac:dyDescent="0.25">
      <c r="A44" t="s">
        <v>18</v>
      </c>
      <c r="B44" s="3">
        <v>45813</v>
      </c>
      <c r="C44" t="s">
        <v>338</v>
      </c>
      <c r="D44" t="s">
        <v>11</v>
      </c>
      <c r="E44">
        <v>20</v>
      </c>
      <c r="F44" s="79">
        <f>E44*1500</f>
        <v>30000</v>
      </c>
      <c r="G44" s="79">
        <f>E44*500</f>
        <v>10000</v>
      </c>
      <c r="H44" s="79">
        <v>20000</v>
      </c>
      <c r="M44" s="143"/>
      <c r="N44" s="143"/>
    </row>
    <row r="45" spans="1:14" x14ac:dyDescent="0.25">
      <c r="B45" s="3">
        <v>45813</v>
      </c>
      <c r="C45" t="s">
        <v>571</v>
      </c>
      <c r="D45" t="s">
        <v>11</v>
      </c>
      <c r="E45">
        <v>27</v>
      </c>
      <c r="F45" s="79">
        <f>E45*1700</f>
        <v>45900</v>
      </c>
      <c r="G45" s="79">
        <f>E45*500</f>
        <v>13500</v>
      </c>
      <c r="H45" s="79">
        <f>E45*1200</f>
        <v>32400</v>
      </c>
      <c r="M45" s="143"/>
      <c r="N45" s="143"/>
    </row>
    <row r="46" spans="1:14" x14ac:dyDescent="0.25">
      <c r="B46" s="3">
        <v>45813</v>
      </c>
      <c r="C46" t="s">
        <v>104</v>
      </c>
      <c r="D46" t="s">
        <v>11</v>
      </c>
      <c r="E46">
        <v>20</v>
      </c>
      <c r="F46" s="79">
        <f>E46*1500</f>
        <v>30000</v>
      </c>
      <c r="G46" s="79">
        <f>E46*500</f>
        <v>10000</v>
      </c>
      <c r="H46" s="79">
        <v>20000</v>
      </c>
      <c r="M46" s="143"/>
      <c r="N46" s="143"/>
    </row>
    <row r="47" spans="1:14" x14ac:dyDescent="0.25">
      <c r="B47" s="3">
        <v>45813</v>
      </c>
      <c r="C47" t="s">
        <v>20</v>
      </c>
      <c r="D47" t="s">
        <v>13</v>
      </c>
      <c r="E47">
        <v>16</v>
      </c>
      <c r="F47" s="79">
        <f>E47*8000</f>
        <v>128000</v>
      </c>
      <c r="G47" s="79">
        <f>E47*4500</f>
        <v>72000</v>
      </c>
      <c r="H47" s="79">
        <f>E47*3500</f>
        <v>56000</v>
      </c>
      <c r="M47" s="143"/>
      <c r="N47" s="143"/>
    </row>
    <row r="48" spans="1:14" x14ac:dyDescent="0.25">
      <c r="B48" s="3">
        <v>45813</v>
      </c>
      <c r="C48" t="s">
        <v>846</v>
      </c>
      <c r="D48" t="s">
        <v>11</v>
      </c>
      <c r="E48">
        <v>1</v>
      </c>
      <c r="F48" s="79">
        <v>3000</v>
      </c>
      <c r="G48" s="79">
        <v>500</v>
      </c>
      <c r="H48" s="79">
        <v>2500</v>
      </c>
      <c r="M48" s="143"/>
      <c r="N48" s="143"/>
    </row>
    <row r="49" spans="1:14" x14ac:dyDescent="0.25">
      <c r="B49" s="3">
        <v>45813</v>
      </c>
      <c r="C49" t="s">
        <v>846</v>
      </c>
      <c r="D49" t="s">
        <v>13</v>
      </c>
      <c r="E49">
        <v>4</v>
      </c>
      <c r="F49" s="79">
        <f>E49*8000</f>
        <v>32000</v>
      </c>
      <c r="G49" s="79">
        <f>E49*4500</f>
        <v>18000</v>
      </c>
      <c r="H49" s="79">
        <f>E49*3500</f>
        <v>14000</v>
      </c>
      <c r="L49" s="1"/>
      <c r="M49" s="147"/>
      <c r="N49" s="147"/>
    </row>
    <row r="50" spans="1:14" x14ac:dyDescent="0.25">
      <c r="B50" s="3">
        <v>45813</v>
      </c>
      <c r="C50" t="s">
        <v>846</v>
      </c>
      <c r="D50" t="s">
        <v>14</v>
      </c>
      <c r="E50">
        <v>1</v>
      </c>
      <c r="F50" s="79"/>
      <c r="G50" s="79"/>
      <c r="H50" s="79"/>
    </row>
    <row r="51" spans="1:14" x14ac:dyDescent="0.25">
      <c r="B51" s="3">
        <v>45813</v>
      </c>
      <c r="C51" t="s">
        <v>846</v>
      </c>
      <c r="D51" t="s">
        <v>919</v>
      </c>
      <c r="E51">
        <v>5</v>
      </c>
      <c r="F51" s="79">
        <f>E51*12000</f>
        <v>60000</v>
      </c>
      <c r="G51" s="79">
        <f>E51*5500</f>
        <v>27500</v>
      </c>
      <c r="H51" s="79">
        <f>E51*6500</f>
        <v>32500</v>
      </c>
    </row>
    <row r="52" spans="1:14" x14ac:dyDescent="0.25">
      <c r="B52" s="3">
        <v>45813</v>
      </c>
      <c r="C52" t="s">
        <v>846</v>
      </c>
      <c r="D52" t="s">
        <v>918</v>
      </c>
      <c r="E52">
        <v>1</v>
      </c>
      <c r="F52" s="79">
        <v>15000</v>
      </c>
      <c r="G52" s="79">
        <v>10000</v>
      </c>
      <c r="H52" s="79">
        <v>5000</v>
      </c>
    </row>
    <row r="53" spans="1:14" x14ac:dyDescent="0.25">
      <c r="B53" s="3">
        <v>45813</v>
      </c>
      <c r="C53" t="s">
        <v>952</v>
      </c>
      <c r="D53" t="s">
        <v>243</v>
      </c>
      <c r="E53">
        <v>4</v>
      </c>
      <c r="F53" s="79">
        <f>E53*15000</f>
        <v>60000</v>
      </c>
      <c r="G53" s="79">
        <f>E53*10000</f>
        <v>40000</v>
      </c>
      <c r="H53" s="79">
        <f>E53*5000</f>
        <v>20000</v>
      </c>
    </row>
    <row r="54" spans="1:14" x14ac:dyDescent="0.25">
      <c r="A54" s="112" t="s">
        <v>17</v>
      </c>
      <c r="B54" s="112"/>
      <c r="C54" s="112"/>
      <c r="D54" s="112"/>
      <c r="E54" s="78">
        <f>SUM(E44:E53)</f>
        <v>99</v>
      </c>
      <c r="F54" s="78">
        <f t="shared" ref="F54:H54" si="4">SUM(F44:F53)</f>
        <v>403900</v>
      </c>
      <c r="G54" s="78">
        <f t="shared" si="4"/>
        <v>201500</v>
      </c>
      <c r="H54" s="78">
        <f t="shared" si="4"/>
        <v>202400</v>
      </c>
    </row>
    <row r="55" spans="1:14" x14ac:dyDescent="0.25">
      <c r="A55" t="s">
        <v>22</v>
      </c>
      <c r="B55" s="3">
        <v>45814</v>
      </c>
      <c r="C55" t="s">
        <v>217</v>
      </c>
      <c r="D55" t="s">
        <v>13</v>
      </c>
      <c r="E55">
        <v>15</v>
      </c>
    </row>
    <row r="56" spans="1:14" x14ac:dyDescent="0.25">
      <c r="B56" s="3">
        <v>45814</v>
      </c>
      <c r="C56" t="s">
        <v>846</v>
      </c>
      <c r="D56" t="s">
        <v>13</v>
      </c>
      <c r="E56">
        <v>2</v>
      </c>
      <c r="F56" s="79">
        <f>E56*8000</f>
        <v>16000</v>
      </c>
      <c r="G56" s="79">
        <f>E56*4500</f>
        <v>9000</v>
      </c>
      <c r="H56" s="79">
        <f>E56*3500</f>
        <v>7000</v>
      </c>
    </row>
    <row r="57" spans="1:14" x14ac:dyDescent="0.25">
      <c r="B57" s="3">
        <v>45814</v>
      </c>
      <c r="C57" t="s">
        <v>846</v>
      </c>
      <c r="D57" t="s">
        <v>14</v>
      </c>
      <c r="E57">
        <v>1</v>
      </c>
      <c r="F57" s="79">
        <v>12000</v>
      </c>
      <c r="G57" s="79">
        <v>5500</v>
      </c>
      <c r="H57" s="79">
        <v>6500</v>
      </c>
    </row>
    <row r="58" spans="1:14" x14ac:dyDescent="0.25">
      <c r="B58" s="3">
        <v>45814</v>
      </c>
      <c r="C58" t="s">
        <v>846</v>
      </c>
      <c r="D58" t="s">
        <v>902</v>
      </c>
      <c r="E58">
        <v>3</v>
      </c>
      <c r="F58" s="79">
        <f>E58*8000</f>
        <v>24000</v>
      </c>
      <c r="G58" s="79">
        <f>E58*5500</f>
        <v>16500</v>
      </c>
      <c r="H58" s="79">
        <f>E58*2500</f>
        <v>7500</v>
      </c>
    </row>
    <row r="59" spans="1:14" x14ac:dyDescent="0.25">
      <c r="B59" s="3">
        <v>45814</v>
      </c>
      <c r="C59" t="s">
        <v>846</v>
      </c>
      <c r="D59" t="s">
        <v>436</v>
      </c>
      <c r="E59">
        <v>1</v>
      </c>
      <c r="F59" s="79">
        <v>10000</v>
      </c>
      <c r="G59" s="79">
        <v>5500</v>
      </c>
      <c r="H59" s="79">
        <v>4500</v>
      </c>
    </row>
    <row r="60" spans="1:14" x14ac:dyDescent="0.25">
      <c r="B60" s="3">
        <v>45814</v>
      </c>
      <c r="C60" t="s">
        <v>846</v>
      </c>
      <c r="D60" t="s">
        <v>919</v>
      </c>
      <c r="E60">
        <v>3</v>
      </c>
      <c r="F60" s="79">
        <f>E60*12000</f>
        <v>36000</v>
      </c>
      <c r="G60" s="79">
        <f>E60*5500</f>
        <v>16500</v>
      </c>
      <c r="H60" s="79">
        <f>E60*6500</f>
        <v>19500</v>
      </c>
    </row>
    <row r="61" spans="1:14" x14ac:dyDescent="0.25">
      <c r="B61" s="3">
        <v>45814</v>
      </c>
      <c r="C61" t="s">
        <v>846</v>
      </c>
      <c r="D61" t="s">
        <v>630</v>
      </c>
      <c r="E61">
        <v>2</v>
      </c>
      <c r="F61" s="79">
        <v>10000</v>
      </c>
      <c r="G61" s="79">
        <v>5500</v>
      </c>
      <c r="H61" s="79">
        <v>4500</v>
      </c>
    </row>
    <row r="62" spans="1:14" x14ac:dyDescent="0.25">
      <c r="B62" s="3">
        <v>45814</v>
      </c>
      <c r="C62" t="s">
        <v>846</v>
      </c>
      <c r="D62" t="s">
        <v>243</v>
      </c>
      <c r="E62">
        <v>1</v>
      </c>
      <c r="F62" s="79">
        <v>17000</v>
      </c>
      <c r="G62" s="79">
        <v>10000</v>
      </c>
      <c r="H62" s="79">
        <v>7000</v>
      </c>
    </row>
    <row r="63" spans="1:14" x14ac:dyDescent="0.25">
      <c r="B63" s="3">
        <v>45814</v>
      </c>
      <c r="C63" t="s">
        <v>952</v>
      </c>
      <c r="D63" t="s">
        <v>243</v>
      </c>
      <c r="E63">
        <v>5</v>
      </c>
      <c r="F63" s="79">
        <f>E63*12000</f>
        <v>60000</v>
      </c>
      <c r="G63" s="79">
        <f>E63*9000</f>
        <v>45000</v>
      </c>
      <c r="H63" s="79">
        <f>E63*3000</f>
        <v>15000</v>
      </c>
    </row>
    <row r="64" spans="1:14" x14ac:dyDescent="0.25">
      <c r="A64" s="112" t="s">
        <v>17</v>
      </c>
      <c r="B64" s="112"/>
      <c r="C64" s="112"/>
      <c r="D64" s="112"/>
      <c r="E64" s="78">
        <f>SUM(E55:E63)</f>
        <v>33</v>
      </c>
      <c r="F64" s="78">
        <f t="shared" ref="F64:H64" si="5">SUM(F55:F63)</f>
        <v>185000</v>
      </c>
      <c r="G64" s="78">
        <f t="shared" si="5"/>
        <v>113500</v>
      </c>
      <c r="H64" s="78">
        <f t="shared" si="5"/>
        <v>71500</v>
      </c>
    </row>
    <row r="65" spans="1:8" x14ac:dyDescent="0.25">
      <c r="A65" t="s">
        <v>26</v>
      </c>
      <c r="B65" s="3">
        <v>45815</v>
      </c>
      <c r="C65" t="s">
        <v>338</v>
      </c>
      <c r="D65" t="s">
        <v>11</v>
      </c>
      <c r="E65">
        <v>35</v>
      </c>
      <c r="F65" s="79">
        <f>E65*1500</f>
        <v>52500</v>
      </c>
      <c r="G65" s="79">
        <f>E65*500</f>
        <v>17500</v>
      </c>
      <c r="H65" s="79">
        <f>E65*1000</f>
        <v>35000</v>
      </c>
    </row>
    <row r="66" spans="1:8" x14ac:dyDescent="0.25">
      <c r="B66" s="3">
        <v>45815</v>
      </c>
      <c r="C66" t="s">
        <v>846</v>
      </c>
      <c r="D66" t="s">
        <v>13</v>
      </c>
      <c r="E66">
        <v>7</v>
      </c>
      <c r="F66" s="79">
        <f>E66*8000</f>
        <v>56000</v>
      </c>
      <c r="G66" s="79">
        <f>E66*5500</f>
        <v>38500</v>
      </c>
      <c r="H66" s="79">
        <f>E66*3500</f>
        <v>24500</v>
      </c>
    </row>
    <row r="67" spans="1:8" x14ac:dyDescent="0.25">
      <c r="B67" s="3">
        <v>45815</v>
      </c>
      <c r="C67" t="s">
        <v>846</v>
      </c>
      <c r="D67" t="s">
        <v>14</v>
      </c>
      <c r="E67">
        <v>4</v>
      </c>
      <c r="F67" s="79">
        <f>E67*12000</f>
        <v>48000</v>
      </c>
      <c r="G67" s="79">
        <f>E67*5500</f>
        <v>22000</v>
      </c>
      <c r="H67" s="79">
        <f>E67*6500</f>
        <v>26000</v>
      </c>
    </row>
    <row r="68" spans="1:8" x14ac:dyDescent="0.25">
      <c r="B68" s="3">
        <v>45815</v>
      </c>
      <c r="C68" t="s">
        <v>846</v>
      </c>
      <c r="D68" t="s">
        <v>919</v>
      </c>
      <c r="E68">
        <v>2</v>
      </c>
      <c r="F68" s="79">
        <v>24000</v>
      </c>
      <c r="G68" s="79">
        <f>E68*5500</f>
        <v>11000</v>
      </c>
      <c r="H68" s="79">
        <f>E68*6500</f>
        <v>13000</v>
      </c>
    </row>
    <row r="69" spans="1:8" x14ac:dyDescent="0.25">
      <c r="B69" s="3">
        <v>45815</v>
      </c>
      <c r="C69" t="s">
        <v>846</v>
      </c>
      <c r="D69" t="s">
        <v>243</v>
      </c>
      <c r="E69">
        <v>2</v>
      </c>
      <c r="F69" s="79">
        <f>E69*17000</f>
        <v>34000</v>
      </c>
      <c r="G69" s="79">
        <f>E69*10000</f>
        <v>20000</v>
      </c>
      <c r="H69" s="79">
        <v>14000</v>
      </c>
    </row>
    <row r="70" spans="1:8" x14ac:dyDescent="0.25">
      <c r="B70" s="3">
        <v>45815</v>
      </c>
      <c r="C70" t="s">
        <v>952</v>
      </c>
      <c r="D70" t="s">
        <v>243</v>
      </c>
      <c r="E70">
        <v>15</v>
      </c>
      <c r="F70" s="79">
        <f>E70*12000</f>
        <v>180000</v>
      </c>
      <c r="G70" s="79">
        <f>E70*9000</f>
        <v>135000</v>
      </c>
      <c r="H70" s="79">
        <f>E70*3000</f>
        <v>45000</v>
      </c>
    </row>
    <row r="71" spans="1:8" x14ac:dyDescent="0.25">
      <c r="A71" s="112" t="s">
        <v>17</v>
      </c>
      <c r="B71" s="112"/>
      <c r="C71" s="112"/>
      <c r="D71" s="112"/>
      <c r="E71" s="78">
        <f>SUM(E65:E70)</f>
        <v>65</v>
      </c>
      <c r="F71" s="78">
        <f t="shared" ref="F71:H71" si="6">SUM(F65:F70)</f>
        <v>394500</v>
      </c>
      <c r="G71" s="78">
        <f t="shared" si="6"/>
        <v>244000</v>
      </c>
      <c r="H71" s="78">
        <f t="shared" si="6"/>
        <v>157500</v>
      </c>
    </row>
    <row r="72" spans="1:8" x14ac:dyDescent="0.25">
      <c r="A72" t="s">
        <v>28</v>
      </c>
      <c r="B72" s="3">
        <v>45816</v>
      </c>
      <c r="C72" t="s">
        <v>693</v>
      </c>
      <c r="D72" t="s">
        <v>11</v>
      </c>
      <c r="E72">
        <v>9</v>
      </c>
      <c r="F72" s="79">
        <f>E72*2000</f>
        <v>18000</v>
      </c>
      <c r="G72" s="79">
        <f>E72*500</f>
        <v>4500</v>
      </c>
      <c r="H72" s="79">
        <f>E72*1500</f>
        <v>13500</v>
      </c>
    </row>
    <row r="73" spans="1:8" x14ac:dyDescent="0.25">
      <c r="B73" s="3">
        <v>45816</v>
      </c>
      <c r="C73" t="s">
        <v>693</v>
      </c>
      <c r="D73" t="s">
        <v>13</v>
      </c>
      <c r="E73">
        <v>50</v>
      </c>
      <c r="F73" s="79">
        <f>E73*7000</f>
        <v>350000</v>
      </c>
      <c r="G73" s="79">
        <f>E73*4500</f>
        <v>225000</v>
      </c>
      <c r="H73" s="79">
        <f>E73*2500</f>
        <v>125000</v>
      </c>
    </row>
    <row r="74" spans="1:8" x14ac:dyDescent="0.25">
      <c r="B74" s="3">
        <v>45816</v>
      </c>
      <c r="C74" t="s">
        <v>693</v>
      </c>
      <c r="D74" t="s">
        <v>14</v>
      </c>
      <c r="E74">
        <v>24</v>
      </c>
      <c r="F74" s="79">
        <f>E74*1000</f>
        <v>24000</v>
      </c>
      <c r="G74" s="79">
        <f>E74*5500</f>
        <v>132000</v>
      </c>
      <c r="H74" s="79">
        <f>E74*4500</f>
        <v>108000</v>
      </c>
    </row>
    <row r="75" spans="1:8" x14ac:dyDescent="0.25">
      <c r="B75" s="3">
        <v>45816</v>
      </c>
      <c r="C75" t="s">
        <v>693</v>
      </c>
      <c r="D75" t="s">
        <v>902</v>
      </c>
      <c r="E75">
        <v>2</v>
      </c>
      <c r="F75" s="79">
        <v>14000</v>
      </c>
      <c r="G75" s="79">
        <f>E75*5500</f>
        <v>11000</v>
      </c>
      <c r="H75" s="79">
        <f>E75*1500</f>
        <v>3000</v>
      </c>
    </row>
    <row r="76" spans="1:8" x14ac:dyDescent="0.25">
      <c r="B76" s="3">
        <v>45816</v>
      </c>
      <c r="C76" t="s">
        <v>693</v>
      </c>
      <c r="D76" t="s">
        <v>243</v>
      </c>
      <c r="E76">
        <v>1</v>
      </c>
      <c r="F76" s="79">
        <v>15000</v>
      </c>
      <c r="G76" s="79">
        <v>10000</v>
      </c>
      <c r="H76" s="79">
        <v>5000</v>
      </c>
    </row>
    <row r="77" spans="1:8" x14ac:dyDescent="0.25">
      <c r="B77" s="3">
        <v>45816</v>
      </c>
      <c r="C77" t="s">
        <v>217</v>
      </c>
      <c r="D77" t="s">
        <v>11</v>
      </c>
      <c r="E77">
        <v>12</v>
      </c>
      <c r="F77" s="79">
        <f>E77*1500</f>
        <v>18000</v>
      </c>
      <c r="G77" s="79">
        <f>E77*500</f>
        <v>6000</v>
      </c>
      <c r="H77" s="79">
        <f>E77*1000</f>
        <v>12000</v>
      </c>
    </row>
    <row r="78" spans="1:8" x14ac:dyDescent="0.25">
      <c r="B78" s="3">
        <v>45816</v>
      </c>
      <c r="C78" t="s">
        <v>217</v>
      </c>
      <c r="D78" t="s">
        <v>13</v>
      </c>
      <c r="E78">
        <v>18</v>
      </c>
      <c r="F78" s="79">
        <f>E78*6500</f>
        <v>117000</v>
      </c>
      <c r="G78" s="79">
        <f>E78*4500</f>
        <v>81000</v>
      </c>
      <c r="H78" s="79">
        <f>E78*2000</f>
        <v>36000</v>
      </c>
    </row>
    <row r="79" spans="1:8" x14ac:dyDescent="0.25">
      <c r="B79" s="3">
        <v>45816</v>
      </c>
      <c r="C79" t="s">
        <v>217</v>
      </c>
      <c r="D79" t="s">
        <v>14</v>
      </c>
      <c r="E79">
        <v>20</v>
      </c>
      <c r="F79" s="79">
        <f>E79*10000</f>
        <v>200000</v>
      </c>
      <c r="G79" s="79">
        <f>E79*5500</f>
        <v>110000</v>
      </c>
      <c r="H79" s="79">
        <f>E79*4500</f>
        <v>90000</v>
      </c>
    </row>
    <row r="80" spans="1:8" x14ac:dyDescent="0.25">
      <c r="B80" s="3">
        <v>45816</v>
      </c>
      <c r="C80" t="s">
        <v>846</v>
      </c>
      <c r="D80" t="s">
        <v>13</v>
      </c>
      <c r="E80">
        <v>1</v>
      </c>
      <c r="F80" s="79">
        <v>8000</v>
      </c>
      <c r="G80" s="79">
        <v>4500</v>
      </c>
      <c r="H80" s="79">
        <v>3500</v>
      </c>
    </row>
    <row r="81" spans="1:8" x14ac:dyDescent="0.25">
      <c r="B81" s="3">
        <v>45816</v>
      </c>
      <c r="C81" t="s">
        <v>846</v>
      </c>
      <c r="D81" t="s">
        <v>919</v>
      </c>
      <c r="E81">
        <v>1</v>
      </c>
      <c r="F81" s="79">
        <v>12000</v>
      </c>
      <c r="G81" s="79">
        <v>5500</v>
      </c>
      <c r="H81" s="79">
        <v>6500</v>
      </c>
    </row>
    <row r="82" spans="1:8" x14ac:dyDescent="0.25">
      <c r="B82" s="3">
        <v>45816</v>
      </c>
      <c r="C82" t="s">
        <v>846</v>
      </c>
      <c r="D82" t="s">
        <v>902</v>
      </c>
      <c r="E82">
        <v>2</v>
      </c>
      <c r="F82" s="79">
        <v>16000</v>
      </c>
      <c r="G82" s="79">
        <v>11000</v>
      </c>
      <c r="H82" s="79">
        <f>E82*2500</f>
        <v>5000</v>
      </c>
    </row>
    <row r="83" spans="1:8" x14ac:dyDescent="0.25">
      <c r="B83" s="3">
        <v>45816</v>
      </c>
      <c r="C83" t="s">
        <v>952</v>
      </c>
      <c r="D83" t="s">
        <v>243</v>
      </c>
      <c r="E83">
        <v>10</v>
      </c>
      <c r="F83" s="79">
        <f>E83*12000</f>
        <v>120000</v>
      </c>
      <c r="G83" s="79">
        <f>E83*9000</f>
        <v>90000</v>
      </c>
      <c r="H83" s="79">
        <f>E83*3000</f>
        <v>30000</v>
      </c>
    </row>
    <row r="84" spans="1:8" x14ac:dyDescent="0.25">
      <c r="A84" s="111" t="s">
        <v>17</v>
      </c>
      <c r="B84" s="111"/>
      <c r="C84" s="111"/>
      <c r="D84" s="111"/>
      <c r="E84" s="78">
        <f>SUM(E72:E83)</f>
        <v>150</v>
      </c>
      <c r="F84" s="78">
        <f t="shared" ref="F84:H84" si="7">SUM(F72:F83)</f>
        <v>912000</v>
      </c>
      <c r="G84" s="78">
        <f t="shared" si="7"/>
        <v>690500</v>
      </c>
      <c r="H84" s="78">
        <f t="shared" si="7"/>
        <v>437500</v>
      </c>
    </row>
    <row r="85" spans="1:8" x14ac:dyDescent="0.25">
      <c r="A85" t="s">
        <v>30</v>
      </c>
      <c r="B85" s="3">
        <v>45817</v>
      </c>
      <c r="C85" t="s">
        <v>846</v>
      </c>
      <c r="D85" t="s">
        <v>11</v>
      </c>
      <c r="E85">
        <v>1</v>
      </c>
      <c r="F85" s="79">
        <v>2000</v>
      </c>
      <c r="G85" s="79">
        <v>500</v>
      </c>
      <c r="H85" s="79">
        <v>1500</v>
      </c>
    </row>
    <row r="86" spans="1:8" x14ac:dyDescent="0.25">
      <c r="B86" s="3">
        <v>45817</v>
      </c>
      <c r="C86" t="s">
        <v>846</v>
      </c>
      <c r="D86" t="s">
        <v>13</v>
      </c>
      <c r="E86">
        <v>3</v>
      </c>
      <c r="F86" s="79">
        <f>E86*8000</f>
        <v>24000</v>
      </c>
      <c r="G86" s="79">
        <f>E86*4500</f>
        <v>13500</v>
      </c>
      <c r="H86" s="79">
        <f>E86*3500</f>
        <v>10500</v>
      </c>
    </row>
    <row r="87" spans="1:8" x14ac:dyDescent="0.25">
      <c r="B87" s="3">
        <v>45817</v>
      </c>
      <c r="C87" t="s">
        <v>846</v>
      </c>
      <c r="D87" t="s">
        <v>14</v>
      </c>
      <c r="E87">
        <v>4</v>
      </c>
      <c r="F87" s="79">
        <f>E87*12000</f>
        <v>48000</v>
      </c>
      <c r="G87" s="79">
        <f>E87*5500</f>
        <v>22000</v>
      </c>
      <c r="H87" s="79">
        <f>E87*6500</f>
        <v>26000</v>
      </c>
    </row>
    <row r="88" spans="1:8" x14ac:dyDescent="0.25">
      <c r="B88" s="3">
        <v>45817</v>
      </c>
      <c r="C88" t="s">
        <v>846</v>
      </c>
      <c r="D88" t="s">
        <v>902</v>
      </c>
      <c r="E88">
        <v>4</v>
      </c>
      <c r="F88" s="79">
        <f>E88*8000</f>
        <v>32000</v>
      </c>
      <c r="G88" s="79">
        <f>E88*5500</f>
        <v>22000</v>
      </c>
      <c r="H88" s="79">
        <f>E88*2500</f>
        <v>10000</v>
      </c>
    </row>
    <row r="89" spans="1:8" x14ac:dyDescent="0.25">
      <c r="B89" s="3">
        <v>45817</v>
      </c>
      <c r="C89" t="s">
        <v>846</v>
      </c>
      <c r="D89" t="s">
        <v>918</v>
      </c>
      <c r="E89">
        <v>4</v>
      </c>
      <c r="F89" s="79">
        <f>E89*15000</f>
        <v>60000</v>
      </c>
      <c r="G89" s="79">
        <f>E89*10000</f>
        <v>40000</v>
      </c>
      <c r="H89" s="79">
        <f>E89*5000</f>
        <v>20000</v>
      </c>
    </row>
    <row r="90" spans="1:8" x14ac:dyDescent="0.25">
      <c r="B90" s="3">
        <v>45817</v>
      </c>
      <c r="C90" t="s">
        <v>846</v>
      </c>
      <c r="D90" t="s">
        <v>953</v>
      </c>
      <c r="E90">
        <v>1</v>
      </c>
      <c r="F90" s="79">
        <v>10000</v>
      </c>
      <c r="G90" s="79">
        <v>5500</v>
      </c>
      <c r="H90" s="79">
        <v>4500</v>
      </c>
    </row>
    <row r="91" spans="1:8" x14ac:dyDescent="0.25">
      <c r="B91" s="3">
        <v>45817</v>
      </c>
      <c r="C91" t="s">
        <v>846</v>
      </c>
      <c r="D91" t="s">
        <v>436</v>
      </c>
      <c r="E91">
        <v>1</v>
      </c>
      <c r="F91" s="79">
        <v>10000</v>
      </c>
      <c r="G91" s="79">
        <v>5500</v>
      </c>
      <c r="H91" s="79">
        <v>4500</v>
      </c>
    </row>
    <row r="92" spans="1:8" x14ac:dyDescent="0.25">
      <c r="B92" s="3">
        <v>45817</v>
      </c>
      <c r="C92" t="s">
        <v>846</v>
      </c>
      <c r="D92" t="s">
        <v>919</v>
      </c>
      <c r="E92">
        <v>2</v>
      </c>
      <c r="F92" s="79">
        <f>E92*12000</f>
        <v>24000</v>
      </c>
      <c r="G92" s="79">
        <f>E92*5500</f>
        <v>11000</v>
      </c>
      <c r="H92" s="79">
        <f>E92*6500</f>
        <v>13000</v>
      </c>
    </row>
    <row r="93" spans="1:8" x14ac:dyDescent="0.25">
      <c r="A93" s="112" t="s">
        <v>17</v>
      </c>
      <c r="B93" s="112"/>
      <c r="C93" s="112"/>
      <c r="D93" s="112"/>
      <c r="E93" s="78">
        <f>SUM(E85:E92)</f>
        <v>20</v>
      </c>
      <c r="F93" s="78">
        <f t="shared" ref="F93:H93" si="8">SUM(F85:F92)</f>
        <v>210000</v>
      </c>
      <c r="G93" s="78">
        <f t="shared" si="8"/>
        <v>120000</v>
      </c>
      <c r="H93" s="78">
        <f t="shared" si="8"/>
        <v>90000</v>
      </c>
    </row>
    <row r="94" spans="1:8" x14ac:dyDescent="0.25">
      <c r="A94" t="s">
        <v>32</v>
      </c>
      <c r="B94" s="3">
        <v>45818</v>
      </c>
      <c r="C94" t="s">
        <v>338</v>
      </c>
      <c r="D94" t="s">
        <v>11</v>
      </c>
      <c r="E94">
        <v>50</v>
      </c>
      <c r="F94" s="79">
        <f>E94*1500</f>
        <v>75000</v>
      </c>
      <c r="G94" s="79">
        <f>E94*500</f>
        <v>25000</v>
      </c>
      <c r="H94" s="79">
        <v>50000</v>
      </c>
    </row>
    <row r="95" spans="1:8" x14ac:dyDescent="0.25">
      <c r="B95" s="3">
        <v>45818</v>
      </c>
      <c r="C95" t="s">
        <v>571</v>
      </c>
      <c r="D95" t="s">
        <v>11</v>
      </c>
      <c r="E95">
        <v>10</v>
      </c>
      <c r="F95" s="79">
        <f>E95*1700</f>
        <v>17000</v>
      </c>
      <c r="G95" s="79">
        <f>E95*500</f>
        <v>5000</v>
      </c>
      <c r="H95" s="79">
        <f>E95*1200</f>
        <v>12000</v>
      </c>
    </row>
    <row r="96" spans="1:8" x14ac:dyDescent="0.25">
      <c r="B96" s="3">
        <v>45818</v>
      </c>
      <c r="C96" t="s">
        <v>104</v>
      </c>
      <c r="D96" t="s">
        <v>11</v>
      </c>
      <c r="E96">
        <v>20</v>
      </c>
      <c r="F96" s="79">
        <v>30000</v>
      </c>
      <c r="G96" s="79">
        <f>E96*500</f>
        <v>10000</v>
      </c>
      <c r="H96" s="79">
        <v>20000</v>
      </c>
    </row>
    <row r="97" spans="1:8" x14ac:dyDescent="0.25">
      <c r="B97" s="3">
        <v>45818</v>
      </c>
      <c r="C97" t="s">
        <v>846</v>
      </c>
      <c r="D97" t="s">
        <v>11</v>
      </c>
      <c r="E97">
        <v>2</v>
      </c>
      <c r="F97" s="79">
        <v>4000</v>
      </c>
      <c r="G97" s="79">
        <v>1000</v>
      </c>
      <c r="H97" s="79">
        <v>3000</v>
      </c>
    </row>
    <row r="98" spans="1:8" x14ac:dyDescent="0.25">
      <c r="B98" s="3">
        <v>45818</v>
      </c>
      <c r="C98" t="s">
        <v>846</v>
      </c>
      <c r="D98" t="s">
        <v>13</v>
      </c>
      <c r="E98">
        <v>1</v>
      </c>
      <c r="F98" s="79">
        <v>8000</v>
      </c>
      <c r="G98" s="79">
        <v>4500</v>
      </c>
      <c r="H98" s="79">
        <v>3500</v>
      </c>
    </row>
    <row r="99" spans="1:8" x14ac:dyDescent="0.25">
      <c r="B99" s="3">
        <v>45818</v>
      </c>
      <c r="C99" t="s">
        <v>846</v>
      </c>
      <c r="D99" t="s">
        <v>14</v>
      </c>
      <c r="E99">
        <v>3</v>
      </c>
      <c r="F99" s="79">
        <v>36000</v>
      </c>
      <c r="G99" s="79">
        <f>E99*5500</f>
        <v>16500</v>
      </c>
      <c r="H99" s="79">
        <f>E99*6500</f>
        <v>19500</v>
      </c>
    </row>
    <row r="100" spans="1:8" x14ac:dyDescent="0.25">
      <c r="B100" s="3">
        <v>45818</v>
      </c>
      <c r="C100" t="s">
        <v>846</v>
      </c>
      <c r="D100" t="s">
        <v>902</v>
      </c>
      <c r="E100">
        <v>1</v>
      </c>
      <c r="F100" s="79">
        <v>8000</v>
      </c>
      <c r="G100" s="79">
        <v>5500</v>
      </c>
      <c r="H100" s="79">
        <v>2500</v>
      </c>
    </row>
    <row r="101" spans="1:8" x14ac:dyDescent="0.25">
      <c r="B101" s="3">
        <v>45818</v>
      </c>
      <c r="C101" t="s">
        <v>846</v>
      </c>
      <c r="D101" t="s">
        <v>919</v>
      </c>
      <c r="E101">
        <v>2</v>
      </c>
      <c r="F101" s="79">
        <v>24000</v>
      </c>
      <c r="G101" s="79">
        <v>11000</v>
      </c>
      <c r="H101" s="79">
        <v>13000</v>
      </c>
    </row>
    <row r="102" spans="1:8" x14ac:dyDescent="0.25">
      <c r="B102" s="3">
        <v>45818</v>
      </c>
      <c r="C102" t="s">
        <v>846</v>
      </c>
      <c r="D102" t="s">
        <v>918</v>
      </c>
      <c r="E102">
        <v>1</v>
      </c>
      <c r="F102" s="79">
        <v>15000</v>
      </c>
      <c r="G102" s="79">
        <v>10000</v>
      </c>
      <c r="H102" s="79">
        <v>5000</v>
      </c>
    </row>
    <row r="103" spans="1:8" x14ac:dyDescent="0.25">
      <c r="B103" s="3">
        <v>45818</v>
      </c>
      <c r="C103" t="s">
        <v>846</v>
      </c>
      <c r="D103" t="s">
        <v>404</v>
      </c>
      <c r="E103">
        <v>1</v>
      </c>
      <c r="F103" s="79">
        <v>5000</v>
      </c>
      <c r="G103" s="79">
        <v>2500</v>
      </c>
      <c r="H103" s="79">
        <v>2500</v>
      </c>
    </row>
    <row r="104" spans="1:8" x14ac:dyDescent="0.25">
      <c r="B104" s="3">
        <v>45818</v>
      </c>
      <c r="C104" t="s">
        <v>952</v>
      </c>
      <c r="D104" t="s">
        <v>243</v>
      </c>
      <c r="E104">
        <v>5</v>
      </c>
      <c r="F104" s="79">
        <v>75000</v>
      </c>
      <c r="G104" s="79">
        <v>50000</v>
      </c>
      <c r="H104" s="79">
        <v>25000</v>
      </c>
    </row>
    <row r="105" spans="1:8" x14ac:dyDescent="0.25">
      <c r="A105" s="112" t="s">
        <v>17</v>
      </c>
      <c r="B105" s="112"/>
      <c r="C105" s="112"/>
      <c r="D105" s="112"/>
      <c r="E105" s="78">
        <f>SUM(E94:E104)</f>
        <v>96</v>
      </c>
      <c r="F105" s="78">
        <f t="shared" ref="F105:H105" si="9">SUM(F94:F104)</f>
        <v>297000</v>
      </c>
      <c r="G105" s="78">
        <f t="shared" si="9"/>
        <v>141000</v>
      </c>
      <c r="H105" s="78">
        <f t="shared" si="9"/>
        <v>156000</v>
      </c>
    </row>
    <row r="106" spans="1:8" x14ac:dyDescent="0.25">
      <c r="A106" t="s">
        <v>8</v>
      </c>
      <c r="B106" s="3">
        <v>45819</v>
      </c>
      <c r="C106" t="s">
        <v>338</v>
      </c>
      <c r="D106" t="s">
        <v>11</v>
      </c>
      <c r="E106">
        <v>16</v>
      </c>
      <c r="F106" s="79">
        <f>E106*1500</f>
        <v>24000</v>
      </c>
      <c r="G106" s="79">
        <f>E106*500</f>
        <v>8000</v>
      </c>
      <c r="H106" s="79">
        <f>E106*1000</f>
        <v>16000</v>
      </c>
    </row>
    <row r="107" spans="1:8" x14ac:dyDescent="0.25">
      <c r="B107" s="3">
        <v>45819</v>
      </c>
      <c r="C107" t="s">
        <v>846</v>
      </c>
      <c r="D107" t="s">
        <v>13</v>
      </c>
      <c r="E107">
        <v>1</v>
      </c>
      <c r="F107" s="79">
        <v>8000</v>
      </c>
      <c r="G107" s="79">
        <v>4500</v>
      </c>
      <c r="H107" s="79">
        <v>3500</v>
      </c>
    </row>
    <row r="108" spans="1:8" x14ac:dyDescent="0.25">
      <c r="B108" s="3">
        <v>45819</v>
      </c>
      <c r="C108" t="s">
        <v>846</v>
      </c>
      <c r="D108" t="s">
        <v>14</v>
      </c>
      <c r="E108">
        <v>3</v>
      </c>
      <c r="F108" s="79">
        <f>E108*12000</f>
        <v>36000</v>
      </c>
      <c r="G108" s="79">
        <f>E108*5500</f>
        <v>16500</v>
      </c>
      <c r="H108" s="79">
        <f>E108*6500</f>
        <v>19500</v>
      </c>
    </row>
    <row r="109" spans="1:8" x14ac:dyDescent="0.25">
      <c r="B109" s="3">
        <v>45819</v>
      </c>
      <c r="C109" t="s">
        <v>846</v>
      </c>
      <c r="D109" t="s">
        <v>902</v>
      </c>
      <c r="E109">
        <v>8</v>
      </c>
      <c r="F109" s="79">
        <f>E109*8000</f>
        <v>64000</v>
      </c>
      <c r="G109" s="79">
        <f>E109*5500</f>
        <v>44000</v>
      </c>
      <c r="H109" s="79">
        <f>E109*2500</f>
        <v>20000</v>
      </c>
    </row>
    <row r="110" spans="1:8" x14ac:dyDescent="0.25">
      <c r="B110" s="3">
        <v>45819</v>
      </c>
      <c r="C110" t="s">
        <v>846</v>
      </c>
      <c r="D110" t="s">
        <v>918</v>
      </c>
      <c r="E110">
        <v>1</v>
      </c>
      <c r="F110" s="79">
        <v>15000</v>
      </c>
      <c r="G110" s="79">
        <v>10000</v>
      </c>
      <c r="H110" s="79">
        <v>5000</v>
      </c>
    </row>
    <row r="111" spans="1:8" x14ac:dyDescent="0.25">
      <c r="B111" s="3">
        <v>45819</v>
      </c>
      <c r="C111" t="s">
        <v>846</v>
      </c>
      <c r="D111" t="s">
        <v>919</v>
      </c>
      <c r="E111">
        <v>1</v>
      </c>
      <c r="F111" s="79">
        <v>12000</v>
      </c>
      <c r="G111" s="79">
        <v>5500</v>
      </c>
      <c r="H111" s="79">
        <v>6500</v>
      </c>
    </row>
    <row r="112" spans="1:8" x14ac:dyDescent="0.25">
      <c r="B112" s="3">
        <v>45819</v>
      </c>
      <c r="C112" t="s">
        <v>952</v>
      </c>
      <c r="D112" t="s">
        <v>243</v>
      </c>
      <c r="E112">
        <v>10</v>
      </c>
      <c r="F112" s="79"/>
      <c r="G112" s="79"/>
      <c r="H112" s="79"/>
    </row>
    <row r="113" spans="1:8" x14ac:dyDescent="0.25">
      <c r="A113" s="112" t="s">
        <v>17</v>
      </c>
      <c r="B113" s="112"/>
      <c r="C113" s="112"/>
      <c r="D113" s="112"/>
      <c r="E113" s="78">
        <f>SUM(E106:E112)</f>
        <v>40</v>
      </c>
      <c r="F113" s="78">
        <f t="shared" ref="F113:H113" si="10">SUM(F106:F112)</f>
        <v>159000</v>
      </c>
      <c r="G113" s="78">
        <f t="shared" si="10"/>
        <v>88500</v>
      </c>
      <c r="H113" s="78">
        <f t="shared" si="10"/>
        <v>70500</v>
      </c>
    </row>
    <row r="114" spans="1:8" x14ac:dyDescent="0.25">
      <c r="A114" t="s">
        <v>18</v>
      </c>
      <c r="B114" s="3">
        <v>45820</v>
      </c>
      <c r="C114" t="s">
        <v>338</v>
      </c>
      <c r="D114" t="s">
        <v>11</v>
      </c>
      <c r="E114">
        <v>23</v>
      </c>
      <c r="F114" s="79">
        <f>E114*1500</f>
        <v>34500</v>
      </c>
      <c r="G114" s="79">
        <f>E114*500</f>
        <v>11500</v>
      </c>
      <c r="H114" s="79">
        <f>E114*1000</f>
        <v>23000</v>
      </c>
    </row>
    <row r="115" spans="1:8" x14ac:dyDescent="0.25">
      <c r="B115" s="3">
        <v>45820</v>
      </c>
      <c r="C115" t="s">
        <v>581</v>
      </c>
      <c r="D115" t="s">
        <v>11</v>
      </c>
      <c r="E115">
        <v>26</v>
      </c>
      <c r="F115" s="79">
        <f>E115*1500</f>
        <v>39000</v>
      </c>
      <c r="G115" s="79">
        <f>E115*500</f>
        <v>13000</v>
      </c>
      <c r="H115" s="79">
        <f>E115*1000</f>
        <v>26000</v>
      </c>
    </row>
    <row r="116" spans="1:8" x14ac:dyDescent="0.25">
      <c r="B116" s="3">
        <v>45820</v>
      </c>
      <c r="C116" t="s">
        <v>104</v>
      </c>
      <c r="D116" t="s">
        <v>11</v>
      </c>
      <c r="E116">
        <v>15</v>
      </c>
      <c r="F116" s="79">
        <f>E116*1500</f>
        <v>22500</v>
      </c>
      <c r="G116" s="79">
        <f>E116*500</f>
        <v>7500</v>
      </c>
      <c r="H116" s="79">
        <f>E116*1000</f>
        <v>15000</v>
      </c>
    </row>
    <row r="117" spans="1:8" x14ac:dyDescent="0.25">
      <c r="B117" s="3">
        <v>45820</v>
      </c>
      <c r="C117" t="s">
        <v>581</v>
      </c>
      <c r="D117" t="s">
        <v>11</v>
      </c>
      <c r="E117">
        <v>106</v>
      </c>
      <c r="F117" s="79">
        <f>E117*1500</f>
        <v>159000</v>
      </c>
      <c r="G117" s="79">
        <f>E117*500</f>
        <v>53000</v>
      </c>
      <c r="H117" s="79">
        <f>E117*1000</f>
        <v>106000</v>
      </c>
    </row>
    <row r="118" spans="1:8" x14ac:dyDescent="0.25">
      <c r="B118" s="3">
        <v>45820</v>
      </c>
      <c r="C118" t="s">
        <v>571</v>
      </c>
      <c r="D118" t="s">
        <v>11</v>
      </c>
      <c r="E118">
        <v>17</v>
      </c>
      <c r="F118" s="79">
        <f>E118*1700</f>
        <v>28900</v>
      </c>
      <c r="G118" s="79">
        <f>E118*500</f>
        <v>8500</v>
      </c>
      <c r="H118" s="79">
        <f>E118*1200</f>
        <v>20400</v>
      </c>
    </row>
    <row r="119" spans="1:8" x14ac:dyDescent="0.25">
      <c r="B119" s="3">
        <v>45820</v>
      </c>
      <c r="C119" t="s">
        <v>20</v>
      </c>
      <c r="D119" t="s">
        <v>13</v>
      </c>
      <c r="E119">
        <v>6</v>
      </c>
      <c r="F119" s="79">
        <f>E119*8000</f>
        <v>48000</v>
      </c>
      <c r="G119" s="79">
        <f>E119*4500</f>
        <v>27000</v>
      </c>
      <c r="H119" s="79">
        <f>E119*3500</f>
        <v>21000</v>
      </c>
    </row>
    <row r="120" spans="1:8" x14ac:dyDescent="0.25">
      <c r="B120" s="3">
        <v>45820</v>
      </c>
      <c r="C120" t="s">
        <v>20</v>
      </c>
      <c r="D120" t="s">
        <v>919</v>
      </c>
      <c r="E120">
        <v>1</v>
      </c>
      <c r="F120" s="79">
        <f>E120*12000</f>
        <v>12000</v>
      </c>
      <c r="G120" s="79">
        <f>E120*5500</f>
        <v>5500</v>
      </c>
      <c r="H120" s="79">
        <f>E120*6500</f>
        <v>6500</v>
      </c>
    </row>
    <row r="121" spans="1:8" x14ac:dyDescent="0.25">
      <c r="B121" s="3">
        <v>45820</v>
      </c>
      <c r="C121" t="s">
        <v>20</v>
      </c>
      <c r="D121" t="s">
        <v>927</v>
      </c>
      <c r="E121">
        <v>1</v>
      </c>
      <c r="F121" s="79">
        <f>E121*12000</f>
        <v>12000</v>
      </c>
      <c r="G121" s="79">
        <f>E121*5500</f>
        <v>5500</v>
      </c>
      <c r="H121" s="79">
        <f>E121*6500</f>
        <v>6500</v>
      </c>
    </row>
    <row r="122" spans="1:8" x14ac:dyDescent="0.25">
      <c r="B122" s="3">
        <v>45820</v>
      </c>
      <c r="C122" t="s">
        <v>20</v>
      </c>
      <c r="D122" t="s">
        <v>902</v>
      </c>
      <c r="E122">
        <v>3</v>
      </c>
      <c r="F122" s="79">
        <f>E122*8000</f>
        <v>24000</v>
      </c>
      <c r="G122" s="79">
        <f>E122*5500</f>
        <v>16500</v>
      </c>
      <c r="H122" s="79">
        <f>E122*2500</f>
        <v>7500</v>
      </c>
    </row>
    <row r="123" spans="1:8" x14ac:dyDescent="0.25">
      <c r="B123" s="3">
        <v>45820</v>
      </c>
      <c r="C123" t="s">
        <v>20</v>
      </c>
      <c r="D123" t="s">
        <v>436</v>
      </c>
      <c r="E123">
        <v>1</v>
      </c>
      <c r="F123" s="79">
        <v>10000</v>
      </c>
      <c r="G123" s="79">
        <v>5500</v>
      </c>
      <c r="H123" s="79">
        <v>4500</v>
      </c>
    </row>
    <row r="124" spans="1:8" x14ac:dyDescent="0.25">
      <c r="B124" s="3">
        <v>45820</v>
      </c>
      <c r="C124" t="s">
        <v>952</v>
      </c>
      <c r="D124" t="s">
        <v>243</v>
      </c>
      <c r="E124">
        <v>5</v>
      </c>
      <c r="F124" s="79">
        <f>E124*12000</f>
        <v>60000</v>
      </c>
      <c r="G124" s="79">
        <f>E124*9000</f>
        <v>45000</v>
      </c>
      <c r="H124" s="79">
        <f>E124*3000</f>
        <v>15000</v>
      </c>
    </row>
    <row r="125" spans="1:8" x14ac:dyDescent="0.25">
      <c r="B125" s="3">
        <v>45820</v>
      </c>
      <c r="C125" t="s">
        <v>952</v>
      </c>
      <c r="D125" t="s">
        <v>14</v>
      </c>
      <c r="E125">
        <v>5</v>
      </c>
      <c r="F125" s="79">
        <f>E125*10000</f>
        <v>50000</v>
      </c>
      <c r="G125" s="79">
        <f>E125*5500</f>
        <v>27500</v>
      </c>
      <c r="H125" s="79">
        <f>E125*4500</f>
        <v>22500</v>
      </c>
    </row>
    <row r="126" spans="1:8" x14ac:dyDescent="0.25">
      <c r="A126" s="112" t="s">
        <v>17</v>
      </c>
      <c r="B126" s="112"/>
      <c r="C126" s="112"/>
      <c r="D126" s="112"/>
      <c r="E126" s="78">
        <f>SUM(E114:E125)</f>
        <v>209</v>
      </c>
      <c r="F126" s="78">
        <f t="shared" ref="F126:H126" si="11">SUM(F114:F125)</f>
        <v>499900</v>
      </c>
      <c r="G126" s="78">
        <f t="shared" si="11"/>
        <v>226000</v>
      </c>
      <c r="H126" s="78">
        <f t="shared" si="11"/>
        <v>273900</v>
      </c>
    </row>
    <row r="127" spans="1:8" x14ac:dyDescent="0.25">
      <c r="A127" t="s">
        <v>22</v>
      </c>
      <c r="B127" s="3">
        <v>45821</v>
      </c>
      <c r="C127" t="s">
        <v>338</v>
      </c>
      <c r="D127" t="s">
        <v>11</v>
      </c>
      <c r="E127">
        <v>30</v>
      </c>
      <c r="F127" s="79">
        <f>E127*1500</f>
        <v>45000</v>
      </c>
      <c r="G127" s="79">
        <f>E127*500</f>
        <v>15000</v>
      </c>
      <c r="H127" s="79">
        <f>E127*1000</f>
        <v>30000</v>
      </c>
    </row>
    <row r="128" spans="1:8" x14ac:dyDescent="0.25">
      <c r="B128" s="3">
        <v>45821</v>
      </c>
      <c r="C128" t="s">
        <v>104</v>
      </c>
      <c r="D128" t="s">
        <v>11</v>
      </c>
      <c r="E128">
        <v>19</v>
      </c>
      <c r="F128" s="79">
        <f>E128*1500</f>
        <v>28500</v>
      </c>
      <c r="G128" s="79">
        <f>E128*500</f>
        <v>9500</v>
      </c>
      <c r="H128" s="79">
        <f>E128*1000</f>
        <v>19000</v>
      </c>
    </row>
    <row r="129" spans="1:8" x14ac:dyDescent="0.25">
      <c r="B129" s="3">
        <v>45821</v>
      </c>
      <c r="C129" t="s">
        <v>581</v>
      </c>
      <c r="D129" t="s">
        <v>11</v>
      </c>
      <c r="E129">
        <v>15</v>
      </c>
      <c r="F129" s="79">
        <f>E129*1500</f>
        <v>22500</v>
      </c>
      <c r="G129" s="79">
        <f>E129*500</f>
        <v>7500</v>
      </c>
      <c r="H129" s="79">
        <f>E129*1000</f>
        <v>15000</v>
      </c>
    </row>
    <row r="130" spans="1:8" x14ac:dyDescent="0.25">
      <c r="B130" s="3">
        <v>45821</v>
      </c>
      <c r="C130" t="s">
        <v>846</v>
      </c>
      <c r="D130" t="s">
        <v>13</v>
      </c>
      <c r="E130">
        <v>1</v>
      </c>
      <c r="F130" s="79">
        <v>8000</v>
      </c>
      <c r="G130" s="79">
        <v>4500</v>
      </c>
      <c r="H130" s="79">
        <v>3500</v>
      </c>
    </row>
    <row r="131" spans="1:8" x14ac:dyDescent="0.25">
      <c r="B131" s="3">
        <v>45821</v>
      </c>
      <c r="C131" t="s">
        <v>846</v>
      </c>
      <c r="D131" t="s">
        <v>14</v>
      </c>
      <c r="E131">
        <v>2</v>
      </c>
      <c r="F131" s="79">
        <f>E131*12000</f>
        <v>24000</v>
      </c>
      <c r="G131" s="79">
        <f>E131*5500</f>
        <v>11000</v>
      </c>
      <c r="H131" s="79">
        <f>E131*6500</f>
        <v>13000</v>
      </c>
    </row>
    <row r="132" spans="1:8" x14ac:dyDescent="0.25">
      <c r="B132" s="3">
        <v>45821</v>
      </c>
      <c r="C132" t="s">
        <v>846</v>
      </c>
      <c r="D132" t="s">
        <v>919</v>
      </c>
      <c r="E132">
        <v>2</v>
      </c>
      <c r="F132" s="79">
        <f>E132*12000</f>
        <v>24000</v>
      </c>
      <c r="G132" s="79">
        <f>E132*5500</f>
        <v>11000</v>
      </c>
      <c r="H132" s="79">
        <f>E132*6500</f>
        <v>13000</v>
      </c>
    </row>
    <row r="133" spans="1:8" x14ac:dyDescent="0.25">
      <c r="B133" s="3">
        <v>45821</v>
      </c>
      <c r="C133" t="s">
        <v>846</v>
      </c>
      <c r="D133" t="s">
        <v>902</v>
      </c>
      <c r="E133">
        <v>3</v>
      </c>
      <c r="F133" s="79">
        <f>E133*8000</f>
        <v>24000</v>
      </c>
      <c r="G133" s="79">
        <f>E133*5500</f>
        <v>16500</v>
      </c>
      <c r="H133" s="79">
        <f>E133*2500</f>
        <v>7500</v>
      </c>
    </row>
    <row r="134" spans="1:8" x14ac:dyDescent="0.25">
      <c r="B134" s="3">
        <v>45821</v>
      </c>
      <c r="C134" t="s">
        <v>952</v>
      </c>
      <c r="D134" t="s">
        <v>243</v>
      </c>
      <c r="E134">
        <v>2</v>
      </c>
      <c r="F134" s="79">
        <f>E134*17000</f>
        <v>34000</v>
      </c>
      <c r="G134" s="79">
        <f>E134*10000</f>
        <v>20000</v>
      </c>
      <c r="H134" s="79">
        <f>E134*7000</f>
        <v>14000</v>
      </c>
    </row>
    <row r="135" spans="1:8" x14ac:dyDescent="0.25">
      <c r="A135" s="112" t="s">
        <v>17</v>
      </c>
      <c r="B135" s="112"/>
      <c r="C135" s="112"/>
      <c r="D135" s="112"/>
      <c r="E135" s="78">
        <f>SUM(E127:E134)</f>
        <v>74</v>
      </c>
      <c r="F135" s="78">
        <f t="shared" ref="F135:H135" si="12">SUM(F127:F134)</f>
        <v>210000</v>
      </c>
      <c r="G135" s="78">
        <f t="shared" si="12"/>
        <v>95000</v>
      </c>
      <c r="H135" s="78">
        <f t="shared" si="12"/>
        <v>115000</v>
      </c>
    </row>
    <row r="136" spans="1:8" x14ac:dyDescent="0.25">
      <c r="A136" t="s">
        <v>26</v>
      </c>
      <c r="B136" s="3">
        <v>45822</v>
      </c>
      <c r="C136" t="s">
        <v>338</v>
      </c>
      <c r="D136" t="s">
        <v>11</v>
      </c>
      <c r="E136">
        <v>37</v>
      </c>
      <c r="F136" s="79">
        <f>E136*1500</f>
        <v>55500</v>
      </c>
      <c r="G136" s="79">
        <f>E136*500</f>
        <v>18500</v>
      </c>
      <c r="H136" s="79">
        <v>37000</v>
      </c>
    </row>
    <row r="137" spans="1:8" x14ac:dyDescent="0.25">
      <c r="B137" s="3">
        <v>45822</v>
      </c>
      <c r="C137" t="s">
        <v>954</v>
      </c>
      <c r="D137" t="s">
        <v>404</v>
      </c>
      <c r="E137">
        <v>2</v>
      </c>
      <c r="F137" s="79">
        <f>E137*4000</f>
        <v>8000</v>
      </c>
      <c r="G137" s="79">
        <v>4000</v>
      </c>
      <c r="H137" s="79">
        <v>4000</v>
      </c>
    </row>
    <row r="138" spans="1:8" x14ac:dyDescent="0.25">
      <c r="B138" s="3">
        <v>45822</v>
      </c>
      <c r="C138" t="s">
        <v>954</v>
      </c>
      <c r="D138" t="s">
        <v>13</v>
      </c>
      <c r="E138">
        <v>1</v>
      </c>
      <c r="F138" s="79">
        <v>8000</v>
      </c>
      <c r="G138" s="79">
        <v>4500</v>
      </c>
      <c r="H138" s="79">
        <v>3500</v>
      </c>
    </row>
    <row r="139" spans="1:8" x14ac:dyDescent="0.25">
      <c r="B139" s="3">
        <v>45822</v>
      </c>
      <c r="C139" t="s">
        <v>954</v>
      </c>
      <c r="D139" t="s">
        <v>14</v>
      </c>
      <c r="E139">
        <v>3</v>
      </c>
      <c r="F139" s="79">
        <f>E139*12000</f>
        <v>36000</v>
      </c>
      <c r="G139" s="79">
        <f>E139*5500</f>
        <v>16500</v>
      </c>
      <c r="H139" s="79">
        <f>E139*6500</f>
        <v>19500</v>
      </c>
    </row>
    <row r="140" spans="1:8" x14ac:dyDescent="0.25">
      <c r="B140" s="3">
        <v>45822</v>
      </c>
      <c r="C140" t="s">
        <v>954</v>
      </c>
      <c r="D140" t="s">
        <v>902</v>
      </c>
      <c r="E140">
        <v>3</v>
      </c>
      <c r="F140" s="79">
        <f>E140*8000</f>
        <v>24000</v>
      </c>
      <c r="G140" s="79">
        <f>E140*5500</f>
        <v>16500</v>
      </c>
      <c r="H140" s="79">
        <f>E140*2500</f>
        <v>7500</v>
      </c>
    </row>
    <row r="141" spans="1:8" x14ac:dyDescent="0.25">
      <c r="B141" s="3">
        <v>45822</v>
      </c>
      <c r="C141" t="s">
        <v>846</v>
      </c>
      <c r="D141" t="s">
        <v>13</v>
      </c>
      <c r="E141">
        <v>3</v>
      </c>
      <c r="F141" s="79">
        <f>E141*8000</f>
        <v>24000</v>
      </c>
      <c r="G141" s="79">
        <f>E141*4500</f>
        <v>13500</v>
      </c>
      <c r="H141" s="79">
        <f>E141*3500</f>
        <v>10500</v>
      </c>
    </row>
    <row r="142" spans="1:8" x14ac:dyDescent="0.25">
      <c r="B142" s="3">
        <v>45822</v>
      </c>
      <c r="C142" t="s">
        <v>846</v>
      </c>
      <c r="D142" t="s">
        <v>902</v>
      </c>
      <c r="E142">
        <v>4</v>
      </c>
      <c r="F142" s="79">
        <f>E142*8000</f>
        <v>32000</v>
      </c>
      <c r="G142" s="79">
        <f>E142*5500</f>
        <v>22000</v>
      </c>
      <c r="H142" s="79">
        <f>E142*2500</f>
        <v>10000</v>
      </c>
    </row>
    <row r="143" spans="1:8" x14ac:dyDescent="0.25">
      <c r="B143" s="3">
        <v>45822</v>
      </c>
      <c r="C143" t="s">
        <v>846</v>
      </c>
      <c r="D143" t="s">
        <v>919</v>
      </c>
      <c r="E143">
        <v>7</v>
      </c>
      <c r="F143" s="79">
        <f>E143*12000</f>
        <v>84000</v>
      </c>
      <c r="G143" s="79">
        <f>E143*5500</f>
        <v>38500</v>
      </c>
      <c r="H143" s="79">
        <f>E143*6500</f>
        <v>45500</v>
      </c>
    </row>
    <row r="144" spans="1:8" x14ac:dyDescent="0.25">
      <c r="B144" s="3">
        <v>45822</v>
      </c>
      <c r="C144" t="s">
        <v>846</v>
      </c>
      <c r="D144" t="s">
        <v>436</v>
      </c>
      <c r="E144">
        <v>1</v>
      </c>
      <c r="F144" s="79">
        <v>10000</v>
      </c>
      <c r="G144" s="79">
        <v>5500</v>
      </c>
      <c r="H144" s="79">
        <v>4500</v>
      </c>
    </row>
    <row r="145" spans="1:8" x14ac:dyDescent="0.25">
      <c r="B145" s="3">
        <v>45822</v>
      </c>
      <c r="C145" t="s">
        <v>955</v>
      </c>
      <c r="D145" t="s">
        <v>243</v>
      </c>
      <c r="E145">
        <v>2</v>
      </c>
      <c r="F145" s="79"/>
      <c r="G145" s="79"/>
      <c r="H145" s="79"/>
    </row>
    <row r="146" spans="1:8" x14ac:dyDescent="0.25">
      <c r="B146" s="3">
        <v>45822</v>
      </c>
      <c r="C146" t="s">
        <v>952</v>
      </c>
      <c r="D146" t="s">
        <v>243</v>
      </c>
      <c r="E146">
        <v>2</v>
      </c>
      <c r="F146" s="79">
        <v>30000</v>
      </c>
      <c r="G146" s="79">
        <v>20000</v>
      </c>
      <c r="H146" s="79">
        <v>10000</v>
      </c>
    </row>
    <row r="147" spans="1:8" x14ac:dyDescent="0.25">
      <c r="A147" s="112" t="s">
        <v>17</v>
      </c>
      <c r="B147" s="112"/>
      <c r="C147" s="112"/>
      <c r="D147" s="112"/>
      <c r="E147" s="78">
        <f>SUM(E136:E146)</f>
        <v>65</v>
      </c>
      <c r="F147" s="78">
        <f t="shared" ref="F147:H147" si="13">SUM(F136:F146)</f>
        <v>311500</v>
      </c>
      <c r="G147" s="78">
        <f t="shared" si="13"/>
        <v>159500</v>
      </c>
      <c r="H147" s="78">
        <f t="shared" si="13"/>
        <v>152000</v>
      </c>
    </row>
    <row r="148" spans="1:8" x14ac:dyDescent="0.25">
      <c r="A148" t="s">
        <v>28</v>
      </c>
      <c r="B148" s="3">
        <v>45823</v>
      </c>
      <c r="C148" t="s">
        <v>693</v>
      </c>
      <c r="D148" t="s">
        <v>13</v>
      </c>
      <c r="E148">
        <v>33</v>
      </c>
      <c r="F148" s="79">
        <f>E148*7000</f>
        <v>231000</v>
      </c>
      <c r="G148" s="79">
        <f>E148*4500</f>
        <v>148500</v>
      </c>
      <c r="H148" s="79">
        <f>E148*2500</f>
        <v>82500</v>
      </c>
    </row>
    <row r="149" spans="1:8" x14ac:dyDescent="0.25">
      <c r="B149" s="3">
        <v>45823</v>
      </c>
      <c r="C149" t="s">
        <v>693</v>
      </c>
      <c r="D149" t="s">
        <v>14</v>
      </c>
      <c r="E149">
        <v>26</v>
      </c>
      <c r="F149" s="79">
        <f>E149*10000</f>
        <v>260000</v>
      </c>
      <c r="G149" s="79">
        <f>E149*5500</f>
        <v>143000</v>
      </c>
      <c r="H149" s="79">
        <f>E149*4500</f>
        <v>117000</v>
      </c>
    </row>
    <row r="150" spans="1:8" x14ac:dyDescent="0.25">
      <c r="B150" s="3">
        <v>45823</v>
      </c>
      <c r="C150" t="s">
        <v>693</v>
      </c>
      <c r="D150" t="s">
        <v>11</v>
      </c>
      <c r="E150">
        <v>2</v>
      </c>
      <c r="F150" s="79">
        <f>E150*2000</f>
        <v>4000</v>
      </c>
      <c r="G150" s="79">
        <f>E150*500</f>
        <v>1000</v>
      </c>
      <c r="H150" s="79">
        <f>E150*1500</f>
        <v>3000</v>
      </c>
    </row>
    <row r="151" spans="1:8" x14ac:dyDescent="0.25">
      <c r="B151" s="3">
        <v>45823</v>
      </c>
      <c r="C151" t="s">
        <v>217</v>
      </c>
      <c r="D151" t="s">
        <v>11</v>
      </c>
      <c r="E151">
        <v>8</v>
      </c>
      <c r="F151" s="79">
        <f>E151*1500</f>
        <v>12000</v>
      </c>
      <c r="G151" s="79">
        <f>E151*500</f>
        <v>4000</v>
      </c>
      <c r="H151" s="79">
        <v>8000</v>
      </c>
    </row>
    <row r="152" spans="1:8" x14ac:dyDescent="0.25">
      <c r="B152" s="3">
        <v>45823</v>
      </c>
      <c r="C152" t="s">
        <v>217</v>
      </c>
      <c r="D152" t="s">
        <v>13</v>
      </c>
      <c r="E152">
        <v>15</v>
      </c>
      <c r="F152" s="79">
        <f>E152*6500</f>
        <v>97500</v>
      </c>
      <c r="G152" s="79">
        <f>E152*4500</f>
        <v>67500</v>
      </c>
      <c r="H152" s="79">
        <f>E152*2000</f>
        <v>30000</v>
      </c>
    </row>
    <row r="153" spans="1:8" x14ac:dyDescent="0.25">
      <c r="B153" s="3">
        <v>45823</v>
      </c>
      <c r="C153" t="s">
        <v>217</v>
      </c>
      <c r="D153" t="s">
        <v>14</v>
      </c>
      <c r="E153">
        <v>9</v>
      </c>
      <c r="F153" s="79">
        <f>E153*10000</f>
        <v>90000</v>
      </c>
      <c r="G153" s="79">
        <f>E153*5500</f>
        <v>49500</v>
      </c>
      <c r="H153" s="79">
        <f>E153*4500</f>
        <v>40500</v>
      </c>
    </row>
    <row r="154" spans="1:8" x14ac:dyDescent="0.25">
      <c r="B154" s="3">
        <v>45823</v>
      </c>
      <c r="C154" t="s">
        <v>217</v>
      </c>
      <c r="D154" t="s">
        <v>243</v>
      </c>
      <c r="E154">
        <v>1</v>
      </c>
      <c r="F154" s="79">
        <v>15000</v>
      </c>
      <c r="G154" s="79">
        <v>10000</v>
      </c>
      <c r="H154" s="79">
        <v>5000</v>
      </c>
    </row>
    <row r="155" spans="1:8" x14ac:dyDescent="0.25">
      <c r="B155" s="3">
        <v>45823</v>
      </c>
      <c r="C155" t="s">
        <v>954</v>
      </c>
      <c r="D155" t="s">
        <v>13</v>
      </c>
      <c r="E155">
        <v>10</v>
      </c>
      <c r="F155" s="79">
        <f>E155*8000</f>
        <v>80000</v>
      </c>
      <c r="G155" s="79">
        <f>E155*4500</f>
        <v>45000</v>
      </c>
      <c r="H155" s="79">
        <f>E155*3500</f>
        <v>35000</v>
      </c>
    </row>
    <row r="156" spans="1:8" x14ac:dyDescent="0.25">
      <c r="B156" s="3">
        <v>45823</v>
      </c>
      <c r="C156" t="s">
        <v>954</v>
      </c>
      <c r="D156" t="s">
        <v>14</v>
      </c>
      <c r="E156">
        <v>4</v>
      </c>
      <c r="F156" s="79">
        <f>E156*12000</f>
        <v>48000</v>
      </c>
      <c r="G156" s="79">
        <f>E156*5500</f>
        <v>22000</v>
      </c>
      <c r="H156" s="79">
        <f>E156*6500</f>
        <v>26000</v>
      </c>
    </row>
    <row r="157" spans="1:8" x14ac:dyDescent="0.25">
      <c r="B157" s="3">
        <v>45823</v>
      </c>
      <c r="C157" t="s">
        <v>954</v>
      </c>
      <c r="D157" t="s">
        <v>902</v>
      </c>
      <c r="E157">
        <v>7</v>
      </c>
      <c r="F157" s="79">
        <f>E157*8000</f>
        <v>56000</v>
      </c>
      <c r="G157" s="79">
        <f>E157*3500</f>
        <v>24500</v>
      </c>
      <c r="H157" s="79">
        <f>E157*2500</f>
        <v>17500</v>
      </c>
    </row>
    <row r="158" spans="1:8" x14ac:dyDescent="0.25">
      <c r="B158" s="3">
        <v>45823</v>
      </c>
      <c r="C158" t="s">
        <v>954</v>
      </c>
      <c r="D158" t="s">
        <v>404</v>
      </c>
      <c r="E158">
        <v>4</v>
      </c>
      <c r="F158" s="79">
        <f>E158*4000</f>
        <v>16000</v>
      </c>
      <c r="G158" s="79">
        <f>E158*2000</f>
        <v>8000</v>
      </c>
      <c r="H158" s="79">
        <v>8000</v>
      </c>
    </row>
    <row r="159" spans="1:8" x14ac:dyDescent="0.25">
      <c r="B159" s="3">
        <v>45823</v>
      </c>
      <c r="C159" t="s">
        <v>20</v>
      </c>
      <c r="D159" t="s">
        <v>13</v>
      </c>
      <c r="E159">
        <v>4</v>
      </c>
      <c r="F159" s="79">
        <f>E159*8000</f>
        <v>32000</v>
      </c>
      <c r="G159" s="79">
        <f>E159*4500</f>
        <v>18000</v>
      </c>
      <c r="H159" s="79">
        <f>E159*3500</f>
        <v>14000</v>
      </c>
    </row>
    <row r="160" spans="1:8" x14ac:dyDescent="0.25">
      <c r="B160" s="3">
        <v>45823</v>
      </c>
      <c r="C160" t="s">
        <v>20</v>
      </c>
      <c r="D160" t="s">
        <v>902</v>
      </c>
      <c r="E160">
        <v>1</v>
      </c>
      <c r="F160" s="79">
        <v>8000</v>
      </c>
      <c r="G160" s="79">
        <v>5500</v>
      </c>
      <c r="H160" s="79">
        <v>2500</v>
      </c>
    </row>
    <row r="161" spans="1:8" x14ac:dyDescent="0.25">
      <c r="B161" s="3">
        <v>45823</v>
      </c>
      <c r="C161" t="s">
        <v>952</v>
      </c>
      <c r="D161" t="s">
        <v>243</v>
      </c>
      <c r="E161">
        <v>5</v>
      </c>
      <c r="F161" s="79">
        <f>E161*12000</f>
        <v>60000</v>
      </c>
      <c r="G161" s="79">
        <f>E161*9000</f>
        <v>45000</v>
      </c>
      <c r="H161" s="79">
        <f>E161*3000</f>
        <v>15000</v>
      </c>
    </row>
    <row r="162" spans="1:8" x14ac:dyDescent="0.25">
      <c r="A162" s="112" t="s">
        <v>17</v>
      </c>
      <c r="B162" s="112"/>
      <c r="C162" s="112"/>
      <c r="D162" s="112"/>
      <c r="E162" s="78">
        <f>SUM(E148:E161)</f>
        <v>129</v>
      </c>
      <c r="F162" s="78">
        <f t="shared" ref="F162:H162" si="14">SUM(F148:F161)</f>
        <v>1009500</v>
      </c>
      <c r="G162" s="78">
        <f t="shared" si="14"/>
        <v>591500</v>
      </c>
      <c r="H162" s="78">
        <f t="shared" si="14"/>
        <v>404000</v>
      </c>
    </row>
    <row r="163" spans="1:8" x14ac:dyDescent="0.25">
      <c r="A163" t="s">
        <v>30</v>
      </c>
      <c r="B163" s="3">
        <v>45824</v>
      </c>
      <c r="C163" t="s">
        <v>954</v>
      </c>
      <c r="D163" t="s">
        <v>13</v>
      </c>
      <c r="E163">
        <v>2</v>
      </c>
      <c r="F163" s="79">
        <f>E163*8000</f>
        <v>16000</v>
      </c>
      <c r="G163" s="79">
        <f>E163*4500</f>
        <v>9000</v>
      </c>
      <c r="H163" s="79">
        <f>E163*3500</f>
        <v>7000</v>
      </c>
    </row>
    <row r="164" spans="1:8" x14ac:dyDescent="0.25">
      <c r="B164" s="3">
        <v>45824</v>
      </c>
      <c r="C164" t="s">
        <v>954</v>
      </c>
      <c r="D164" t="s">
        <v>14</v>
      </c>
      <c r="E164">
        <v>1</v>
      </c>
      <c r="F164" s="79">
        <v>12000</v>
      </c>
      <c r="G164" s="79">
        <v>5500</v>
      </c>
      <c r="H164" s="79">
        <v>6500</v>
      </c>
    </row>
    <row r="165" spans="1:8" x14ac:dyDescent="0.25">
      <c r="B165" s="3">
        <v>45824</v>
      </c>
      <c r="C165" t="s">
        <v>954</v>
      </c>
      <c r="D165" t="s">
        <v>902</v>
      </c>
      <c r="E165">
        <v>8</v>
      </c>
      <c r="F165" s="79">
        <f>E165*8000</f>
        <v>64000</v>
      </c>
      <c r="G165" s="79">
        <f>E165*5500</f>
        <v>44000</v>
      </c>
      <c r="H165" s="79">
        <f>E165*2500</f>
        <v>20000</v>
      </c>
    </row>
    <row r="166" spans="1:8" x14ac:dyDescent="0.25">
      <c r="B166" s="3">
        <v>45824</v>
      </c>
      <c r="C166" t="s">
        <v>952</v>
      </c>
      <c r="D166" t="s">
        <v>243</v>
      </c>
      <c r="E166">
        <v>5</v>
      </c>
      <c r="F166" s="79">
        <f>E166*12000</f>
        <v>60000</v>
      </c>
      <c r="G166" s="79">
        <f>E166*9000</f>
        <v>45000</v>
      </c>
      <c r="H166" s="79">
        <f>E166*3000</f>
        <v>15000</v>
      </c>
    </row>
    <row r="167" spans="1:8" x14ac:dyDescent="0.25">
      <c r="B167" s="3">
        <v>45824</v>
      </c>
      <c r="C167" t="s">
        <v>104</v>
      </c>
      <c r="D167" t="s">
        <v>11</v>
      </c>
      <c r="E167">
        <v>20</v>
      </c>
      <c r="F167" s="79">
        <f>E167*1500</f>
        <v>30000</v>
      </c>
      <c r="G167" s="79">
        <f>E167*500</f>
        <v>10000</v>
      </c>
      <c r="H167" s="79">
        <v>20000</v>
      </c>
    </row>
    <row r="168" spans="1:8" x14ac:dyDescent="0.25">
      <c r="A168" s="112" t="s">
        <v>17</v>
      </c>
      <c r="B168" s="112"/>
      <c r="C168" s="112"/>
      <c r="D168" s="112"/>
      <c r="E168" s="78">
        <f>SUM(E163:E167)</f>
        <v>36</v>
      </c>
      <c r="F168" s="78">
        <f t="shared" ref="F168:H168" si="15">SUM(F163:F167)</f>
        <v>182000</v>
      </c>
      <c r="G168" s="78">
        <f t="shared" si="15"/>
        <v>113500</v>
      </c>
      <c r="H168" s="78">
        <f t="shared" si="15"/>
        <v>68500</v>
      </c>
    </row>
    <row r="169" spans="1:8" x14ac:dyDescent="0.25">
      <c r="A169" t="s">
        <v>32</v>
      </c>
      <c r="B169" s="3">
        <v>45825</v>
      </c>
      <c r="C169" t="s">
        <v>338</v>
      </c>
      <c r="D169" t="s">
        <v>11</v>
      </c>
      <c r="E169">
        <v>43</v>
      </c>
      <c r="F169" s="79">
        <f>E169*1500</f>
        <v>64500</v>
      </c>
      <c r="G169" s="79">
        <f>E169*500</f>
        <v>21500</v>
      </c>
      <c r="H169" s="79">
        <v>43000</v>
      </c>
    </row>
    <row r="170" spans="1:8" x14ac:dyDescent="0.25">
      <c r="B170" s="3">
        <v>45825</v>
      </c>
      <c r="C170" t="s">
        <v>571</v>
      </c>
      <c r="D170" t="s">
        <v>11</v>
      </c>
      <c r="E170">
        <f>21+19</f>
        <v>40</v>
      </c>
      <c r="F170" s="79">
        <f>E170*1700</f>
        <v>68000</v>
      </c>
      <c r="G170" s="79">
        <f>E170*500</f>
        <v>20000</v>
      </c>
      <c r="H170" s="79">
        <f>E170*1200</f>
        <v>48000</v>
      </c>
    </row>
    <row r="171" spans="1:8" x14ac:dyDescent="0.25">
      <c r="B171" s="3">
        <v>45825</v>
      </c>
      <c r="C171" t="s">
        <v>104</v>
      </c>
      <c r="D171" t="s">
        <v>11</v>
      </c>
      <c r="E171">
        <v>20</v>
      </c>
      <c r="F171" s="79">
        <f>E171*1500</f>
        <v>30000</v>
      </c>
      <c r="G171" s="79">
        <f>E171*500</f>
        <v>10000</v>
      </c>
      <c r="H171" s="79">
        <v>20000</v>
      </c>
    </row>
    <row r="172" spans="1:8" x14ac:dyDescent="0.25">
      <c r="B172" s="3">
        <v>45825</v>
      </c>
      <c r="C172" t="s">
        <v>954</v>
      </c>
      <c r="D172" t="s">
        <v>11</v>
      </c>
      <c r="E172">
        <v>1</v>
      </c>
      <c r="F172" s="79">
        <v>3000</v>
      </c>
      <c r="G172" s="79">
        <f>E172*500</f>
        <v>500</v>
      </c>
      <c r="H172" s="79">
        <v>2500</v>
      </c>
    </row>
    <row r="173" spans="1:8" x14ac:dyDescent="0.25">
      <c r="B173" s="3">
        <v>45825</v>
      </c>
      <c r="C173" t="s">
        <v>954</v>
      </c>
      <c r="D173" t="s">
        <v>13</v>
      </c>
      <c r="E173">
        <v>2</v>
      </c>
      <c r="F173" s="79">
        <v>8000</v>
      </c>
      <c r="G173" s="79">
        <v>4500</v>
      </c>
      <c r="H173" s="79">
        <v>3500</v>
      </c>
    </row>
    <row r="174" spans="1:8" x14ac:dyDescent="0.25">
      <c r="B174" s="3">
        <v>45825</v>
      </c>
      <c r="C174" t="s">
        <v>954</v>
      </c>
      <c r="D174" t="s">
        <v>902</v>
      </c>
      <c r="E174">
        <v>4</v>
      </c>
      <c r="F174" s="79">
        <f>E174*8000</f>
        <v>32000</v>
      </c>
      <c r="G174" s="79">
        <f>E174*5500</f>
        <v>22000</v>
      </c>
      <c r="H174" s="79">
        <f>E174*2500</f>
        <v>10000</v>
      </c>
    </row>
    <row r="175" spans="1:8" x14ac:dyDescent="0.25">
      <c r="B175" s="3">
        <v>45825</v>
      </c>
      <c r="C175" t="s">
        <v>846</v>
      </c>
      <c r="D175" t="s">
        <v>13</v>
      </c>
      <c r="E175">
        <v>1</v>
      </c>
      <c r="F175" s="79">
        <v>8000</v>
      </c>
      <c r="G175" s="79">
        <v>4500</v>
      </c>
      <c r="H175" s="79">
        <v>3500</v>
      </c>
    </row>
    <row r="176" spans="1:8" x14ac:dyDescent="0.25">
      <c r="B176" s="3">
        <v>45825</v>
      </c>
      <c r="C176" t="s">
        <v>846</v>
      </c>
      <c r="D176" t="s">
        <v>14</v>
      </c>
      <c r="E176">
        <v>1</v>
      </c>
      <c r="F176" s="79">
        <v>12000</v>
      </c>
      <c r="G176" s="79">
        <v>5500</v>
      </c>
      <c r="H176" s="79">
        <v>6500</v>
      </c>
    </row>
    <row r="177" spans="1:8" x14ac:dyDescent="0.25">
      <c r="B177" s="3">
        <v>45825</v>
      </c>
      <c r="C177" t="s">
        <v>846</v>
      </c>
      <c r="D177" t="s">
        <v>919</v>
      </c>
      <c r="E177">
        <v>4</v>
      </c>
      <c r="F177" s="79">
        <v>12000</v>
      </c>
      <c r="G177" s="79">
        <v>5500</v>
      </c>
      <c r="H177" s="79">
        <v>6500</v>
      </c>
    </row>
    <row r="178" spans="1:8" x14ac:dyDescent="0.25">
      <c r="B178" s="3">
        <v>45825</v>
      </c>
      <c r="C178" t="s">
        <v>846</v>
      </c>
      <c r="D178" t="s">
        <v>902</v>
      </c>
      <c r="E178">
        <v>2</v>
      </c>
      <c r="F178" s="79">
        <v>16000</v>
      </c>
      <c r="G178" s="79">
        <v>11000</v>
      </c>
      <c r="H178" s="79">
        <v>5000</v>
      </c>
    </row>
    <row r="179" spans="1:8" x14ac:dyDescent="0.25">
      <c r="B179" s="3">
        <v>45825</v>
      </c>
      <c r="C179" t="s">
        <v>952</v>
      </c>
      <c r="D179" t="s">
        <v>592</v>
      </c>
      <c r="E179">
        <v>2</v>
      </c>
      <c r="F179" s="79"/>
      <c r="G179" s="79">
        <v>0</v>
      </c>
      <c r="H179" s="79"/>
    </row>
    <row r="180" spans="1:8" x14ac:dyDescent="0.25">
      <c r="B180" s="3">
        <v>45825</v>
      </c>
      <c r="C180" t="s">
        <v>955</v>
      </c>
      <c r="D180" t="s">
        <v>243</v>
      </c>
      <c r="E180">
        <v>4</v>
      </c>
      <c r="F180" s="79"/>
      <c r="G180" s="79">
        <v>0</v>
      </c>
      <c r="H180" s="79"/>
    </row>
    <row r="181" spans="1:8" x14ac:dyDescent="0.25">
      <c r="A181" s="112" t="s">
        <v>17</v>
      </c>
      <c r="B181" s="112"/>
      <c r="C181" s="112"/>
      <c r="D181" s="112"/>
      <c r="E181" s="78">
        <f>SUM(E169:E180)</f>
        <v>124</v>
      </c>
      <c r="F181" s="78">
        <f t="shared" ref="F181:G181" si="16">SUM(F169:F180)</f>
        <v>253500</v>
      </c>
      <c r="G181" s="78">
        <f t="shared" si="16"/>
        <v>105000</v>
      </c>
      <c r="H181" s="78">
        <f>SUM(H169:H180)</f>
        <v>148500</v>
      </c>
    </row>
    <row r="182" spans="1:8" x14ac:dyDescent="0.25">
      <c r="A182" t="s">
        <v>8</v>
      </c>
      <c r="B182" s="3">
        <v>45826</v>
      </c>
      <c r="C182" t="s">
        <v>338</v>
      </c>
      <c r="D182" t="s">
        <v>11</v>
      </c>
      <c r="E182">
        <v>43</v>
      </c>
      <c r="F182" s="79">
        <f>E182*1500</f>
        <v>64500</v>
      </c>
      <c r="G182" s="79">
        <f>E182*500</f>
        <v>21500</v>
      </c>
      <c r="H182" s="79">
        <v>43000</v>
      </c>
    </row>
    <row r="183" spans="1:8" x14ac:dyDescent="0.25">
      <c r="B183" s="3">
        <v>45826</v>
      </c>
      <c r="C183" t="s">
        <v>571</v>
      </c>
      <c r="D183" t="s">
        <v>11</v>
      </c>
      <c r="E183">
        <v>17</v>
      </c>
      <c r="F183" s="79">
        <f>E183*1700</f>
        <v>28900</v>
      </c>
      <c r="G183" s="79">
        <f>E183*500</f>
        <v>8500</v>
      </c>
      <c r="H183" s="79">
        <f>E183*1200</f>
        <v>20400</v>
      </c>
    </row>
    <row r="184" spans="1:8" x14ac:dyDescent="0.25">
      <c r="B184" s="3">
        <v>45826</v>
      </c>
      <c r="C184" t="s">
        <v>581</v>
      </c>
      <c r="D184" t="s">
        <v>11</v>
      </c>
      <c r="E184">
        <f>21+17</f>
        <v>38</v>
      </c>
      <c r="F184" s="79">
        <f>E184*1500</f>
        <v>57000</v>
      </c>
      <c r="G184" s="79">
        <f>E184*500</f>
        <v>19000</v>
      </c>
      <c r="H184" s="79">
        <v>38000</v>
      </c>
    </row>
    <row r="185" spans="1:8" x14ac:dyDescent="0.25">
      <c r="B185" s="3">
        <v>45826</v>
      </c>
      <c r="C185" t="s">
        <v>954</v>
      </c>
      <c r="D185" t="s">
        <v>13</v>
      </c>
      <c r="E185">
        <v>1</v>
      </c>
      <c r="F185" s="79">
        <v>8000</v>
      </c>
      <c r="G185" s="79">
        <v>4500</v>
      </c>
      <c r="H185" s="79">
        <v>3500</v>
      </c>
    </row>
    <row r="186" spans="1:8" x14ac:dyDescent="0.25">
      <c r="B186" s="3">
        <v>45826</v>
      </c>
      <c r="C186" t="s">
        <v>954</v>
      </c>
      <c r="D186" t="s">
        <v>902</v>
      </c>
      <c r="E186">
        <v>8</v>
      </c>
      <c r="F186" s="79">
        <f>E186*8000</f>
        <v>64000</v>
      </c>
      <c r="G186" s="79">
        <f>E186*5500</f>
        <v>44000</v>
      </c>
      <c r="H186" s="79">
        <f>E186*2500</f>
        <v>20000</v>
      </c>
    </row>
    <row r="187" spans="1:8" x14ac:dyDescent="0.25">
      <c r="B187" s="3">
        <v>45826</v>
      </c>
      <c r="C187" t="s">
        <v>846</v>
      </c>
      <c r="D187" t="s">
        <v>13</v>
      </c>
      <c r="E187">
        <v>7</v>
      </c>
      <c r="F187" s="79">
        <f>E187*8000</f>
        <v>56000</v>
      </c>
      <c r="G187" s="79">
        <f>E187*4500</f>
        <v>31500</v>
      </c>
      <c r="H187" s="79">
        <f>E187*3500</f>
        <v>24500</v>
      </c>
    </row>
    <row r="188" spans="1:8" x14ac:dyDescent="0.25">
      <c r="B188" s="3">
        <v>45826</v>
      </c>
      <c r="C188" t="s">
        <v>846</v>
      </c>
      <c r="D188" t="s">
        <v>919</v>
      </c>
      <c r="E188">
        <v>2</v>
      </c>
      <c r="F188" s="79">
        <f>E188*12000</f>
        <v>24000</v>
      </c>
      <c r="G188" s="79">
        <f>E188*5500</f>
        <v>11000</v>
      </c>
      <c r="H188" s="79">
        <f>E188*6500</f>
        <v>13000</v>
      </c>
    </row>
    <row r="189" spans="1:8" x14ac:dyDescent="0.25">
      <c r="B189" s="3">
        <v>45826</v>
      </c>
      <c r="C189" t="s">
        <v>846</v>
      </c>
      <c r="D189" t="s">
        <v>927</v>
      </c>
      <c r="E189">
        <v>2</v>
      </c>
      <c r="F189" s="79">
        <f>E189*12000</f>
        <v>24000</v>
      </c>
      <c r="G189" s="79">
        <f>E189*5500</f>
        <v>11000</v>
      </c>
      <c r="H189" s="79">
        <f>E189*6500</f>
        <v>13000</v>
      </c>
    </row>
    <row r="190" spans="1:8" x14ac:dyDescent="0.25">
      <c r="B190" s="3">
        <v>45826</v>
      </c>
      <c r="C190" t="s">
        <v>846</v>
      </c>
      <c r="D190" t="s">
        <v>14</v>
      </c>
      <c r="E190">
        <v>2</v>
      </c>
      <c r="F190" s="79">
        <f>E190*12000</f>
        <v>24000</v>
      </c>
      <c r="G190" s="79">
        <f>E190*5500</f>
        <v>11000</v>
      </c>
      <c r="H190" s="79">
        <f>E190*6500</f>
        <v>13000</v>
      </c>
    </row>
    <row r="191" spans="1:8" x14ac:dyDescent="0.25">
      <c r="B191" s="3">
        <v>45826</v>
      </c>
      <c r="C191" t="s">
        <v>952</v>
      </c>
      <c r="D191" t="s">
        <v>243</v>
      </c>
      <c r="E191">
        <v>4</v>
      </c>
      <c r="F191" s="79">
        <f>E191*15000</f>
        <v>60000</v>
      </c>
      <c r="G191" s="79">
        <f>E191*10000</f>
        <v>40000</v>
      </c>
      <c r="H191" s="79">
        <f>E191*5000</f>
        <v>20000</v>
      </c>
    </row>
    <row r="192" spans="1:8" x14ac:dyDescent="0.25">
      <c r="A192" s="112" t="s">
        <v>17</v>
      </c>
      <c r="B192" s="112"/>
      <c r="C192" s="112"/>
      <c r="D192" s="112"/>
      <c r="E192" s="78">
        <f>SUM(E182:E191)</f>
        <v>124</v>
      </c>
      <c r="F192" s="78">
        <f t="shared" ref="F192:H192" si="17">SUM(F182:F191)</f>
        <v>410400</v>
      </c>
      <c r="G192" s="78">
        <f t="shared" si="17"/>
        <v>202000</v>
      </c>
      <c r="H192" s="78">
        <f t="shared" si="17"/>
        <v>208400</v>
      </c>
    </row>
    <row r="193" spans="1:8" x14ac:dyDescent="0.25">
      <c r="A193" t="s">
        <v>18</v>
      </c>
      <c r="B193" s="3">
        <v>45827</v>
      </c>
      <c r="C193" t="s">
        <v>338</v>
      </c>
      <c r="D193" t="s">
        <v>11</v>
      </c>
      <c r="E193">
        <f>47+42</f>
        <v>89</v>
      </c>
      <c r="F193" s="79">
        <f>E193*1500</f>
        <v>133500</v>
      </c>
      <c r="G193" s="79">
        <f>E193*500</f>
        <v>44500</v>
      </c>
      <c r="H193" s="79">
        <f>E193*1000</f>
        <v>89000</v>
      </c>
    </row>
    <row r="194" spans="1:8" x14ac:dyDescent="0.25">
      <c r="B194" s="3">
        <v>45827</v>
      </c>
      <c r="C194" t="s">
        <v>104</v>
      </c>
      <c r="D194" t="s">
        <v>11</v>
      </c>
      <c r="E194">
        <v>3</v>
      </c>
      <c r="F194" s="79">
        <f>E194*1500</f>
        <v>4500</v>
      </c>
      <c r="G194" s="79">
        <f>E194*500</f>
        <v>1500</v>
      </c>
      <c r="H194" s="79">
        <v>3000</v>
      </c>
    </row>
    <row r="195" spans="1:8" x14ac:dyDescent="0.25">
      <c r="B195" s="3">
        <v>45827</v>
      </c>
      <c r="C195" t="s">
        <v>571</v>
      </c>
      <c r="D195" t="s">
        <v>11</v>
      </c>
      <c r="E195">
        <v>12</v>
      </c>
      <c r="F195" s="79">
        <f>E195*1700</f>
        <v>20400</v>
      </c>
      <c r="G195" s="79">
        <f>E195*500</f>
        <v>6000</v>
      </c>
      <c r="H195" s="79">
        <f>E195*1200</f>
        <v>14400</v>
      </c>
    </row>
    <row r="196" spans="1:8" x14ac:dyDescent="0.25">
      <c r="B196" s="3">
        <v>45827</v>
      </c>
      <c r="C196" t="s">
        <v>954</v>
      </c>
      <c r="D196" t="s">
        <v>13</v>
      </c>
      <c r="E196">
        <v>1</v>
      </c>
      <c r="F196" s="79">
        <v>8000</v>
      </c>
      <c r="G196" s="79">
        <v>4500</v>
      </c>
      <c r="H196" s="79">
        <v>3500</v>
      </c>
    </row>
    <row r="197" spans="1:8" x14ac:dyDescent="0.25">
      <c r="B197" s="3">
        <v>45827</v>
      </c>
      <c r="C197" t="s">
        <v>954</v>
      </c>
      <c r="D197" t="s">
        <v>902</v>
      </c>
      <c r="E197">
        <v>5</v>
      </c>
      <c r="F197" s="79">
        <f>E197*8000</f>
        <v>40000</v>
      </c>
      <c r="G197" s="79">
        <f>E197*5500</f>
        <v>27500</v>
      </c>
      <c r="H197" s="79">
        <f>E197*2500</f>
        <v>12500</v>
      </c>
    </row>
    <row r="198" spans="1:8" x14ac:dyDescent="0.25">
      <c r="B198" s="3">
        <v>45827</v>
      </c>
      <c r="C198" t="s">
        <v>846</v>
      </c>
      <c r="D198" t="s">
        <v>13</v>
      </c>
      <c r="E198">
        <v>4</v>
      </c>
      <c r="F198" s="79">
        <f>E198*8000</f>
        <v>32000</v>
      </c>
      <c r="G198" s="79">
        <f>E198*4500</f>
        <v>18000</v>
      </c>
      <c r="H198" s="79">
        <f>E198*3500</f>
        <v>14000</v>
      </c>
    </row>
    <row r="199" spans="1:8" x14ac:dyDescent="0.25">
      <c r="B199" s="3">
        <v>45827</v>
      </c>
      <c r="C199" t="s">
        <v>846</v>
      </c>
      <c r="D199" t="s">
        <v>14</v>
      </c>
      <c r="E199">
        <v>6</v>
      </c>
      <c r="F199" s="79">
        <f>E199*12000</f>
        <v>72000</v>
      </c>
      <c r="G199" s="79">
        <f>E199*5500</f>
        <v>33000</v>
      </c>
      <c r="H199" s="79">
        <f>E199*6500</f>
        <v>39000</v>
      </c>
    </row>
    <row r="200" spans="1:8" x14ac:dyDescent="0.25">
      <c r="B200" s="3">
        <v>45827</v>
      </c>
      <c r="C200" t="s">
        <v>846</v>
      </c>
      <c r="D200" t="s">
        <v>902</v>
      </c>
      <c r="E200">
        <v>1</v>
      </c>
      <c r="F200" s="79">
        <v>8000</v>
      </c>
      <c r="G200" s="79">
        <v>5500</v>
      </c>
      <c r="H200" s="79">
        <v>2500</v>
      </c>
    </row>
    <row r="201" spans="1:8" x14ac:dyDescent="0.25">
      <c r="B201" s="3">
        <v>45827</v>
      </c>
      <c r="C201" t="s">
        <v>952</v>
      </c>
      <c r="D201" t="s">
        <v>243</v>
      </c>
      <c r="E201">
        <v>1</v>
      </c>
      <c r="F201" s="79">
        <v>12000</v>
      </c>
      <c r="G201" s="79">
        <v>10000</v>
      </c>
      <c r="H201" s="79">
        <v>2000</v>
      </c>
    </row>
    <row r="202" spans="1:8" x14ac:dyDescent="0.25">
      <c r="A202" s="112" t="s">
        <v>17</v>
      </c>
      <c r="B202" s="112"/>
      <c r="C202" s="112"/>
      <c r="D202" s="112"/>
      <c r="E202" s="78">
        <f>SUM(E193:E201)</f>
        <v>122</v>
      </c>
      <c r="F202" s="78">
        <f t="shared" ref="F202:H202" si="18">SUM(F193:F201)</f>
        <v>330400</v>
      </c>
      <c r="G202" s="78">
        <f t="shared" si="18"/>
        <v>150500</v>
      </c>
      <c r="H202" s="78">
        <f t="shared" si="18"/>
        <v>179900</v>
      </c>
    </row>
    <row r="203" spans="1:8" x14ac:dyDescent="0.25">
      <c r="A203" t="s">
        <v>22</v>
      </c>
      <c r="B203" s="3">
        <v>45828</v>
      </c>
      <c r="C203" t="s">
        <v>20</v>
      </c>
      <c r="D203" t="s">
        <v>902</v>
      </c>
      <c r="E203">
        <v>4</v>
      </c>
      <c r="F203" s="79">
        <f>E203*8000</f>
        <v>32000</v>
      </c>
      <c r="G203" s="79">
        <f>E203*5500</f>
        <v>22000</v>
      </c>
      <c r="H203" s="79">
        <f>E203*2500</f>
        <v>10000</v>
      </c>
    </row>
    <row r="204" spans="1:8" x14ac:dyDescent="0.25">
      <c r="C204" t="s">
        <v>20</v>
      </c>
      <c r="D204" t="s">
        <v>956</v>
      </c>
      <c r="E204">
        <v>1</v>
      </c>
      <c r="F204" s="79">
        <v>10000</v>
      </c>
      <c r="G204" s="79">
        <v>5500</v>
      </c>
      <c r="H204" s="79">
        <v>4500</v>
      </c>
    </row>
    <row r="205" spans="1:8" x14ac:dyDescent="0.25">
      <c r="C205" t="s">
        <v>20</v>
      </c>
      <c r="D205" t="s">
        <v>404</v>
      </c>
      <c r="E205">
        <v>3</v>
      </c>
      <c r="F205" s="79">
        <f>E205*4000</f>
        <v>12000</v>
      </c>
      <c r="G205" s="79">
        <v>6000</v>
      </c>
      <c r="H205" s="79">
        <v>6000</v>
      </c>
    </row>
    <row r="206" spans="1:8" x14ac:dyDescent="0.25">
      <c r="C206" t="s">
        <v>20</v>
      </c>
      <c r="D206" t="s">
        <v>14</v>
      </c>
      <c r="E206">
        <v>2</v>
      </c>
      <c r="F206" s="79">
        <v>20000</v>
      </c>
      <c r="G206" s="79">
        <v>11000</v>
      </c>
      <c r="H206" s="79">
        <v>9000</v>
      </c>
    </row>
    <row r="207" spans="1:8" x14ac:dyDescent="0.25">
      <c r="C207" t="s">
        <v>20</v>
      </c>
      <c r="D207" t="s">
        <v>918</v>
      </c>
      <c r="E207">
        <v>2</v>
      </c>
      <c r="F207" s="79">
        <v>30000</v>
      </c>
      <c r="G207" s="79">
        <v>20000</v>
      </c>
      <c r="H207" s="79">
        <v>10000</v>
      </c>
    </row>
    <row r="208" spans="1:8" x14ac:dyDescent="0.25">
      <c r="C208" t="s">
        <v>20</v>
      </c>
      <c r="D208" t="s">
        <v>243</v>
      </c>
      <c r="E208">
        <v>2</v>
      </c>
      <c r="F208" s="79">
        <v>30000</v>
      </c>
      <c r="G208" s="79">
        <v>20000</v>
      </c>
      <c r="H208" s="79">
        <v>10000</v>
      </c>
    </row>
    <row r="209" spans="1:8" x14ac:dyDescent="0.25">
      <c r="C209" t="s">
        <v>952</v>
      </c>
      <c r="D209" t="s">
        <v>243</v>
      </c>
      <c r="E209">
        <v>5</v>
      </c>
      <c r="F209" s="79">
        <v>60000</v>
      </c>
      <c r="G209" s="79">
        <f>E209*9000</f>
        <v>45000</v>
      </c>
      <c r="H209" s="79">
        <v>15000</v>
      </c>
    </row>
    <row r="210" spans="1:8" x14ac:dyDescent="0.25">
      <c r="A210" s="112" t="s">
        <v>17</v>
      </c>
      <c r="B210" s="112"/>
      <c r="C210" s="112"/>
      <c r="D210" s="112"/>
      <c r="E210" s="78">
        <f>SUM(E203:E209)</f>
        <v>19</v>
      </c>
      <c r="F210" s="78">
        <f t="shared" ref="F210:H210" si="19">SUM(F203:F209)</f>
        <v>194000</v>
      </c>
      <c r="G210" s="78">
        <f t="shared" si="19"/>
        <v>129500</v>
      </c>
      <c r="H210" s="78">
        <f t="shared" si="19"/>
        <v>64500</v>
      </c>
    </row>
    <row r="211" spans="1:8" x14ac:dyDescent="0.25">
      <c r="A211" t="s">
        <v>26</v>
      </c>
      <c r="B211" s="3">
        <v>45829</v>
      </c>
      <c r="C211" t="s">
        <v>954</v>
      </c>
      <c r="D211" t="s">
        <v>13</v>
      </c>
      <c r="E211">
        <v>2</v>
      </c>
      <c r="F211" s="79">
        <f>E211*8000</f>
        <v>16000</v>
      </c>
      <c r="G211" s="79">
        <f>E211*4500</f>
        <v>9000</v>
      </c>
      <c r="H211" s="79">
        <f>E211*3500</f>
        <v>7000</v>
      </c>
    </row>
    <row r="212" spans="1:8" x14ac:dyDescent="0.25">
      <c r="B212" s="3">
        <v>45829</v>
      </c>
      <c r="C212" t="s">
        <v>954</v>
      </c>
      <c r="D212" t="s">
        <v>14</v>
      </c>
      <c r="E212">
        <v>2</v>
      </c>
      <c r="F212" s="79">
        <v>24000</v>
      </c>
      <c r="G212" s="79">
        <v>11000</v>
      </c>
      <c r="H212" s="79">
        <v>13000</v>
      </c>
    </row>
    <row r="213" spans="1:8" x14ac:dyDescent="0.25">
      <c r="B213" s="3">
        <v>45829</v>
      </c>
      <c r="C213" t="s">
        <v>954</v>
      </c>
      <c r="D213" t="s">
        <v>902</v>
      </c>
      <c r="E213">
        <v>11</v>
      </c>
      <c r="F213" s="79">
        <f>E213*8000</f>
        <v>88000</v>
      </c>
      <c r="G213" s="79">
        <f>E213*5500</f>
        <v>60500</v>
      </c>
      <c r="H213" s="79">
        <f>E213*2500</f>
        <v>27500</v>
      </c>
    </row>
    <row r="214" spans="1:8" x14ac:dyDescent="0.25">
      <c r="B214" s="3">
        <v>45829</v>
      </c>
      <c r="C214" t="s">
        <v>954</v>
      </c>
      <c r="D214" t="s">
        <v>404</v>
      </c>
      <c r="E214">
        <v>1</v>
      </c>
      <c r="F214" s="79">
        <v>4000</v>
      </c>
      <c r="G214" s="79">
        <v>2000</v>
      </c>
      <c r="H214" s="79">
        <v>2000</v>
      </c>
    </row>
    <row r="215" spans="1:8" x14ac:dyDescent="0.25">
      <c r="B215" s="3">
        <v>45829</v>
      </c>
      <c r="C215" t="s">
        <v>846</v>
      </c>
      <c r="D215" t="s">
        <v>13</v>
      </c>
      <c r="E215">
        <v>4</v>
      </c>
      <c r="F215" s="79">
        <f>E215*8000</f>
        <v>32000</v>
      </c>
      <c r="G215" s="79">
        <f>E215*4500</f>
        <v>18000</v>
      </c>
      <c r="H215" s="79">
        <f>E215*3500</f>
        <v>14000</v>
      </c>
    </row>
    <row r="216" spans="1:8" x14ac:dyDescent="0.25">
      <c r="B216" s="3">
        <v>45829</v>
      </c>
      <c r="C216" t="s">
        <v>846</v>
      </c>
      <c r="D216" t="s">
        <v>14</v>
      </c>
      <c r="E216">
        <v>1</v>
      </c>
      <c r="F216" s="79">
        <v>12000</v>
      </c>
      <c r="G216" s="79">
        <v>5500</v>
      </c>
      <c r="H216" s="79">
        <v>6500</v>
      </c>
    </row>
    <row r="217" spans="1:8" x14ac:dyDescent="0.25">
      <c r="B217" s="3">
        <v>45829</v>
      </c>
      <c r="C217" t="s">
        <v>846</v>
      </c>
      <c r="D217" t="s">
        <v>919</v>
      </c>
      <c r="E217">
        <v>2</v>
      </c>
      <c r="F217" s="79">
        <f>E217*12000</f>
        <v>24000</v>
      </c>
      <c r="G217" s="79">
        <v>11000</v>
      </c>
      <c r="H217" s="79">
        <v>13000</v>
      </c>
    </row>
    <row r="218" spans="1:8" x14ac:dyDescent="0.25">
      <c r="B218" s="3">
        <v>45829</v>
      </c>
      <c r="C218" t="s">
        <v>846</v>
      </c>
      <c r="D218" t="s">
        <v>927</v>
      </c>
      <c r="E218">
        <v>1</v>
      </c>
      <c r="F218" s="79">
        <v>12000</v>
      </c>
      <c r="G218" s="79">
        <v>5500</v>
      </c>
      <c r="H218" s="79">
        <v>6500</v>
      </c>
    </row>
    <row r="219" spans="1:8" x14ac:dyDescent="0.25">
      <c r="B219" s="3">
        <v>45829</v>
      </c>
      <c r="C219" t="s">
        <v>846</v>
      </c>
      <c r="D219" t="s">
        <v>918</v>
      </c>
      <c r="E219">
        <v>2</v>
      </c>
      <c r="F219" s="79">
        <v>30000</v>
      </c>
      <c r="G219" s="79">
        <v>20000</v>
      </c>
      <c r="H219" s="79">
        <v>10000</v>
      </c>
    </row>
    <row r="220" spans="1:8" x14ac:dyDescent="0.25">
      <c r="B220" s="3">
        <v>45829</v>
      </c>
      <c r="C220" t="s">
        <v>846</v>
      </c>
      <c r="D220" t="s">
        <v>902</v>
      </c>
      <c r="E220">
        <v>3</v>
      </c>
      <c r="F220" s="79">
        <v>24000</v>
      </c>
      <c r="G220" s="79">
        <f>E220*5500</f>
        <v>16500</v>
      </c>
      <c r="H220" s="79">
        <f>E220*2500</f>
        <v>7500</v>
      </c>
    </row>
    <row r="221" spans="1:8" x14ac:dyDescent="0.25">
      <c r="B221" s="3">
        <v>45829</v>
      </c>
      <c r="C221" t="s">
        <v>846</v>
      </c>
      <c r="D221" t="s">
        <v>11</v>
      </c>
      <c r="E221">
        <v>1</v>
      </c>
      <c r="F221" s="79">
        <v>3000</v>
      </c>
      <c r="G221" s="79">
        <v>500</v>
      </c>
      <c r="H221" s="79">
        <v>2500</v>
      </c>
    </row>
    <row r="222" spans="1:8" x14ac:dyDescent="0.25">
      <c r="B222" s="3">
        <v>45829</v>
      </c>
      <c r="C222" t="s">
        <v>846</v>
      </c>
      <c r="D222" t="s">
        <v>243</v>
      </c>
      <c r="E222">
        <v>1</v>
      </c>
      <c r="F222" s="79">
        <v>17000</v>
      </c>
      <c r="G222" s="79">
        <v>10000</v>
      </c>
      <c r="H222" s="79">
        <v>7000</v>
      </c>
    </row>
    <row r="223" spans="1:8" x14ac:dyDescent="0.25">
      <c r="B223" s="3">
        <v>45829</v>
      </c>
      <c r="C223" t="s">
        <v>554</v>
      </c>
      <c r="D223" t="s">
        <v>415</v>
      </c>
      <c r="E223">
        <v>1</v>
      </c>
      <c r="F223" s="79"/>
      <c r="G223" s="79"/>
      <c r="H223" s="79"/>
    </row>
    <row r="224" spans="1:8" x14ac:dyDescent="0.25">
      <c r="B224" s="3">
        <v>45829</v>
      </c>
      <c r="C224" t="s">
        <v>554</v>
      </c>
      <c r="D224" t="s">
        <v>902</v>
      </c>
      <c r="E224">
        <v>2</v>
      </c>
      <c r="F224" s="79"/>
      <c r="G224" s="79"/>
      <c r="H224" s="79"/>
    </row>
    <row r="225" spans="1:8" x14ac:dyDescent="0.25">
      <c r="A225" s="112" t="s">
        <v>17</v>
      </c>
      <c r="B225" s="112"/>
      <c r="C225" s="112"/>
      <c r="D225" s="112"/>
      <c r="E225" s="78">
        <f>SUM(E211:E224)</f>
        <v>34</v>
      </c>
      <c r="F225" s="78">
        <f t="shared" ref="F225:H225" si="20">SUM(F211:F224)</f>
        <v>286000</v>
      </c>
      <c r="G225" s="78">
        <f t="shared" si="20"/>
        <v>169500</v>
      </c>
      <c r="H225" s="78">
        <f t="shared" si="20"/>
        <v>116500</v>
      </c>
    </row>
    <row r="226" spans="1:8" x14ac:dyDescent="0.25">
      <c r="A226" t="s">
        <v>28</v>
      </c>
      <c r="B226" s="3">
        <v>45830</v>
      </c>
      <c r="C226" t="s">
        <v>217</v>
      </c>
      <c r="D226" t="s">
        <v>11</v>
      </c>
      <c r="E226">
        <v>9</v>
      </c>
      <c r="F226" s="79">
        <f>E226*1500</f>
        <v>13500</v>
      </c>
      <c r="G226" s="79">
        <f>E226*500</f>
        <v>4500</v>
      </c>
      <c r="H226" s="79">
        <v>9000</v>
      </c>
    </row>
    <row r="227" spans="1:8" x14ac:dyDescent="0.25">
      <c r="B227" s="3">
        <v>45830</v>
      </c>
      <c r="C227" t="s">
        <v>217</v>
      </c>
      <c r="D227" t="s">
        <v>13</v>
      </c>
      <c r="E227">
        <v>38</v>
      </c>
      <c r="F227" s="79">
        <f>E227*6500</f>
        <v>247000</v>
      </c>
      <c r="G227" s="79">
        <f>E227*4500</f>
        <v>171000</v>
      </c>
      <c r="H227" s="79">
        <f>E227*2000</f>
        <v>76000</v>
      </c>
    </row>
    <row r="228" spans="1:8" x14ac:dyDescent="0.25">
      <c r="B228" s="3">
        <v>45830</v>
      </c>
      <c r="C228" t="s">
        <v>217</v>
      </c>
      <c r="D228" t="s">
        <v>14</v>
      </c>
      <c r="E228">
        <v>19</v>
      </c>
      <c r="F228" s="79">
        <f>E228*10000</f>
        <v>190000</v>
      </c>
      <c r="G228" s="79">
        <f>E228*5500</f>
        <v>104500</v>
      </c>
      <c r="H228" s="79">
        <f>E228*4500</f>
        <v>85500</v>
      </c>
    </row>
    <row r="229" spans="1:8" x14ac:dyDescent="0.25">
      <c r="B229" s="3">
        <v>45830</v>
      </c>
      <c r="C229" t="s">
        <v>954</v>
      </c>
      <c r="D229" t="s">
        <v>13</v>
      </c>
      <c r="E229">
        <v>2</v>
      </c>
      <c r="F229" s="79">
        <f>E229*8000</f>
        <v>16000</v>
      </c>
      <c r="G229" s="79">
        <f>E229*4500</f>
        <v>9000</v>
      </c>
      <c r="H229" s="79">
        <f>E229*3500</f>
        <v>7000</v>
      </c>
    </row>
    <row r="230" spans="1:8" x14ac:dyDescent="0.25">
      <c r="B230" s="3">
        <v>45830</v>
      </c>
      <c r="C230" t="s">
        <v>954</v>
      </c>
      <c r="D230" t="s">
        <v>14</v>
      </c>
      <c r="E230">
        <v>2</v>
      </c>
      <c r="F230" s="79">
        <f>E230*12000</f>
        <v>24000</v>
      </c>
      <c r="G230" s="79">
        <f>E230*5500</f>
        <v>11000</v>
      </c>
      <c r="H230" s="79">
        <f>E230*6500</f>
        <v>13000</v>
      </c>
    </row>
    <row r="231" spans="1:8" x14ac:dyDescent="0.25">
      <c r="B231" s="3">
        <v>45830</v>
      </c>
      <c r="C231" t="s">
        <v>954</v>
      </c>
      <c r="D231" t="s">
        <v>902</v>
      </c>
      <c r="E231">
        <v>2</v>
      </c>
      <c r="F231" s="79">
        <v>16000</v>
      </c>
      <c r="G231" s="79">
        <v>11000</v>
      </c>
      <c r="H231" s="79">
        <v>5000</v>
      </c>
    </row>
    <row r="232" spans="1:8" x14ac:dyDescent="0.25">
      <c r="B232" s="3">
        <v>45830</v>
      </c>
      <c r="C232" t="s">
        <v>846</v>
      </c>
      <c r="D232" t="s">
        <v>13</v>
      </c>
      <c r="E232">
        <v>1</v>
      </c>
      <c r="F232" s="79">
        <v>8000</v>
      </c>
      <c r="G232" s="79">
        <v>4500</v>
      </c>
      <c r="H232" s="79">
        <v>3500</v>
      </c>
    </row>
    <row r="233" spans="1:8" x14ac:dyDescent="0.25">
      <c r="B233" s="3">
        <v>45830</v>
      </c>
      <c r="C233" t="s">
        <v>846</v>
      </c>
      <c r="D233" t="s">
        <v>14</v>
      </c>
      <c r="E233">
        <v>2</v>
      </c>
      <c r="F233" s="79">
        <v>24000</v>
      </c>
      <c r="G233" s="79">
        <v>11000</v>
      </c>
      <c r="H233" s="79">
        <v>13000</v>
      </c>
    </row>
    <row r="234" spans="1:8" x14ac:dyDescent="0.25">
      <c r="B234" s="3">
        <v>45830</v>
      </c>
      <c r="C234" t="s">
        <v>846</v>
      </c>
      <c r="D234" t="s">
        <v>902</v>
      </c>
      <c r="E234">
        <v>3</v>
      </c>
      <c r="F234" s="79">
        <v>24000</v>
      </c>
      <c r="G234" s="79">
        <f>E234*5500</f>
        <v>16500</v>
      </c>
      <c r="H234" s="79">
        <f>E234*2500</f>
        <v>7500</v>
      </c>
    </row>
    <row r="235" spans="1:8" x14ac:dyDescent="0.25">
      <c r="B235" s="3">
        <v>45830</v>
      </c>
      <c r="C235" t="s">
        <v>957</v>
      </c>
      <c r="D235" t="s">
        <v>243</v>
      </c>
      <c r="E235">
        <v>100</v>
      </c>
      <c r="F235" s="79"/>
      <c r="G235" s="79"/>
      <c r="H235" s="79"/>
    </row>
    <row r="236" spans="1:8" x14ac:dyDescent="0.25">
      <c r="A236" s="112" t="s">
        <v>17</v>
      </c>
      <c r="B236" s="112"/>
      <c r="C236" s="112"/>
      <c r="D236" s="112"/>
      <c r="E236" s="78">
        <f>SUM(E226:E235)</f>
        <v>178</v>
      </c>
      <c r="F236" s="78">
        <f t="shared" ref="F236:H236" si="21">SUM(F226:F235)</f>
        <v>562500</v>
      </c>
      <c r="G236" s="78">
        <f t="shared" si="21"/>
        <v>343000</v>
      </c>
      <c r="H236" s="78">
        <f t="shared" si="21"/>
        <v>219500</v>
      </c>
    </row>
    <row r="237" spans="1:8" x14ac:dyDescent="0.25">
      <c r="A237" t="s">
        <v>30</v>
      </c>
      <c r="B237" s="3">
        <v>45831</v>
      </c>
      <c r="C237" t="s">
        <v>954</v>
      </c>
      <c r="D237" t="s">
        <v>13</v>
      </c>
      <c r="E237">
        <v>2</v>
      </c>
      <c r="F237" s="79">
        <f>E237*8000</f>
        <v>16000</v>
      </c>
      <c r="G237" s="79">
        <f>E237*4500</f>
        <v>9000</v>
      </c>
      <c r="H237" s="79">
        <f>E237*3500</f>
        <v>7000</v>
      </c>
    </row>
    <row r="238" spans="1:8" x14ac:dyDescent="0.25">
      <c r="B238" s="3">
        <v>45831</v>
      </c>
      <c r="C238" t="s">
        <v>954</v>
      </c>
      <c r="D238" t="s">
        <v>14</v>
      </c>
      <c r="E238">
        <v>2</v>
      </c>
      <c r="F238" s="79">
        <f>E238*12000</f>
        <v>24000</v>
      </c>
      <c r="G238" s="79">
        <f>E238*5500</f>
        <v>11000</v>
      </c>
      <c r="H238" s="79">
        <f>E238*6500</f>
        <v>13000</v>
      </c>
    </row>
    <row r="239" spans="1:8" x14ac:dyDescent="0.25">
      <c r="B239" s="3">
        <v>45831</v>
      </c>
      <c r="C239" t="s">
        <v>954</v>
      </c>
      <c r="D239" t="s">
        <v>902</v>
      </c>
      <c r="E239">
        <v>4</v>
      </c>
      <c r="F239" s="79">
        <f>E239*8000</f>
        <v>32000</v>
      </c>
      <c r="G239" s="79">
        <f>E239*5500</f>
        <v>22000</v>
      </c>
      <c r="H239" s="79">
        <f>E239*2500</f>
        <v>10000</v>
      </c>
    </row>
    <row r="240" spans="1:8" x14ac:dyDescent="0.25">
      <c r="B240" s="3">
        <v>45831</v>
      </c>
      <c r="C240" t="s">
        <v>846</v>
      </c>
      <c r="D240" t="s">
        <v>11</v>
      </c>
      <c r="E240">
        <v>0</v>
      </c>
      <c r="F240" s="79">
        <v>0</v>
      </c>
      <c r="G240" s="79">
        <v>0</v>
      </c>
      <c r="H240" s="79">
        <v>0</v>
      </c>
    </row>
    <row r="241" spans="1:10" x14ac:dyDescent="0.25">
      <c r="B241" s="3">
        <v>45831</v>
      </c>
      <c r="C241" t="s">
        <v>846</v>
      </c>
      <c r="D241" t="s">
        <v>13</v>
      </c>
      <c r="E241">
        <v>3</v>
      </c>
      <c r="F241" s="79">
        <f>E241*8000</f>
        <v>24000</v>
      </c>
      <c r="G241" s="79">
        <f>E241*4500</f>
        <v>13500</v>
      </c>
      <c r="H241" s="79">
        <f>E241*3500</f>
        <v>10500</v>
      </c>
    </row>
    <row r="242" spans="1:10" x14ac:dyDescent="0.25">
      <c r="B242" s="3">
        <v>45831</v>
      </c>
      <c r="C242" t="s">
        <v>846</v>
      </c>
      <c r="D242" t="s">
        <v>14</v>
      </c>
      <c r="E242">
        <v>1</v>
      </c>
      <c r="F242" s="79">
        <v>12000</v>
      </c>
      <c r="G242" s="79">
        <v>5500</v>
      </c>
      <c r="H242" s="79">
        <v>6500</v>
      </c>
    </row>
    <row r="243" spans="1:10" x14ac:dyDescent="0.25">
      <c r="B243" s="3">
        <v>45831</v>
      </c>
      <c r="C243" t="s">
        <v>846</v>
      </c>
      <c r="D243" t="s">
        <v>902</v>
      </c>
      <c r="E243">
        <v>5</v>
      </c>
      <c r="F243" s="79">
        <f>E243*8000</f>
        <v>40000</v>
      </c>
      <c r="G243" s="79">
        <f>E243*5500</f>
        <v>27500</v>
      </c>
      <c r="H243" s="79">
        <f>E243*2500</f>
        <v>12500</v>
      </c>
    </row>
    <row r="244" spans="1:10" x14ac:dyDescent="0.25">
      <c r="B244" s="3">
        <v>45831</v>
      </c>
      <c r="C244" t="s">
        <v>952</v>
      </c>
      <c r="D244" t="s">
        <v>243</v>
      </c>
      <c r="E244">
        <v>2</v>
      </c>
      <c r="F244" s="79">
        <v>30000</v>
      </c>
      <c r="G244" s="79">
        <v>20000</v>
      </c>
      <c r="H244" s="79">
        <v>10000</v>
      </c>
    </row>
    <row r="245" spans="1:10" x14ac:dyDescent="0.25">
      <c r="A245" s="112" t="s">
        <v>17</v>
      </c>
      <c r="B245" s="112"/>
      <c r="C245" s="112"/>
      <c r="D245" s="112"/>
      <c r="E245" s="78">
        <f>SUM(E237:E244)</f>
        <v>19</v>
      </c>
      <c r="F245" s="78">
        <f t="shared" ref="F245:H245" si="22">SUM(F237:F244)</f>
        <v>178000</v>
      </c>
      <c r="G245" s="78">
        <f t="shared" si="22"/>
        <v>108500</v>
      </c>
      <c r="H245" s="78">
        <f t="shared" si="22"/>
        <v>69500</v>
      </c>
      <c r="J245" t="s">
        <v>612</v>
      </c>
    </row>
    <row r="246" spans="1:10" x14ac:dyDescent="0.25">
      <c r="A246" t="s">
        <v>32</v>
      </c>
      <c r="B246" s="3">
        <v>45832</v>
      </c>
      <c r="C246" t="s">
        <v>954</v>
      </c>
      <c r="D246" t="s">
        <v>13</v>
      </c>
      <c r="E246">
        <v>2</v>
      </c>
      <c r="F246" s="79">
        <v>16000</v>
      </c>
      <c r="G246" s="79">
        <v>9000</v>
      </c>
      <c r="H246" s="79">
        <v>7000</v>
      </c>
    </row>
    <row r="247" spans="1:10" x14ac:dyDescent="0.25">
      <c r="C247" t="s">
        <v>954</v>
      </c>
      <c r="D247" t="s">
        <v>14</v>
      </c>
      <c r="E247">
        <v>2</v>
      </c>
      <c r="F247" s="79">
        <v>24000</v>
      </c>
      <c r="G247" s="79">
        <v>11000</v>
      </c>
      <c r="H247" s="79">
        <v>9000</v>
      </c>
    </row>
    <row r="248" spans="1:10" x14ac:dyDescent="0.25">
      <c r="C248" t="s">
        <v>954</v>
      </c>
      <c r="D248" t="s">
        <v>902</v>
      </c>
      <c r="E248">
        <v>4</v>
      </c>
      <c r="F248" s="79">
        <f>E248*8000</f>
        <v>32000</v>
      </c>
      <c r="G248" s="79">
        <f>E248*5500</f>
        <v>22000</v>
      </c>
      <c r="H248" s="79">
        <f>E248*2500</f>
        <v>10000</v>
      </c>
    </row>
    <row r="249" spans="1:10" x14ac:dyDescent="0.25">
      <c r="C249" t="s">
        <v>846</v>
      </c>
      <c r="D249" t="s">
        <v>919</v>
      </c>
      <c r="E249">
        <v>1</v>
      </c>
      <c r="F249" s="79">
        <v>10000</v>
      </c>
      <c r="G249" s="79">
        <v>5500</v>
      </c>
      <c r="H249" s="79">
        <v>4500</v>
      </c>
    </row>
    <row r="250" spans="1:10" x14ac:dyDescent="0.25">
      <c r="D250" t="s">
        <v>404</v>
      </c>
      <c r="E250">
        <v>1</v>
      </c>
      <c r="F250" s="79">
        <v>4000</v>
      </c>
      <c r="G250" s="79">
        <v>2000</v>
      </c>
      <c r="H250" s="79">
        <v>2000</v>
      </c>
    </row>
    <row r="251" spans="1:10" x14ac:dyDescent="0.25">
      <c r="A251" s="112" t="s">
        <v>17</v>
      </c>
      <c r="B251" s="112"/>
      <c r="C251" s="112"/>
      <c r="D251" s="112"/>
      <c r="E251" s="78">
        <f>SUM(E246:E250)</f>
        <v>10</v>
      </c>
      <c r="F251" s="78">
        <f t="shared" ref="F251:H251" si="23">SUM(F246:F250)</f>
        <v>86000</v>
      </c>
      <c r="G251" s="78">
        <f t="shared" si="23"/>
        <v>49500</v>
      </c>
      <c r="H251" s="78">
        <f t="shared" si="23"/>
        <v>32500</v>
      </c>
    </row>
    <row r="252" spans="1:10" x14ac:dyDescent="0.25">
      <c r="A252" t="s">
        <v>8</v>
      </c>
      <c r="B252" s="3">
        <v>45833</v>
      </c>
      <c r="C252" t="s">
        <v>954</v>
      </c>
      <c r="D252" t="s">
        <v>13</v>
      </c>
      <c r="E252">
        <v>3</v>
      </c>
      <c r="F252" s="79">
        <f>E252*8000</f>
        <v>24000</v>
      </c>
      <c r="G252" s="79">
        <f>E252*4500</f>
        <v>13500</v>
      </c>
      <c r="H252" s="79">
        <f>E252*2500</f>
        <v>7500</v>
      </c>
    </row>
    <row r="253" spans="1:10" x14ac:dyDescent="0.25">
      <c r="C253" t="s">
        <v>954</v>
      </c>
      <c r="D253" t="s">
        <v>902</v>
      </c>
      <c r="E253">
        <v>3</v>
      </c>
      <c r="F253" s="79">
        <f>E253*8000</f>
        <v>24000</v>
      </c>
      <c r="G253" s="79">
        <f>E253*5500</f>
        <v>16500</v>
      </c>
      <c r="H253" s="79">
        <f>E253*2500</f>
        <v>7500</v>
      </c>
    </row>
    <row r="254" spans="1:10" x14ac:dyDescent="0.25">
      <c r="C254" t="s">
        <v>954</v>
      </c>
      <c r="D254" t="s">
        <v>14</v>
      </c>
      <c r="E254">
        <v>1</v>
      </c>
      <c r="F254" s="79">
        <v>24000</v>
      </c>
      <c r="G254" s="79">
        <f>E254*5500</f>
        <v>5500</v>
      </c>
      <c r="H254" s="79">
        <f>E254*4500</f>
        <v>4500</v>
      </c>
    </row>
    <row r="255" spans="1:10" x14ac:dyDescent="0.25">
      <c r="D255" t="s">
        <v>243</v>
      </c>
      <c r="E255">
        <v>1</v>
      </c>
      <c r="F255" s="79">
        <v>17000</v>
      </c>
      <c r="G255" s="79">
        <v>10000</v>
      </c>
      <c r="H255" s="79">
        <v>7000</v>
      </c>
    </row>
    <row r="256" spans="1:10" x14ac:dyDescent="0.25">
      <c r="A256" s="112" t="s">
        <v>17</v>
      </c>
      <c r="B256" s="112"/>
      <c r="C256" s="112"/>
      <c r="D256" s="112"/>
      <c r="E256" s="78">
        <f>SUM(E252:E255)</f>
        <v>8</v>
      </c>
      <c r="F256" s="78">
        <f t="shared" ref="F256:H256" si="24">SUM(F252:F255)</f>
        <v>89000</v>
      </c>
      <c r="G256" s="78">
        <f t="shared" si="24"/>
        <v>45500</v>
      </c>
      <c r="H256" s="78">
        <f t="shared" si="24"/>
        <v>26500</v>
      </c>
    </row>
    <row r="257" spans="1:8" x14ac:dyDescent="0.25">
      <c r="A257" s="104" t="s">
        <v>18</v>
      </c>
      <c r="B257" s="105">
        <v>45834</v>
      </c>
      <c r="C257" s="104" t="s">
        <v>75</v>
      </c>
      <c r="D257" s="104" t="s">
        <v>75</v>
      </c>
      <c r="E257" s="104" t="s">
        <v>75</v>
      </c>
      <c r="F257" s="104" t="s">
        <v>75</v>
      </c>
      <c r="G257" s="104" t="s">
        <v>75</v>
      </c>
      <c r="H257" s="104" t="s">
        <v>75</v>
      </c>
    </row>
    <row r="258" spans="1:8" x14ac:dyDescent="0.25">
      <c r="A258" t="s">
        <v>22</v>
      </c>
      <c r="B258" s="3">
        <v>45835</v>
      </c>
      <c r="C258" t="s">
        <v>952</v>
      </c>
      <c r="D258" t="s">
        <v>13</v>
      </c>
      <c r="E258">
        <v>75</v>
      </c>
    </row>
    <row r="259" spans="1:8" x14ac:dyDescent="0.25">
      <c r="C259" t="s">
        <v>954</v>
      </c>
      <c r="D259" t="s">
        <v>902</v>
      </c>
      <c r="E259">
        <v>6</v>
      </c>
      <c r="F259" s="79">
        <f>E259*8000</f>
        <v>48000</v>
      </c>
      <c r="G259" s="79">
        <f>E259*5500</f>
        <v>33000</v>
      </c>
      <c r="H259" s="79">
        <f>E259*2500</f>
        <v>15000</v>
      </c>
    </row>
    <row r="260" spans="1:8" x14ac:dyDescent="0.25">
      <c r="C260" t="s">
        <v>954</v>
      </c>
      <c r="D260" t="s">
        <v>13</v>
      </c>
      <c r="E260">
        <v>1</v>
      </c>
      <c r="F260" s="79">
        <v>8000</v>
      </c>
      <c r="G260" s="79">
        <v>4500</v>
      </c>
      <c r="H260" s="79">
        <v>3500</v>
      </c>
    </row>
    <row r="261" spans="1:8" x14ac:dyDescent="0.25">
      <c r="C261" t="s">
        <v>954</v>
      </c>
      <c r="D261" t="s">
        <v>11</v>
      </c>
      <c r="E261">
        <v>1</v>
      </c>
      <c r="F261" s="79">
        <v>3000</v>
      </c>
      <c r="G261" s="79">
        <v>500</v>
      </c>
      <c r="H261" s="79">
        <v>2500</v>
      </c>
    </row>
    <row r="262" spans="1:8" x14ac:dyDescent="0.25">
      <c r="C262" t="s">
        <v>954</v>
      </c>
      <c r="D262" t="s">
        <v>14</v>
      </c>
      <c r="E262">
        <v>1</v>
      </c>
      <c r="F262" s="79">
        <v>12000</v>
      </c>
      <c r="G262" s="79">
        <v>5500</v>
      </c>
      <c r="H262" s="79">
        <v>6500</v>
      </c>
    </row>
    <row r="263" spans="1:8" x14ac:dyDescent="0.25">
      <c r="C263" t="s">
        <v>954</v>
      </c>
      <c r="D263" t="s">
        <v>404</v>
      </c>
      <c r="E263">
        <v>2</v>
      </c>
      <c r="F263" s="79">
        <v>8000</v>
      </c>
      <c r="G263" s="79">
        <v>4000</v>
      </c>
      <c r="H263" s="79">
        <v>4000</v>
      </c>
    </row>
    <row r="264" spans="1:8" x14ac:dyDescent="0.25">
      <c r="A264" s="112" t="s">
        <v>17</v>
      </c>
      <c r="B264" s="112"/>
      <c r="C264" s="112"/>
      <c r="D264" s="112"/>
      <c r="E264" s="78">
        <f>SUM(E258:E263)</f>
        <v>86</v>
      </c>
      <c r="F264" s="78">
        <f t="shared" ref="F264:H264" si="25">SUM(F258:F263)</f>
        <v>79000</v>
      </c>
      <c r="G264" s="78">
        <f t="shared" si="25"/>
        <v>47500</v>
      </c>
      <c r="H264" s="78">
        <f t="shared" si="25"/>
        <v>31500</v>
      </c>
    </row>
    <row r="265" spans="1:8" x14ac:dyDescent="0.25">
      <c r="A265" t="s">
        <v>26</v>
      </c>
      <c r="B265" s="3">
        <v>45836</v>
      </c>
      <c r="C265" t="s">
        <v>846</v>
      </c>
      <c r="D265" t="s">
        <v>13</v>
      </c>
      <c r="E265">
        <v>5</v>
      </c>
      <c r="F265" s="79">
        <f>E265*8000</f>
        <v>40000</v>
      </c>
      <c r="G265" s="79">
        <f>E265*4500</f>
        <v>22500</v>
      </c>
      <c r="H265" s="79">
        <f>E265*3500</f>
        <v>17500</v>
      </c>
    </row>
    <row r="266" spans="1:8" x14ac:dyDescent="0.25">
      <c r="C266" t="s">
        <v>846</v>
      </c>
      <c r="D266" t="s">
        <v>436</v>
      </c>
      <c r="E266">
        <v>1</v>
      </c>
      <c r="F266" s="79">
        <v>10000</v>
      </c>
      <c r="G266" s="79">
        <v>5500</v>
      </c>
      <c r="H266" s="79">
        <v>4500</v>
      </c>
    </row>
    <row r="267" spans="1:8" x14ac:dyDescent="0.25">
      <c r="C267" t="s">
        <v>846</v>
      </c>
      <c r="D267" t="s">
        <v>243</v>
      </c>
      <c r="E267">
        <v>1</v>
      </c>
      <c r="F267" s="79">
        <v>17000</v>
      </c>
      <c r="G267" s="79">
        <v>10000</v>
      </c>
      <c r="H267" s="79">
        <v>7000</v>
      </c>
    </row>
    <row r="268" spans="1:8" x14ac:dyDescent="0.25">
      <c r="C268" t="s">
        <v>846</v>
      </c>
      <c r="D268" t="s">
        <v>919</v>
      </c>
      <c r="E268">
        <v>2</v>
      </c>
      <c r="F268" s="79">
        <f>E268*12000</f>
        <v>24000</v>
      </c>
      <c r="G268" s="79">
        <f>E268*5500</f>
        <v>11000</v>
      </c>
      <c r="H268" s="79">
        <f>E268*6500</f>
        <v>13000</v>
      </c>
    </row>
    <row r="269" spans="1:8" x14ac:dyDescent="0.25">
      <c r="C269" t="s">
        <v>846</v>
      </c>
      <c r="D269" t="s">
        <v>953</v>
      </c>
      <c r="E269">
        <v>1</v>
      </c>
      <c r="F269" s="79">
        <v>10000</v>
      </c>
      <c r="G269" s="79">
        <v>5500</v>
      </c>
      <c r="H269" s="79">
        <v>4500</v>
      </c>
    </row>
    <row r="270" spans="1:8" x14ac:dyDescent="0.25">
      <c r="C270" t="s">
        <v>954</v>
      </c>
      <c r="D270" t="s">
        <v>902</v>
      </c>
      <c r="E270">
        <v>7</v>
      </c>
      <c r="F270" s="79">
        <f>E270*8000</f>
        <v>56000</v>
      </c>
      <c r="G270" s="79">
        <f>E270*5500</f>
        <v>38500</v>
      </c>
      <c r="H270" s="79">
        <f>E270*2500</f>
        <v>17500</v>
      </c>
    </row>
    <row r="271" spans="1:8" x14ac:dyDescent="0.25">
      <c r="C271" t="s">
        <v>954</v>
      </c>
      <c r="D271" t="s">
        <v>13</v>
      </c>
      <c r="E271">
        <v>5</v>
      </c>
      <c r="F271" s="79">
        <f>E271*8000</f>
        <v>40000</v>
      </c>
      <c r="G271" s="79">
        <f>E271*4500</f>
        <v>22500</v>
      </c>
      <c r="H271" s="79">
        <f>E271*3500</f>
        <v>17500</v>
      </c>
    </row>
    <row r="272" spans="1:8" x14ac:dyDescent="0.25">
      <c r="C272" t="s">
        <v>954</v>
      </c>
      <c r="D272" t="s">
        <v>14</v>
      </c>
      <c r="E272">
        <v>5</v>
      </c>
      <c r="F272" s="79">
        <f>E272*12000</f>
        <v>60000</v>
      </c>
      <c r="G272" s="79">
        <f>E272*5500</f>
        <v>27500</v>
      </c>
      <c r="H272" s="79">
        <f>E272*6500</f>
        <v>32500</v>
      </c>
    </row>
    <row r="273" spans="1:8" x14ac:dyDescent="0.25">
      <c r="A273" s="112" t="s">
        <v>17</v>
      </c>
      <c r="B273" s="112"/>
      <c r="C273" s="112"/>
      <c r="D273" s="112"/>
      <c r="E273" s="78">
        <f>SUM(E265:E272)</f>
        <v>27</v>
      </c>
      <c r="F273" s="78">
        <f t="shared" ref="F273:H273" si="26">SUM(F265:F272)</f>
        <v>257000</v>
      </c>
      <c r="G273" s="78">
        <f t="shared" si="26"/>
        <v>143000</v>
      </c>
      <c r="H273" s="78">
        <f t="shared" si="26"/>
        <v>114000</v>
      </c>
    </row>
    <row r="274" spans="1:8" x14ac:dyDescent="0.25">
      <c r="A274" t="s">
        <v>28</v>
      </c>
      <c r="B274" s="3">
        <v>45837</v>
      </c>
      <c r="C274" t="s">
        <v>693</v>
      </c>
      <c r="D274" t="s">
        <v>13</v>
      </c>
      <c r="E274">
        <v>32</v>
      </c>
      <c r="F274" s="79">
        <f>E274*7000</f>
        <v>224000</v>
      </c>
      <c r="G274" s="79">
        <f>E274*4500</f>
        <v>144000</v>
      </c>
      <c r="H274" s="79">
        <f>E274*2500</f>
        <v>80000</v>
      </c>
    </row>
    <row r="275" spans="1:8" x14ac:dyDescent="0.25">
      <c r="C275" t="s">
        <v>693</v>
      </c>
      <c r="D275" t="s">
        <v>14</v>
      </c>
      <c r="E275">
        <v>28</v>
      </c>
      <c r="F275" s="79">
        <f>E275*10000</f>
        <v>280000</v>
      </c>
      <c r="G275" s="79">
        <f>E275*5500</f>
        <v>154000</v>
      </c>
      <c r="H275" s="79">
        <f>E275*4500</f>
        <v>126000</v>
      </c>
    </row>
    <row r="276" spans="1:8" x14ac:dyDescent="0.25">
      <c r="C276" t="s">
        <v>693</v>
      </c>
      <c r="D276" t="s">
        <v>243</v>
      </c>
      <c r="E276">
        <v>1</v>
      </c>
      <c r="F276" s="79">
        <v>15000</v>
      </c>
      <c r="G276" s="79">
        <v>10000</v>
      </c>
      <c r="H276" s="79">
        <v>5000</v>
      </c>
    </row>
    <row r="277" spans="1:8" x14ac:dyDescent="0.25">
      <c r="C277" t="s">
        <v>217</v>
      </c>
      <c r="D277" t="s">
        <v>11</v>
      </c>
      <c r="E277">
        <v>7</v>
      </c>
      <c r="F277" s="79">
        <f>E277*1500</f>
        <v>10500</v>
      </c>
      <c r="G277" s="79">
        <f>E277*500</f>
        <v>3500</v>
      </c>
      <c r="H277" s="79">
        <f>E277*1000</f>
        <v>7000</v>
      </c>
    </row>
    <row r="278" spans="1:8" x14ac:dyDescent="0.25">
      <c r="C278" t="s">
        <v>217</v>
      </c>
      <c r="D278" t="s">
        <v>13</v>
      </c>
      <c r="E278">
        <v>22</v>
      </c>
      <c r="F278" s="79">
        <f>E278*6500</f>
        <v>143000</v>
      </c>
      <c r="G278" s="79">
        <f>E278*4500</f>
        <v>99000</v>
      </c>
      <c r="H278" s="79">
        <f>E278*2000</f>
        <v>44000</v>
      </c>
    </row>
    <row r="279" spans="1:8" x14ac:dyDescent="0.25">
      <c r="C279" t="s">
        <v>217</v>
      </c>
      <c r="D279" t="s">
        <v>14</v>
      </c>
      <c r="E279">
        <v>16</v>
      </c>
      <c r="F279" s="79">
        <f>E279*10000</f>
        <v>160000</v>
      </c>
      <c r="G279" s="79">
        <f>E279*5500</f>
        <v>88000</v>
      </c>
      <c r="H279" s="79">
        <f>E279*4500</f>
        <v>72000</v>
      </c>
    </row>
    <row r="280" spans="1:8" x14ac:dyDescent="0.25">
      <c r="C280" t="s">
        <v>954</v>
      </c>
      <c r="D280" t="s">
        <v>902</v>
      </c>
      <c r="E280">
        <v>8</v>
      </c>
      <c r="F280" s="79">
        <f>E280*8000</f>
        <v>64000</v>
      </c>
      <c r="G280" s="79">
        <f>E280*5500</f>
        <v>44000</v>
      </c>
      <c r="H280" s="79">
        <f>E280*2500</f>
        <v>20000</v>
      </c>
    </row>
    <row r="281" spans="1:8" x14ac:dyDescent="0.25">
      <c r="C281" t="s">
        <v>954</v>
      </c>
      <c r="D281" t="s">
        <v>13</v>
      </c>
      <c r="E281">
        <v>2</v>
      </c>
      <c r="F281" s="79">
        <v>16000</v>
      </c>
      <c r="G281" s="79">
        <v>9000</v>
      </c>
      <c r="H281" s="79">
        <v>7000</v>
      </c>
    </row>
    <row r="282" spans="1:8" x14ac:dyDescent="0.25">
      <c r="C282" t="s">
        <v>954</v>
      </c>
      <c r="D282" t="s">
        <v>14</v>
      </c>
      <c r="E282">
        <v>1</v>
      </c>
      <c r="F282" s="79">
        <v>12000</v>
      </c>
      <c r="G282" s="79">
        <v>5500</v>
      </c>
      <c r="H282" s="79">
        <v>6500</v>
      </c>
    </row>
    <row r="283" spans="1:8" x14ac:dyDescent="0.25">
      <c r="C283" t="s">
        <v>846</v>
      </c>
      <c r="D283" t="s">
        <v>13</v>
      </c>
      <c r="E283">
        <v>3</v>
      </c>
      <c r="F283" s="79">
        <v>24000</v>
      </c>
      <c r="G283" s="79">
        <f>E283*4500</f>
        <v>13500</v>
      </c>
      <c r="H283" s="79">
        <f>E283*3500</f>
        <v>10500</v>
      </c>
    </row>
    <row r="284" spans="1:8" x14ac:dyDescent="0.25">
      <c r="C284" t="s">
        <v>846</v>
      </c>
      <c r="D284" t="s">
        <v>436</v>
      </c>
      <c r="E284">
        <v>1</v>
      </c>
      <c r="F284" s="79">
        <v>10000</v>
      </c>
      <c r="G284" s="79">
        <v>5000</v>
      </c>
      <c r="H284" s="79">
        <v>5000</v>
      </c>
    </row>
    <row r="285" spans="1:8" x14ac:dyDescent="0.25">
      <c r="C285" t="s">
        <v>846</v>
      </c>
      <c r="D285" t="s">
        <v>902</v>
      </c>
      <c r="E285">
        <v>2</v>
      </c>
      <c r="F285" s="79">
        <v>16000</v>
      </c>
      <c r="G285" s="79">
        <v>11000</v>
      </c>
      <c r="H285" s="79">
        <v>5000</v>
      </c>
    </row>
    <row r="286" spans="1:8" x14ac:dyDescent="0.25">
      <c r="C286" t="s">
        <v>846</v>
      </c>
      <c r="D286" t="s">
        <v>919</v>
      </c>
      <c r="E286">
        <v>1</v>
      </c>
      <c r="F286" s="79">
        <v>12000</v>
      </c>
      <c r="G286" s="79">
        <v>5500</v>
      </c>
      <c r="H286" s="79">
        <v>6500</v>
      </c>
    </row>
    <row r="287" spans="1:8" x14ac:dyDescent="0.25">
      <c r="C287" t="s">
        <v>846</v>
      </c>
      <c r="D287" t="s">
        <v>927</v>
      </c>
      <c r="E287">
        <v>1</v>
      </c>
      <c r="F287" s="79">
        <v>12000</v>
      </c>
      <c r="G287" s="79">
        <v>5500</v>
      </c>
      <c r="H287" s="79">
        <v>6500</v>
      </c>
    </row>
    <row r="288" spans="1:8" x14ac:dyDescent="0.25">
      <c r="C288" t="s">
        <v>846</v>
      </c>
      <c r="D288" t="s">
        <v>14</v>
      </c>
      <c r="E288">
        <v>1</v>
      </c>
      <c r="F288" s="79">
        <v>12000</v>
      </c>
      <c r="G288" s="79">
        <v>5500</v>
      </c>
      <c r="H288" s="79">
        <v>4500</v>
      </c>
    </row>
    <row r="289" spans="1:8" x14ac:dyDescent="0.25">
      <c r="A289" s="112" t="s">
        <v>17</v>
      </c>
      <c r="B289" s="112"/>
      <c r="C289" s="112"/>
      <c r="D289" s="112"/>
      <c r="E289" s="78">
        <f>SUM(E274:E288)</f>
        <v>126</v>
      </c>
      <c r="F289" s="78">
        <f t="shared" ref="F289:H289" si="27">SUM(F274:F288)</f>
        <v>1010500</v>
      </c>
      <c r="G289" s="78">
        <f t="shared" si="27"/>
        <v>603000</v>
      </c>
      <c r="H289" s="78">
        <f t="shared" si="27"/>
        <v>405500</v>
      </c>
    </row>
    <row r="290" spans="1:8" x14ac:dyDescent="0.25">
      <c r="A290" t="s">
        <v>30</v>
      </c>
      <c r="B290" s="3">
        <v>45838</v>
      </c>
      <c r="C290" t="s">
        <v>846</v>
      </c>
      <c r="D290" t="s">
        <v>13</v>
      </c>
      <c r="E290">
        <v>1</v>
      </c>
      <c r="F290" s="79">
        <v>8000</v>
      </c>
      <c r="G290" s="79">
        <v>4500</v>
      </c>
      <c r="H290" s="79">
        <v>3500</v>
      </c>
    </row>
    <row r="291" spans="1:8" x14ac:dyDescent="0.25">
      <c r="C291" t="s">
        <v>846</v>
      </c>
      <c r="D291" t="s">
        <v>14</v>
      </c>
      <c r="E291">
        <v>1</v>
      </c>
      <c r="F291" s="79">
        <v>12000</v>
      </c>
      <c r="G291" s="79">
        <v>5500</v>
      </c>
      <c r="H291" s="79">
        <v>6500</v>
      </c>
    </row>
    <row r="292" spans="1:8" x14ac:dyDescent="0.25">
      <c r="C292" t="s">
        <v>846</v>
      </c>
      <c r="D292" t="s">
        <v>902</v>
      </c>
      <c r="E292">
        <v>6</v>
      </c>
      <c r="F292" s="79">
        <f>E292*8000</f>
        <v>48000</v>
      </c>
      <c r="G292" s="79">
        <f>E292*5500</f>
        <v>33000</v>
      </c>
      <c r="H292" s="79">
        <f>E292*2500</f>
        <v>15000</v>
      </c>
    </row>
    <row r="293" spans="1:8" x14ac:dyDescent="0.25">
      <c r="C293" t="s">
        <v>846</v>
      </c>
      <c r="D293" t="s">
        <v>436</v>
      </c>
      <c r="E293">
        <v>1</v>
      </c>
      <c r="F293" s="79">
        <v>10000</v>
      </c>
      <c r="G293" s="79">
        <v>5500</v>
      </c>
      <c r="H293" s="79">
        <v>4500</v>
      </c>
    </row>
    <row r="294" spans="1:8" x14ac:dyDescent="0.25">
      <c r="C294" t="s">
        <v>954</v>
      </c>
      <c r="D294" t="s">
        <v>902</v>
      </c>
      <c r="E294">
        <v>4</v>
      </c>
      <c r="F294" s="79">
        <f>E294*8000</f>
        <v>32000</v>
      </c>
      <c r="G294" s="79">
        <f>E294*5500</f>
        <v>22000</v>
      </c>
      <c r="H294" s="79">
        <f>E294*2500</f>
        <v>10000</v>
      </c>
    </row>
    <row r="295" spans="1:8" x14ac:dyDescent="0.25">
      <c r="C295" t="s">
        <v>954</v>
      </c>
      <c r="D295" t="s">
        <v>13</v>
      </c>
      <c r="E295">
        <v>2</v>
      </c>
      <c r="F295" s="79">
        <v>16000</v>
      </c>
      <c r="G295" s="79">
        <v>9000</v>
      </c>
      <c r="H295" s="79">
        <v>8000</v>
      </c>
    </row>
    <row r="296" spans="1:8" x14ac:dyDescent="0.25">
      <c r="C296" t="s">
        <v>954</v>
      </c>
      <c r="D296" t="s">
        <v>14</v>
      </c>
      <c r="E296">
        <v>1</v>
      </c>
      <c r="F296" s="79">
        <v>12000</v>
      </c>
      <c r="G296" s="79">
        <v>5500</v>
      </c>
      <c r="H296" s="79">
        <v>6500</v>
      </c>
    </row>
    <row r="297" spans="1:8" x14ac:dyDescent="0.25">
      <c r="A297" s="112" t="s">
        <v>17</v>
      </c>
      <c r="B297" s="112"/>
      <c r="C297" s="112"/>
      <c r="D297" s="112"/>
      <c r="E297" s="78">
        <f>SUM(E290:E296)</f>
        <v>16</v>
      </c>
      <c r="F297" s="78">
        <f t="shared" ref="F297:H297" si="28">SUM(F290:F296)</f>
        <v>138000</v>
      </c>
      <c r="G297" s="78">
        <f t="shared" si="28"/>
        <v>85000</v>
      </c>
      <c r="H297" s="78">
        <f t="shared" si="28"/>
        <v>54000</v>
      </c>
    </row>
  </sheetData>
  <autoFilter ref="A1:H297" xr:uid="{3EA93A63-B4C4-48D5-9FCA-11142A0687B3}"/>
  <mergeCells count="43">
    <mergeCell ref="A236:D236"/>
    <mergeCell ref="A168:D168"/>
    <mergeCell ref="A210:D210"/>
    <mergeCell ref="A202:D202"/>
    <mergeCell ref="A162:D162"/>
    <mergeCell ref="M49:N49"/>
    <mergeCell ref="A181:D181"/>
    <mergeCell ref="A192:D192"/>
    <mergeCell ref="A225:D225"/>
    <mergeCell ref="A43:D43"/>
    <mergeCell ref="A64:D64"/>
    <mergeCell ref="M43:N43"/>
    <mergeCell ref="M44:N44"/>
    <mergeCell ref="M45:N45"/>
    <mergeCell ref="M46:N46"/>
    <mergeCell ref="A16:D16"/>
    <mergeCell ref="L36:N36"/>
    <mergeCell ref="M37:N37"/>
    <mergeCell ref="M38:N38"/>
    <mergeCell ref="M39:N39"/>
    <mergeCell ref="A24:D24"/>
    <mergeCell ref="A32:D32"/>
    <mergeCell ref="A251:D251"/>
    <mergeCell ref="M40:N40"/>
    <mergeCell ref="M41:N41"/>
    <mergeCell ref="M42:N42"/>
    <mergeCell ref="A147:D147"/>
    <mergeCell ref="A135:D135"/>
    <mergeCell ref="A105:D105"/>
    <mergeCell ref="A93:D93"/>
    <mergeCell ref="M47:N47"/>
    <mergeCell ref="A54:D54"/>
    <mergeCell ref="A71:D71"/>
    <mergeCell ref="A126:D126"/>
    <mergeCell ref="A113:D113"/>
    <mergeCell ref="A84:D84"/>
    <mergeCell ref="M48:N48"/>
    <mergeCell ref="A245:D245"/>
    <mergeCell ref="A256:D256"/>
    <mergeCell ref="A264:D264"/>
    <mergeCell ref="A273:D273"/>
    <mergeCell ref="A289:D289"/>
    <mergeCell ref="A297:D29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05C3-6616-45E2-BE33-62A6F81AA276}">
  <sheetPr filterMode="1"/>
  <dimension ref="A1:M309"/>
  <sheetViews>
    <sheetView workbookViewId="0">
      <selection activeCell="D3" sqref="D3"/>
    </sheetView>
  </sheetViews>
  <sheetFormatPr defaultRowHeight="15" x14ac:dyDescent="0.25"/>
  <cols>
    <col min="2" max="2" width="10.7109375" bestFit="1" customWidth="1"/>
    <col min="5" max="5" width="9.28515625" bestFit="1" customWidth="1"/>
    <col min="6" max="6" width="10.5703125" bestFit="1" customWidth="1"/>
    <col min="7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32</v>
      </c>
      <c r="B2" s="3">
        <v>45839</v>
      </c>
      <c r="C2" t="s">
        <v>846</v>
      </c>
      <c r="D2" t="s">
        <v>902</v>
      </c>
      <c r="E2">
        <v>2</v>
      </c>
      <c r="F2" s="79">
        <f>E2*8000</f>
        <v>16000</v>
      </c>
      <c r="G2" s="79">
        <v>11000</v>
      </c>
      <c r="H2" s="79">
        <f>E2*2500</f>
        <v>5000</v>
      </c>
    </row>
    <row r="3" spans="1:8" hidden="1" x14ac:dyDescent="0.25">
      <c r="C3" t="s">
        <v>846</v>
      </c>
      <c r="D3" t="s">
        <v>958</v>
      </c>
      <c r="E3">
        <v>1</v>
      </c>
      <c r="F3" s="79">
        <v>10000</v>
      </c>
      <c r="G3" s="79">
        <v>5500</v>
      </c>
      <c r="H3" s="79">
        <v>4500</v>
      </c>
    </row>
    <row r="4" spans="1:8" x14ac:dyDescent="0.25">
      <c r="C4" t="s">
        <v>846</v>
      </c>
      <c r="D4" t="s">
        <v>404</v>
      </c>
      <c r="E4">
        <v>1</v>
      </c>
      <c r="F4" s="79">
        <v>5000</v>
      </c>
      <c r="G4" s="79">
        <v>2500</v>
      </c>
      <c r="H4" s="79">
        <v>2500</v>
      </c>
    </row>
    <row r="5" spans="1:8" hidden="1" x14ac:dyDescent="0.25">
      <c r="A5" s="112" t="s">
        <v>17</v>
      </c>
      <c r="B5" s="112"/>
      <c r="C5" s="112"/>
      <c r="D5" s="112"/>
      <c r="E5" s="78">
        <f>SUM(E2:E4)</f>
        <v>4</v>
      </c>
      <c r="F5" s="78">
        <f t="shared" ref="F5:H5" si="0">SUM(F2:F4)</f>
        <v>31000</v>
      </c>
      <c r="G5" s="78">
        <f t="shared" si="0"/>
        <v>19000</v>
      </c>
      <c r="H5" s="78">
        <f t="shared" si="0"/>
        <v>12000</v>
      </c>
    </row>
    <row r="6" spans="1:8" hidden="1" x14ac:dyDescent="0.25">
      <c r="A6" t="s">
        <v>8</v>
      </c>
      <c r="B6" s="3">
        <v>45840</v>
      </c>
      <c r="C6" t="s">
        <v>846</v>
      </c>
      <c r="D6" t="s">
        <v>14</v>
      </c>
      <c r="E6">
        <v>5</v>
      </c>
      <c r="F6" s="79">
        <f>E6*12000</f>
        <v>60000</v>
      </c>
      <c r="G6" s="79">
        <f>E6*5500</f>
        <v>27500</v>
      </c>
      <c r="H6" s="79">
        <f>E6*6500</f>
        <v>32500</v>
      </c>
    </row>
    <row r="7" spans="1:8" hidden="1" x14ac:dyDescent="0.25">
      <c r="C7" t="s">
        <v>846</v>
      </c>
      <c r="D7" t="s">
        <v>958</v>
      </c>
      <c r="E7">
        <v>1</v>
      </c>
      <c r="F7" s="79">
        <v>10000</v>
      </c>
      <c r="G7" s="79">
        <v>5500</v>
      </c>
      <c r="H7" s="79">
        <v>4500</v>
      </c>
    </row>
    <row r="8" spans="1:8" hidden="1" x14ac:dyDescent="0.25">
      <c r="C8" t="s">
        <v>846</v>
      </c>
      <c r="D8" t="s">
        <v>927</v>
      </c>
      <c r="E8">
        <v>1</v>
      </c>
      <c r="F8" s="79">
        <v>12000</v>
      </c>
      <c r="G8" s="79">
        <v>5500</v>
      </c>
      <c r="H8" s="79">
        <v>6500</v>
      </c>
    </row>
    <row r="9" spans="1:8" hidden="1" x14ac:dyDescent="0.25">
      <c r="C9" t="s">
        <v>846</v>
      </c>
      <c r="D9" t="s">
        <v>919</v>
      </c>
      <c r="E9">
        <v>1</v>
      </c>
      <c r="F9" s="79">
        <v>12000</v>
      </c>
      <c r="G9" s="79">
        <v>5500</v>
      </c>
      <c r="H9" s="79">
        <v>6500</v>
      </c>
    </row>
    <row r="10" spans="1:8" hidden="1" x14ac:dyDescent="0.25">
      <c r="C10" t="s">
        <v>846</v>
      </c>
      <c r="D10" t="s">
        <v>959</v>
      </c>
      <c r="E10">
        <v>1</v>
      </c>
      <c r="F10" s="79">
        <v>8000</v>
      </c>
      <c r="G10" s="79">
        <v>4500</v>
      </c>
      <c r="H10" s="79">
        <v>3500</v>
      </c>
    </row>
    <row r="11" spans="1:8" hidden="1" x14ac:dyDescent="0.25">
      <c r="C11" t="s">
        <v>937</v>
      </c>
      <c r="D11" t="s">
        <v>243</v>
      </c>
      <c r="E11">
        <v>100</v>
      </c>
      <c r="F11" s="79"/>
      <c r="G11" s="79"/>
      <c r="H11" s="79"/>
    </row>
    <row r="12" spans="1:8" hidden="1" x14ac:dyDescent="0.25">
      <c r="A12" s="112" t="s">
        <v>17</v>
      </c>
      <c r="B12" s="112"/>
      <c r="C12" s="112"/>
      <c r="D12" s="112"/>
      <c r="E12" s="78">
        <f>SUM(E6:E11)</f>
        <v>109</v>
      </c>
      <c r="F12" s="78">
        <f t="shared" ref="F12:H12" si="1">SUM(F6:F11)</f>
        <v>102000</v>
      </c>
      <c r="G12" s="78">
        <f t="shared" si="1"/>
        <v>48500</v>
      </c>
      <c r="H12" s="78">
        <f t="shared" si="1"/>
        <v>53500</v>
      </c>
    </row>
    <row r="13" spans="1:8" hidden="1" x14ac:dyDescent="0.25">
      <c r="A13" t="s">
        <v>18</v>
      </c>
      <c r="B13" s="3">
        <v>45841</v>
      </c>
      <c r="C13" t="s">
        <v>954</v>
      </c>
      <c r="D13" t="s">
        <v>902</v>
      </c>
      <c r="E13">
        <v>4</v>
      </c>
      <c r="F13" s="79">
        <f>E13*8000</f>
        <v>32000</v>
      </c>
      <c r="G13" s="79">
        <f>E13*4500</f>
        <v>18000</v>
      </c>
      <c r="H13" s="79">
        <f>E13*3500</f>
        <v>14000</v>
      </c>
    </row>
    <row r="14" spans="1:8" hidden="1" x14ac:dyDescent="0.25">
      <c r="C14" t="s">
        <v>954</v>
      </c>
      <c r="D14" t="s">
        <v>14</v>
      </c>
      <c r="E14">
        <v>1</v>
      </c>
      <c r="F14" s="79">
        <v>12000</v>
      </c>
      <c r="G14" s="79">
        <v>5500</v>
      </c>
      <c r="H14" s="79">
        <v>6500</v>
      </c>
    </row>
    <row r="15" spans="1:8" x14ac:dyDescent="0.25">
      <c r="C15" t="s">
        <v>954</v>
      </c>
      <c r="D15" t="s">
        <v>404</v>
      </c>
      <c r="E15">
        <v>2</v>
      </c>
      <c r="F15" s="79">
        <v>8000</v>
      </c>
      <c r="G15" s="79">
        <v>4000</v>
      </c>
      <c r="H15" s="79">
        <v>4000</v>
      </c>
    </row>
    <row r="16" spans="1:8" hidden="1" x14ac:dyDescent="0.25">
      <c r="C16" t="s">
        <v>846</v>
      </c>
      <c r="D16" t="s">
        <v>14</v>
      </c>
      <c r="E16">
        <v>3</v>
      </c>
      <c r="F16" s="79">
        <f>E16*12000</f>
        <v>36000</v>
      </c>
      <c r="G16" s="79">
        <f>E16*5500</f>
        <v>16500</v>
      </c>
      <c r="H16" s="79">
        <f>E16*6500</f>
        <v>19500</v>
      </c>
    </row>
    <row r="17" spans="1:8" hidden="1" x14ac:dyDescent="0.25">
      <c r="C17" t="s">
        <v>846</v>
      </c>
      <c r="D17" t="s">
        <v>441</v>
      </c>
      <c r="E17">
        <v>2</v>
      </c>
      <c r="F17" s="79">
        <v>20000</v>
      </c>
      <c r="G17" s="79">
        <v>10000</v>
      </c>
      <c r="H17" s="79">
        <v>10000</v>
      </c>
    </row>
    <row r="18" spans="1:8" hidden="1" x14ac:dyDescent="0.25">
      <c r="C18" t="s">
        <v>846</v>
      </c>
      <c r="D18" t="s">
        <v>902</v>
      </c>
      <c r="E18">
        <v>8</v>
      </c>
      <c r="F18" s="79">
        <f>E18*8000</f>
        <v>64000</v>
      </c>
      <c r="G18" s="79">
        <f>E18*5500</f>
        <v>44000</v>
      </c>
      <c r="H18" s="79">
        <f>E18*2500</f>
        <v>20000</v>
      </c>
    </row>
    <row r="19" spans="1:8" hidden="1" x14ac:dyDescent="0.25">
      <c r="C19" t="s">
        <v>846</v>
      </c>
      <c r="D19" t="s">
        <v>918</v>
      </c>
      <c r="E19">
        <v>1</v>
      </c>
      <c r="F19" s="79">
        <v>15000</v>
      </c>
      <c r="G19" s="79">
        <v>10000</v>
      </c>
      <c r="H19" s="79">
        <v>5000</v>
      </c>
    </row>
    <row r="20" spans="1:8" hidden="1" x14ac:dyDescent="0.25">
      <c r="C20" t="s">
        <v>846</v>
      </c>
      <c r="D20" t="s">
        <v>958</v>
      </c>
      <c r="E20">
        <v>1</v>
      </c>
      <c r="F20" s="79">
        <v>10000</v>
      </c>
      <c r="G20" s="79">
        <v>4500</v>
      </c>
      <c r="H20" s="79">
        <v>5500</v>
      </c>
    </row>
    <row r="21" spans="1:8" hidden="1" x14ac:dyDescent="0.25">
      <c r="C21" t="s">
        <v>846</v>
      </c>
      <c r="D21" t="s">
        <v>432</v>
      </c>
      <c r="E21">
        <v>2</v>
      </c>
      <c r="F21" s="79">
        <v>20000</v>
      </c>
      <c r="G21" s="79">
        <v>10000</v>
      </c>
      <c r="H21" s="79">
        <v>10000</v>
      </c>
    </row>
    <row r="22" spans="1:8" hidden="1" x14ac:dyDescent="0.25">
      <c r="A22" s="112" t="s">
        <v>17</v>
      </c>
      <c r="B22" s="112"/>
      <c r="C22" s="112"/>
      <c r="D22" s="112"/>
      <c r="E22" s="78">
        <f>SUM(E13:E21)</f>
        <v>24</v>
      </c>
      <c r="F22" s="78">
        <f t="shared" ref="F22:H22" si="2">SUM(F13:F21)</f>
        <v>217000</v>
      </c>
      <c r="G22" s="78">
        <f t="shared" si="2"/>
        <v>122500</v>
      </c>
      <c r="H22" s="78">
        <f t="shared" si="2"/>
        <v>94500</v>
      </c>
    </row>
    <row r="23" spans="1:8" hidden="1" x14ac:dyDescent="0.25">
      <c r="A23" s="106" t="s">
        <v>22</v>
      </c>
      <c r="B23" s="107">
        <v>45842</v>
      </c>
      <c r="C23" s="106" t="s">
        <v>75</v>
      </c>
      <c r="D23" s="106" t="s">
        <v>75</v>
      </c>
      <c r="E23" s="106" t="s">
        <v>75</v>
      </c>
      <c r="F23" s="106" t="s">
        <v>75</v>
      </c>
      <c r="G23" s="106" t="s">
        <v>75</v>
      </c>
      <c r="H23" s="106" t="s">
        <v>75</v>
      </c>
    </row>
    <row r="24" spans="1:8" hidden="1" x14ac:dyDescent="0.25">
      <c r="A24" t="s">
        <v>26</v>
      </c>
      <c r="B24" s="3">
        <v>45843</v>
      </c>
      <c r="C24" t="s">
        <v>846</v>
      </c>
      <c r="D24" t="s">
        <v>14</v>
      </c>
      <c r="E24">
        <v>2</v>
      </c>
      <c r="F24" s="79">
        <f>E24*12000</f>
        <v>24000</v>
      </c>
      <c r="G24" s="79">
        <f>E24*5500</f>
        <v>11000</v>
      </c>
      <c r="H24" s="79">
        <f>E24*6500</f>
        <v>13000</v>
      </c>
    </row>
    <row r="25" spans="1:8" hidden="1" x14ac:dyDescent="0.25">
      <c r="C25" t="s">
        <v>846</v>
      </c>
      <c r="D25" t="s">
        <v>918</v>
      </c>
      <c r="E25">
        <v>1</v>
      </c>
      <c r="F25" s="79">
        <v>15000</v>
      </c>
      <c r="G25" s="79">
        <v>10000</v>
      </c>
      <c r="H25" s="79">
        <v>5000</v>
      </c>
    </row>
    <row r="26" spans="1:8" hidden="1" x14ac:dyDescent="0.25">
      <c r="C26" t="s">
        <v>846</v>
      </c>
      <c r="D26" t="s">
        <v>919</v>
      </c>
      <c r="E26">
        <v>1</v>
      </c>
      <c r="F26" s="79">
        <v>12000</v>
      </c>
      <c r="G26" s="79">
        <v>5500</v>
      </c>
      <c r="H26" s="79">
        <v>6500</v>
      </c>
    </row>
    <row r="27" spans="1:8" hidden="1" x14ac:dyDescent="0.25">
      <c r="C27" t="s">
        <v>24</v>
      </c>
      <c r="D27" t="s">
        <v>243</v>
      </c>
      <c r="E27">
        <v>7</v>
      </c>
      <c r="F27" s="79">
        <f>E27*15000</f>
        <v>105000</v>
      </c>
      <c r="G27" s="79">
        <f>E27*10000</f>
        <v>70000</v>
      </c>
      <c r="H27" s="79">
        <f>E27*5000</f>
        <v>35000</v>
      </c>
    </row>
    <row r="28" spans="1:8" hidden="1" x14ac:dyDescent="0.25">
      <c r="C28" t="s">
        <v>24</v>
      </c>
      <c r="D28" t="s">
        <v>243</v>
      </c>
      <c r="E28">
        <v>2</v>
      </c>
      <c r="F28" s="79">
        <v>30000</v>
      </c>
      <c r="G28" s="79">
        <v>20000</v>
      </c>
      <c r="H28" s="79">
        <v>10000</v>
      </c>
    </row>
    <row r="29" spans="1:8" hidden="1" x14ac:dyDescent="0.25">
      <c r="C29" t="s">
        <v>24</v>
      </c>
      <c r="D29" t="s">
        <v>14</v>
      </c>
      <c r="E29">
        <v>4</v>
      </c>
      <c r="F29" s="79">
        <f>E29*12000</f>
        <v>48000</v>
      </c>
      <c r="G29" s="79">
        <f>E29*5500</f>
        <v>22000</v>
      </c>
      <c r="H29" s="79">
        <f>E29*6500</f>
        <v>26000</v>
      </c>
    </row>
    <row r="30" spans="1:8" hidden="1" x14ac:dyDescent="0.25">
      <c r="C30" t="s">
        <v>24</v>
      </c>
      <c r="D30" t="s">
        <v>243</v>
      </c>
      <c r="E30">
        <v>1</v>
      </c>
      <c r="F30" s="79">
        <v>15000</v>
      </c>
      <c r="G30" s="79">
        <v>10000</v>
      </c>
      <c r="H30" s="79">
        <v>5000</v>
      </c>
    </row>
    <row r="31" spans="1:8" hidden="1" x14ac:dyDescent="0.25">
      <c r="C31" t="s">
        <v>24</v>
      </c>
      <c r="D31" t="s">
        <v>21</v>
      </c>
      <c r="E31">
        <v>2</v>
      </c>
      <c r="F31" s="79">
        <v>30000</v>
      </c>
      <c r="G31" s="79">
        <v>20000</v>
      </c>
      <c r="H31" s="79">
        <v>10000</v>
      </c>
    </row>
    <row r="32" spans="1:8" hidden="1" x14ac:dyDescent="0.25">
      <c r="A32" s="112" t="s">
        <v>17</v>
      </c>
      <c r="B32" s="112"/>
      <c r="C32" s="112"/>
      <c r="D32" s="112"/>
      <c r="E32" s="78">
        <f>SUM(E24:E31)</f>
        <v>20</v>
      </c>
      <c r="F32" s="78">
        <f t="shared" ref="F32:H32" si="3">SUM(F24:F31)</f>
        <v>279000</v>
      </c>
      <c r="G32" s="78">
        <f t="shared" si="3"/>
        <v>168500</v>
      </c>
      <c r="H32" s="78">
        <f t="shared" si="3"/>
        <v>110500</v>
      </c>
    </row>
    <row r="33" spans="1:13" hidden="1" x14ac:dyDescent="0.25">
      <c r="A33" t="s">
        <v>28</v>
      </c>
      <c r="B33" s="3">
        <v>45844</v>
      </c>
      <c r="C33" t="s">
        <v>693</v>
      </c>
      <c r="D33" t="s">
        <v>13</v>
      </c>
      <c r="E33">
        <v>47</v>
      </c>
      <c r="F33" s="79">
        <f>E33*7000</f>
        <v>329000</v>
      </c>
      <c r="G33" s="79">
        <f>E33*4500</f>
        <v>211500</v>
      </c>
      <c r="H33" s="79">
        <f>E33*2500</f>
        <v>117500</v>
      </c>
    </row>
    <row r="34" spans="1:13" hidden="1" x14ac:dyDescent="0.25">
      <c r="C34" t="s">
        <v>693</v>
      </c>
      <c r="D34" t="s">
        <v>14</v>
      </c>
      <c r="E34">
        <v>37</v>
      </c>
      <c r="F34" s="79">
        <f>E34*10000</f>
        <v>370000</v>
      </c>
      <c r="G34" s="79">
        <f>E34*5500</f>
        <v>203500</v>
      </c>
      <c r="H34" s="79">
        <f>E34*4500</f>
        <v>166500</v>
      </c>
    </row>
    <row r="35" spans="1:13" hidden="1" x14ac:dyDescent="0.25">
      <c r="C35" t="s">
        <v>693</v>
      </c>
      <c r="D35" t="s">
        <v>243</v>
      </c>
      <c r="E35">
        <v>1</v>
      </c>
      <c r="F35" s="79">
        <v>15000</v>
      </c>
      <c r="G35" s="79">
        <v>10000</v>
      </c>
      <c r="H35" s="79">
        <v>5000</v>
      </c>
    </row>
    <row r="36" spans="1:13" hidden="1" x14ac:dyDescent="0.25">
      <c r="C36" t="s">
        <v>693</v>
      </c>
      <c r="D36" t="s">
        <v>919</v>
      </c>
      <c r="E36">
        <v>3</v>
      </c>
      <c r="F36" s="79">
        <f>E36*10000</f>
        <v>30000</v>
      </c>
      <c r="G36" s="79">
        <f>E36*5500</f>
        <v>16500</v>
      </c>
      <c r="H36" s="79">
        <f>E36*4500</f>
        <v>13500</v>
      </c>
    </row>
    <row r="37" spans="1:13" hidden="1" x14ac:dyDescent="0.25">
      <c r="C37" t="s">
        <v>846</v>
      </c>
      <c r="D37" t="s">
        <v>13</v>
      </c>
      <c r="E37">
        <v>1</v>
      </c>
      <c r="F37" s="79">
        <v>8000</v>
      </c>
      <c r="G37" s="79">
        <v>4500</v>
      </c>
      <c r="H37" s="79">
        <v>3500</v>
      </c>
    </row>
    <row r="38" spans="1:13" hidden="1" x14ac:dyDescent="0.25">
      <c r="C38" t="s">
        <v>846</v>
      </c>
      <c r="D38" t="s">
        <v>14</v>
      </c>
      <c r="E38">
        <v>1</v>
      </c>
      <c r="F38" s="79">
        <v>12000</v>
      </c>
      <c r="G38" s="79">
        <v>5500</v>
      </c>
      <c r="H38" s="79">
        <v>6500</v>
      </c>
      <c r="M38" s="92">
        <f>E6+E14+E16+E24+E29+E34+E38+E42+E45+E58+E83+E85+E93+E96+E98+E100+E108+E125+E139+E147+E154+E157+E164+E168+E172+E182+E198+E201+E214+E238+E253+E258+E278+E281+E285+E289+E293</f>
        <v>237</v>
      </c>
    </row>
    <row r="39" spans="1:13" hidden="1" x14ac:dyDescent="0.25">
      <c r="C39" t="s">
        <v>846</v>
      </c>
      <c r="D39" t="s">
        <v>902</v>
      </c>
      <c r="E39">
        <v>4</v>
      </c>
      <c r="F39" s="79">
        <f>E39*8000</f>
        <v>32000</v>
      </c>
      <c r="G39" s="79">
        <f>E39*5500</f>
        <v>22000</v>
      </c>
      <c r="H39" s="79">
        <f>E39*2500</f>
        <v>10000</v>
      </c>
    </row>
    <row r="40" spans="1:13" hidden="1" x14ac:dyDescent="0.25">
      <c r="C40" t="s">
        <v>846</v>
      </c>
      <c r="D40" t="s">
        <v>919</v>
      </c>
      <c r="E40">
        <v>1</v>
      </c>
      <c r="F40" s="79">
        <v>12000</v>
      </c>
      <c r="G40" s="79">
        <v>5500</v>
      </c>
      <c r="H40" s="79">
        <v>6500</v>
      </c>
    </row>
    <row r="41" spans="1:13" hidden="1" x14ac:dyDescent="0.25">
      <c r="C41" t="s">
        <v>217</v>
      </c>
      <c r="D41" t="s">
        <v>13</v>
      </c>
      <c r="E41">
        <v>17</v>
      </c>
      <c r="F41" s="79">
        <f>E41*8000</f>
        <v>136000</v>
      </c>
      <c r="G41" s="79">
        <f>E41*4500</f>
        <v>76500</v>
      </c>
      <c r="H41" s="79">
        <f>E41*2000</f>
        <v>34000</v>
      </c>
    </row>
    <row r="42" spans="1:13" hidden="1" x14ac:dyDescent="0.25">
      <c r="C42" t="s">
        <v>217</v>
      </c>
      <c r="D42" t="s">
        <v>14</v>
      </c>
      <c r="E42">
        <v>13</v>
      </c>
      <c r="F42" s="79">
        <f>E42*10000</f>
        <v>130000</v>
      </c>
      <c r="G42" s="79">
        <f>E42*5500</f>
        <v>71500</v>
      </c>
      <c r="H42" s="79">
        <f>E42*4500</f>
        <v>58500</v>
      </c>
    </row>
    <row r="43" spans="1:13" hidden="1" x14ac:dyDescent="0.25">
      <c r="A43" s="112" t="s">
        <v>17</v>
      </c>
      <c r="B43" s="112"/>
      <c r="C43" s="112"/>
      <c r="D43" s="112"/>
      <c r="E43" s="78">
        <f>SUM(E33:E42)</f>
        <v>125</v>
      </c>
      <c r="F43" s="78">
        <f t="shared" ref="F43:H43" si="4">SUM(F33:F42)</f>
        <v>1074000</v>
      </c>
      <c r="G43" s="78">
        <f t="shared" si="4"/>
        <v>627000</v>
      </c>
      <c r="H43" s="78">
        <f t="shared" si="4"/>
        <v>421500</v>
      </c>
    </row>
    <row r="44" spans="1:13" hidden="1" x14ac:dyDescent="0.25">
      <c r="A44" t="s">
        <v>30</v>
      </c>
      <c r="B44" s="3">
        <v>45845</v>
      </c>
      <c r="C44" t="s">
        <v>846</v>
      </c>
      <c r="D44" t="s">
        <v>13</v>
      </c>
      <c r="E44">
        <v>9</v>
      </c>
      <c r="F44" s="79">
        <f>E44*8000</f>
        <v>72000</v>
      </c>
      <c r="G44" s="79">
        <f>E44*4500</f>
        <v>40500</v>
      </c>
      <c r="H44" s="79">
        <f>E44*3500</f>
        <v>31500</v>
      </c>
    </row>
    <row r="45" spans="1:13" hidden="1" x14ac:dyDescent="0.25">
      <c r="C45" t="s">
        <v>846</v>
      </c>
      <c r="D45" t="s">
        <v>14</v>
      </c>
      <c r="E45">
        <v>2</v>
      </c>
      <c r="F45" s="79">
        <f>E45*12000</f>
        <v>24000</v>
      </c>
      <c r="G45" s="79">
        <f>E45*5500</f>
        <v>11000</v>
      </c>
      <c r="H45" s="79">
        <f>E45*6500</f>
        <v>13000</v>
      </c>
    </row>
    <row r="46" spans="1:13" hidden="1" x14ac:dyDescent="0.25">
      <c r="C46" t="s">
        <v>846</v>
      </c>
      <c r="D46" t="s">
        <v>902</v>
      </c>
      <c r="E46">
        <v>3</v>
      </c>
      <c r="F46" s="79">
        <f>E46*8000</f>
        <v>24000</v>
      </c>
      <c r="G46" s="79">
        <f>E46*5500</f>
        <v>16500</v>
      </c>
      <c r="H46" s="79">
        <f>E46*2500</f>
        <v>7500</v>
      </c>
    </row>
    <row r="47" spans="1:13" hidden="1" x14ac:dyDescent="0.25">
      <c r="C47" t="s">
        <v>846</v>
      </c>
      <c r="D47" t="s">
        <v>919</v>
      </c>
      <c r="E47">
        <v>2</v>
      </c>
      <c r="F47" s="79">
        <v>24000</v>
      </c>
      <c r="G47" s="79">
        <f>E47*5500</f>
        <v>11000</v>
      </c>
      <c r="H47" s="79">
        <f>E47*6500</f>
        <v>13000</v>
      </c>
    </row>
    <row r="48" spans="1:13" hidden="1" x14ac:dyDescent="0.25">
      <c r="C48" t="s">
        <v>846</v>
      </c>
      <c r="D48" t="s">
        <v>243</v>
      </c>
      <c r="E48">
        <v>3</v>
      </c>
      <c r="F48" s="79">
        <v>45000</v>
      </c>
      <c r="G48" s="79">
        <v>30000</v>
      </c>
      <c r="H48" s="79">
        <v>15000</v>
      </c>
    </row>
    <row r="49" spans="1:8" hidden="1" x14ac:dyDescent="0.25">
      <c r="C49" t="s">
        <v>24</v>
      </c>
      <c r="D49" t="s">
        <v>243</v>
      </c>
      <c r="E49">
        <v>1</v>
      </c>
      <c r="F49" s="79">
        <v>15000</v>
      </c>
      <c r="G49" s="79">
        <v>10000</v>
      </c>
      <c r="H49" s="79">
        <v>5000</v>
      </c>
    </row>
    <row r="50" spans="1:8" hidden="1" x14ac:dyDescent="0.25">
      <c r="A50" s="112" t="s">
        <v>17</v>
      </c>
      <c r="B50" s="112"/>
      <c r="C50" s="112"/>
      <c r="D50" s="112"/>
      <c r="E50" s="78">
        <f>SUM(E44:E49)</f>
        <v>20</v>
      </c>
      <c r="F50" s="78">
        <f t="shared" ref="F50:H50" si="5">SUM(F44:F49)</f>
        <v>204000</v>
      </c>
      <c r="G50" s="78">
        <f t="shared" si="5"/>
        <v>119000</v>
      </c>
      <c r="H50" s="78">
        <f t="shared" si="5"/>
        <v>85000</v>
      </c>
    </row>
    <row r="51" spans="1:8" hidden="1" x14ac:dyDescent="0.25">
      <c r="A51" t="s">
        <v>32</v>
      </c>
      <c r="B51" s="3">
        <v>45846</v>
      </c>
      <c r="C51" t="s">
        <v>954</v>
      </c>
      <c r="D51" t="s">
        <v>902</v>
      </c>
      <c r="E51">
        <v>6</v>
      </c>
      <c r="F51" s="79">
        <f>E51*8000</f>
        <v>48000</v>
      </c>
      <c r="G51" s="79">
        <f>E51*5500</f>
        <v>33000</v>
      </c>
      <c r="H51" s="79">
        <f>E51*2500</f>
        <v>15000</v>
      </c>
    </row>
    <row r="52" spans="1:8" hidden="1" x14ac:dyDescent="0.25">
      <c r="C52" t="s">
        <v>954</v>
      </c>
      <c r="D52" t="s">
        <v>13</v>
      </c>
      <c r="E52">
        <v>1</v>
      </c>
      <c r="F52" s="79">
        <v>8000</v>
      </c>
      <c r="G52" s="79">
        <v>4500</v>
      </c>
      <c r="H52" s="79">
        <v>3500</v>
      </c>
    </row>
    <row r="53" spans="1:8" x14ac:dyDescent="0.25">
      <c r="C53" t="s">
        <v>954</v>
      </c>
      <c r="D53" t="s">
        <v>404</v>
      </c>
      <c r="E53">
        <v>1</v>
      </c>
      <c r="F53" s="79">
        <v>4000</v>
      </c>
      <c r="G53" s="79">
        <v>2000</v>
      </c>
      <c r="H53" s="79">
        <v>2000</v>
      </c>
    </row>
    <row r="54" spans="1:8" hidden="1" x14ac:dyDescent="0.25">
      <c r="C54" t="s">
        <v>846</v>
      </c>
      <c r="D54" t="s">
        <v>902</v>
      </c>
      <c r="E54">
        <v>5</v>
      </c>
      <c r="F54" s="79">
        <f>E54*8000</f>
        <v>40000</v>
      </c>
      <c r="G54" s="79">
        <f>E54*5500</f>
        <v>27500</v>
      </c>
      <c r="H54" s="79">
        <f>E54*2500</f>
        <v>12500</v>
      </c>
    </row>
    <row r="55" spans="1:8" hidden="1" x14ac:dyDescent="0.25">
      <c r="C55" t="s">
        <v>846</v>
      </c>
      <c r="D55" t="s">
        <v>919</v>
      </c>
      <c r="E55">
        <v>4</v>
      </c>
      <c r="F55" s="79">
        <f>E55*12000</f>
        <v>48000</v>
      </c>
      <c r="G55" s="79">
        <f>E55*5500</f>
        <v>22000</v>
      </c>
      <c r="H55" s="79">
        <f>E55*6500</f>
        <v>26000</v>
      </c>
    </row>
    <row r="56" spans="1:8" hidden="1" x14ac:dyDescent="0.25">
      <c r="C56" t="s">
        <v>846</v>
      </c>
      <c r="D56" t="s">
        <v>927</v>
      </c>
      <c r="E56">
        <v>3</v>
      </c>
      <c r="F56" s="79">
        <f>E56*12000</f>
        <v>36000</v>
      </c>
      <c r="G56" s="79">
        <f>E56*5500</f>
        <v>16500</v>
      </c>
      <c r="H56" s="79">
        <f>E56*6500</f>
        <v>19500</v>
      </c>
    </row>
    <row r="57" spans="1:8" x14ac:dyDescent="0.25">
      <c r="C57" t="s">
        <v>846</v>
      </c>
      <c r="D57" t="s">
        <v>404</v>
      </c>
      <c r="E57">
        <v>2</v>
      </c>
      <c r="F57" s="79">
        <v>10000</v>
      </c>
      <c r="G57" s="79">
        <v>5000</v>
      </c>
      <c r="H57" s="79">
        <v>5000</v>
      </c>
    </row>
    <row r="58" spans="1:8" hidden="1" x14ac:dyDescent="0.25">
      <c r="C58" t="s">
        <v>846</v>
      </c>
      <c r="D58" t="s">
        <v>14</v>
      </c>
      <c r="E58">
        <v>1</v>
      </c>
      <c r="F58" s="79">
        <v>10000</v>
      </c>
      <c r="G58" s="79">
        <v>5500</v>
      </c>
      <c r="H58" s="79">
        <v>4500</v>
      </c>
    </row>
    <row r="59" spans="1:8" hidden="1" x14ac:dyDescent="0.25">
      <c r="C59" t="s">
        <v>846</v>
      </c>
      <c r="D59" t="s">
        <v>958</v>
      </c>
      <c r="E59">
        <v>1</v>
      </c>
      <c r="F59" s="79">
        <v>10000</v>
      </c>
      <c r="G59" s="79">
        <v>5500</v>
      </c>
      <c r="H59" s="79">
        <v>4500</v>
      </c>
    </row>
    <row r="60" spans="1:8" hidden="1" x14ac:dyDescent="0.25">
      <c r="C60" t="s">
        <v>24</v>
      </c>
      <c r="D60" t="s">
        <v>21</v>
      </c>
      <c r="E60">
        <v>3</v>
      </c>
      <c r="F60" s="79">
        <f>E60*18000</f>
        <v>54000</v>
      </c>
      <c r="G60" s="79">
        <v>30000</v>
      </c>
      <c r="H60" s="79">
        <v>24000</v>
      </c>
    </row>
    <row r="61" spans="1:8" hidden="1" x14ac:dyDescent="0.25">
      <c r="A61" s="112" t="s">
        <v>17</v>
      </c>
      <c r="B61" s="112"/>
      <c r="C61" s="112"/>
      <c r="D61" s="112"/>
      <c r="E61" s="78">
        <f>SUM(E51:E60)</f>
        <v>27</v>
      </c>
      <c r="F61" s="78">
        <f t="shared" ref="F61:H61" si="6">SUM(F51:F60)</f>
        <v>268000</v>
      </c>
      <c r="G61" s="78">
        <f t="shared" si="6"/>
        <v>151500</v>
      </c>
      <c r="H61" s="78">
        <f t="shared" si="6"/>
        <v>116500</v>
      </c>
    </row>
    <row r="62" spans="1:8" hidden="1" x14ac:dyDescent="0.25">
      <c r="A62" t="s">
        <v>8</v>
      </c>
      <c r="B62" s="3">
        <v>45847</v>
      </c>
      <c r="C62" t="s">
        <v>954</v>
      </c>
      <c r="D62" t="s">
        <v>902</v>
      </c>
      <c r="E62">
        <v>10</v>
      </c>
      <c r="F62" s="79">
        <f>E62*8000</f>
        <v>80000</v>
      </c>
      <c r="G62" s="79">
        <f>E62*5500</f>
        <v>55000</v>
      </c>
      <c r="H62" s="79">
        <f>E62*2500</f>
        <v>25000</v>
      </c>
    </row>
    <row r="63" spans="1:8" x14ac:dyDescent="0.25">
      <c r="C63" t="s">
        <v>954</v>
      </c>
      <c r="D63" t="s">
        <v>404</v>
      </c>
      <c r="E63">
        <v>2</v>
      </c>
      <c r="F63" s="79">
        <v>8000</v>
      </c>
      <c r="G63" s="79">
        <v>4000</v>
      </c>
      <c r="H63" s="79">
        <v>4000</v>
      </c>
    </row>
    <row r="64" spans="1:8" hidden="1" x14ac:dyDescent="0.25">
      <c r="C64" t="s">
        <v>954</v>
      </c>
      <c r="D64" t="s">
        <v>13</v>
      </c>
      <c r="E64">
        <v>2</v>
      </c>
      <c r="F64" s="79">
        <v>16000</v>
      </c>
      <c r="G64" s="79">
        <v>9000</v>
      </c>
      <c r="H64" s="79">
        <v>7000</v>
      </c>
    </row>
    <row r="65" spans="1:13" hidden="1" x14ac:dyDescent="0.25">
      <c r="C65" t="s">
        <v>846</v>
      </c>
      <c r="D65" t="s">
        <v>13</v>
      </c>
      <c r="E65">
        <v>3</v>
      </c>
      <c r="F65" s="79">
        <v>24000</v>
      </c>
      <c r="G65" s="79">
        <f>E65*4500</f>
        <v>13500</v>
      </c>
      <c r="H65" s="79">
        <f>E65*3500</f>
        <v>10500</v>
      </c>
    </row>
    <row r="66" spans="1:13" hidden="1" x14ac:dyDescent="0.25">
      <c r="C66" t="s">
        <v>846</v>
      </c>
      <c r="D66" t="s">
        <v>919</v>
      </c>
      <c r="E66">
        <v>1</v>
      </c>
      <c r="F66" s="79">
        <v>12000</v>
      </c>
      <c r="G66" s="79">
        <v>5500</v>
      </c>
      <c r="H66" s="79">
        <v>6500</v>
      </c>
    </row>
    <row r="67" spans="1:13" hidden="1" x14ac:dyDescent="0.25">
      <c r="A67" s="112" t="s">
        <v>17</v>
      </c>
      <c r="B67" s="112"/>
      <c r="C67" s="112"/>
      <c r="D67" s="112"/>
      <c r="E67" s="78">
        <f>SUM(E62:E66)</f>
        <v>18</v>
      </c>
      <c r="F67" s="78">
        <f t="shared" ref="F67:H67" si="7">SUM(F62:F66)</f>
        <v>140000</v>
      </c>
      <c r="G67" s="78">
        <f t="shared" si="7"/>
        <v>87000</v>
      </c>
      <c r="H67" s="78">
        <f t="shared" si="7"/>
        <v>53000</v>
      </c>
    </row>
    <row r="68" spans="1:13" hidden="1" x14ac:dyDescent="0.25">
      <c r="A68" t="s">
        <v>18</v>
      </c>
      <c r="B68" s="3">
        <v>45848</v>
      </c>
      <c r="C68" t="s">
        <v>954</v>
      </c>
      <c r="D68" t="s">
        <v>902</v>
      </c>
      <c r="E68">
        <v>9</v>
      </c>
      <c r="F68" s="79">
        <f>E68*8000</f>
        <v>72000</v>
      </c>
      <c r="G68" s="79">
        <f>E68*5500</f>
        <v>49500</v>
      </c>
      <c r="H68" s="79">
        <f>E68*2500</f>
        <v>22500</v>
      </c>
      <c r="M68" s="92">
        <f>E2+E13+E18+E39+E46+E51+E54+E62+E68+E73+E79+E84+E86+E103+E105+E109+E111+E114+E122+E140+E144+E155+E169+E175+E180+E181+E196+E199++E215+E220+E233+E234+E244+E245+E259+E269+E272+E279+E282+E288+E294+E300</f>
        <v>183</v>
      </c>
    </row>
    <row r="69" spans="1:13" hidden="1" x14ac:dyDescent="0.25">
      <c r="C69" t="s">
        <v>954</v>
      </c>
      <c r="D69" t="s">
        <v>420</v>
      </c>
      <c r="E69">
        <v>4</v>
      </c>
      <c r="F69" s="79">
        <f>E69*8000</f>
        <v>32000</v>
      </c>
      <c r="G69" s="79">
        <f>E69*5500</f>
        <v>22000</v>
      </c>
      <c r="H69" s="79">
        <f>E69*2500</f>
        <v>10000</v>
      </c>
    </row>
    <row r="70" spans="1:13" x14ac:dyDescent="0.25">
      <c r="C70" t="s">
        <v>954</v>
      </c>
      <c r="D70" t="s">
        <v>404</v>
      </c>
      <c r="E70">
        <v>2</v>
      </c>
      <c r="F70" s="79">
        <v>10000</v>
      </c>
      <c r="G70" s="79">
        <v>5000</v>
      </c>
      <c r="H70" s="79">
        <v>5000</v>
      </c>
    </row>
    <row r="71" spans="1:13" hidden="1" x14ac:dyDescent="0.25">
      <c r="C71" t="s">
        <v>954</v>
      </c>
      <c r="D71" t="s">
        <v>918</v>
      </c>
      <c r="E71">
        <v>1</v>
      </c>
      <c r="F71" s="79">
        <v>15000</v>
      </c>
      <c r="G71" s="79">
        <v>10000</v>
      </c>
      <c r="H71" s="79">
        <v>5000</v>
      </c>
    </row>
    <row r="72" spans="1:13" hidden="1" x14ac:dyDescent="0.25">
      <c r="C72" t="s">
        <v>846</v>
      </c>
      <c r="D72" t="s">
        <v>13</v>
      </c>
      <c r="E72">
        <v>1</v>
      </c>
      <c r="F72" s="79">
        <v>8000</v>
      </c>
      <c r="G72" s="79">
        <v>4500</v>
      </c>
      <c r="H72" s="79">
        <v>3500</v>
      </c>
    </row>
    <row r="73" spans="1:13" hidden="1" x14ac:dyDescent="0.25">
      <c r="C73" t="s">
        <v>846</v>
      </c>
      <c r="D73" t="s">
        <v>902</v>
      </c>
      <c r="E73">
        <v>7</v>
      </c>
      <c r="F73" s="79">
        <f>E73*8000</f>
        <v>56000</v>
      </c>
      <c r="G73" s="79">
        <f>E73*5500</f>
        <v>38500</v>
      </c>
      <c r="H73" s="79">
        <f>E73*2500</f>
        <v>17500</v>
      </c>
    </row>
    <row r="74" spans="1:13" hidden="1" x14ac:dyDescent="0.25">
      <c r="C74" t="s">
        <v>846</v>
      </c>
      <c r="D74" t="s">
        <v>918</v>
      </c>
      <c r="E74">
        <v>1</v>
      </c>
      <c r="F74" s="79">
        <v>15000</v>
      </c>
      <c r="G74" s="79">
        <v>10000</v>
      </c>
      <c r="H74" s="79">
        <v>5000</v>
      </c>
    </row>
    <row r="75" spans="1:13" hidden="1" x14ac:dyDescent="0.25">
      <c r="C75" t="s">
        <v>846</v>
      </c>
      <c r="D75" t="s">
        <v>866</v>
      </c>
      <c r="E75">
        <v>2</v>
      </c>
      <c r="F75" s="79">
        <f>E75*18000</f>
        <v>36000</v>
      </c>
      <c r="G75" s="79">
        <f>E75*12000</f>
        <v>24000</v>
      </c>
      <c r="H75" s="79">
        <f>E75*6000</f>
        <v>12000</v>
      </c>
    </row>
    <row r="76" spans="1:13" hidden="1" x14ac:dyDescent="0.25">
      <c r="C76" t="s">
        <v>846</v>
      </c>
      <c r="D76" t="s">
        <v>243</v>
      </c>
      <c r="E76">
        <v>2</v>
      </c>
      <c r="F76" s="79">
        <v>30000</v>
      </c>
      <c r="G76" s="79">
        <v>20000</v>
      </c>
      <c r="H76" s="79">
        <v>10000</v>
      </c>
    </row>
    <row r="77" spans="1:13" hidden="1" x14ac:dyDescent="0.25">
      <c r="C77" t="s">
        <v>960</v>
      </c>
      <c r="D77" t="s">
        <v>243</v>
      </c>
      <c r="E77">
        <v>50</v>
      </c>
      <c r="F77" s="79"/>
      <c r="G77" s="79"/>
      <c r="H77" s="79"/>
    </row>
    <row r="78" spans="1:13" hidden="1" x14ac:dyDescent="0.25">
      <c r="A78" s="112" t="s">
        <v>17</v>
      </c>
      <c r="B78" s="112"/>
      <c r="C78" s="112"/>
      <c r="D78" s="112"/>
      <c r="E78" s="78">
        <f>SUM(E68:E77)</f>
        <v>79</v>
      </c>
      <c r="F78" s="78">
        <f t="shared" ref="F78:H78" si="8">SUM(F68:F77)</f>
        <v>274000</v>
      </c>
      <c r="G78" s="78">
        <f t="shared" si="8"/>
        <v>183500</v>
      </c>
      <c r="H78" s="78">
        <f t="shared" si="8"/>
        <v>90500</v>
      </c>
    </row>
    <row r="79" spans="1:13" hidden="1" x14ac:dyDescent="0.25">
      <c r="A79" t="s">
        <v>22</v>
      </c>
      <c r="B79" s="3">
        <v>45849</v>
      </c>
      <c r="C79" t="s">
        <v>954</v>
      </c>
      <c r="D79" t="s">
        <v>902</v>
      </c>
      <c r="E79">
        <v>5</v>
      </c>
      <c r="F79" s="79">
        <f>E79*8000</f>
        <v>40000</v>
      </c>
      <c r="G79" s="79">
        <f>E79*5500</f>
        <v>27500</v>
      </c>
      <c r="H79" s="79">
        <f>E79*2500</f>
        <v>12500</v>
      </c>
    </row>
    <row r="80" spans="1:13" hidden="1" x14ac:dyDescent="0.25">
      <c r="C80" t="s">
        <v>954</v>
      </c>
      <c r="D80" t="s">
        <v>13</v>
      </c>
      <c r="E80">
        <v>2</v>
      </c>
      <c r="F80" s="79">
        <v>16000</v>
      </c>
      <c r="G80" s="79">
        <v>9000</v>
      </c>
      <c r="H80" s="79">
        <v>7000</v>
      </c>
      <c r="L80" s="92">
        <f>E33+E37+E41+E44+E52+E64+E65+E72+E80+E82+E92+E95+E97+E99+E107+E115+E123+E124+E137+E146+E153+E156+E163+E167+E170+E171+E197+E200+E213+E218+E227+E228+E237+E252+E257+E268+E271+E277+E283+E284+E291+E292</f>
        <v>345</v>
      </c>
    </row>
    <row r="81" spans="1:8" hidden="1" x14ac:dyDescent="0.25">
      <c r="A81" s="112" t="s">
        <v>17</v>
      </c>
      <c r="B81" s="112"/>
      <c r="C81" s="112"/>
      <c r="D81" s="112"/>
      <c r="E81" s="78">
        <f>SUM(E79:E80)</f>
        <v>7</v>
      </c>
      <c r="F81" s="78">
        <f t="shared" ref="F81:H81" si="9">SUM(F79:F80)</f>
        <v>56000</v>
      </c>
      <c r="G81" s="78">
        <f t="shared" si="9"/>
        <v>36500</v>
      </c>
      <c r="H81" s="78">
        <f t="shared" si="9"/>
        <v>19500</v>
      </c>
    </row>
    <row r="82" spans="1:8" hidden="1" x14ac:dyDescent="0.25">
      <c r="A82" t="s">
        <v>26</v>
      </c>
      <c r="B82" s="3">
        <v>45850</v>
      </c>
      <c r="C82" t="s">
        <v>954</v>
      </c>
      <c r="D82" t="s">
        <v>13</v>
      </c>
      <c r="E82">
        <v>3</v>
      </c>
      <c r="F82">
        <f>E82*8000</f>
        <v>24000</v>
      </c>
      <c r="G82">
        <f>E82*4500</f>
        <v>13500</v>
      </c>
      <c r="H82">
        <f>E82*3500</f>
        <v>10500</v>
      </c>
    </row>
    <row r="83" spans="1:8" hidden="1" x14ac:dyDescent="0.25">
      <c r="C83" t="s">
        <v>954</v>
      </c>
      <c r="D83" t="s">
        <v>14</v>
      </c>
      <c r="E83">
        <v>2</v>
      </c>
      <c r="F83">
        <f>E83*12000</f>
        <v>24000</v>
      </c>
      <c r="G83">
        <f>E83*5500</f>
        <v>11000</v>
      </c>
      <c r="H83">
        <f>E83*6500</f>
        <v>13000</v>
      </c>
    </row>
    <row r="84" spans="1:8" hidden="1" x14ac:dyDescent="0.25">
      <c r="C84" t="s">
        <v>954</v>
      </c>
      <c r="D84" t="s">
        <v>902</v>
      </c>
      <c r="E84">
        <v>4</v>
      </c>
      <c r="F84">
        <f>E84*8000</f>
        <v>32000</v>
      </c>
      <c r="G84">
        <f>E84*5500</f>
        <v>22000</v>
      </c>
      <c r="H84">
        <f>E84*2500</f>
        <v>10000</v>
      </c>
    </row>
    <row r="85" spans="1:8" hidden="1" x14ac:dyDescent="0.25">
      <c r="C85" t="s">
        <v>20</v>
      </c>
      <c r="D85" t="s">
        <v>14</v>
      </c>
      <c r="E85">
        <v>1</v>
      </c>
      <c r="F85">
        <v>12000</v>
      </c>
      <c r="G85">
        <v>5500</v>
      </c>
      <c r="H85">
        <v>6500</v>
      </c>
    </row>
    <row r="86" spans="1:8" hidden="1" x14ac:dyDescent="0.25">
      <c r="C86" t="s">
        <v>20</v>
      </c>
      <c r="D86" t="s">
        <v>902</v>
      </c>
      <c r="E86">
        <v>5</v>
      </c>
      <c r="F86">
        <f>E86*8000</f>
        <v>40000</v>
      </c>
      <c r="G86">
        <f>E86*5500</f>
        <v>27500</v>
      </c>
      <c r="H86">
        <f>E86*2500</f>
        <v>12500</v>
      </c>
    </row>
    <row r="87" spans="1:8" hidden="1" x14ac:dyDescent="0.25">
      <c r="C87" t="s">
        <v>20</v>
      </c>
      <c r="D87" t="s">
        <v>420</v>
      </c>
      <c r="E87">
        <v>2</v>
      </c>
      <c r="F87">
        <v>16000</v>
      </c>
      <c r="G87">
        <f>E87*4500</f>
        <v>9000</v>
      </c>
      <c r="H87">
        <f>E87*3500</f>
        <v>7000</v>
      </c>
    </row>
    <row r="88" spans="1:8" hidden="1" x14ac:dyDescent="0.25">
      <c r="C88" t="s">
        <v>20</v>
      </c>
      <c r="D88" t="s">
        <v>436</v>
      </c>
      <c r="E88">
        <v>2</v>
      </c>
      <c r="F88">
        <v>20000</v>
      </c>
      <c r="G88">
        <v>10000</v>
      </c>
      <c r="H88">
        <v>10000</v>
      </c>
    </row>
    <row r="89" spans="1:8" hidden="1" x14ac:dyDescent="0.25">
      <c r="C89" t="s">
        <v>20</v>
      </c>
      <c r="D89" t="s">
        <v>961</v>
      </c>
      <c r="E89">
        <v>1</v>
      </c>
      <c r="F89">
        <v>10000</v>
      </c>
      <c r="G89">
        <v>5000</v>
      </c>
      <c r="H89">
        <v>5000</v>
      </c>
    </row>
    <row r="90" spans="1:8" hidden="1" x14ac:dyDescent="0.25">
      <c r="C90" t="s">
        <v>20</v>
      </c>
      <c r="D90" t="s">
        <v>919</v>
      </c>
      <c r="E90">
        <v>2</v>
      </c>
      <c r="F90">
        <v>24000</v>
      </c>
      <c r="G90">
        <f>E90*5500</f>
        <v>11000</v>
      </c>
      <c r="H90">
        <f>E90*6500</f>
        <v>13000</v>
      </c>
    </row>
    <row r="91" spans="1:8" hidden="1" x14ac:dyDescent="0.25">
      <c r="A91" s="111" t="s">
        <v>17</v>
      </c>
      <c r="B91" s="111"/>
      <c r="C91" s="111"/>
      <c r="D91" s="111"/>
      <c r="E91" s="78">
        <f>SUM(E82:E90)</f>
        <v>22</v>
      </c>
      <c r="F91" s="78">
        <f t="shared" ref="F91:H91" si="10">SUM(F82:F90)</f>
        <v>202000</v>
      </c>
      <c r="G91" s="78">
        <f t="shared" si="10"/>
        <v>114500</v>
      </c>
      <c r="H91" s="78">
        <f t="shared" si="10"/>
        <v>87500</v>
      </c>
    </row>
    <row r="92" spans="1:8" hidden="1" x14ac:dyDescent="0.25">
      <c r="A92" t="s">
        <v>28</v>
      </c>
      <c r="B92" s="3">
        <v>45851</v>
      </c>
      <c r="C92" t="s">
        <v>693</v>
      </c>
      <c r="D92" t="s">
        <v>13</v>
      </c>
      <c r="E92">
        <v>52</v>
      </c>
      <c r="F92" s="79">
        <f>E92*8000</f>
        <v>416000</v>
      </c>
      <c r="G92" s="79">
        <f>E92*4500</f>
        <v>234000</v>
      </c>
      <c r="H92" s="79">
        <f>E92*3500</f>
        <v>182000</v>
      </c>
    </row>
    <row r="93" spans="1:8" hidden="1" x14ac:dyDescent="0.25">
      <c r="C93" t="s">
        <v>693</v>
      </c>
      <c r="D93" t="s">
        <v>14</v>
      </c>
      <c r="E93">
        <v>26</v>
      </c>
      <c r="F93" s="79">
        <f>E93*12000</f>
        <v>312000</v>
      </c>
      <c r="G93" s="79">
        <f>E93*5500</f>
        <v>143000</v>
      </c>
      <c r="H93" s="79">
        <f>E93*5500</f>
        <v>143000</v>
      </c>
    </row>
    <row r="94" spans="1:8" hidden="1" x14ac:dyDescent="0.25">
      <c r="C94" t="s">
        <v>693</v>
      </c>
      <c r="D94" t="s">
        <v>243</v>
      </c>
      <c r="E94">
        <v>2</v>
      </c>
      <c r="F94" s="79">
        <v>30000</v>
      </c>
      <c r="G94" s="79">
        <v>20000</v>
      </c>
      <c r="H94" s="79">
        <v>10000</v>
      </c>
    </row>
    <row r="95" spans="1:8" hidden="1" x14ac:dyDescent="0.25">
      <c r="C95" t="s">
        <v>217</v>
      </c>
      <c r="D95" t="s">
        <v>13</v>
      </c>
      <c r="E95">
        <v>19</v>
      </c>
      <c r="F95" s="79">
        <f>E95*8000</f>
        <v>152000</v>
      </c>
      <c r="G95" s="79">
        <f>E95*4500</f>
        <v>85500</v>
      </c>
      <c r="H95" s="79">
        <f>E95*3500</f>
        <v>66500</v>
      </c>
    </row>
    <row r="96" spans="1:8" hidden="1" x14ac:dyDescent="0.25">
      <c r="C96" t="s">
        <v>217</v>
      </c>
      <c r="D96" t="s">
        <v>14</v>
      </c>
      <c r="E96">
        <v>15</v>
      </c>
      <c r="F96" s="79">
        <f>E96*12000</f>
        <v>180000</v>
      </c>
      <c r="G96" s="79">
        <f>E96*5500</f>
        <v>82500</v>
      </c>
      <c r="H96" s="79">
        <f>E96*6500</f>
        <v>97500</v>
      </c>
    </row>
    <row r="97" spans="1:8" hidden="1" x14ac:dyDescent="0.25">
      <c r="C97" t="s">
        <v>954</v>
      </c>
      <c r="D97" t="s">
        <v>13</v>
      </c>
      <c r="E97">
        <v>3</v>
      </c>
      <c r="F97" s="79">
        <f>E97*8000</f>
        <v>24000</v>
      </c>
      <c r="G97" s="79">
        <f>E97*4500</f>
        <v>13500</v>
      </c>
      <c r="H97" s="79">
        <f>E97*3500</f>
        <v>10500</v>
      </c>
    </row>
    <row r="98" spans="1:8" hidden="1" x14ac:dyDescent="0.25">
      <c r="C98" t="s">
        <v>954</v>
      </c>
      <c r="D98" t="s">
        <v>14</v>
      </c>
      <c r="E98">
        <v>2</v>
      </c>
      <c r="F98" s="79">
        <f>E98*12000</f>
        <v>24000</v>
      </c>
      <c r="G98" s="79">
        <f>E98*5500</f>
        <v>11000</v>
      </c>
      <c r="H98" s="79">
        <f>E98*6500</f>
        <v>13000</v>
      </c>
    </row>
    <row r="99" spans="1:8" hidden="1" x14ac:dyDescent="0.25">
      <c r="C99" t="s">
        <v>846</v>
      </c>
      <c r="D99" t="s">
        <v>13</v>
      </c>
      <c r="E99">
        <v>2</v>
      </c>
      <c r="F99" s="79">
        <f>E99*8000</f>
        <v>16000</v>
      </c>
      <c r="G99" s="79">
        <f>E99*4500</f>
        <v>9000</v>
      </c>
      <c r="H99" s="79">
        <f>E99*3500</f>
        <v>7000</v>
      </c>
    </row>
    <row r="100" spans="1:8" hidden="1" x14ac:dyDescent="0.25">
      <c r="C100" t="s">
        <v>846</v>
      </c>
      <c r="D100" t="s">
        <v>14</v>
      </c>
      <c r="E100">
        <v>1</v>
      </c>
      <c r="F100" s="79">
        <v>12000</v>
      </c>
      <c r="G100" s="79">
        <v>5500</v>
      </c>
      <c r="H100" s="79">
        <v>6500</v>
      </c>
    </row>
    <row r="101" spans="1:8" hidden="1" x14ac:dyDescent="0.25">
      <c r="C101" t="s">
        <v>846</v>
      </c>
      <c r="D101" t="s">
        <v>919</v>
      </c>
      <c r="E101">
        <v>2</v>
      </c>
      <c r="F101" s="79">
        <v>24000</v>
      </c>
      <c r="G101" s="79">
        <v>11000</v>
      </c>
      <c r="H101" s="79">
        <v>13000</v>
      </c>
    </row>
    <row r="102" spans="1:8" hidden="1" x14ac:dyDescent="0.25">
      <c r="C102" t="s">
        <v>846</v>
      </c>
      <c r="D102" t="s">
        <v>918</v>
      </c>
      <c r="E102">
        <v>1</v>
      </c>
      <c r="F102" s="79">
        <v>15000</v>
      </c>
      <c r="G102" s="79">
        <v>10000</v>
      </c>
      <c r="H102" s="79">
        <v>5000</v>
      </c>
    </row>
    <row r="103" spans="1:8" hidden="1" x14ac:dyDescent="0.25">
      <c r="C103" t="s">
        <v>846</v>
      </c>
      <c r="D103" t="s">
        <v>902</v>
      </c>
      <c r="E103">
        <v>7</v>
      </c>
      <c r="F103" s="79">
        <f>E103*8000</f>
        <v>56000</v>
      </c>
      <c r="G103" s="79">
        <f>E103*5500</f>
        <v>38500</v>
      </c>
      <c r="H103" s="79">
        <f>E103*3500</f>
        <v>24500</v>
      </c>
    </row>
    <row r="104" spans="1:8" hidden="1" x14ac:dyDescent="0.25">
      <c r="A104" s="112" t="s">
        <v>17</v>
      </c>
      <c r="B104" s="112"/>
      <c r="C104" s="112"/>
      <c r="D104" s="112"/>
      <c r="E104" s="78">
        <f>SUM(E92:E103)</f>
        <v>132</v>
      </c>
      <c r="F104" s="78">
        <f t="shared" ref="F104:H104" si="11">SUM(F92:F103)</f>
        <v>1261000</v>
      </c>
      <c r="G104" s="78">
        <f t="shared" si="11"/>
        <v>663500</v>
      </c>
      <c r="H104" s="78">
        <f t="shared" si="11"/>
        <v>578500</v>
      </c>
    </row>
    <row r="105" spans="1:8" hidden="1" x14ac:dyDescent="0.25">
      <c r="A105" t="s">
        <v>30</v>
      </c>
      <c r="B105" s="3">
        <v>45852</v>
      </c>
      <c r="C105" t="s">
        <v>846</v>
      </c>
      <c r="D105" t="s">
        <v>902</v>
      </c>
      <c r="E105">
        <v>1</v>
      </c>
      <c r="F105" s="79">
        <v>8000</v>
      </c>
      <c r="G105" s="79">
        <v>4500</v>
      </c>
      <c r="H105" s="79">
        <v>3500</v>
      </c>
    </row>
    <row r="106" spans="1:8" hidden="1" x14ac:dyDescent="0.25">
      <c r="C106" t="s">
        <v>846</v>
      </c>
      <c r="D106" t="s">
        <v>919</v>
      </c>
      <c r="E106">
        <v>4</v>
      </c>
      <c r="F106">
        <f>E106*12000</f>
        <v>48000</v>
      </c>
      <c r="G106">
        <f>E106*5500</f>
        <v>22000</v>
      </c>
      <c r="H106">
        <f>E106*6500</f>
        <v>26000</v>
      </c>
    </row>
    <row r="107" spans="1:8" hidden="1" x14ac:dyDescent="0.25">
      <c r="C107" t="s">
        <v>954</v>
      </c>
      <c r="D107" t="s">
        <v>13</v>
      </c>
      <c r="E107">
        <v>4</v>
      </c>
      <c r="F107">
        <f>E107*8000</f>
        <v>32000</v>
      </c>
      <c r="G107">
        <f>E107*4500</f>
        <v>18000</v>
      </c>
      <c r="H107">
        <f>E107*3500</f>
        <v>14000</v>
      </c>
    </row>
    <row r="108" spans="1:8" hidden="1" x14ac:dyDescent="0.25">
      <c r="C108" t="s">
        <v>954</v>
      </c>
      <c r="D108" t="s">
        <v>14</v>
      </c>
      <c r="E108">
        <v>2</v>
      </c>
      <c r="F108">
        <v>24000</v>
      </c>
      <c r="G108">
        <f>E108*5500</f>
        <v>11000</v>
      </c>
      <c r="H108">
        <f>E108*6500</f>
        <v>13000</v>
      </c>
    </row>
    <row r="109" spans="1:8" hidden="1" x14ac:dyDescent="0.25">
      <c r="C109" t="s">
        <v>954</v>
      </c>
      <c r="D109" t="s">
        <v>902</v>
      </c>
      <c r="E109">
        <v>4</v>
      </c>
      <c r="F109">
        <f>E109*8000</f>
        <v>32000</v>
      </c>
      <c r="G109">
        <f>E109*5500</f>
        <v>22000</v>
      </c>
      <c r="H109">
        <f>E109*2500</f>
        <v>10000</v>
      </c>
    </row>
    <row r="110" spans="1:8" hidden="1" x14ac:dyDescent="0.25">
      <c r="A110" s="112" t="s">
        <v>17</v>
      </c>
      <c r="B110" s="112"/>
      <c r="C110" s="112"/>
      <c r="D110" s="112"/>
      <c r="E110" s="78">
        <f>SUM(E105:E109)</f>
        <v>15</v>
      </c>
      <c r="F110" s="78">
        <f t="shared" ref="F110:H110" si="12">SUM(F105:F109)</f>
        <v>144000</v>
      </c>
      <c r="G110" s="78">
        <f t="shared" si="12"/>
        <v>77500</v>
      </c>
      <c r="H110" s="78">
        <f t="shared" si="12"/>
        <v>66500</v>
      </c>
    </row>
    <row r="111" spans="1:8" hidden="1" x14ac:dyDescent="0.25">
      <c r="A111" t="s">
        <v>32</v>
      </c>
      <c r="B111" s="3">
        <v>45853</v>
      </c>
      <c r="C111" t="s">
        <v>20</v>
      </c>
      <c r="D111" t="s">
        <v>902</v>
      </c>
      <c r="E111">
        <v>4</v>
      </c>
      <c r="F111" s="79">
        <f>E111*8000</f>
        <v>32000</v>
      </c>
      <c r="G111" s="79">
        <f>E111*4500</f>
        <v>18000</v>
      </c>
      <c r="H111" s="79">
        <f>E111*3500</f>
        <v>14000</v>
      </c>
    </row>
    <row r="112" spans="1:8" hidden="1" x14ac:dyDescent="0.25">
      <c r="C112" t="s">
        <v>20</v>
      </c>
      <c r="D112" t="s">
        <v>420</v>
      </c>
      <c r="E112">
        <v>2</v>
      </c>
      <c r="F112" s="79">
        <f>E112*8000</f>
        <v>16000</v>
      </c>
      <c r="G112" s="79">
        <f>E112*4500</f>
        <v>9000</v>
      </c>
      <c r="H112" s="79">
        <f>E112*3500</f>
        <v>7000</v>
      </c>
    </row>
    <row r="113" spans="1:13" hidden="1" x14ac:dyDescent="0.25">
      <c r="C113" t="s">
        <v>20</v>
      </c>
      <c r="D113" t="s">
        <v>243</v>
      </c>
      <c r="E113">
        <v>1</v>
      </c>
      <c r="F113" s="79">
        <v>15000</v>
      </c>
      <c r="G113" s="79">
        <v>10000</v>
      </c>
      <c r="H113" s="79">
        <v>5000</v>
      </c>
      <c r="L113" s="92">
        <f>E11+E27+E28+E30+E35+E48+E49+E76+E94+E113+E117+E126+E130+E188+E189+E205+E206+E221+E248+E249+E255</f>
        <v>144</v>
      </c>
    </row>
    <row r="114" spans="1:13" hidden="1" x14ac:dyDescent="0.25">
      <c r="C114" t="s">
        <v>954</v>
      </c>
      <c r="D114" t="s">
        <v>902</v>
      </c>
      <c r="E114">
        <v>5</v>
      </c>
      <c r="F114" s="79">
        <f>E114*8000</f>
        <v>40000</v>
      </c>
      <c r="G114" s="79">
        <f>E114*5500</f>
        <v>27500</v>
      </c>
      <c r="H114" s="79">
        <f>E114*2500</f>
        <v>12500</v>
      </c>
      <c r="M114" s="92">
        <f>E13+E51+E62+E68+E79+E84+E109+E114+E122+E140+E155+E169+E181+E196+E215+E233+E244+E259</f>
        <v>96</v>
      </c>
    </row>
    <row r="115" spans="1:13" hidden="1" x14ac:dyDescent="0.25">
      <c r="C115" t="s">
        <v>954</v>
      </c>
      <c r="D115" t="s">
        <v>13</v>
      </c>
      <c r="E115">
        <v>1</v>
      </c>
      <c r="F115" s="79">
        <v>8000</v>
      </c>
      <c r="G115" s="79">
        <v>4500</v>
      </c>
      <c r="H115" s="79">
        <v>3500</v>
      </c>
    </row>
    <row r="116" spans="1:13" x14ac:dyDescent="0.25">
      <c r="C116" t="s">
        <v>954</v>
      </c>
      <c r="D116" t="s">
        <v>404</v>
      </c>
      <c r="E116">
        <v>4</v>
      </c>
      <c r="F116" s="79">
        <v>16000</v>
      </c>
      <c r="G116" s="79">
        <v>8000</v>
      </c>
      <c r="H116" s="79">
        <v>8000</v>
      </c>
    </row>
    <row r="117" spans="1:13" hidden="1" x14ac:dyDescent="0.25">
      <c r="C117" t="s">
        <v>954</v>
      </c>
      <c r="D117" t="s">
        <v>243</v>
      </c>
      <c r="E117">
        <v>1</v>
      </c>
      <c r="F117" s="79">
        <v>15000</v>
      </c>
      <c r="G117" s="79">
        <v>10000</v>
      </c>
      <c r="H117" s="79">
        <v>5000</v>
      </c>
    </row>
    <row r="118" spans="1:13" hidden="1" x14ac:dyDescent="0.25">
      <c r="C118" t="s">
        <v>338</v>
      </c>
      <c r="D118" t="s">
        <v>11</v>
      </c>
      <c r="E118">
        <v>47</v>
      </c>
      <c r="F118" s="79">
        <f>E118*1500</f>
        <v>70500</v>
      </c>
      <c r="G118" s="79">
        <f>E118*500</f>
        <v>23500</v>
      </c>
      <c r="H118" s="79">
        <v>47000</v>
      </c>
    </row>
    <row r="119" spans="1:13" hidden="1" x14ac:dyDescent="0.25">
      <c r="C119" t="s">
        <v>478</v>
      </c>
      <c r="D119" t="s">
        <v>11</v>
      </c>
      <c r="E119">
        <v>30</v>
      </c>
      <c r="F119" s="79">
        <f>E119*1700</f>
        <v>51000</v>
      </c>
      <c r="G119" s="79">
        <f>E119*500</f>
        <v>15000</v>
      </c>
      <c r="H119" s="79">
        <f>E119*1200</f>
        <v>36000</v>
      </c>
    </row>
    <row r="120" spans="1:13" hidden="1" x14ac:dyDescent="0.25">
      <c r="C120" t="s">
        <v>104</v>
      </c>
      <c r="D120" t="s">
        <v>11</v>
      </c>
      <c r="E120">
        <v>10</v>
      </c>
      <c r="F120" s="79">
        <f>E120*1500</f>
        <v>15000</v>
      </c>
      <c r="G120" s="79">
        <f>E120*500</f>
        <v>5000</v>
      </c>
      <c r="H120" s="79">
        <v>10000</v>
      </c>
    </row>
    <row r="121" spans="1:13" hidden="1" x14ac:dyDescent="0.25">
      <c r="A121" s="112" t="s">
        <v>17</v>
      </c>
      <c r="B121" s="112"/>
      <c r="C121" s="112"/>
      <c r="D121" s="112"/>
      <c r="E121" s="78">
        <f>SUM(E111:E120)</f>
        <v>105</v>
      </c>
      <c r="F121" s="78">
        <f t="shared" ref="F121:H121" si="13">SUM(F111:F120)</f>
        <v>278500</v>
      </c>
      <c r="G121" s="78">
        <f t="shared" si="13"/>
        <v>130500</v>
      </c>
      <c r="H121" s="78">
        <f t="shared" si="13"/>
        <v>148000</v>
      </c>
    </row>
    <row r="122" spans="1:13" hidden="1" x14ac:dyDescent="0.25">
      <c r="A122" t="s">
        <v>8</v>
      </c>
      <c r="B122" s="3">
        <v>45854</v>
      </c>
      <c r="C122" t="s">
        <v>954</v>
      </c>
      <c r="D122" t="s">
        <v>902</v>
      </c>
      <c r="E122">
        <v>5</v>
      </c>
      <c r="F122" s="79">
        <f>E122*8000</f>
        <v>40000</v>
      </c>
      <c r="G122" s="79">
        <f>E122*5500</f>
        <v>27500</v>
      </c>
      <c r="H122" s="79">
        <f>E122*2500</f>
        <v>12500</v>
      </c>
    </row>
    <row r="123" spans="1:13" hidden="1" x14ac:dyDescent="0.25">
      <c r="C123" t="s">
        <v>954</v>
      </c>
      <c r="D123" t="s">
        <v>13</v>
      </c>
      <c r="E123">
        <v>1</v>
      </c>
      <c r="F123" s="79">
        <v>8000</v>
      </c>
      <c r="G123" s="79">
        <v>4500</v>
      </c>
      <c r="H123" s="79">
        <v>3500</v>
      </c>
    </row>
    <row r="124" spans="1:13" hidden="1" x14ac:dyDescent="0.25">
      <c r="C124" t="s">
        <v>554</v>
      </c>
      <c r="D124" t="s">
        <v>13</v>
      </c>
      <c r="E124">
        <v>5</v>
      </c>
      <c r="F124" s="79"/>
      <c r="G124" s="79"/>
      <c r="H124" s="79"/>
    </row>
    <row r="125" spans="1:13" hidden="1" x14ac:dyDescent="0.25">
      <c r="C125" t="s">
        <v>554</v>
      </c>
      <c r="D125" t="s">
        <v>14</v>
      </c>
      <c r="E125">
        <v>2</v>
      </c>
      <c r="F125" s="79"/>
      <c r="G125" s="79"/>
      <c r="H125" s="79"/>
    </row>
    <row r="126" spans="1:13" hidden="1" x14ac:dyDescent="0.25">
      <c r="C126" t="s">
        <v>554</v>
      </c>
      <c r="D126" t="s">
        <v>243</v>
      </c>
      <c r="E126">
        <v>5</v>
      </c>
      <c r="F126" s="79"/>
      <c r="G126" s="79"/>
      <c r="H126" s="79"/>
    </row>
    <row r="127" spans="1:13" hidden="1" x14ac:dyDescent="0.25">
      <c r="C127" t="s">
        <v>338</v>
      </c>
      <c r="D127" t="s">
        <v>11</v>
      </c>
      <c r="E127">
        <v>50</v>
      </c>
      <c r="F127" s="79">
        <f>E127*1500</f>
        <v>75000</v>
      </c>
      <c r="G127" s="79">
        <f>E127*500</f>
        <v>25000</v>
      </c>
      <c r="H127" s="79">
        <f>E127*1000</f>
        <v>50000</v>
      </c>
    </row>
    <row r="128" spans="1:13" hidden="1" x14ac:dyDescent="0.25">
      <c r="C128" t="s">
        <v>104</v>
      </c>
      <c r="D128" t="s">
        <v>11</v>
      </c>
      <c r="E128">
        <v>10</v>
      </c>
      <c r="F128" s="79">
        <f t="shared" ref="F128:F129" si="14">E128*1500</f>
        <v>15000</v>
      </c>
      <c r="G128" s="79">
        <f t="shared" ref="G128:G129" si="15">E128*500</f>
        <v>5000</v>
      </c>
      <c r="H128" s="79">
        <f t="shared" ref="H128:H129" si="16">E128*1000</f>
        <v>10000</v>
      </c>
    </row>
    <row r="129" spans="1:13" hidden="1" x14ac:dyDescent="0.25">
      <c r="C129" t="s">
        <v>806</v>
      </c>
      <c r="D129" t="s">
        <v>11</v>
      </c>
      <c r="E129">
        <v>32</v>
      </c>
      <c r="F129" s="79">
        <f t="shared" si="14"/>
        <v>48000</v>
      </c>
      <c r="G129" s="79">
        <f t="shared" si="15"/>
        <v>16000</v>
      </c>
      <c r="H129" s="79">
        <f t="shared" si="16"/>
        <v>32000</v>
      </c>
    </row>
    <row r="130" spans="1:13" hidden="1" x14ac:dyDescent="0.25">
      <c r="C130" t="s">
        <v>24</v>
      </c>
      <c r="D130" t="s">
        <v>243</v>
      </c>
      <c r="E130">
        <v>1</v>
      </c>
      <c r="F130" s="79">
        <v>15000</v>
      </c>
      <c r="G130" s="79">
        <v>10000</v>
      </c>
      <c r="H130" s="79">
        <v>5000</v>
      </c>
    </row>
    <row r="131" spans="1:13" hidden="1" x14ac:dyDescent="0.25">
      <c r="A131" s="112" t="s">
        <v>17</v>
      </c>
      <c r="B131" s="112"/>
      <c r="C131" s="112"/>
      <c r="D131" s="112"/>
      <c r="E131" s="78">
        <f>SUM(E122:E130)</f>
        <v>111</v>
      </c>
      <c r="F131" s="78">
        <f t="shared" ref="F131:H131" si="17">SUM(F122:F130)</f>
        <v>201000</v>
      </c>
      <c r="G131" s="78">
        <f t="shared" si="17"/>
        <v>88000</v>
      </c>
      <c r="H131" s="78">
        <f t="shared" si="17"/>
        <v>113000</v>
      </c>
    </row>
    <row r="132" spans="1:13" hidden="1" x14ac:dyDescent="0.25">
      <c r="A132" s="94" t="s">
        <v>18</v>
      </c>
      <c r="B132" s="95">
        <v>45855</v>
      </c>
      <c r="C132" s="94" t="s">
        <v>338</v>
      </c>
      <c r="D132" s="94" t="s">
        <v>11</v>
      </c>
      <c r="E132" s="96">
        <v>47</v>
      </c>
      <c r="F132" s="96">
        <f>E132*1500</f>
        <v>70500</v>
      </c>
      <c r="G132" s="96">
        <f>E132*500</f>
        <v>23500</v>
      </c>
      <c r="H132" s="96">
        <f>E132*1000</f>
        <v>47000</v>
      </c>
    </row>
    <row r="133" spans="1:13" hidden="1" x14ac:dyDescent="0.25">
      <c r="A133" s="80"/>
      <c r="B133" s="80"/>
      <c r="C133" s="94" t="s">
        <v>806</v>
      </c>
      <c r="D133" s="94" t="s">
        <v>11</v>
      </c>
      <c r="E133" s="96">
        <v>35</v>
      </c>
      <c r="F133" s="96">
        <f t="shared" ref="F133" si="18">E133*1500</f>
        <v>52500</v>
      </c>
      <c r="G133" s="96">
        <f>E133*500</f>
        <v>17500</v>
      </c>
      <c r="H133" s="96">
        <f t="shared" ref="H133" si="19">E133*1000</f>
        <v>35000</v>
      </c>
    </row>
    <row r="134" spans="1:13" hidden="1" x14ac:dyDescent="0.25">
      <c r="A134" s="80"/>
      <c r="B134" s="80"/>
      <c r="C134" s="94" t="s">
        <v>571</v>
      </c>
      <c r="D134" s="94" t="s">
        <v>11</v>
      </c>
      <c r="E134" s="96">
        <v>30</v>
      </c>
      <c r="F134" s="96">
        <f>E134*1700</f>
        <v>51000</v>
      </c>
      <c r="G134" s="96">
        <f>E134*500</f>
        <v>15000</v>
      </c>
      <c r="H134" s="96">
        <f>E134*1200</f>
        <v>36000</v>
      </c>
    </row>
    <row r="135" spans="1:13" hidden="1" x14ac:dyDescent="0.25">
      <c r="A135" s="80"/>
      <c r="B135" s="80"/>
      <c r="C135" s="94" t="s">
        <v>846</v>
      </c>
      <c r="D135" s="94" t="s">
        <v>919</v>
      </c>
      <c r="E135" s="96">
        <v>2</v>
      </c>
      <c r="F135" s="96">
        <f>E135*12000</f>
        <v>24000</v>
      </c>
      <c r="G135" s="96">
        <f>E135*5500</f>
        <v>11000</v>
      </c>
      <c r="H135" s="96">
        <f>E135*6500</f>
        <v>13000</v>
      </c>
    </row>
    <row r="136" spans="1:13" x14ac:dyDescent="0.25">
      <c r="A136" s="80"/>
      <c r="B136" s="80"/>
      <c r="C136" s="94" t="s">
        <v>846</v>
      </c>
      <c r="D136" s="94" t="s">
        <v>404</v>
      </c>
      <c r="E136" s="96">
        <v>1</v>
      </c>
      <c r="F136" s="96">
        <v>5000</v>
      </c>
      <c r="G136" s="96">
        <v>2500</v>
      </c>
      <c r="H136" s="96">
        <v>2500</v>
      </c>
    </row>
    <row r="137" spans="1:13" hidden="1" x14ac:dyDescent="0.25">
      <c r="A137" s="80"/>
      <c r="B137" s="80"/>
      <c r="C137" s="94" t="s">
        <v>846</v>
      </c>
      <c r="D137" s="94" t="s">
        <v>13</v>
      </c>
      <c r="E137" s="96">
        <v>1</v>
      </c>
      <c r="F137" s="96">
        <v>8000</v>
      </c>
      <c r="G137" s="96">
        <v>4500</v>
      </c>
      <c r="H137" s="96">
        <v>3500</v>
      </c>
    </row>
    <row r="138" spans="1:13" hidden="1" x14ac:dyDescent="0.25">
      <c r="A138" s="112" t="s">
        <v>17</v>
      </c>
      <c r="B138" s="112"/>
      <c r="C138" s="112"/>
      <c r="D138" s="112"/>
      <c r="E138" s="78">
        <f>SUM(E132:E137)</f>
        <v>116</v>
      </c>
      <c r="F138" s="78">
        <f t="shared" ref="F138:H138" si="20">SUM(F132:F137)</f>
        <v>211000</v>
      </c>
      <c r="G138" s="78">
        <f t="shared" si="20"/>
        <v>74000</v>
      </c>
      <c r="H138" s="78">
        <f t="shared" si="20"/>
        <v>137000</v>
      </c>
    </row>
    <row r="139" spans="1:13" hidden="1" x14ac:dyDescent="0.25">
      <c r="A139" t="s">
        <v>22</v>
      </c>
      <c r="B139" s="3">
        <v>45856</v>
      </c>
      <c r="C139" t="s">
        <v>954</v>
      </c>
      <c r="D139" t="s">
        <v>14</v>
      </c>
      <c r="E139">
        <v>1</v>
      </c>
      <c r="F139" s="79">
        <v>12000</v>
      </c>
      <c r="G139" s="79">
        <v>5500</v>
      </c>
      <c r="H139" s="79">
        <v>6500</v>
      </c>
    </row>
    <row r="140" spans="1:13" hidden="1" x14ac:dyDescent="0.25">
      <c r="C140" t="s">
        <v>954</v>
      </c>
      <c r="D140" t="s">
        <v>902</v>
      </c>
      <c r="E140">
        <v>11</v>
      </c>
      <c r="F140" s="79">
        <f>E140*8000</f>
        <v>88000</v>
      </c>
      <c r="G140" s="79">
        <f>E140*5500</f>
        <v>60500</v>
      </c>
      <c r="H140" s="79">
        <f>E140*2500</f>
        <v>27500</v>
      </c>
    </row>
    <row r="141" spans="1:13" hidden="1" x14ac:dyDescent="0.25">
      <c r="C141" t="s">
        <v>954</v>
      </c>
      <c r="D141" t="s">
        <v>11</v>
      </c>
      <c r="E141">
        <v>1</v>
      </c>
      <c r="F141" s="79">
        <v>2000</v>
      </c>
      <c r="G141" s="79">
        <v>500</v>
      </c>
      <c r="H141" s="79">
        <v>1500</v>
      </c>
    </row>
    <row r="142" spans="1:13" x14ac:dyDescent="0.25">
      <c r="C142" t="s">
        <v>846</v>
      </c>
      <c r="D142" t="s">
        <v>404</v>
      </c>
      <c r="E142">
        <v>1</v>
      </c>
      <c r="F142" s="79">
        <v>5000</v>
      </c>
      <c r="G142" s="79">
        <v>2500</v>
      </c>
      <c r="H142" s="79">
        <v>2500</v>
      </c>
    </row>
    <row r="143" spans="1:13" hidden="1" x14ac:dyDescent="0.25">
      <c r="C143" t="s">
        <v>846</v>
      </c>
      <c r="D143" t="s">
        <v>958</v>
      </c>
      <c r="E143">
        <v>5</v>
      </c>
      <c r="F143" s="79">
        <f>E143*10000</f>
        <v>50000</v>
      </c>
      <c r="G143" s="79">
        <f>E143*5500</f>
        <v>27500</v>
      </c>
      <c r="H143" s="79">
        <f>E143*4500</f>
        <v>22500</v>
      </c>
    </row>
    <row r="144" spans="1:13" hidden="1" x14ac:dyDescent="0.25">
      <c r="C144" t="s">
        <v>846</v>
      </c>
      <c r="D144" t="s">
        <v>902</v>
      </c>
      <c r="E144">
        <v>2</v>
      </c>
      <c r="F144" s="79">
        <f>E144*8000</f>
        <v>16000</v>
      </c>
      <c r="G144" s="79">
        <f t="shared" ref="G144:G146" si="21">E144*5500</f>
        <v>11000</v>
      </c>
      <c r="H144" s="79">
        <f>E144*2500</f>
        <v>5000</v>
      </c>
      <c r="M144" s="92">
        <f>E2+E18+E39+E54+E46+E73+E103+E105+E144+E180+E199+E220+E234+E245</f>
        <v>62</v>
      </c>
    </row>
    <row r="145" spans="1:11" hidden="1" x14ac:dyDescent="0.25">
      <c r="C145" t="s">
        <v>846</v>
      </c>
      <c r="D145" t="s">
        <v>919</v>
      </c>
      <c r="E145">
        <v>1</v>
      </c>
      <c r="F145" s="79">
        <f t="shared" ref="F145" si="22">E145*10000</f>
        <v>10000</v>
      </c>
      <c r="G145" s="79">
        <f t="shared" si="21"/>
        <v>5500</v>
      </c>
      <c r="H145" s="79">
        <f t="shared" ref="H145" si="23">E145*4500</f>
        <v>4500</v>
      </c>
    </row>
    <row r="146" spans="1:11" hidden="1" x14ac:dyDescent="0.25">
      <c r="C146" t="s">
        <v>846</v>
      </c>
      <c r="D146" t="s">
        <v>13</v>
      </c>
      <c r="E146">
        <v>1</v>
      </c>
      <c r="F146" s="79">
        <f>E146*12000</f>
        <v>12000</v>
      </c>
      <c r="G146" s="79">
        <f t="shared" si="21"/>
        <v>5500</v>
      </c>
      <c r="H146" s="79">
        <f>E146*6500</f>
        <v>6500</v>
      </c>
    </row>
    <row r="147" spans="1:11" hidden="1" x14ac:dyDescent="0.25">
      <c r="C147" t="s">
        <v>846</v>
      </c>
      <c r="D147" t="s">
        <v>14</v>
      </c>
      <c r="E147">
        <v>1</v>
      </c>
      <c r="F147" s="79">
        <f>E147*8000</f>
        <v>8000</v>
      </c>
      <c r="G147" s="79">
        <f>E147*4500</f>
        <v>4500</v>
      </c>
      <c r="H147" s="79">
        <f>E147*3500</f>
        <v>3500</v>
      </c>
    </row>
    <row r="148" spans="1:11" hidden="1" x14ac:dyDescent="0.25">
      <c r="C148" t="s">
        <v>338</v>
      </c>
      <c r="D148" t="s">
        <v>11</v>
      </c>
      <c r="E148">
        <v>50</v>
      </c>
      <c r="F148" s="79">
        <f>E148*1500</f>
        <v>75000</v>
      </c>
      <c r="G148" s="79">
        <f>E148*500</f>
        <v>25000</v>
      </c>
      <c r="H148" s="79">
        <f>E148*1000</f>
        <v>50000</v>
      </c>
    </row>
    <row r="149" spans="1:11" hidden="1" x14ac:dyDescent="0.25">
      <c r="C149" t="s">
        <v>806</v>
      </c>
      <c r="E149">
        <v>40</v>
      </c>
      <c r="F149" s="79">
        <f t="shared" ref="F149:F150" si="24">E149*1500</f>
        <v>60000</v>
      </c>
      <c r="G149" s="79">
        <f t="shared" ref="G149:G150" si="25">E149*500</f>
        <v>20000</v>
      </c>
      <c r="H149" s="79">
        <f>E149*1000</f>
        <v>40000</v>
      </c>
    </row>
    <row r="150" spans="1:11" hidden="1" x14ac:dyDescent="0.25">
      <c r="C150" t="s">
        <v>571</v>
      </c>
      <c r="E150">
        <v>12</v>
      </c>
      <c r="F150" s="79">
        <f t="shared" si="24"/>
        <v>18000</v>
      </c>
      <c r="G150" s="79">
        <f t="shared" si="25"/>
        <v>6000</v>
      </c>
      <c r="H150" s="79">
        <f>E150*1000</f>
        <v>12000</v>
      </c>
    </row>
    <row r="151" spans="1:11" hidden="1" x14ac:dyDescent="0.25">
      <c r="A151" s="112" t="s">
        <v>17</v>
      </c>
      <c r="B151" s="112"/>
      <c r="C151" s="112"/>
      <c r="D151" s="112"/>
      <c r="E151" s="78">
        <f>SUM(E139:E150)</f>
        <v>126</v>
      </c>
      <c r="F151" s="78">
        <f t="shared" ref="F151:H151" si="26">SUM(F139:F150)</f>
        <v>356000</v>
      </c>
      <c r="G151" s="78">
        <f t="shared" si="26"/>
        <v>174000</v>
      </c>
      <c r="H151" s="78">
        <f t="shared" si="26"/>
        <v>182000</v>
      </c>
    </row>
    <row r="152" spans="1:11" x14ac:dyDescent="0.25">
      <c r="A152" t="s">
        <v>26</v>
      </c>
      <c r="B152" s="3">
        <v>45857</v>
      </c>
      <c r="C152" t="s">
        <v>954</v>
      </c>
      <c r="D152" t="s">
        <v>404</v>
      </c>
      <c r="E152">
        <v>1</v>
      </c>
      <c r="F152" s="79">
        <v>4000</v>
      </c>
      <c r="G152" s="79">
        <v>2000</v>
      </c>
      <c r="H152" s="79">
        <v>2000</v>
      </c>
    </row>
    <row r="153" spans="1:11" hidden="1" x14ac:dyDescent="0.25">
      <c r="C153" t="s">
        <v>954</v>
      </c>
      <c r="D153" t="s">
        <v>13</v>
      </c>
      <c r="E153">
        <v>4</v>
      </c>
      <c r="F153" s="79">
        <f>E153*8000</f>
        <v>32000</v>
      </c>
      <c r="G153" s="79">
        <f>E153*4500</f>
        <v>18000</v>
      </c>
      <c r="H153" s="79">
        <f>E153*3500</f>
        <v>14000</v>
      </c>
    </row>
    <row r="154" spans="1:11" hidden="1" x14ac:dyDescent="0.25">
      <c r="C154" t="s">
        <v>954</v>
      </c>
      <c r="D154" t="s">
        <v>14</v>
      </c>
      <c r="E154">
        <v>1</v>
      </c>
      <c r="F154" s="79">
        <v>12000</v>
      </c>
      <c r="G154" s="79">
        <v>5500</v>
      </c>
      <c r="H154" s="79">
        <v>6500</v>
      </c>
    </row>
    <row r="155" spans="1:11" hidden="1" x14ac:dyDescent="0.25">
      <c r="C155" t="s">
        <v>954</v>
      </c>
      <c r="D155" t="s">
        <v>902</v>
      </c>
      <c r="E155">
        <v>4</v>
      </c>
      <c r="F155" s="79">
        <f>E155*8000</f>
        <v>32000</v>
      </c>
      <c r="G155" s="79">
        <f>E155*5500</f>
        <v>22000</v>
      </c>
      <c r="H155" s="79">
        <f>E155*2500</f>
        <v>10000</v>
      </c>
    </row>
    <row r="156" spans="1:11" hidden="1" x14ac:dyDescent="0.25">
      <c r="C156" t="s">
        <v>846</v>
      </c>
      <c r="D156" t="s">
        <v>13</v>
      </c>
      <c r="E156">
        <v>1</v>
      </c>
      <c r="F156" s="79">
        <v>8000</v>
      </c>
      <c r="G156" s="79">
        <v>4500</v>
      </c>
      <c r="H156" s="79">
        <v>3500</v>
      </c>
      <c r="K156" s="92">
        <f>E37+E44+E65+E72+E99+E137+E146+E156+E200+E218+E227+E237</f>
        <v>37</v>
      </c>
    </row>
    <row r="157" spans="1:11" hidden="1" x14ac:dyDescent="0.25">
      <c r="C157" t="s">
        <v>846</v>
      </c>
      <c r="D157" t="s">
        <v>14</v>
      </c>
      <c r="E157">
        <v>3</v>
      </c>
      <c r="F157" s="79">
        <f>E157*12000</f>
        <v>36000</v>
      </c>
      <c r="G157" s="79">
        <f>E157*5500</f>
        <v>16500</v>
      </c>
      <c r="H157" s="79">
        <f>E157*6500</f>
        <v>19500</v>
      </c>
    </row>
    <row r="158" spans="1:11" x14ac:dyDescent="0.25">
      <c r="C158" t="s">
        <v>846</v>
      </c>
      <c r="D158" t="s">
        <v>404</v>
      </c>
      <c r="E158">
        <v>1</v>
      </c>
      <c r="F158" s="79">
        <v>5000</v>
      </c>
      <c r="G158" s="79">
        <v>2500</v>
      </c>
      <c r="H158" s="79">
        <v>2500</v>
      </c>
    </row>
    <row r="159" spans="1:11" hidden="1" x14ac:dyDescent="0.25">
      <c r="C159" t="s">
        <v>846</v>
      </c>
      <c r="D159" t="s">
        <v>919</v>
      </c>
      <c r="E159">
        <v>2</v>
      </c>
      <c r="F159" s="79">
        <f>E159*12000</f>
        <v>24000</v>
      </c>
      <c r="G159" s="79">
        <f>E159*5500</f>
        <v>11000</v>
      </c>
      <c r="H159" s="79">
        <f>E159*6500</f>
        <v>13000</v>
      </c>
    </row>
    <row r="160" spans="1:11" hidden="1" x14ac:dyDescent="0.25">
      <c r="C160" t="s">
        <v>338</v>
      </c>
      <c r="D160" t="s">
        <v>11</v>
      </c>
      <c r="E160">
        <v>50</v>
      </c>
      <c r="F160" s="79">
        <f>E160*1500</f>
        <v>75000</v>
      </c>
      <c r="G160" s="79">
        <f>E160*500</f>
        <v>25000</v>
      </c>
      <c r="H160" s="79">
        <v>50000</v>
      </c>
    </row>
    <row r="161" spans="1:13" hidden="1" x14ac:dyDescent="0.25">
      <c r="C161" t="s">
        <v>104</v>
      </c>
      <c r="D161" t="s">
        <v>11</v>
      </c>
      <c r="E161">
        <v>10</v>
      </c>
      <c r="F161" s="79">
        <f>E161*1500</f>
        <v>15000</v>
      </c>
      <c r="G161" s="79">
        <f>E161*500</f>
        <v>5000</v>
      </c>
      <c r="H161" s="79">
        <v>50000</v>
      </c>
    </row>
    <row r="162" spans="1:13" hidden="1" x14ac:dyDescent="0.25">
      <c r="A162" s="112" t="s">
        <v>17</v>
      </c>
      <c r="B162" s="112"/>
      <c r="C162" s="112"/>
      <c r="D162" s="112"/>
      <c r="E162" s="78">
        <f>SUM(E152:E161)</f>
        <v>77</v>
      </c>
      <c r="F162" s="78">
        <f t="shared" ref="F162:H162" si="27">SUM(F152:F161)</f>
        <v>243000</v>
      </c>
      <c r="G162" s="78">
        <f t="shared" si="27"/>
        <v>112000</v>
      </c>
      <c r="H162" s="78">
        <f t="shared" si="27"/>
        <v>171000</v>
      </c>
    </row>
    <row r="163" spans="1:13" hidden="1" x14ac:dyDescent="0.25">
      <c r="A163" t="s">
        <v>28</v>
      </c>
      <c r="B163" s="3">
        <v>45858</v>
      </c>
      <c r="C163" t="s">
        <v>693</v>
      </c>
      <c r="D163" t="s">
        <v>13</v>
      </c>
      <c r="E163">
        <v>38</v>
      </c>
      <c r="F163" s="79">
        <f>E163*7000</f>
        <v>266000</v>
      </c>
      <c r="G163" s="79">
        <f>E163*4500</f>
        <v>171000</v>
      </c>
      <c r="H163" s="79">
        <f>E163*2500</f>
        <v>95000</v>
      </c>
    </row>
    <row r="164" spans="1:13" hidden="1" x14ac:dyDescent="0.25">
      <c r="C164" t="s">
        <v>693</v>
      </c>
      <c r="D164" t="s">
        <v>14</v>
      </c>
      <c r="E164">
        <v>21</v>
      </c>
      <c r="F164" s="79">
        <f>E164*10000</f>
        <v>210000</v>
      </c>
      <c r="G164" s="79">
        <f>E164*5500</f>
        <v>115500</v>
      </c>
      <c r="H164" s="79">
        <f>E164*4500</f>
        <v>94500</v>
      </c>
    </row>
    <row r="165" spans="1:13" hidden="1" x14ac:dyDescent="0.25">
      <c r="C165" t="s">
        <v>693</v>
      </c>
      <c r="D165" t="s">
        <v>11</v>
      </c>
      <c r="E165">
        <v>4</v>
      </c>
      <c r="F165" s="79">
        <f>E165*2000</f>
        <v>8000</v>
      </c>
      <c r="G165" s="79">
        <f>E165*500</f>
        <v>2000</v>
      </c>
      <c r="H165" s="79">
        <f>E165*1500</f>
        <v>6000</v>
      </c>
      <c r="K165" t="s">
        <v>962</v>
      </c>
    </row>
    <row r="166" spans="1:13" hidden="1" x14ac:dyDescent="0.25">
      <c r="C166" t="s">
        <v>217</v>
      </c>
      <c r="D166" t="s">
        <v>11</v>
      </c>
      <c r="E166">
        <v>13</v>
      </c>
      <c r="F166" s="79">
        <f>E166*1500</f>
        <v>19500</v>
      </c>
      <c r="G166" s="79">
        <f>E166*500</f>
        <v>6500</v>
      </c>
      <c r="H166" s="79">
        <v>13000</v>
      </c>
    </row>
    <row r="167" spans="1:13" hidden="1" x14ac:dyDescent="0.25">
      <c r="C167" t="s">
        <v>217</v>
      </c>
      <c r="D167" t="s">
        <v>13</v>
      </c>
      <c r="E167">
        <v>7</v>
      </c>
      <c r="F167" s="79">
        <f>E167*6500</f>
        <v>45500</v>
      </c>
      <c r="G167" s="79">
        <f>E167*4500</f>
        <v>31500</v>
      </c>
      <c r="H167" s="79">
        <f>E167*2000</f>
        <v>14000</v>
      </c>
    </row>
    <row r="168" spans="1:13" hidden="1" x14ac:dyDescent="0.25">
      <c r="C168" t="s">
        <v>217</v>
      </c>
      <c r="D168" t="s">
        <v>14</v>
      </c>
      <c r="E168">
        <v>14</v>
      </c>
      <c r="F168" s="79">
        <f>E168*10000</f>
        <v>140000</v>
      </c>
      <c r="G168" s="79">
        <f>E168*5500</f>
        <v>77000</v>
      </c>
      <c r="H168" s="79">
        <f>E168*4500</f>
        <v>63000</v>
      </c>
    </row>
    <row r="169" spans="1:13" hidden="1" x14ac:dyDescent="0.25">
      <c r="C169" t="s">
        <v>954</v>
      </c>
      <c r="D169" t="s">
        <v>902</v>
      </c>
      <c r="E169">
        <v>11</v>
      </c>
      <c r="F169" s="79">
        <f>E169*8000</f>
        <v>88000</v>
      </c>
      <c r="G169" s="79">
        <f>E169*5500</f>
        <v>60500</v>
      </c>
      <c r="H169" s="79">
        <f>E169*2500</f>
        <v>27500</v>
      </c>
    </row>
    <row r="170" spans="1:13" hidden="1" x14ac:dyDescent="0.25">
      <c r="C170" t="s">
        <v>954</v>
      </c>
      <c r="D170" t="s">
        <v>13</v>
      </c>
      <c r="E170">
        <v>1</v>
      </c>
      <c r="F170" s="79">
        <v>8000</v>
      </c>
      <c r="G170" s="79">
        <v>4500</v>
      </c>
      <c r="H170" s="79">
        <v>3500</v>
      </c>
      <c r="M170">
        <f>E52+E64+E80+E82+E97+E107+E115+E123+E153+E170+E197+E213</f>
        <v>25</v>
      </c>
    </row>
    <row r="171" spans="1:13" hidden="1" x14ac:dyDescent="0.25">
      <c r="C171" t="s">
        <v>20</v>
      </c>
      <c r="D171" t="s">
        <v>13</v>
      </c>
      <c r="E171">
        <v>1</v>
      </c>
      <c r="F171" s="79">
        <v>8000</v>
      </c>
      <c r="G171" s="79">
        <v>4500</v>
      </c>
      <c r="H171" s="79">
        <v>3500</v>
      </c>
    </row>
    <row r="172" spans="1:13" hidden="1" x14ac:dyDescent="0.25">
      <c r="C172" t="s">
        <v>20</v>
      </c>
      <c r="D172" t="s">
        <v>14</v>
      </c>
      <c r="E172">
        <v>2</v>
      </c>
      <c r="F172" s="79">
        <v>24000</v>
      </c>
      <c r="G172" s="79">
        <v>11000</v>
      </c>
      <c r="H172" s="79">
        <v>13000</v>
      </c>
    </row>
    <row r="173" spans="1:13" hidden="1" x14ac:dyDescent="0.25">
      <c r="C173" t="s">
        <v>20</v>
      </c>
      <c r="D173" t="s">
        <v>919</v>
      </c>
      <c r="E173">
        <v>1</v>
      </c>
      <c r="F173" s="79">
        <v>12000</v>
      </c>
      <c r="G173" s="79">
        <v>5500</v>
      </c>
      <c r="H173" s="79">
        <v>6500</v>
      </c>
    </row>
    <row r="174" spans="1:13" hidden="1" x14ac:dyDescent="0.25">
      <c r="C174" t="s">
        <v>20</v>
      </c>
      <c r="D174" t="s">
        <v>958</v>
      </c>
      <c r="E174">
        <v>1</v>
      </c>
      <c r="F174" s="79">
        <v>10000</v>
      </c>
      <c r="G174" s="79">
        <v>5500</v>
      </c>
      <c r="H174" s="79">
        <v>4500</v>
      </c>
    </row>
    <row r="175" spans="1:13" hidden="1" x14ac:dyDescent="0.25">
      <c r="C175" t="s">
        <v>20</v>
      </c>
      <c r="D175" t="s">
        <v>902</v>
      </c>
      <c r="E175">
        <v>1</v>
      </c>
      <c r="F175" s="79">
        <v>8000</v>
      </c>
      <c r="G175" s="79">
        <v>5500</v>
      </c>
      <c r="H175" s="79">
        <v>2500</v>
      </c>
    </row>
    <row r="176" spans="1:13" hidden="1" x14ac:dyDescent="0.25">
      <c r="C176" t="s">
        <v>20</v>
      </c>
      <c r="D176" t="s">
        <v>919</v>
      </c>
      <c r="E176">
        <v>1</v>
      </c>
      <c r="F176" s="79">
        <v>12000</v>
      </c>
      <c r="G176" s="79">
        <v>5500</v>
      </c>
      <c r="H176" s="79">
        <v>6500</v>
      </c>
    </row>
    <row r="177" spans="1:9" x14ac:dyDescent="0.25">
      <c r="C177" t="s">
        <v>20</v>
      </c>
      <c r="D177" t="s">
        <v>404</v>
      </c>
      <c r="E177">
        <v>1</v>
      </c>
      <c r="F177" s="79">
        <v>5000</v>
      </c>
      <c r="G177" s="79">
        <v>2500</v>
      </c>
      <c r="H177" s="79">
        <v>2500</v>
      </c>
    </row>
    <row r="178" spans="1:9" hidden="1" x14ac:dyDescent="0.25">
      <c r="C178" t="s">
        <v>960</v>
      </c>
      <c r="D178" t="s">
        <v>243</v>
      </c>
      <c r="E178">
        <v>100</v>
      </c>
    </row>
    <row r="179" spans="1:9" hidden="1" x14ac:dyDescent="0.25">
      <c r="A179" s="112" t="s">
        <v>17</v>
      </c>
      <c r="B179" s="112"/>
      <c r="C179" s="112"/>
      <c r="D179" s="112"/>
      <c r="E179" s="78">
        <f>SUM(E163:E178)</f>
        <v>217</v>
      </c>
      <c r="F179" s="78">
        <f t="shared" ref="F179:H179" si="28">SUM(F163:F178)</f>
        <v>864000</v>
      </c>
      <c r="G179" s="78">
        <f t="shared" si="28"/>
        <v>508500</v>
      </c>
      <c r="H179" s="78">
        <f t="shared" si="28"/>
        <v>355500</v>
      </c>
    </row>
    <row r="180" spans="1:9" hidden="1" x14ac:dyDescent="0.25">
      <c r="A180" t="s">
        <v>30</v>
      </c>
      <c r="B180" s="3">
        <v>45859</v>
      </c>
      <c r="C180" t="s">
        <v>846</v>
      </c>
      <c r="D180" t="s">
        <v>902</v>
      </c>
      <c r="E180">
        <v>5</v>
      </c>
      <c r="F180" s="79">
        <f>E180*8000</f>
        <v>40000</v>
      </c>
      <c r="G180" s="79">
        <f>E180*5500</f>
        <v>27500</v>
      </c>
      <c r="H180" s="79">
        <f>E180*2500</f>
        <v>12500</v>
      </c>
      <c r="I180" s="79"/>
    </row>
    <row r="181" spans="1:9" hidden="1" x14ac:dyDescent="0.25">
      <c r="C181" t="s">
        <v>954</v>
      </c>
      <c r="D181" t="s">
        <v>902</v>
      </c>
      <c r="E181">
        <v>5</v>
      </c>
      <c r="F181" s="79">
        <f>E181*8000</f>
        <v>40000</v>
      </c>
      <c r="G181" s="79">
        <f>E181*5500</f>
        <v>27500</v>
      </c>
      <c r="H181" s="79">
        <f>E181*2500</f>
        <v>12500</v>
      </c>
      <c r="I181" s="79"/>
    </row>
    <row r="182" spans="1:9" hidden="1" x14ac:dyDescent="0.25">
      <c r="C182" t="s">
        <v>954</v>
      </c>
      <c r="D182" t="s">
        <v>14</v>
      </c>
      <c r="E182">
        <v>1</v>
      </c>
      <c r="F182" s="79">
        <v>12000</v>
      </c>
      <c r="G182" s="79">
        <v>5500</v>
      </c>
      <c r="H182" s="79">
        <v>6500</v>
      </c>
      <c r="I182" s="79"/>
    </row>
    <row r="183" spans="1:9" hidden="1" x14ac:dyDescent="0.25">
      <c r="C183" t="s">
        <v>338</v>
      </c>
      <c r="D183" t="s">
        <v>11</v>
      </c>
      <c r="E183">
        <v>50</v>
      </c>
      <c r="F183" s="79">
        <f>E183*1500</f>
        <v>75000</v>
      </c>
      <c r="G183" s="79">
        <f>E183*500</f>
        <v>25000</v>
      </c>
      <c r="H183" s="79">
        <f>E183*1000</f>
        <v>50000</v>
      </c>
      <c r="I183" s="79"/>
    </row>
    <row r="184" spans="1:9" hidden="1" x14ac:dyDescent="0.25">
      <c r="C184" t="s">
        <v>806</v>
      </c>
      <c r="D184" t="s">
        <v>11</v>
      </c>
      <c r="E184">
        <v>30</v>
      </c>
      <c r="F184" s="79">
        <f t="shared" ref="F184:F187" si="29">E184*1500</f>
        <v>45000</v>
      </c>
      <c r="G184" s="79">
        <f t="shared" ref="G184:G187" si="30">E184*500</f>
        <v>15000</v>
      </c>
      <c r="H184" s="79">
        <f t="shared" ref="H184:H187" si="31">E184*1000</f>
        <v>30000</v>
      </c>
      <c r="I184" s="79"/>
    </row>
    <row r="185" spans="1:9" hidden="1" x14ac:dyDescent="0.25">
      <c r="C185" t="s">
        <v>806</v>
      </c>
      <c r="D185" t="s">
        <v>914</v>
      </c>
      <c r="E185">
        <v>20</v>
      </c>
      <c r="F185" s="79">
        <f t="shared" si="29"/>
        <v>30000</v>
      </c>
      <c r="G185" s="79">
        <f t="shared" si="30"/>
        <v>10000</v>
      </c>
      <c r="H185" s="79">
        <f t="shared" si="31"/>
        <v>20000</v>
      </c>
      <c r="I185" s="79"/>
    </row>
    <row r="186" spans="1:9" hidden="1" x14ac:dyDescent="0.25">
      <c r="C186" t="s">
        <v>571</v>
      </c>
      <c r="D186" t="s">
        <v>11</v>
      </c>
      <c r="E186">
        <v>30</v>
      </c>
      <c r="F186" s="79">
        <f t="shared" si="29"/>
        <v>45000</v>
      </c>
      <c r="G186" s="79">
        <f t="shared" si="30"/>
        <v>15000</v>
      </c>
      <c r="H186" s="79">
        <f t="shared" si="31"/>
        <v>30000</v>
      </c>
      <c r="I186" s="79"/>
    </row>
    <row r="187" spans="1:9" hidden="1" x14ac:dyDescent="0.25">
      <c r="C187" t="s">
        <v>104</v>
      </c>
      <c r="D187" t="s">
        <v>11</v>
      </c>
      <c r="E187">
        <v>12</v>
      </c>
      <c r="F187" s="79">
        <f t="shared" si="29"/>
        <v>18000</v>
      </c>
      <c r="G187" s="79">
        <f t="shared" si="30"/>
        <v>6000</v>
      </c>
      <c r="H187" s="79">
        <f t="shared" si="31"/>
        <v>12000</v>
      </c>
      <c r="I187" s="79"/>
    </row>
    <row r="188" spans="1:9" hidden="1" x14ac:dyDescent="0.25">
      <c r="C188" t="s">
        <v>24</v>
      </c>
      <c r="D188" t="s">
        <v>243</v>
      </c>
      <c r="E188">
        <v>4</v>
      </c>
      <c r="F188" s="79">
        <f>E188*15000</f>
        <v>60000</v>
      </c>
      <c r="G188" s="79">
        <f>E188*10000</f>
        <v>40000</v>
      </c>
      <c r="H188" s="79">
        <f>E188*5000</f>
        <v>20000</v>
      </c>
      <c r="I188" s="79"/>
    </row>
    <row r="189" spans="1:9" hidden="1" x14ac:dyDescent="0.25">
      <c r="C189" t="s">
        <v>554</v>
      </c>
      <c r="D189" t="s">
        <v>243</v>
      </c>
      <c r="E189">
        <v>2</v>
      </c>
      <c r="F189" s="79">
        <f>E189*15000</f>
        <v>30000</v>
      </c>
      <c r="G189" s="79">
        <f>E189*10000</f>
        <v>20000</v>
      </c>
      <c r="H189" s="79">
        <f>E189*5000</f>
        <v>10000</v>
      </c>
      <c r="I189" s="79"/>
    </row>
    <row r="190" spans="1:9" hidden="1" x14ac:dyDescent="0.25">
      <c r="A190" s="112" t="s">
        <v>17</v>
      </c>
      <c r="B190" s="112"/>
      <c r="C190" s="112"/>
      <c r="D190" s="112"/>
      <c r="E190" s="78">
        <f>SUM(E180:E189)</f>
        <v>159</v>
      </c>
      <c r="F190" s="78">
        <f t="shared" ref="F190:H190" si="32">SUM(F180:F189)</f>
        <v>395000</v>
      </c>
      <c r="G190" s="78">
        <f t="shared" si="32"/>
        <v>191500</v>
      </c>
      <c r="H190" s="78">
        <f t="shared" si="32"/>
        <v>203500</v>
      </c>
    </row>
    <row r="191" spans="1:9" hidden="1" x14ac:dyDescent="0.25">
      <c r="A191" t="s">
        <v>32</v>
      </c>
      <c r="B191" s="3">
        <v>45860</v>
      </c>
      <c r="C191" t="s">
        <v>338</v>
      </c>
      <c r="D191" t="s">
        <v>11</v>
      </c>
      <c r="E191">
        <v>49</v>
      </c>
      <c r="F191" s="79">
        <f>E191*1500</f>
        <v>73500</v>
      </c>
      <c r="G191" s="79">
        <f>E191*500</f>
        <v>24500</v>
      </c>
      <c r="H191" s="79">
        <f>E191*1000</f>
        <v>49000</v>
      </c>
      <c r="I191" s="79"/>
    </row>
    <row r="192" spans="1:9" hidden="1" x14ac:dyDescent="0.25">
      <c r="C192" t="s">
        <v>104</v>
      </c>
      <c r="D192" t="s">
        <v>11</v>
      </c>
      <c r="E192">
        <v>18</v>
      </c>
      <c r="F192" s="79">
        <f t="shared" ref="F192:F195" si="33">E192*1500</f>
        <v>27000</v>
      </c>
      <c r="G192" s="79">
        <f t="shared" ref="G192:G195" si="34">E192*500</f>
        <v>9000</v>
      </c>
      <c r="H192" s="79">
        <f t="shared" ref="H192:H195" si="35">E192*1000</f>
        <v>18000</v>
      </c>
      <c r="I192" s="79"/>
    </row>
    <row r="193" spans="1:9" hidden="1" x14ac:dyDescent="0.25">
      <c r="C193" t="s">
        <v>806</v>
      </c>
      <c r="D193" t="s">
        <v>11</v>
      </c>
      <c r="E193">
        <v>30</v>
      </c>
      <c r="F193" s="79">
        <f t="shared" si="33"/>
        <v>45000</v>
      </c>
      <c r="G193" s="79">
        <f t="shared" si="34"/>
        <v>15000</v>
      </c>
      <c r="H193" s="79">
        <f t="shared" si="35"/>
        <v>30000</v>
      </c>
      <c r="I193" s="79"/>
    </row>
    <row r="194" spans="1:9" hidden="1" x14ac:dyDescent="0.25">
      <c r="C194" t="s">
        <v>806</v>
      </c>
      <c r="D194" t="s">
        <v>914</v>
      </c>
      <c r="E194">
        <v>25</v>
      </c>
      <c r="F194" s="79">
        <f t="shared" si="33"/>
        <v>37500</v>
      </c>
      <c r="G194" s="79">
        <f t="shared" si="34"/>
        <v>12500</v>
      </c>
      <c r="H194" s="79">
        <f t="shared" si="35"/>
        <v>25000</v>
      </c>
      <c r="I194" s="79"/>
    </row>
    <row r="195" spans="1:9" hidden="1" x14ac:dyDescent="0.25">
      <c r="C195" t="s">
        <v>571</v>
      </c>
      <c r="D195" t="s">
        <v>11</v>
      </c>
      <c r="E195">
        <v>30</v>
      </c>
      <c r="F195" s="79">
        <f t="shared" si="33"/>
        <v>45000</v>
      </c>
      <c r="G195" s="79">
        <f t="shared" si="34"/>
        <v>15000</v>
      </c>
      <c r="H195" s="79">
        <f t="shared" si="35"/>
        <v>30000</v>
      </c>
      <c r="I195" s="79"/>
    </row>
    <row r="196" spans="1:9" hidden="1" x14ac:dyDescent="0.25">
      <c r="C196" t="s">
        <v>954</v>
      </c>
      <c r="D196" t="s">
        <v>902</v>
      </c>
      <c r="E196">
        <v>3</v>
      </c>
      <c r="F196" s="79">
        <f>E196*8000</f>
        <v>24000</v>
      </c>
      <c r="G196" s="79">
        <f>E196*5500</f>
        <v>16500</v>
      </c>
      <c r="H196" s="79">
        <f>E196*2500</f>
        <v>7500</v>
      </c>
      <c r="I196" s="79"/>
    </row>
    <row r="197" spans="1:9" hidden="1" x14ac:dyDescent="0.25">
      <c r="C197" t="s">
        <v>954</v>
      </c>
      <c r="D197" t="s">
        <v>13</v>
      </c>
      <c r="E197">
        <v>2</v>
      </c>
      <c r="F197" s="79">
        <f>E197*8000</f>
        <v>16000</v>
      </c>
      <c r="G197" s="79">
        <f>E197*4500</f>
        <v>9000</v>
      </c>
      <c r="H197" s="79">
        <f>E197*3500</f>
        <v>7000</v>
      </c>
      <c r="I197" s="79"/>
    </row>
    <row r="198" spans="1:9" hidden="1" x14ac:dyDescent="0.25">
      <c r="C198" t="s">
        <v>954</v>
      </c>
      <c r="D198" t="s">
        <v>14</v>
      </c>
      <c r="E198">
        <v>2</v>
      </c>
      <c r="F198" s="79">
        <f>E198*12000</f>
        <v>24000</v>
      </c>
      <c r="G198" s="79">
        <f>E198*5500</f>
        <v>11000</v>
      </c>
      <c r="H198" s="79">
        <f>E198*6500</f>
        <v>13000</v>
      </c>
      <c r="I198" s="79"/>
    </row>
    <row r="199" spans="1:9" hidden="1" x14ac:dyDescent="0.25">
      <c r="C199" t="s">
        <v>846</v>
      </c>
      <c r="D199" t="s">
        <v>902</v>
      </c>
      <c r="E199">
        <v>6</v>
      </c>
      <c r="F199" s="79">
        <f>E199*8000</f>
        <v>48000</v>
      </c>
      <c r="G199" s="79">
        <f>E199*5500</f>
        <v>33000</v>
      </c>
      <c r="H199" s="79">
        <f>E199*2500</f>
        <v>15000</v>
      </c>
      <c r="I199" s="79"/>
    </row>
    <row r="200" spans="1:9" hidden="1" x14ac:dyDescent="0.25">
      <c r="C200" t="s">
        <v>846</v>
      </c>
      <c r="D200" t="s">
        <v>13</v>
      </c>
      <c r="E200">
        <v>2</v>
      </c>
      <c r="F200" s="79">
        <f>E200*8000</f>
        <v>16000</v>
      </c>
      <c r="G200" s="79">
        <f>E200*4500</f>
        <v>9000</v>
      </c>
      <c r="H200" s="79">
        <f>E200*3500</f>
        <v>7000</v>
      </c>
      <c r="I200" s="79"/>
    </row>
    <row r="201" spans="1:9" hidden="1" x14ac:dyDescent="0.25">
      <c r="C201" t="s">
        <v>846</v>
      </c>
      <c r="D201" t="s">
        <v>14</v>
      </c>
      <c r="E201">
        <v>1</v>
      </c>
      <c r="F201" s="79">
        <v>12000</v>
      </c>
      <c r="G201" s="79">
        <v>5500</v>
      </c>
      <c r="H201" s="79">
        <v>6500</v>
      </c>
      <c r="I201" s="79"/>
    </row>
    <row r="202" spans="1:9" hidden="1" x14ac:dyDescent="0.25">
      <c r="C202" t="s">
        <v>846</v>
      </c>
      <c r="D202" t="s">
        <v>918</v>
      </c>
      <c r="E202">
        <v>2</v>
      </c>
      <c r="F202" s="79">
        <v>30000</v>
      </c>
      <c r="G202" s="79">
        <v>20000</v>
      </c>
      <c r="H202" s="79">
        <v>10000</v>
      </c>
      <c r="I202" s="79"/>
    </row>
    <row r="203" spans="1:9" hidden="1" x14ac:dyDescent="0.25">
      <c r="C203" t="s">
        <v>846</v>
      </c>
      <c r="D203" t="s">
        <v>919</v>
      </c>
      <c r="E203">
        <v>2</v>
      </c>
      <c r="F203" s="79">
        <v>24000</v>
      </c>
      <c r="G203" s="79">
        <v>11000</v>
      </c>
      <c r="H203" s="79">
        <v>13000</v>
      </c>
      <c r="I203" s="79"/>
    </row>
    <row r="204" spans="1:9" hidden="1" x14ac:dyDescent="0.25">
      <c r="C204" t="s">
        <v>846</v>
      </c>
      <c r="D204" t="s">
        <v>958</v>
      </c>
      <c r="E204">
        <v>3</v>
      </c>
      <c r="F204" s="79">
        <v>30000</v>
      </c>
      <c r="G204" s="79">
        <v>20000</v>
      </c>
      <c r="H204" s="79">
        <v>10000</v>
      </c>
      <c r="I204" s="79"/>
    </row>
    <row r="205" spans="1:9" hidden="1" x14ac:dyDescent="0.25">
      <c r="C205" t="s">
        <v>846</v>
      </c>
      <c r="D205" t="s">
        <v>243</v>
      </c>
      <c r="E205">
        <v>2</v>
      </c>
      <c r="F205" s="79">
        <v>30000</v>
      </c>
      <c r="G205" s="79">
        <v>20000</v>
      </c>
      <c r="H205" s="79">
        <v>10000</v>
      </c>
      <c r="I205" s="79"/>
    </row>
    <row r="206" spans="1:9" hidden="1" x14ac:dyDescent="0.25">
      <c r="C206" t="s">
        <v>24</v>
      </c>
      <c r="D206" t="s">
        <v>243</v>
      </c>
      <c r="E206">
        <v>1</v>
      </c>
      <c r="F206" s="79">
        <v>15000</v>
      </c>
      <c r="G206" s="79">
        <v>10000</v>
      </c>
      <c r="H206" s="79">
        <v>50000</v>
      </c>
      <c r="I206" s="79"/>
    </row>
    <row r="207" spans="1:9" hidden="1" x14ac:dyDescent="0.25">
      <c r="A207" s="112" t="s">
        <v>17</v>
      </c>
      <c r="B207" s="112"/>
      <c r="C207" s="112"/>
      <c r="D207" s="112"/>
      <c r="E207" s="78">
        <f>SUM(E191:E206)</f>
        <v>178</v>
      </c>
      <c r="F207" s="78">
        <f t="shared" ref="F207:H207" si="36">SUM(F191:F206)</f>
        <v>497000</v>
      </c>
      <c r="G207" s="78">
        <f t="shared" si="36"/>
        <v>241000</v>
      </c>
      <c r="H207" s="78">
        <f t="shared" si="36"/>
        <v>301000</v>
      </c>
    </row>
    <row r="208" spans="1:9" hidden="1" x14ac:dyDescent="0.25">
      <c r="A208" t="s">
        <v>8</v>
      </c>
      <c r="B208" s="3">
        <v>45861</v>
      </c>
      <c r="C208" t="s">
        <v>338</v>
      </c>
      <c r="D208" t="s">
        <v>11</v>
      </c>
      <c r="E208">
        <v>50</v>
      </c>
      <c r="F208" s="79">
        <f>E208*1500</f>
        <v>75000</v>
      </c>
      <c r="G208" s="79">
        <f>E208*500</f>
        <v>25000</v>
      </c>
      <c r="H208" s="79">
        <f>E208*1000</f>
        <v>50000</v>
      </c>
    </row>
    <row r="209" spans="1:13" hidden="1" x14ac:dyDescent="0.25">
      <c r="C209" t="s">
        <v>104</v>
      </c>
      <c r="D209" t="s">
        <v>11</v>
      </c>
      <c r="E209">
        <v>15</v>
      </c>
      <c r="F209" s="79">
        <f>E209*1500</f>
        <v>22500</v>
      </c>
      <c r="G209" s="79">
        <f>E209*500</f>
        <v>7500</v>
      </c>
      <c r="H209" s="79">
        <f>E209*1000</f>
        <v>15000</v>
      </c>
    </row>
    <row r="210" spans="1:13" hidden="1" x14ac:dyDescent="0.25">
      <c r="C210" t="s">
        <v>571</v>
      </c>
      <c r="D210" t="s">
        <v>11</v>
      </c>
      <c r="E210">
        <v>23</v>
      </c>
      <c r="F210" s="79">
        <f>E210*1700</f>
        <v>39100</v>
      </c>
      <c r="G210" s="79">
        <f>E210*500</f>
        <v>11500</v>
      </c>
      <c r="H210" s="79">
        <f>E210*1200</f>
        <v>27600</v>
      </c>
    </row>
    <row r="211" spans="1:13" hidden="1" x14ac:dyDescent="0.25">
      <c r="C211" t="s">
        <v>806</v>
      </c>
      <c r="D211" t="s">
        <v>11</v>
      </c>
      <c r="E211">
        <v>30</v>
      </c>
      <c r="F211" s="79">
        <f>E211*1600</f>
        <v>48000</v>
      </c>
      <c r="G211" s="79">
        <f>E211*500</f>
        <v>15000</v>
      </c>
      <c r="H211" s="79">
        <f>E211*1100</f>
        <v>33000</v>
      </c>
    </row>
    <row r="212" spans="1:13" hidden="1" x14ac:dyDescent="0.25">
      <c r="C212" t="s">
        <v>806</v>
      </c>
      <c r="D212" t="s">
        <v>914</v>
      </c>
      <c r="E212">
        <v>29</v>
      </c>
      <c r="F212" s="79">
        <f>E212*1600</f>
        <v>46400</v>
      </c>
      <c r="G212" s="79">
        <f>E212*500</f>
        <v>14500</v>
      </c>
      <c r="H212" s="79">
        <f>E212*1100</f>
        <v>31900</v>
      </c>
      <c r="L212" s="92">
        <f>E129+E133+E184+E193+E211+E225+E230+E242+E266+E275+E296+E303</f>
        <v>360</v>
      </c>
    </row>
    <row r="213" spans="1:13" hidden="1" x14ac:dyDescent="0.25">
      <c r="C213" t="s">
        <v>954</v>
      </c>
      <c r="D213" t="s">
        <v>13</v>
      </c>
      <c r="E213">
        <v>1</v>
      </c>
      <c r="F213" s="79">
        <v>8000</v>
      </c>
      <c r="G213" s="79">
        <v>4500</v>
      </c>
      <c r="H213" s="79">
        <v>3500</v>
      </c>
    </row>
    <row r="214" spans="1:13" hidden="1" x14ac:dyDescent="0.25">
      <c r="C214" t="s">
        <v>954</v>
      </c>
      <c r="D214" t="s">
        <v>14</v>
      </c>
      <c r="E214">
        <v>1</v>
      </c>
      <c r="F214" s="79">
        <v>12000</v>
      </c>
      <c r="G214" s="79">
        <v>5500</v>
      </c>
      <c r="H214" s="79">
        <v>6500</v>
      </c>
    </row>
    <row r="215" spans="1:13" hidden="1" x14ac:dyDescent="0.25">
      <c r="C215" t="s">
        <v>954</v>
      </c>
      <c r="D215" t="s">
        <v>902</v>
      </c>
      <c r="E215">
        <v>1</v>
      </c>
      <c r="F215" s="79">
        <v>8000</v>
      </c>
      <c r="G215" s="79">
        <v>5500</v>
      </c>
      <c r="H215" s="79">
        <v>2500</v>
      </c>
    </row>
    <row r="216" spans="1:13" x14ac:dyDescent="0.25">
      <c r="C216" t="s">
        <v>954</v>
      </c>
      <c r="D216" t="s">
        <v>404</v>
      </c>
      <c r="E216">
        <v>1</v>
      </c>
      <c r="F216" s="79">
        <v>4000</v>
      </c>
      <c r="G216" s="79">
        <v>2000</v>
      </c>
      <c r="H216" s="79">
        <v>2000</v>
      </c>
    </row>
    <row r="217" spans="1:13" hidden="1" x14ac:dyDescent="0.25">
      <c r="C217" t="s">
        <v>846</v>
      </c>
      <c r="D217" t="s">
        <v>918</v>
      </c>
      <c r="E217">
        <v>1</v>
      </c>
      <c r="F217" s="79">
        <v>15000</v>
      </c>
      <c r="G217" s="79">
        <v>10000</v>
      </c>
      <c r="H217" s="79">
        <v>5000</v>
      </c>
    </row>
    <row r="218" spans="1:13" hidden="1" x14ac:dyDescent="0.25">
      <c r="C218" t="s">
        <v>846</v>
      </c>
      <c r="D218" t="s">
        <v>13</v>
      </c>
      <c r="E218">
        <v>12</v>
      </c>
      <c r="F218" s="79">
        <f>E218*8000</f>
        <v>96000</v>
      </c>
      <c r="G218" s="79">
        <f>E218*4500</f>
        <v>54000</v>
      </c>
      <c r="H218" s="79">
        <f>E218*3500</f>
        <v>42000</v>
      </c>
    </row>
    <row r="219" spans="1:13" hidden="1" x14ac:dyDescent="0.25">
      <c r="C219" t="s">
        <v>846</v>
      </c>
      <c r="D219" t="s">
        <v>919</v>
      </c>
      <c r="E219">
        <v>1</v>
      </c>
      <c r="F219" s="79">
        <v>12000</v>
      </c>
      <c r="G219" s="79">
        <v>5500</v>
      </c>
      <c r="H219" s="79">
        <v>6500</v>
      </c>
      <c r="M219" s="92">
        <f>E9+E26+E40++E47+E55+E66+E101+E106+E135+E145+E159+E203+E219+E247</f>
        <v>25</v>
      </c>
    </row>
    <row r="220" spans="1:13" hidden="1" x14ac:dyDescent="0.25">
      <c r="C220" t="s">
        <v>846</v>
      </c>
      <c r="D220" t="s">
        <v>902</v>
      </c>
      <c r="E220">
        <v>1</v>
      </c>
      <c r="F220" s="79">
        <v>8000</v>
      </c>
      <c r="G220" s="79">
        <v>5500</v>
      </c>
      <c r="H220" s="79">
        <v>2500</v>
      </c>
    </row>
    <row r="221" spans="1:13" hidden="1" x14ac:dyDescent="0.25">
      <c r="C221" t="s">
        <v>24</v>
      </c>
      <c r="D221" t="s">
        <v>243</v>
      </c>
      <c r="E221">
        <v>1</v>
      </c>
      <c r="F221" s="79">
        <v>15000</v>
      </c>
      <c r="G221" s="79">
        <v>10000</v>
      </c>
      <c r="H221" s="79">
        <v>5000</v>
      </c>
    </row>
    <row r="222" spans="1:13" hidden="1" x14ac:dyDescent="0.25">
      <c r="A222" s="112" t="s">
        <v>17</v>
      </c>
      <c r="B222" s="112"/>
      <c r="C222" s="112"/>
      <c r="D222" s="112"/>
      <c r="E222" s="78">
        <f>SUM(E208:E221)</f>
        <v>167</v>
      </c>
      <c r="F222" s="78">
        <f>SUM(F208:F221)</f>
        <v>409000</v>
      </c>
      <c r="G222" s="78">
        <f t="shared" ref="G222:H222" si="37">SUM(G208:G221)</f>
        <v>176000</v>
      </c>
      <c r="H222" s="78">
        <f t="shared" si="37"/>
        <v>233000</v>
      </c>
    </row>
    <row r="223" spans="1:13" hidden="1" x14ac:dyDescent="0.25">
      <c r="A223" t="s">
        <v>18</v>
      </c>
      <c r="B223" s="3">
        <v>45862</v>
      </c>
      <c r="C223" t="s">
        <v>104</v>
      </c>
      <c r="D223" t="s">
        <v>11</v>
      </c>
      <c r="E223">
        <v>12</v>
      </c>
      <c r="F223" s="79">
        <f>E223*1500</f>
        <v>18000</v>
      </c>
      <c r="G223" s="79">
        <f>E223*500</f>
        <v>6000</v>
      </c>
      <c r="H223" s="79">
        <v>12000</v>
      </c>
    </row>
    <row r="224" spans="1:13" hidden="1" x14ac:dyDescent="0.25">
      <c r="C224" t="s">
        <v>571</v>
      </c>
      <c r="D224" t="s">
        <v>11</v>
      </c>
      <c r="E224">
        <v>17</v>
      </c>
      <c r="F224" s="79">
        <f>E224*1700</f>
        <v>28900</v>
      </c>
      <c r="G224" s="79">
        <f>E224*500</f>
        <v>8500</v>
      </c>
      <c r="H224" s="79">
        <f>E224*1200</f>
        <v>20400</v>
      </c>
    </row>
    <row r="225" spans="1:12" hidden="1" x14ac:dyDescent="0.25">
      <c r="C225" t="s">
        <v>806</v>
      </c>
      <c r="D225" t="s">
        <v>11</v>
      </c>
      <c r="E225">
        <v>35</v>
      </c>
      <c r="F225" s="79">
        <f>E225*1100</f>
        <v>38500</v>
      </c>
      <c r="G225" s="79">
        <f>E225*500</f>
        <v>17500</v>
      </c>
      <c r="H225" s="79">
        <f>E225*1100</f>
        <v>38500</v>
      </c>
      <c r="L225" s="92">
        <f>E185+E194+E212+E226+E231+E243+E267+E276+E297+E304</f>
        <v>297</v>
      </c>
    </row>
    <row r="226" spans="1:12" hidden="1" x14ac:dyDescent="0.25">
      <c r="C226" t="s">
        <v>806</v>
      </c>
      <c r="D226" t="s">
        <v>914</v>
      </c>
      <c r="E226">
        <v>30</v>
      </c>
      <c r="F226" s="79">
        <f>E226*1600</f>
        <v>48000</v>
      </c>
      <c r="G226" s="79">
        <f t="shared" ref="G226" si="38">E226*500</f>
        <v>15000</v>
      </c>
      <c r="H226" s="79">
        <f t="shared" ref="H226" si="39">E226*1100</f>
        <v>33000</v>
      </c>
    </row>
    <row r="227" spans="1:12" hidden="1" x14ac:dyDescent="0.25">
      <c r="C227" t="s">
        <v>846</v>
      </c>
      <c r="D227" t="s">
        <v>13</v>
      </c>
      <c r="E227">
        <v>3</v>
      </c>
      <c r="F227" s="79">
        <f>E227*8000</f>
        <v>24000</v>
      </c>
      <c r="G227" s="79">
        <f>E227*4500</f>
        <v>13500</v>
      </c>
      <c r="H227" s="79">
        <f>E227*3500</f>
        <v>10500</v>
      </c>
    </row>
    <row r="228" spans="1:12" hidden="1" x14ac:dyDescent="0.25">
      <c r="C228" t="s">
        <v>503</v>
      </c>
      <c r="D228" t="s">
        <v>13</v>
      </c>
      <c r="E228">
        <v>40</v>
      </c>
      <c r="F228" s="79"/>
      <c r="G228" s="79">
        <f>E228*4500</f>
        <v>180000</v>
      </c>
      <c r="H228" s="79"/>
    </row>
    <row r="229" spans="1:12" hidden="1" x14ac:dyDescent="0.25">
      <c r="A229" s="112" t="s">
        <v>17</v>
      </c>
      <c r="B229" s="112"/>
      <c r="C229" s="112"/>
      <c r="D229" s="112"/>
      <c r="E229" s="78">
        <f>SUM(E223:E228)</f>
        <v>137</v>
      </c>
      <c r="F229" s="78">
        <f t="shared" ref="F229:H229" si="40">SUM(F223:F228)</f>
        <v>157400</v>
      </c>
      <c r="G229" s="78">
        <f t="shared" si="40"/>
        <v>240500</v>
      </c>
      <c r="H229" s="78">
        <f t="shared" si="40"/>
        <v>114400</v>
      </c>
    </row>
    <row r="230" spans="1:12" hidden="1" x14ac:dyDescent="0.25">
      <c r="A230" t="s">
        <v>22</v>
      </c>
      <c r="B230" s="3">
        <v>45863</v>
      </c>
      <c r="C230" t="s">
        <v>806</v>
      </c>
      <c r="D230" t="s">
        <v>11</v>
      </c>
      <c r="E230">
        <v>28</v>
      </c>
      <c r="F230" s="79">
        <f>E230*1600</f>
        <v>44800</v>
      </c>
      <c r="G230" s="79">
        <f>E230*500</f>
        <v>14000</v>
      </c>
      <c r="H230" s="79">
        <f>E230*1100</f>
        <v>30800</v>
      </c>
    </row>
    <row r="231" spans="1:12" hidden="1" x14ac:dyDescent="0.25">
      <c r="C231" t="s">
        <v>806</v>
      </c>
      <c r="D231" t="s">
        <v>914</v>
      </c>
      <c r="E231">
        <v>30</v>
      </c>
      <c r="F231" s="79">
        <f>E231*1600</f>
        <v>48000</v>
      </c>
      <c r="G231" s="79">
        <f>E231*500</f>
        <v>15000</v>
      </c>
      <c r="H231" s="79">
        <f>E231*1000</f>
        <v>30000</v>
      </c>
    </row>
    <row r="232" spans="1:12" hidden="1" x14ac:dyDescent="0.25">
      <c r="C232" t="s">
        <v>104</v>
      </c>
      <c r="D232" t="s">
        <v>11</v>
      </c>
      <c r="E232">
        <v>10</v>
      </c>
      <c r="F232" s="79">
        <f>E232*1500</f>
        <v>15000</v>
      </c>
      <c r="G232" s="79">
        <f>E232*500</f>
        <v>5000</v>
      </c>
      <c r="H232" s="79">
        <f>E232*1100</f>
        <v>11000</v>
      </c>
    </row>
    <row r="233" spans="1:12" hidden="1" x14ac:dyDescent="0.25">
      <c r="C233" t="s">
        <v>954</v>
      </c>
      <c r="D233" t="s">
        <v>902</v>
      </c>
      <c r="E233">
        <v>1</v>
      </c>
      <c r="F233" s="79">
        <f>E233*8000</f>
        <v>8000</v>
      </c>
      <c r="G233" s="79">
        <f>E233*5500</f>
        <v>5500</v>
      </c>
      <c r="H233" s="79">
        <f>E233*2500</f>
        <v>2500</v>
      </c>
    </row>
    <row r="234" spans="1:12" hidden="1" x14ac:dyDescent="0.25">
      <c r="C234" t="s">
        <v>846</v>
      </c>
      <c r="D234" t="s">
        <v>902</v>
      </c>
      <c r="E234">
        <v>9</v>
      </c>
      <c r="F234" s="79">
        <f>E234*8000</f>
        <v>72000</v>
      </c>
      <c r="G234" s="79">
        <f>E234*5500</f>
        <v>49500</v>
      </c>
      <c r="H234" s="79">
        <f>E234*2500</f>
        <v>22500</v>
      </c>
    </row>
    <row r="235" spans="1:12" hidden="1" x14ac:dyDescent="0.25">
      <c r="C235" t="s">
        <v>846</v>
      </c>
      <c r="D235" t="s">
        <v>918</v>
      </c>
      <c r="E235">
        <v>4</v>
      </c>
      <c r="F235" s="79">
        <f>E235*15000</f>
        <v>60000</v>
      </c>
      <c r="G235" s="79">
        <f>E235*10000</f>
        <v>40000</v>
      </c>
      <c r="H235" s="79">
        <f>E235*5000</f>
        <v>20000</v>
      </c>
      <c r="L235" s="92">
        <f>E19+E25+E71+E74+E102+E202+E217+E235+E246+E270+E286</f>
        <v>44</v>
      </c>
    </row>
    <row r="236" spans="1:12" x14ac:dyDescent="0.25">
      <c r="C236" t="s">
        <v>846</v>
      </c>
      <c r="D236" t="s">
        <v>404</v>
      </c>
      <c r="E236">
        <v>1</v>
      </c>
      <c r="F236" s="79">
        <v>5000</v>
      </c>
      <c r="G236" s="79">
        <v>2500</v>
      </c>
      <c r="H236" s="79">
        <v>2500</v>
      </c>
    </row>
    <row r="237" spans="1:12" hidden="1" x14ac:dyDescent="0.25">
      <c r="C237" t="s">
        <v>846</v>
      </c>
      <c r="D237" t="s">
        <v>13</v>
      </c>
      <c r="E237">
        <v>1</v>
      </c>
      <c r="F237" s="79">
        <v>8000</v>
      </c>
      <c r="G237" s="79">
        <v>4500</v>
      </c>
      <c r="H237" s="79">
        <v>3500</v>
      </c>
    </row>
    <row r="238" spans="1:12" hidden="1" x14ac:dyDescent="0.25">
      <c r="C238" t="s">
        <v>963</v>
      </c>
      <c r="D238" t="s">
        <v>14</v>
      </c>
      <c r="E238">
        <v>24</v>
      </c>
      <c r="F238" s="79"/>
      <c r="G238" s="79"/>
      <c r="H238" s="79"/>
    </row>
    <row r="239" spans="1:12" hidden="1" x14ac:dyDescent="0.25">
      <c r="A239" s="112" t="s">
        <v>17</v>
      </c>
      <c r="B239" s="112"/>
      <c r="C239" s="112"/>
      <c r="D239" s="112"/>
      <c r="E239" s="78">
        <f>SUM(E230:E238)</f>
        <v>108</v>
      </c>
      <c r="F239" s="78">
        <f t="shared" ref="F239:H239" si="41">SUM(F230:F238)</f>
        <v>260800</v>
      </c>
      <c r="G239" s="78">
        <f t="shared" si="41"/>
        <v>136000</v>
      </c>
      <c r="H239" s="78">
        <f t="shared" si="41"/>
        <v>122800</v>
      </c>
    </row>
    <row r="240" spans="1:12" hidden="1" x14ac:dyDescent="0.25">
      <c r="A240" t="s">
        <v>26</v>
      </c>
      <c r="B240" s="3">
        <v>45864</v>
      </c>
      <c r="C240" t="s">
        <v>338</v>
      </c>
      <c r="D240" t="s">
        <v>11</v>
      </c>
      <c r="E240" s="79">
        <v>100</v>
      </c>
      <c r="F240" s="79">
        <f>E240*1500</f>
        <v>150000</v>
      </c>
      <c r="G240" s="79">
        <f>E240*500</f>
        <v>50000</v>
      </c>
      <c r="H240" s="79">
        <f>E240*1000</f>
        <v>100000</v>
      </c>
    </row>
    <row r="241" spans="1:8" hidden="1" x14ac:dyDescent="0.25">
      <c r="C241" t="s">
        <v>104</v>
      </c>
      <c r="D241" t="s">
        <v>11</v>
      </c>
      <c r="E241" s="79">
        <v>20</v>
      </c>
      <c r="F241" s="79">
        <f t="shared" ref="F241:F243" si="42">E241*1500</f>
        <v>30000</v>
      </c>
      <c r="G241" s="79">
        <f t="shared" ref="G241:G243" si="43">E241*500</f>
        <v>10000</v>
      </c>
      <c r="H241" s="79">
        <f t="shared" ref="H241:H243" si="44">E241*1000</f>
        <v>20000</v>
      </c>
    </row>
    <row r="242" spans="1:8" hidden="1" x14ac:dyDescent="0.25">
      <c r="C242" t="s">
        <v>806</v>
      </c>
      <c r="D242" t="s">
        <v>11</v>
      </c>
      <c r="E242" s="79">
        <v>28</v>
      </c>
      <c r="F242" s="79">
        <f t="shared" si="42"/>
        <v>42000</v>
      </c>
      <c r="G242" s="79">
        <f t="shared" si="43"/>
        <v>14000</v>
      </c>
      <c r="H242" s="79">
        <f t="shared" si="44"/>
        <v>28000</v>
      </c>
    </row>
    <row r="243" spans="1:8" hidden="1" x14ac:dyDescent="0.25">
      <c r="C243" t="s">
        <v>806</v>
      </c>
      <c r="D243" t="s">
        <v>914</v>
      </c>
      <c r="E243" s="79">
        <v>30</v>
      </c>
      <c r="F243" s="79">
        <f t="shared" si="42"/>
        <v>45000</v>
      </c>
      <c r="G243" s="79">
        <f t="shared" si="43"/>
        <v>15000</v>
      </c>
      <c r="H243" s="79">
        <f t="shared" si="44"/>
        <v>30000</v>
      </c>
    </row>
    <row r="244" spans="1:8" hidden="1" x14ac:dyDescent="0.25">
      <c r="C244" t="s">
        <v>954</v>
      </c>
      <c r="D244" t="s">
        <v>902</v>
      </c>
      <c r="E244" s="79">
        <v>1</v>
      </c>
      <c r="F244" s="79">
        <v>8000</v>
      </c>
      <c r="G244" s="79">
        <v>5500</v>
      </c>
      <c r="H244" s="79">
        <v>2500</v>
      </c>
    </row>
    <row r="245" spans="1:8" hidden="1" x14ac:dyDescent="0.25">
      <c r="C245" t="s">
        <v>846</v>
      </c>
      <c r="D245" t="s">
        <v>902</v>
      </c>
      <c r="E245" s="79">
        <v>2</v>
      </c>
      <c r="F245" s="79">
        <v>16000</v>
      </c>
      <c r="G245" s="79">
        <v>11000</v>
      </c>
      <c r="H245" s="79">
        <v>5000</v>
      </c>
    </row>
    <row r="246" spans="1:8" hidden="1" x14ac:dyDescent="0.25">
      <c r="C246" t="s">
        <v>846</v>
      </c>
      <c r="D246" t="s">
        <v>918</v>
      </c>
      <c r="E246" s="79">
        <v>1</v>
      </c>
      <c r="F246" s="79">
        <v>15000</v>
      </c>
      <c r="G246" s="79">
        <v>10000</v>
      </c>
      <c r="H246" s="79">
        <v>5000</v>
      </c>
    </row>
    <row r="247" spans="1:8" hidden="1" x14ac:dyDescent="0.25">
      <c r="C247" t="s">
        <v>846</v>
      </c>
      <c r="D247" t="s">
        <v>919</v>
      </c>
      <c r="E247" s="79">
        <v>1</v>
      </c>
      <c r="F247" s="79">
        <v>12000</v>
      </c>
      <c r="G247" s="79">
        <v>5500</v>
      </c>
      <c r="H247" s="79">
        <v>6500</v>
      </c>
    </row>
    <row r="248" spans="1:8" hidden="1" x14ac:dyDescent="0.25">
      <c r="C248" t="s">
        <v>846</v>
      </c>
      <c r="D248" t="s">
        <v>243</v>
      </c>
      <c r="E248" s="79">
        <v>2</v>
      </c>
      <c r="F248" s="79">
        <v>30000</v>
      </c>
      <c r="G248" s="79">
        <v>20000</v>
      </c>
      <c r="H248" s="79">
        <v>10000</v>
      </c>
    </row>
    <row r="249" spans="1:8" hidden="1" x14ac:dyDescent="0.25">
      <c r="C249" t="s">
        <v>24</v>
      </c>
      <c r="D249" t="s">
        <v>243</v>
      </c>
      <c r="E249" s="79">
        <v>3</v>
      </c>
      <c r="F249" s="79">
        <v>45000</v>
      </c>
      <c r="G249" s="79">
        <v>30000</v>
      </c>
      <c r="H249" s="79">
        <v>15000</v>
      </c>
    </row>
    <row r="250" spans="1:8" hidden="1" x14ac:dyDescent="0.25">
      <c r="C250" t="s">
        <v>960</v>
      </c>
      <c r="D250" t="s">
        <v>243</v>
      </c>
      <c r="E250" s="79">
        <v>50</v>
      </c>
      <c r="F250" s="79"/>
      <c r="G250" s="79"/>
      <c r="H250" s="79"/>
    </row>
    <row r="251" spans="1:8" hidden="1" x14ac:dyDescent="0.25">
      <c r="A251" s="111" t="s">
        <v>17</v>
      </c>
      <c r="B251" s="111"/>
      <c r="C251" s="111"/>
      <c r="D251" s="111"/>
      <c r="E251" s="78">
        <f>SUM(E240:E250)</f>
        <v>238</v>
      </c>
      <c r="F251" s="78">
        <f t="shared" ref="F251:H251" si="45">SUM(F240:F250)</f>
        <v>393000</v>
      </c>
      <c r="G251" s="78">
        <f t="shared" si="45"/>
        <v>171000</v>
      </c>
      <c r="H251" s="78">
        <f t="shared" si="45"/>
        <v>222000</v>
      </c>
    </row>
    <row r="252" spans="1:8" hidden="1" x14ac:dyDescent="0.25">
      <c r="A252" t="s">
        <v>28</v>
      </c>
      <c r="B252" s="3">
        <v>45865</v>
      </c>
      <c r="C252" t="s">
        <v>693</v>
      </c>
      <c r="D252" t="s">
        <v>13</v>
      </c>
      <c r="E252" s="79">
        <v>26</v>
      </c>
      <c r="F252" s="92">
        <f>E252*7000</f>
        <v>182000</v>
      </c>
      <c r="G252" s="92">
        <f>E252*4500</f>
        <v>117000</v>
      </c>
      <c r="H252" s="92">
        <f>E252*2500</f>
        <v>65000</v>
      </c>
    </row>
    <row r="253" spans="1:8" hidden="1" x14ac:dyDescent="0.25">
      <c r="C253" t="s">
        <v>693</v>
      </c>
      <c r="D253" t="s">
        <v>14</v>
      </c>
      <c r="E253" s="79">
        <v>25</v>
      </c>
      <c r="F253" s="92">
        <f>E253*1000</f>
        <v>25000</v>
      </c>
      <c r="G253" s="92">
        <f>E253*5500</f>
        <v>137500</v>
      </c>
      <c r="H253" s="92">
        <f>E253*4500</f>
        <v>112500</v>
      </c>
    </row>
    <row r="254" spans="1:8" hidden="1" x14ac:dyDescent="0.25">
      <c r="C254" t="s">
        <v>693</v>
      </c>
      <c r="D254" t="s">
        <v>11</v>
      </c>
      <c r="E254" s="79">
        <v>2</v>
      </c>
      <c r="F254">
        <v>2000</v>
      </c>
      <c r="G254">
        <v>500</v>
      </c>
      <c r="H254">
        <v>1500</v>
      </c>
    </row>
    <row r="255" spans="1:8" hidden="1" x14ac:dyDescent="0.25">
      <c r="C255" t="s">
        <v>693</v>
      </c>
      <c r="D255" t="s">
        <v>243</v>
      </c>
      <c r="E255" s="79">
        <v>2</v>
      </c>
      <c r="F255">
        <v>30000</v>
      </c>
      <c r="G255">
        <v>20000</v>
      </c>
      <c r="H255">
        <v>1000</v>
      </c>
    </row>
    <row r="256" spans="1:8" hidden="1" x14ac:dyDescent="0.25">
      <c r="C256" t="s">
        <v>217</v>
      </c>
      <c r="D256" t="s">
        <v>11</v>
      </c>
      <c r="E256" s="79">
        <v>20</v>
      </c>
      <c r="F256" s="92">
        <f>E256*1500</f>
        <v>30000</v>
      </c>
      <c r="G256" s="92">
        <f>E256*500</f>
        <v>10000</v>
      </c>
      <c r="H256" s="92">
        <f>E256*1000</f>
        <v>20000</v>
      </c>
    </row>
    <row r="257" spans="1:8" hidden="1" x14ac:dyDescent="0.25">
      <c r="C257" t="s">
        <v>217</v>
      </c>
      <c r="D257" t="s">
        <v>13</v>
      </c>
      <c r="E257" s="79">
        <v>5</v>
      </c>
      <c r="F257" s="92">
        <f>E257*6500</f>
        <v>32500</v>
      </c>
      <c r="G257" s="92">
        <f>E257*4500</f>
        <v>22500</v>
      </c>
      <c r="H257" s="92">
        <f>E257*2000</f>
        <v>10000</v>
      </c>
    </row>
    <row r="258" spans="1:8" hidden="1" x14ac:dyDescent="0.25">
      <c r="C258" t="s">
        <v>217</v>
      </c>
      <c r="D258" t="s">
        <v>14</v>
      </c>
      <c r="E258" s="79">
        <v>6</v>
      </c>
      <c r="F258" s="92">
        <f>E258*10000</f>
        <v>60000</v>
      </c>
      <c r="G258" s="92">
        <f>E258*5500</f>
        <v>33000</v>
      </c>
      <c r="H258" s="92">
        <f>E258*4500</f>
        <v>27000</v>
      </c>
    </row>
    <row r="259" spans="1:8" hidden="1" x14ac:dyDescent="0.25">
      <c r="C259" t="s">
        <v>954</v>
      </c>
      <c r="D259" t="s">
        <v>902</v>
      </c>
      <c r="E259" s="79">
        <v>7</v>
      </c>
      <c r="F259" s="92">
        <f>E259*8000</f>
        <v>56000</v>
      </c>
      <c r="G259" s="92">
        <f>E259*5500</f>
        <v>38500</v>
      </c>
      <c r="H259" s="92">
        <f>E259*2500</f>
        <v>17500</v>
      </c>
    </row>
    <row r="260" spans="1:8" x14ac:dyDescent="0.25">
      <c r="C260" t="s">
        <v>954</v>
      </c>
      <c r="D260" t="s">
        <v>404</v>
      </c>
      <c r="E260" s="79">
        <v>2</v>
      </c>
      <c r="F260" s="79">
        <v>10000</v>
      </c>
      <c r="G260" s="79">
        <v>5000</v>
      </c>
      <c r="H260" s="79">
        <v>5000</v>
      </c>
    </row>
    <row r="261" spans="1:8" hidden="1" x14ac:dyDescent="0.25">
      <c r="C261" t="s">
        <v>954</v>
      </c>
      <c r="D261" t="s">
        <v>964</v>
      </c>
      <c r="E261" s="79">
        <v>1</v>
      </c>
      <c r="F261" s="79">
        <v>10000</v>
      </c>
      <c r="G261" s="79">
        <v>5000</v>
      </c>
      <c r="H261" s="79">
        <v>5000</v>
      </c>
    </row>
    <row r="262" spans="1:8" hidden="1" x14ac:dyDescent="0.25">
      <c r="A262" s="112" t="s">
        <v>17</v>
      </c>
      <c r="B262" s="112"/>
      <c r="C262" s="112"/>
      <c r="D262" s="112"/>
      <c r="E262" s="78">
        <f>SUM(E252:E261)</f>
        <v>96</v>
      </c>
      <c r="F262" s="78">
        <f t="shared" ref="F262:G262" si="46">SUM(F252:F261)</f>
        <v>437500</v>
      </c>
      <c r="G262" s="78">
        <f t="shared" si="46"/>
        <v>389000</v>
      </c>
      <c r="H262" s="78">
        <f>SUM(H252:H261)</f>
        <v>264500</v>
      </c>
    </row>
    <row r="263" spans="1:8" hidden="1" x14ac:dyDescent="0.25">
      <c r="A263" t="s">
        <v>30</v>
      </c>
      <c r="B263" s="3">
        <v>45866</v>
      </c>
      <c r="C263" t="s">
        <v>338</v>
      </c>
      <c r="D263" t="s">
        <v>11</v>
      </c>
      <c r="E263" s="79">
        <v>48</v>
      </c>
      <c r="F263" s="92">
        <f>E263*1500</f>
        <v>72000</v>
      </c>
      <c r="G263" s="92">
        <f>E263*500</f>
        <v>24000</v>
      </c>
      <c r="H263" s="92">
        <f>E263*1000</f>
        <v>48000</v>
      </c>
    </row>
    <row r="264" spans="1:8" hidden="1" x14ac:dyDescent="0.25">
      <c r="C264" t="s">
        <v>571</v>
      </c>
      <c r="D264" t="s">
        <v>11</v>
      </c>
      <c r="E264" s="79">
        <v>36</v>
      </c>
      <c r="F264" s="92">
        <f t="shared" ref="F264:F267" si="47">E264*1500</f>
        <v>54000</v>
      </c>
      <c r="G264" s="92">
        <f t="shared" ref="G264:G267" si="48">E264*500</f>
        <v>18000</v>
      </c>
      <c r="H264" s="92">
        <f t="shared" ref="H264:H267" si="49">E264*1000</f>
        <v>36000</v>
      </c>
    </row>
    <row r="265" spans="1:8" hidden="1" x14ac:dyDescent="0.25">
      <c r="C265" t="s">
        <v>104</v>
      </c>
      <c r="D265" t="s">
        <v>11</v>
      </c>
      <c r="E265" s="79">
        <v>9</v>
      </c>
      <c r="F265" s="92">
        <f t="shared" si="47"/>
        <v>13500</v>
      </c>
      <c r="G265" s="92">
        <f t="shared" si="48"/>
        <v>4500</v>
      </c>
      <c r="H265" s="92">
        <f t="shared" si="49"/>
        <v>9000</v>
      </c>
    </row>
    <row r="266" spans="1:8" hidden="1" x14ac:dyDescent="0.25">
      <c r="C266" t="s">
        <v>806</v>
      </c>
      <c r="D266" t="s">
        <v>11</v>
      </c>
      <c r="E266" s="79">
        <v>35</v>
      </c>
      <c r="F266" s="92">
        <f t="shared" si="47"/>
        <v>52500</v>
      </c>
      <c r="G266" s="92">
        <f t="shared" si="48"/>
        <v>17500</v>
      </c>
      <c r="H266" s="92">
        <f t="shared" si="49"/>
        <v>35000</v>
      </c>
    </row>
    <row r="267" spans="1:8" hidden="1" x14ac:dyDescent="0.25">
      <c r="C267" t="s">
        <v>806</v>
      </c>
      <c r="D267" t="s">
        <v>914</v>
      </c>
      <c r="E267" s="79">
        <v>35</v>
      </c>
      <c r="F267" s="92">
        <f t="shared" si="47"/>
        <v>52500</v>
      </c>
      <c r="G267" s="92">
        <f t="shared" si="48"/>
        <v>17500</v>
      </c>
      <c r="H267" s="92">
        <f t="shared" si="49"/>
        <v>35000</v>
      </c>
    </row>
    <row r="268" spans="1:8" hidden="1" x14ac:dyDescent="0.25">
      <c r="C268" t="s">
        <v>954</v>
      </c>
      <c r="D268" t="s">
        <v>13</v>
      </c>
      <c r="E268" s="79">
        <v>4</v>
      </c>
      <c r="F268" s="92">
        <f>E268*8000</f>
        <v>32000</v>
      </c>
      <c r="G268" s="92">
        <f>E268*4500</f>
        <v>18000</v>
      </c>
      <c r="H268" s="92">
        <f>E268*3500</f>
        <v>14000</v>
      </c>
    </row>
    <row r="269" spans="1:8" hidden="1" x14ac:dyDescent="0.25">
      <c r="C269" t="s">
        <v>954</v>
      </c>
      <c r="D269" t="s">
        <v>902</v>
      </c>
      <c r="E269" s="79">
        <v>4</v>
      </c>
      <c r="F269" s="92">
        <f>E269*8000</f>
        <v>32000</v>
      </c>
      <c r="G269" s="92">
        <f>E269*5500</f>
        <v>22000</v>
      </c>
      <c r="H269" s="92">
        <f>E269*2500</f>
        <v>10000</v>
      </c>
    </row>
    <row r="270" spans="1:8" hidden="1" x14ac:dyDescent="0.25">
      <c r="C270" t="s">
        <v>20</v>
      </c>
      <c r="D270" t="s">
        <v>918</v>
      </c>
      <c r="E270" s="79">
        <v>1</v>
      </c>
      <c r="F270">
        <v>15000</v>
      </c>
      <c r="G270">
        <v>10000</v>
      </c>
      <c r="H270">
        <v>5000</v>
      </c>
    </row>
    <row r="271" spans="1:8" hidden="1" x14ac:dyDescent="0.25">
      <c r="C271" t="s">
        <v>20</v>
      </c>
      <c r="D271" t="s">
        <v>13</v>
      </c>
      <c r="E271" s="79">
        <v>1</v>
      </c>
      <c r="F271">
        <v>8000</v>
      </c>
      <c r="G271">
        <v>4500</v>
      </c>
      <c r="H271">
        <v>3500</v>
      </c>
    </row>
    <row r="272" spans="1:8" hidden="1" x14ac:dyDescent="0.25">
      <c r="C272" t="s">
        <v>20</v>
      </c>
      <c r="D272" t="s">
        <v>902</v>
      </c>
      <c r="E272" s="79">
        <v>1</v>
      </c>
      <c r="F272">
        <v>8000</v>
      </c>
      <c r="G272">
        <v>5500</v>
      </c>
      <c r="H272">
        <v>2500</v>
      </c>
    </row>
    <row r="273" spans="1:8" hidden="1" x14ac:dyDescent="0.25">
      <c r="A273" s="112" t="s">
        <v>17</v>
      </c>
      <c r="B273" s="112"/>
      <c r="C273" s="112"/>
      <c r="D273" s="112"/>
      <c r="E273" s="78">
        <f>SUM(E263:E272)</f>
        <v>174</v>
      </c>
      <c r="F273" s="78">
        <f t="shared" ref="F273:H273" si="50">SUM(F263:F272)</f>
        <v>339500</v>
      </c>
      <c r="G273" s="78">
        <f t="shared" si="50"/>
        <v>141500</v>
      </c>
      <c r="H273" s="78">
        <f t="shared" si="50"/>
        <v>198000</v>
      </c>
    </row>
    <row r="274" spans="1:8" hidden="1" x14ac:dyDescent="0.25">
      <c r="A274" t="s">
        <v>32</v>
      </c>
      <c r="B274" s="3">
        <v>45867</v>
      </c>
      <c r="C274" t="s">
        <v>571</v>
      </c>
      <c r="D274" t="s">
        <v>11</v>
      </c>
      <c r="E274" s="79">
        <v>22</v>
      </c>
      <c r="F274" s="92">
        <f>E274*1700</f>
        <v>37400</v>
      </c>
      <c r="G274" s="92">
        <f>E274*500</f>
        <v>11000</v>
      </c>
      <c r="H274" s="92">
        <f>E274*1200</f>
        <v>26400</v>
      </c>
    </row>
    <row r="275" spans="1:8" hidden="1" x14ac:dyDescent="0.25">
      <c r="C275" t="s">
        <v>806</v>
      </c>
      <c r="D275" t="s">
        <v>11</v>
      </c>
      <c r="E275" s="79">
        <v>29</v>
      </c>
      <c r="F275" s="92">
        <f>E275*1600</f>
        <v>46400</v>
      </c>
      <c r="G275" s="92">
        <f>E275*500</f>
        <v>14500</v>
      </c>
      <c r="H275" s="92">
        <f>E275*1100</f>
        <v>31900</v>
      </c>
    </row>
    <row r="276" spans="1:8" hidden="1" x14ac:dyDescent="0.25">
      <c r="C276" t="s">
        <v>806</v>
      </c>
      <c r="D276" t="s">
        <v>914</v>
      </c>
      <c r="E276" s="79">
        <v>33</v>
      </c>
      <c r="F276" s="92">
        <f>E276*1600</f>
        <v>52800</v>
      </c>
      <c r="G276" s="92">
        <f>E276*500</f>
        <v>16500</v>
      </c>
      <c r="H276" s="92">
        <f>E276*1100</f>
        <v>36300</v>
      </c>
    </row>
    <row r="277" spans="1:8" hidden="1" x14ac:dyDescent="0.25">
      <c r="C277" t="s">
        <v>954</v>
      </c>
      <c r="D277" t="s">
        <v>13</v>
      </c>
      <c r="E277" s="79">
        <v>2</v>
      </c>
      <c r="F277">
        <v>16000</v>
      </c>
      <c r="G277">
        <v>9000</v>
      </c>
      <c r="H277">
        <v>7000</v>
      </c>
    </row>
    <row r="278" spans="1:8" hidden="1" x14ac:dyDescent="0.25">
      <c r="C278" t="s">
        <v>954</v>
      </c>
      <c r="D278" t="s">
        <v>14</v>
      </c>
      <c r="E278" s="79">
        <v>2</v>
      </c>
      <c r="F278">
        <v>24000</v>
      </c>
      <c r="G278">
        <v>11000</v>
      </c>
      <c r="H278">
        <v>13000</v>
      </c>
    </row>
    <row r="279" spans="1:8" hidden="1" x14ac:dyDescent="0.25">
      <c r="C279" t="s">
        <v>954</v>
      </c>
      <c r="D279" t="s">
        <v>902</v>
      </c>
      <c r="E279" s="79">
        <v>2</v>
      </c>
      <c r="F279">
        <v>16000</v>
      </c>
      <c r="G279">
        <v>11000</v>
      </c>
      <c r="H279">
        <v>5000</v>
      </c>
    </row>
    <row r="280" spans="1:8" hidden="1" x14ac:dyDescent="0.25">
      <c r="C280" t="s">
        <v>846</v>
      </c>
      <c r="D280" t="s">
        <v>919</v>
      </c>
      <c r="E280" s="79">
        <v>2</v>
      </c>
      <c r="F280">
        <v>24000</v>
      </c>
      <c r="G280">
        <v>11000</v>
      </c>
      <c r="H280">
        <v>13000</v>
      </c>
    </row>
    <row r="281" spans="1:8" hidden="1" x14ac:dyDescent="0.25">
      <c r="C281" t="s">
        <v>846</v>
      </c>
      <c r="D281" t="s">
        <v>14</v>
      </c>
      <c r="E281" s="79">
        <v>2</v>
      </c>
      <c r="F281">
        <v>24000</v>
      </c>
      <c r="G281">
        <v>11000</v>
      </c>
      <c r="H281">
        <v>13000</v>
      </c>
    </row>
    <row r="282" spans="1:8" hidden="1" x14ac:dyDescent="0.25">
      <c r="C282" t="s">
        <v>846</v>
      </c>
      <c r="D282" t="s">
        <v>902</v>
      </c>
      <c r="E282" s="79">
        <v>3</v>
      </c>
      <c r="F282" s="92">
        <f>E282*8000</f>
        <v>24000</v>
      </c>
      <c r="G282" s="92">
        <f>E282*5500</f>
        <v>16500</v>
      </c>
      <c r="H282" s="92">
        <f>E282*2500</f>
        <v>7500</v>
      </c>
    </row>
    <row r="283" spans="1:8" hidden="1" x14ac:dyDescent="0.25">
      <c r="C283" t="s">
        <v>846</v>
      </c>
      <c r="D283" t="s">
        <v>13</v>
      </c>
      <c r="E283" s="79">
        <v>7</v>
      </c>
      <c r="F283" s="92">
        <f>E283*8000</f>
        <v>56000</v>
      </c>
      <c r="G283" s="92">
        <f>E283*4500</f>
        <v>31500</v>
      </c>
      <c r="H283" s="92">
        <f>E283*3500</f>
        <v>24500</v>
      </c>
    </row>
    <row r="284" spans="1:8" hidden="1" x14ac:dyDescent="0.25">
      <c r="C284" t="s">
        <v>20</v>
      </c>
      <c r="D284" t="s">
        <v>13</v>
      </c>
      <c r="E284" s="79">
        <v>9</v>
      </c>
      <c r="F284" s="92">
        <f>E284*8000</f>
        <v>72000</v>
      </c>
      <c r="G284" s="92">
        <f>E284*4500</f>
        <v>40500</v>
      </c>
      <c r="H284" s="92">
        <f>E284*3500</f>
        <v>31500</v>
      </c>
    </row>
    <row r="285" spans="1:8" hidden="1" x14ac:dyDescent="0.25">
      <c r="C285" t="s">
        <v>20</v>
      </c>
      <c r="D285" t="s">
        <v>14</v>
      </c>
      <c r="E285" s="79">
        <v>6</v>
      </c>
    </row>
    <row r="286" spans="1:8" hidden="1" x14ac:dyDescent="0.25">
      <c r="C286" t="s">
        <v>20</v>
      </c>
      <c r="D286" t="s">
        <v>918</v>
      </c>
      <c r="E286" s="79">
        <v>30</v>
      </c>
    </row>
    <row r="287" spans="1:8" hidden="1" x14ac:dyDescent="0.25">
      <c r="A287" s="111" t="s">
        <v>17</v>
      </c>
      <c r="B287" s="111"/>
      <c r="C287" s="111"/>
      <c r="D287" s="111"/>
      <c r="E287" s="93">
        <f>SUM(E274:E286)</f>
        <v>149</v>
      </c>
      <c r="F287" s="93">
        <f t="shared" ref="F287:H287" si="51">SUM(F274:F286)</f>
        <v>392600</v>
      </c>
      <c r="G287" s="93">
        <f t="shared" si="51"/>
        <v>183500</v>
      </c>
      <c r="H287" s="93">
        <f t="shared" si="51"/>
        <v>209100</v>
      </c>
    </row>
    <row r="288" spans="1:8" hidden="1" x14ac:dyDescent="0.25">
      <c r="A288" t="s">
        <v>8</v>
      </c>
      <c r="B288" s="3">
        <v>45868</v>
      </c>
      <c r="C288" t="s">
        <v>846</v>
      </c>
      <c r="D288" t="s">
        <v>902</v>
      </c>
      <c r="E288" s="79">
        <v>1</v>
      </c>
      <c r="F288">
        <v>8000</v>
      </c>
      <c r="G288">
        <v>4500</v>
      </c>
      <c r="H288">
        <v>3500</v>
      </c>
    </row>
    <row r="289" spans="1:11" hidden="1" x14ac:dyDescent="0.25">
      <c r="C289" t="s">
        <v>846</v>
      </c>
      <c r="D289" t="s">
        <v>14</v>
      </c>
      <c r="E289" s="79">
        <v>3</v>
      </c>
      <c r="F289" s="92">
        <f>E289*12000</f>
        <v>36000</v>
      </c>
      <c r="G289" s="92">
        <f>E289*5500</f>
        <v>16500</v>
      </c>
      <c r="H289" s="92">
        <f>E289*6500</f>
        <v>19500</v>
      </c>
    </row>
    <row r="290" spans="1:11" hidden="1" x14ac:dyDescent="0.25">
      <c r="C290" t="s">
        <v>846</v>
      </c>
      <c r="D290" t="s">
        <v>958</v>
      </c>
      <c r="E290" s="79">
        <v>3</v>
      </c>
      <c r="F290" s="92">
        <f>E290*10000</f>
        <v>30000</v>
      </c>
      <c r="G290">
        <v>20000</v>
      </c>
      <c r="H290">
        <v>10000</v>
      </c>
    </row>
    <row r="291" spans="1:11" hidden="1" x14ac:dyDescent="0.25">
      <c r="C291" t="s">
        <v>846</v>
      </c>
      <c r="D291" t="s">
        <v>13</v>
      </c>
      <c r="E291" s="79">
        <v>1</v>
      </c>
      <c r="F291">
        <v>8000</v>
      </c>
      <c r="G291">
        <v>4500</v>
      </c>
      <c r="H291">
        <v>3500</v>
      </c>
    </row>
    <row r="292" spans="1:11" hidden="1" x14ac:dyDescent="0.25">
      <c r="C292" t="s">
        <v>954</v>
      </c>
      <c r="D292" t="s">
        <v>13</v>
      </c>
      <c r="E292" s="79">
        <v>2</v>
      </c>
      <c r="F292">
        <v>16000</v>
      </c>
      <c r="G292">
        <v>9000</v>
      </c>
      <c r="H292">
        <v>7000</v>
      </c>
    </row>
    <row r="293" spans="1:11" hidden="1" x14ac:dyDescent="0.25">
      <c r="C293" t="s">
        <v>954</v>
      </c>
      <c r="D293" t="s">
        <v>14</v>
      </c>
      <c r="E293" s="79">
        <v>1</v>
      </c>
      <c r="F293">
        <v>12000</v>
      </c>
      <c r="G293">
        <v>5500</v>
      </c>
      <c r="H293">
        <v>6500</v>
      </c>
    </row>
    <row r="294" spans="1:11" hidden="1" x14ac:dyDescent="0.25">
      <c r="C294" t="s">
        <v>954</v>
      </c>
      <c r="D294" t="s">
        <v>902</v>
      </c>
      <c r="E294" s="79">
        <v>3</v>
      </c>
      <c r="F294" s="92">
        <f>E294*8000</f>
        <v>24000</v>
      </c>
      <c r="G294" s="92">
        <f>E294*5500</f>
        <v>16500</v>
      </c>
      <c r="H294" s="92">
        <f>E294*2500</f>
        <v>7500</v>
      </c>
    </row>
    <row r="295" spans="1:11" hidden="1" x14ac:dyDescent="0.25">
      <c r="C295" t="s">
        <v>338</v>
      </c>
      <c r="D295" t="s">
        <v>11</v>
      </c>
      <c r="E295" s="79">
        <v>84</v>
      </c>
      <c r="F295" s="92">
        <f>E295*1500</f>
        <v>126000</v>
      </c>
      <c r="G295" s="92">
        <f>E295*500</f>
        <v>42000</v>
      </c>
      <c r="H295" s="92">
        <f>E295*1000</f>
        <v>84000</v>
      </c>
      <c r="K295" s="92">
        <f>E118+E127+E132+E148+E160+E183+E191+E208+E240+E263+E295+E302</f>
        <v>675</v>
      </c>
    </row>
    <row r="296" spans="1:11" hidden="1" x14ac:dyDescent="0.25">
      <c r="C296" t="s">
        <v>806</v>
      </c>
      <c r="D296" t="s">
        <v>11</v>
      </c>
      <c r="E296" s="79">
        <v>23</v>
      </c>
      <c r="F296" s="92">
        <f t="shared" ref="F296:F297" si="52">E296*1500</f>
        <v>34500</v>
      </c>
      <c r="G296" s="92">
        <f t="shared" ref="G296:G297" si="53">E296*500</f>
        <v>11500</v>
      </c>
      <c r="H296" s="92">
        <f t="shared" ref="H296:H297" si="54">E296*1000</f>
        <v>23000</v>
      </c>
    </row>
    <row r="297" spans="1:11" hidden="1" x14ac:dyDescent="0.25">
      <c r="C297" t="s">
        <v>806</v>
      </c>
      <c r="D297" t="s">
        <v>914</v>
      </c>
      <c r="E297" s="79">
        <v>35</v>
      </c>
      <c r="F297" s="92">
        <f t="shared" si="52"/>
        <v>52500</v>
      </c>
      <c r="G297" s="92">
        <f t="shared" si="53"/>
        <v>17500</v>
      </c>
      <c r="H297" s="92">
        <f t="shared" si="54"/>
        <v>35000</v>
      </c>
    </row>
    <row r="298" spans="1:11" hidden="1" x14ac:dyDescent="0.25">
      <c r="A298" s="111" t="s">
        <v>17</v>
      </c>
      <c r="B298" s="111"/>
      <c r="C298" s="111"/>
      <c r="D298" s="111"/>
      <c r="E298" s="93">
        <f>SUM(E288:E297)</f>
        <v>156</v>
      </c>
      <c r="F298" s="93">
        <f t="shared" ref="F298:H298" si="55">SUM(F288:F297)</f>
        <v>347000</v>
      </c>
      <c r="G298" s="93">
        <f t="shared" si="55"/>
        <v>147500</v>
      </c>
      <c r="H298" s="93">
        <f t="shared" si="55"/>
        <v>199500</v>
      </c>
    </row>
    <row r="299" spans="1:11" hidden="1" x14ac:dyDescent="0.25">
      <c r="A299" t="s">
        <v>18</v>
      </c>
      <c r="B299" s="3">
        <v>45869</v>
      </c>
      <c r="C299" t="s">
        <v>846</v>
      </c>
      <c r="D299" t="s">
        <v>958</v>
      </c>
      <c r="E299" s="79">
        <v>3</v>
      </c>
      <c r="F299" s="92">
        <f>E299*10000</f>
        <v>30000</v>
      </c>
      <c r="G299" s="92">
        <f>E299*5500</f>
        <v>16500</v>
      </c>
      <c r="H299" s="92">
        <f>E299*4500</f>
        <v>13500</v>
      </c>
    </row>
    <row r="300" spans="1:11" hidden="1" x14ac:dyDescent="0.25">
      <c r="C300" t="s">
        <v>846</v>
      </c>
      <c r="D300" t="s">
        <v>902</v>
      </c>
      <c r="E300" s="79">
        <v>1</v>
      </c>
      <c r="F300">
        <v>8000</v>
      </c>
      <c r="G300">
        <v>5500</v>
      </c>
      <c r="H300">
        <v>2500</v>
      </c>
    </row>
    <row r="301" spans="1:11" hidden="1" x14ac:dyDescent="0.25">
      <c r="C301" t="s">
        <v>24</v>
      </c>
      <c r="D301" t="s">
        <v>946</v>
      </c>
      <c r="E301" s="79">
        <v>3</v>
      </c>
      <c r="F301">
        <v>45000</v>
      </c>
      <c r="G301">
        <v>30000</v>
      </c>
      <c r="H301">
        <v>15000</v>
      </c>
    </row>
    <row r="302" spans="1:11" hidden="1" x14ac:dyDescent="0.25">
      <c r="C302" t="s">
        <v>338</v>
      </c>
      <c r="D302" t="s">
        <v>11</v>
      </c>
      <c r="E302" s="79">
        <v>50</v>
      </c>
      <c r="F302" s="92">
        <f>E302*1500</f>
        <v>75000</v>
      </c>
      <c r="G302" s="92">
        <f>E302*500</f>
        <v>25000</v>
      </c>
      <c r="H302" s="92">
        <f>E302*1000</f>
        <v>50000</v>
      </c>
    </row>
    <row r="303" spans="1:11" hidden="1" x14ac:dyDescent="0.25">
      <c r="C303" t="s">
        <v>806</v>
      </c>
      <c r="D303" t="s">
        <v>11</v>
      </c>
      <c r="E303" s="79">
        <v>25</v>
      </c>
      <c r="F303" s="92">
        <f t="shared" ref="F303:F306" si="56">E303*1500</f>
        <v>37500</v>
      </c>
      <c r="G303" s="92">
        <f t="shared" ref="G303:G306" si="57">E303*500</f>
        <v>12500</v>
      </c>
      <c r="H303" s="92">
        <f t="shared" ref="H303:H306" si="58">E303*1000</f>
        <v>25000</v>
      </c>
    </row>
    <row r="304" spans="1:11" hidden="1" x14ac:dyDescent="0.25">
      <c r="C304" t="s">
        <v>806</v>
      </c>
      <c r="D304" t="s">
        <v>971</v>
      </c>
      <c r="E304" s="79">
        <v>30</v>
      </c>
      <c r="F304" s="92">
        <f t="shared" si="56"/>
        <v>45000</v>
      </c>
      <c r="G304" s="92">
        <f t="shared" si="57"/>
        <v>15000</v>
      </c>
      <c r="H304" s="92">
        <f t="shared" si="58"/>
        <v>30000</v>
      </c>
    </row>
    <row r="305" spans="1:10" hidden="1" x14ac:dyDescent="0.25">
      <c r="C305" t="s">
        <v>571</v>
      </c>
      <c r="D305" t="s">
        <v>11</v>
      </c>
      <c r="E305" s="79">
        <v>20</v>
      </c>
      <c r="F305" s="92">
        <f t="shared" si="56"/>
        <v>30000</v>
      </c>
      <c r="G305" s="92">
        <f t="shared" si="57"/>
        <v>10000</v>
      </c>
      <c r="H305" s="92">
        <f t="shared" si="58"/>
        <v>20000</v>
      </c>
    </row>
    <row r="306" spans="1:10" hidden="1" x14ac:dyDescent="0.25">
      <c r="C306" t="s">
        <v>104</v>
      </c>
      <c r="D306" t="s">
        <v>11</v>
      </c>
      <c r="E306" s="79">
        <v>8</v>
      </c>
      <c r="F306" s="92">
        <f t="shared" si="56"/>
        <v>12000</v>
      </c>
      <c r="G306" s="92">
        <f t="shared" si="57"/>
        <v>4000</v>
      </c>
      <c r="H306" s="92">
        <f t="shared" si="58"/>
        <v>8000</v>
      </c>
    </row>
    <row r="307" spans="1:10" hidden="1" x14ac:dyDescent="0.25">
      <c r="A307" s="111" t="s">
        <v>17</v>
      </c>
      <c r="B307" s="111"/>
      <c r="C307" s="111"/>
      <c r="D307" s="111"/>
      <c r="E307" s="93">
        <f>SUM(E299:E306)</f>
        <v>140</v>
      </c>
      <c r="F307" s="93">
        <f t="shared" ref="F307:H307" si="59">SUM(F299:F306)</f>
        <v>282500</v>
      </c>
      <c r="G307" s="93">
        <f t="shared" si="59"/>
        <v>118500</v>
      </c>
      <c r="H307" s="93">
        <f t="shared" si="59"/>
        <v>164000</v>
      </c>
    </row>
    <row r="309" spans="1:10" x14ac:dyDescent="0.25">
      <c r="J309" s="92">
        <f>E120+E128+E161+E187+E192+E209+E223+E232+E241+E265+E306</f>
        <v>134</v>
      </c>
    </row>
  </sheetData>
  <autoFilter ref="A1:H307" xr:uid="{41CC05C3-6616-45E2-BE33-62A6F81AA276}">
    <filterColumn colId="3">
      <filters>
        <filter val="ES TEA"/>
      </filters>
    </filterColumn>
  </autoFilter>
  <mergeCells count="30">
    <mergeCell ref="A307:D307"/>
    <mergeCell ref="A61:D61"/>
    <mergeCell ref="A50:D50"/>
    <mergeCell ref="A138:D138"/>
    <mergeCell ref="A121:D121"/>
    <mergeCell ref="A131:D131"/>
    <mergeCell ref="A81:D81"/>
    <mergeCell ref="A104:D104"/>
    <mergeCell ref="A110:D110"/>
    <mergeCell ref="A287:D287"/>
    <mergeCell ref="A298:D298"/>
    <mergeCell ref="A67:D67"/>
    <mergeCell ref="A190:D190"/>
    <mergeCell ref="A207:D207"/>
    <mergeCell ref="A162:D162"/>
    <mergeCell ref="A179:D179"/>
    <mergeCell ref="A5:D5"/>
    <mergeCell ref="A12:D12"/>
    <mergeCell ref="A22:D22"/>
    <mergeCell ref="A32:D32"/>
    <mergeCell ref="A43:D43"/>
    <mergeCell ref="A78:D78"/>
    <mergeCell ref="A273:D273"/>
    <mergeCell ref="A251:D251"/>
    <mergeCell ref="A262:D262"/>
    <mergeCell ref="A151:D151"/>
    <mergeCell ref="A91:D91"/>
    <mergeCell ref="A229:D229"/>
    <mergeCell ref="A239:D239"/>
    <mergeCell ref="A222:D22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8FD9-DE09-4A47-96E4-34E831506AA5}">
  <sheetPr filterMode="1"/>
  <dimension ref="A1:M376"/>
  <sheetViews>
    <sheetView workbookViewId="0">
      <selection activeCell="K316" sqref="K316"/>
    </sheetView>
  </sheetViews>
  <sheetFormatPr defaultRowHeight="15" x14ac:dyDescent="0.25"/>
  <cols>
    <col min="2" max="2" width="10.7109375" bestFit="1" customWidth="1"/>
    <col min="4" max="4" width="14.5703125" customWidth="1"/>
    <col min="5" max="5" width="9.28515625" bestFit="1" customWidth="1"/>
    <col min="6" max="6" width="10.5703125" bestFit="1" customWidth="1"/>
    <col min="7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idden="1" x14ac:dyDescent="0.25">
      <c r="A2" t="s">
        <v>22</v>
      </c>
      <c r="B2" s="3">
        <v>45870</v>
      </c>
      <c r="C2" t="s">
        <v>954</v>
      </c>
      <c r="D2" t="s">
        <v>902</v>
      </c>
      <c r="E2">
        <v>10</v>
      </c>
      <c r="F2">
        <f>E2*8000</f>
        <v>80000</v>
      </c>
      <c r="G2">
        <f>E2*5500</f>
        <v>55000</v>
      </c>
      <c r="H2">
        <f>E2*2500</f>
        <v>25000</v>
      </c>
    </row>
    <row r="3" spans="1:8" hidden="1" x14ac:dyDescent="0.25">
      <c r="C3" t="s">
        <v>954</v>
      </c>
      <c r="D3" t="s">
        <v>243</v>
      </c>
      <c r="E3">
        <v>1</v>
      </c>
      <c r="F3">
        <v>17000</v>
      </c>
      <c r="G3">
        <v>10000</v>
      </c>
      <c r="H3">
        <v>70000</v>
      </c>
    </row>
    <row r="4" spans="1:8" hidden="1" x14ac:dyDescent="0.25">
      <c r="C4" t="s">
        <v>338</v>
      </c>
      <c r="D4" t="s">
        <v>11</v>
      </c>
      <c r="E4">
        <v>42</v>
      </c>
      <c r="F4">
        <f>E4*1500</f>
        <v>63000</v>
      </c>
      <c r="G4">
        <f>E4*500</f>
        <v>21000</v>
      </c>
      <c r="H4">
        <f>E4*1000</f>
        <v>42000</v>
      </c>
    </row>
    <row r="5" spans="1:8" hidden="1" x14ac:dyDescent="0.25">
      <c r="C5" t="s">
        <v>965</v>
      </c>
      <c r="D5" t="s">
        <v>11</v>
      </c>
      <c r="E5">
        <v>10</v>
      </c>
      <c r="F5">
        <f t="shared" ref="F5:F6" si="0">E5*1500</f>
        <v>15000</v>
      </c>
      <c r="G5">
        <f t="shared" ref="G5:G7" si="1">E5*500</f>
        <v>5000</v>
      </c>
      <c r="H5">
        <f t="shared" ref="H5:H7" si="2">E5*1000</f>
        <v>10000</v>
      </c>
    </row>
    <row r="6" spans="1:8" hidden="1" x14ac:dyDescent="0.25">
      <c r="C6" t="s">
        <v>581</v>
      </c>
      <c r="D6" t="s">
        <v>11</v>
      </c>
      <c r="E6">
        <v>25</v>
      </c>
      <c r="F6">
        <f t="shared" si="0"/>
        <v>37500</v>
      </c>
      <c r="G6">
        <f t="shared" si="1"/>
        <v>12500</v>
      </c>
      <c r="H6">
        <f t="shared" si="2"/>
        <v>25000</v>
      </c>
    </row>
    <row r="7" spans="1:8" hidden="1" x14ac:dyDescent="0.25">
      <c r="C7" t="s">
        <v>581</v>
      </c>
      <c r="D7" t="s">
        <v>914</v>
      </c>
      <c r="E7">
        <v>20</v>
      </c>
      <c r="F7">
        <f>E7*1500</f>
        <v>30000</v>
      </c>
      <c r="G7">
        <f t="shared" si="1"/>
        <v>10000</v>
      </c>
      <c r="H7">
        <f t="shared" si="2"/>
        <v>20000</v>
      </c>
    </row>
    <row r="8" spans="1:8" hidden="1" x14ac:dyDescent="0.25">
      <c r="C8" t="s">
        <v>20</v>
      </c>
      <c r="D8" t="s">
        <v>918</v>
      </c>
      <c r="E8">
        <v>3</v>
      </c>
      <c r="F8">
        <f>E8*15000</f>
        <v>45000</v>
      </c>
      <c r="G8">
        <f>E8*10000</f>
        <v>30000</v>
      </c>
      <c r="H8">
        <f>E8*5000</f>
        <v>15000</v>
      </c>
    </row>
    <row r="9" spans="1:8" hidden="1" x14ac:dyDescent="0.25">
      <c r="C9" t="s">
        <v>20</v>
      </c>
      <c r="D9" t="s">
        <v>919</v>
      </c>
      <c r="E9">
        <v>2</v>
      </c>
      <c r="F9">
        <f>E9*12000</f>
        <v>24000</v>
      </c>
      <c r="G9">
        <f>E9*5500</f>
        <v>11000</v>
      </c>
      <c r="H9">
        <f>E9*6500</f>
        <v>13000</v>
      </c>
    </row>
    <row r="10" spans="1:8" hidden="1" x14ac:dyDescent="0.25">
      <c r="C10" t="s">
        <v>20</v>
      </c>
      <c r="D10" t="s">
        <v>966</v>
      </c>
      <c r="E10">
        <v>1</v>
      </c>
      <c r="F10">
        <v>10000</v>
      </c>
      <c r="G10">
        <v>5500</v>
      </c>
      <c r="H10">
        <v>4500</v>
      </c>
    </row>
    <row r="11" spans="1:8" hidden="1" x14ac:dyDescent="0.25">
      <c r="C11" t="s">
        <v>20</v>
      </c>
      <c r="D11" t="s">
        <v>902</v>
      </c>
      <c r="E11">
        <v>3</v>
      </c>
      <c r="F11">
        <f>E11*8000</f>
        <v>24000</v>
      </c>
      <c r="G11">
        <f>E11*5500</f>
        <v>16500</v>
      </c>
      <c r="H11">
        <f>E11*2500</f>
        <v>7500</v>
      </c>
    </row>
    <row r="12" spans="1:8" hidden="1" x14ac:dyDescent="0.25">
      <c r="C12" t="s">
        <v>24</v>
      </c>
      <c r="D12" t="s">
        <v>243</v>
      </c>
      <c r="E12">
        <v>3</v>
      </c>
      <c r="F12">
        <v>45000</v>
      </c>
      <c r="G12">
        <v>30000</v>
      </c>
      <c r="H12">
        <v>15000</v>
      </c>
    </row>
    <row r="13" spans="1:8" hidden="1" x14ac:dyDescent="0.25">
      <c r="A13" s="112" t="s">
        <v>17</v>
      </c>
      <c r="B13" s="112"/>
      <c r="C13" s="112"/>
      <c r="D13" s="112"/>
      <c r="E13" s="78">
        <f>SUM(E2:E12)</f>
        <v>120</v>
      </c>
      <c r="F13" s="78">
        <f t="shared" ref="F13:H13" si="3">SUM(F2:F12)</f>
        <v>390500</v>
      </c>
      <c r="G13" s="78">
        <f t="shared" si="3"/>
        <v>206500</v>
      </c>
      <c r="H13" s="78">
        <f t="shared" si="3"/>
        <v>247000</v>
      </c>
    </row>
    <row r="14" spans="1:8" hidden="1" x14ac:dyDescent="0.25">
      <c r="A14" t="s">
        <v>26</v>
      </c>
      <c r="B14" s="3">
        <v>45871</v>
      </c>
      <c r="C14" t="s">
        <v>954</v>
      </c>
      <c r="D14" t="s">
        <v>520</v>
      </c>
      <c r="E14">
        <v>2</v>
      </c>
      <c r="F14" s="79">
        <v>10000</v>
      </c>
      <c r="G14" s="79">
        <v>5000</v>
      </c>
      <c r="H14" s="79">
        <v>5000</v>
      </c>
    </row>
    <row r="15" spans="1:8" hidden="1" x14ac:dyDescent="0.25">
      <c r="C15" t="s">
        <v>954</v>
      </c>
      <c r="D15" t="s">
        <v>902</v>
      </c>
      <c r="E15">
        <v>5</v>
      </c>
      <c r="F15" s="79">
        <f>E15*8000</f>
        <v>40000</v>
      </c>
      <c r="G15" s="79">
        <f>E15*5500</f>
        <v>27500</v>
      </c>
      <c r="H15" s="79">
        <f>E15*2500</f>
        <v>12500</v>
      </c>
    </row>
    <row r="16" spans="1:8" hidden="1" x14ac:dyDescent="0.25">
      <c r="C16" t="s">
        <v>20</v>
      </c>
      <c r="D16" t="s">
        <v>918</v>
      </c>
      <c r="E16">
        <v>1</v>
      </c>
      <c r="F16" s="79">
        <v>15000</v>
      </c>
      <c r="G16" s="79">
        <v>10000</v>
      </c>
      <c r="H16" s="79">
        <v>5000</v>
      </c>
    </row>
    <row r="17" spans="1:11" hidden="1" x14ac:dyDescent="0.25">
      <c r="C17" t="s">
        <v>20</v>
      </c>
      <c r="D17" t="s">
        <v>902</v>
      </c>
      <c r="E17">
        <v>7</v>
      </c>
      <c r="F17" s="79">
        <f>E17*8000</f>
        <v>56000</v>
      </c>
      <c r="G17" s="79">
        <f>E17*5500</f>
        <v>38500</v>
      </c>
      <c r="H17" s="79">
        <f>E17*2500</f>
        <v>17500</v>
      </c>
      <c r="K17">
        <f>E2+E11+E15+E17+E21+E35+E37+E41+E44+E56+E67+E72+E84+E93+E104+E125+E116+E128+E136+E139+E149+E152+E170+E175+E182+E184+E188+E200+E202+E210+E212+E220+E233+E235+E244+E248+E261+E264+E277+E280+E288+E291+E301+E314+E318+E324+E328+E330+E334+E343+E344+E347+E360+E365</f>
        <v>265</v>
      </c>
    </row>
    <row r="18" spans="1:11" hidden="1" x14ac:dyDescent="0.25">
      <c r="C18" t="s">
        <v>20</v>
      </c>
      <c r="D18" t="s">
        <v>966</v>
      </c>
      <c r="E18">
        <v>1</v>
      </c>
      <c r="F18" s="79">
        <v>10000</v>
      </c>
      <c r="G18" s="79">
        <v>5500</v>
      </c>
      <c r="H18" s="79">
        <v>4500</v>
      </c>
    </row>
    <row r="19" spans="1:11" hidden="1" x14ac:dyDescent="0.25">
      <c r="C19" t="s">
        <v>554</v>
      </c>
      <c r="D19" t="s">
        <v>420</v>
      </c>
      <c r="E19">
        <v>4</v>
      </c>
      <c r="F19" s="79"/>
      <c r="G19" s="79"/>
      <c r="H19" s="79"/>
    </row>
    <row r="20" spans="1:11" hidden="1" x14ac:dyDescent="0.25">
      <c r="C20" t="s">
        <v>554</v>
      </c>
      <c r="D20" t="s">
        <v>11</v>
      </c>
      <c r="E20">
        <v>4</v>
      </c>
      <c r="F20" s="79"/>
      <c r="G20" s="79"/>
      <c r="H20" s="79"/>
    </row>
    <row r="21" spans="1:11" hidden="1" x14ac:dyDescent="0.25">
      <c r="C21" t="s">
        <v>554</v>
      </c>
      <c r="D21" t="s">
        <v>902</v>
      </c>
      <c r="E21">
        <v>2</v>
      </c>
      <c r="F21" s="79"/>
      <c r="G21" s="79"/>
      <c r="H21" s="79"/>
    </row>
    <row r="22" spans="1:11" hidden="1" x14ac:dyDescent="0.25">
      <c r="C22" t="s">
        <v>554</v>
      </c>
      <c r="D22" t="s">
        <v>520</v>
      </c>
      <c r="E22">
        <v>2</v>
      </c>
      <c r="F22" s="79"/>
      <c r="G22" s="79"/>
      <c r="H22" s="79"/>
    </row>
    <row r="23" spans="1:11" hidden="1" x14ac:dyDescent="0.25">
      <c r="C23" t="s">
        <v>581</v>
      </c>
      <c r="D23" t="s">
        <v>11</v>
      </c>
      <c r="E23">
        <v>20</v>
      </c>
      <c r="F23" s="79">
        <f>E23*1500</f>
        <v>30000</v>
      </c>
      <c r="G23" s="79">
        <f>E23*500</f>
        <v>10000</v>
      </c>
      <c r="H23" s="79">
        <f>E23*1000</f>
        <v>20000</v>
      </c>
    </row>
    <row r="24" spans="1:11" hidden="1" x14ac:dyDescent="0.25">
      <c r="C24" t="s">
        <v>581</v>
      </c>
      <c r="D24" t="s">
        <v>914</v>
      </c>
      <c r="E24">
        <v>23</v>
      </c>
      <c r="F24" s="79">
        <f t="shared" ref="F24:F26" si="4">E24*1500</f>
        <v>34500</v>
      </c>
      <c r="G24" s="79">
        <f t="shared" ref="G24:G26" si="5">E24*500</f>
        <v>11500</v>
      </c>
      <c r="H24" s="79">
        <f t="shared" ref="H24:H26" si="6">E24*1000</f>
        <v>23000</v>
      </c>
    </row>
    <row r="25" spans="1:11" hidden="1" x14ac:dyDescent="0.25">
      <c r="C25" t="s">
        <v>338</v>
      </c>
      <c r="D25" t="s">
        <v>11</v>
      </c>
      <c r="E25">
        <v>40</v>
      </c>
      <c r="F25" s="79">
        <f t="shared" si="4"/>
        <v>60000</v>
      </c>
      <c r="G25" s="79">
        <f t="shared" si="5"/>
        <v>20000</v>
      </c>
      <c r="H25" s="79">
        <f t="shared" si="6"/>
        <v>40000</v>
      </c>
    </row>
    <row r="26" spans="1:11" hidden="1" x14ac:dyDescent="0.25">
      <c r="C26" t="s">
        <v>965</v>
      </c>
      <c r="D26" t="s">
        <v>11</v>
      </c>
      <c r="E26">
        <v>7</v>
      </c>
      <c r="F26" s="79">
        <f t="shared" si="4"/>
        <v>10500</v>
      </c>
      <c r="G26" s="79">
        <f t="shared" si="5"/>
        <v>3500</v>
      </c>
      <c r="H26" s="79">
        <f t="shared" si="6"/>
        <v>7000</v>
      </c>
    </row>
    <row r="27" spans="1:11" hidden="1" x14ac:dyDescent="0.25">
      <c r="A27" s="112" t="s">
        <v>17</v>
      </c>
      <c r="B27" s="112"/>
      <c r="C27" s="112"/>
      <c r="D27" s="112"/>
      <c r="E27" s="78">
        <f>SUM(E14:E26)</f>
        <v>118</v>
      </c>
      <c r="F27" s="78">
        <f t="shared" ref="F27:G27" si="7">SUM(F14:F26)</f>
        <v>266000</v>
      </c>
      <c r="G27" s="78">
        <f t="shared" si="7"/>
        <v>131500</v>
      </c>
      <c r="H27" s="78">
        <f>SUM(H14:H26)</f>
        <v>134500</v>
      </c>
    </row>
    <row r="28" spans="1:11" hidden="1" x14ac:dyDescent="0.25">
      <c r="A28" t="s">
        <v>28</v>
      </c>
      <c r="B28" s="3">
        <v>45872</v>
      </c>
      <c r="C28" t="s">
        <v>967</v>
      </c>
      <c r="D28" t="s">
        <v>13</v>
      </c>
      <c r="E28">
        <v>35</v>
      </c>
      <c r="F28" s="79">
        <f>E28*7000</f>
        <v>245000</v>
      </c>
      <c r="G28" s="79">
        <f>E28*4500</f>
        <v>157500</v>
      </c>
      <c r="H28" s="79">
        <f>E28*2500</f>
        <v>87500</v>
      </c>
    </row>
    <row r="29" spans="1:11" hidden="1" x14ac:dyDescent="0.25">
      <c r="C29" t="s">
        <v>967</v>
      </c>
      <c r="D29" t="s">
        <v>14</v>
      </c>
      <c r="E29">
        <v>25</v>
      </c>
      <c r="F29">
        <f>E29*10000</f>
        <v>250000</v>
      </c>
      <c r="G29">
        <f>E29*5500</f>
        <v>137500</v>
      </c>
      <c r="H29">
        <f>E29*4500</f>
        <v>112500</v>
      </c>
    </row>
    <row r="30" spans="1:11" hidden="1" x14ac:dyDescent="0.25">
      <c r="C30" t="s">
        <v>967</v>
      </c>
      <c r="D30" t="s">
        <v>11</v>
      </c>
      <c r="E30">
        <v>1</v>
      </c>
      <c r="F30">
        <v>2000</v>
      </c>
      <c r="G30">
        <v>500</v>
      </c>
      <c r="H30">
        <v>1500</v>
      </c>
    </row>
    <row r="31" spans="1:11" hidden="1" x14ac:dyDescent="0.25">
      <c r="C31" t="s">
        <v>967</v>
      </c>
      <c r="D31" t="s">
        <v>968</v>
      </c>
      <c r="E31">
        <v>3</v>
      </c>
      <c r="F31">
        <f>E31*10000</f>
        <v>30000</v>
      </c>
      <c r="G31">
        <f>E31*5500</f>
        <v>16500</v>
      </c>
      <c r="H31">
        <f>E31*4500</f>
        <v>13500</v>
      </c>
    </row>
    <row r="32" spans="1:11" hidden="1" x14ac:dyDescent="0.25">
      <c r="C32" t="s">
        <v>217</v>
      </c>
      <c r="D32" t="s">
        <v>11</v>
      </c>
      <c r="E32">
        <v>16</v>
      </c>
      <c r="F32">
        <f>E32*1500</f>
        <v>24000</v>
      </c>
      <c r="G32">
        <f>E32*500</f>
        <v>8000</v>
      </c>
      <c r="H32">
        <f>E32*1000</f>
        <v>16000</v>
      </c>
    </row>
    <row r="33" spans="1:8" hidden="1" x14ac:dyDescent="0.25">
      <c r="C33" t="s">
        <v>217</v>
      </c>
      <c r="D33" t="s">
        <v>13</v>
      </c>
      <c r="E33">
        <v>5</v>
      </c>
      <c r="F33">
        <f>E33*6500</f>
        <v>32500</v>
      </c>
      <c r="G33">
        <f>E33*4500</f>
        <v>22500</v>
      </c>
      <c r="H33">
        <f>E33*2000</f>
        <v>10000</v>
      </c>
    </row>
    <row r="34" spans="1:8" hidden="1" x14ac:dyDescent="0.25">
      <c r="C34" t="s">
        <v>217</v>
      </c>
      <c r="D34" t="s">
        <v>14</v>
      </c>
      <c r="E34">
        <v>9</v>
      </c>
      <c r="F34">
        <f>E34*10000</f>
        <v>90000</v>
      </c>
      <c r="G34">
        <f>E34*5500</f>
        <v>49500</v>
      </c>
      <c r="H34">
        <f>E34*4500</f>
        <v>40500</v>
      </c>
    </row>
    <row r="35" spans="1:8" hidden="1" x14ac:dyDescent="0.25">
      <c r="C35" t="s">
        <v>954</v>
      </c>
      <c r="D35" t="s">
        <v>902</v>
      </c>
      <c r="E35">
        <v>9</v>
      </c>
      <c r="F35">
        <f>E35*8000</f>
        <v>72000</v>
      </c>
      <c r="G35">
        <f>E35*5500</f>
        <v>49500</v>
      </c>
      <c r="H35">
        <f>E35*2500</f>
        <v>22500</v>
      </c>
    </row>
    <row r="36" spans="1:8" hidden="1" x14ac:dyDescent="0.25">
      <c r="C36" t="s">
        <v>954</v>
      </c>
      <c r="D36" t="s">
        <v>13</v>
      </c>
      <c r="E36">
        <v>2</v>
      </c>
      <c r="F36">
        <v>16000</v>
      </c>
      <c r="G36">
        <v>9000</v>
      </c>
      <c r="H36">
        <v>5000</v>
      </c>
    </row>
    <row r="37" spans="1:8" hidden="1" x14ac:dyDescent="0.25">
      <c r="C37" t="s">
        <v>20</v>
      </c>
      <c r="D37" t="s">
        <v>902</v>
      </c>
      <c r="E37">
        <v>2</v>
      </c>
      <c r="F37">
        <v>16000</v>
      </c>
      <c r="G37">
        <v>11000</v>
      </c>
      <c r="H37">
        <v>5000</v>
      </c>
    </row>
    <row r="38" spans="1:8" hidden="1" x14ac:dyDescent="0.25">
      <c r="C38" t="s">
        <v>20</v>
      </c>
      <c r="D38" t="s">
        <v>13</v>
      </c>
      <c r="E38">
        <v>1</v>
      </c>
      <c r="F38">
        <v>8000</v>
      </c>
      <c r="G38">
        <v>4500</v>
      </c>
      <c r="H38">
        <v>3500</v>
      </c>
    </row>
    <row r="39" spans="1:8" hidden="1" x14ac:dyDescent="0.25">
      <c r="C39" t="s">
        <v>20</v>
      </c>
      <c r="D39" t="s">
        <v>420</v>
      </c>
      <c r="E39">
        <v>1</v>
      </c>
      <c r="F39">
        <v>8000</v>
      </c>
      <c r="G39">
        <v>5500</v>
      </c>
      <c r="H39">
        <v>2500</v>
      </c>
    </row>
    <row r="40" spans="1:8" hidden="1" x14ac:dyDescent="0.25">
      <c r="A40" s="112" t="s">
        <v>17</v>
      </c>
      <c r="B40" s="112"/>
      <c r="C40" s="112"/>
      <c r="D40" s="112"/>
      <c r="E40" s="78">
        <f>SUM(E28:E39)</f>
        <v>109</v>
      </c>
      <c r="F40" s="78">
        <f t="shared" ref="F40:H40" si="8">SUM(F28:F39)</f>
        <v>793500</v>
      </c>
      <c r="G40" s="78">
        <f t="shared" si="8"/>
        <v>471500</v>
      </c>
      <c r="H40" s="78">
        <f t="shared" si="8"/>
        <v>320000</v>
      </c>
    </row>
    <row r="41" spans="1:8" hidden="1" x14ac:dyDescent="0.25">
      <c r="A41" t="s">
        <v>30</v>
      </c>
      <c r="B41" t="s">
        <v>969</v>
      </c>
      <c r="C41" t="s">
        <v>954</v>
      </c>
      <c r="D41" t="s">
        <v>902</v>
      </c>
      <c r="E41">
        <v>5</v>
      </c>
      <c r="F41">
        <f>E41*8000</f>
        <v>40000</v>
      </c>
      <c r="G41">
        <f>E41*5500</f>
        <v>27500</v>
      </c>
      <c r="H41">
        <f>E41*2500</f>
        <v>12500</v>
      </c>
    </row>
    <row r="42" spans="1:8" hidden="1" x14ac:dyDescent="0.25">
      <c r="C42" t="s">
        <v>954</v>
      </c>
      <c r="D42" t="s">
        <v>13</v>
      </c>
      <c r="E42">
        <v>1</v>
      </c>
      <c r="F42">
        <v>8000</v>
      </c>
      <c r="G42">
        <v>4500</v>
      </c>
      <c r="H42">
        <v>3500</v>
      </c>
    </row>
    <row r="43" spans="1:8" hidden="1" x14ac:dyDescent="0.25">
      <c r="C43" t="s">
        <v>954</v>
      </c>
      <c r="D43" t="s">
        <v>970</v>
      </c>
      <c r="E43">
        <v>3</v>
      </c>
      <c r="F43">
        <f>E43*18000</f>
        <v>54000</v>
      </c>
      <c r="G43">
        <f>E43*12000</f>
        <v>36000</v>
      </c>
      <c r="H43">
        <f>E43*6000</f>
        <v>18000</v>
      </c>
    </row>
    <row r="44" spans="1:8" hidden="1" x14ac:dyDescent="0.25">
      <c r="C44" t="s">
        <v>846</v>
      </c>
      <c r="D44" t="s">
        <v>902</v>
      </c>
      <c r="E44">
        <v>6</v>
      </c>
      <c r="F44">
        <f>E44*8000</f>
        <v>48000</v>
      </c>
      <c r="G44">
        <f>E44*5500</f>
        <v>33000</v>
      </c>
      <c r="H44">
        <f>E44*2500</f>
        <v>15000</v>
      </c>
    </row>
    <row r="45" spans="1:8" hidden="1" x14ac:dyDescent="0.25">
      <c r="C45" t="s">
        <v>846</v>
      </c>
      <c r="D45" t="s">
        <v>13</v>
      </c>
      <c r="E45">
        <v>1</v>
      </c>
      <c r="F45">
        <v>8000</v>
      </c>
      <c r="G45">
        <v>4500</v>
      </c>
      <c r="H45">
        <v>3500</v>
      </c>
    </row>
    <row r="46" spans="1:8" hidden="1" x14ac:dyDescent="0.25">
      <c r="C46" t="s">
        <v>846</v>
      </c>
      <c r="D46" t="s">
        <v>14</v>
      </c>
      <c r="E46">
        <v>1</v>
      </c>
      <c r="F46">
        <v>12000</v>
      </c>
      <c r="G46">
        <v>5500</v>
      </c>
      <c r="H46">
        <v>6500</v>
      </c>
    </row>
    <row r="47" spans="1:8" hidden="1" x14ac:dyDescent="0.25">
      <c r="C47" t="s">
        <v>846</v>
      </c>
      <c r="D47" t="s">
        <v>958</v>
      </c>
      <c r="E47">
        <v>1</v>
      </c>
      <c r="F47">
        <v>10000</v>
      </c>
      <c r="G47">
        <v>5500</v>
      </c>
      <c r="H47">
        <v>4500</v>
      </c>
    </row>
    <row r="48" spans="1:8" hidden="1" x14ac:dyDescent="0.25">
      <c r="C48" t="s">
        <v>846</v>
      </c>
      <c r="D48" t="s">
        <v>918</v>
      </c>
      <c r="E48">
        <v>2</v>
      </c>
      <c r="F48">
        <v>30000</v>
      </c>
      <c r="G48">
        <v>20000</v>
      </c>
      <c r="H48">
        <v>10000</v>
      </c>
    </row>
    <row r="49" spans="1:8" hidden="1" x14ac:dyDescent="0.25">
      <c r="C49" t="s">
        <v>846</v>
      </c>
      <c r="D49" t="s">
        <v>520</v>
      </c>
      <c r="E49">
        <v>1</v>
      </c>
      <c r="F49">
        <v>5000</v>
      </c>
      <c r="G49">
        <v>2500</v>
      </c>
      <c r="H49">
        <v>2500</v>
      </c>
    </row>
    <row r="50" spans="1:8" hidden="1" x14ac:dyDescent="0.25">
      <c r="C50" t="s">
        <v>338</v>
      </c>
      <c r="D50" t="s">
        <v>11</v>
      </c>
      <c r="E50">
        <v>48</v>
      </c>
      <c r="F50">
        <f>E50*1500</f>
        <v>72000</v>
      </c>
      <c r="G50">
        <f>E50*500</f>
        <v>24000</v>
      </c>
      <c r="H50">
        <f>E50*1000</f>
        <v>48000</v>
      </c>
    </row>
    <row r="51" spans="1:8" hidden="1" x14ac:dyDescent="0.25">
      <c r="C51" t="s">
        <v>581</v>
      </c>
      <c r="D51" t="s">
        <v>11</v>
      </c>
      <c r="E51">
        <v>22</v>
      </c>
      <c r="F51">
        <f t="shared" ref="F51:F53" si="9">E51*1500</f>
        <v>33000</v>
      </c>
      <c r="G51">
        <f t="shared" ref="G51:G53" si="10">E51*500</f>
        <v>11000</v>
      </c>
      <c r="H51">
        <f t="shared" ref="H51:H53" si="11">E51*1000</f>
        <v>22000</v>
      </c>
    </row>
    <row r="52" spans="1:8" hidden="1" x14ac:dyDescent="0.25">
      <c r="C52" t="s">
        <v>581</v>
      </c>
      <c r="D52" t="s">
        <v>914</v>
      </c>
      <c r="E52">
        <v>28</v>
      </c>
      <c r="F52">
        <f t="shared" si="9"/>
        <v>42000</v>
      </c>
      <c r="G52">
        <f t="shared" si="10"/>
        <v>14000</v>
      </c>
      <c r="H52">
        <f t="shared" si="11"/>
        <v>28000</v>
      </c>
    </row>
    <row r="53" spans="1:8" hidden="1" x14ac:dyDescent="0.25">
      <c r="C53" t="s">
        <v>965</v>
      </c>
      <c r="D53" t="s">
        <v>11</v>
      </c>
      <c r="E53">
        <v>9</v>
      </c>
      <c r="F53">
        <f t="shared" si="9"/>
        <v>13500</v>
      </c>
      <c r="G53">
        <f t="shared" si="10"/>
        <v>4500</v>
      </c>
      <c r="H53">
        <f t="shared" si="11"/>
        <v>9000</v>
      </c>
    </row>
    <row r="54" spans="1:8" hidden="1" x14ac:dyDescent="0.25">
      <c r="C54" t="s">
        <v>960</v>
      </c>
      <c r="D54" t="s">
        <v>243</v>
      </c>
      <c r="E54">
        <v>97</v>
      </c>
    </row>
    <row r="55" spans="1:8" hidden="1" x14ac:dyDescent="0.25">
      <c r="A55" s="112" t="s">
        <v>17</v>
      </c>
      <c r="B55" s="112"/>
      <c r="C55" s="112"/>
      <c r="D55" s="112"/>
      <c r="E55" s="78">
        <f>SUM(E41:E54)</f>
        <v>225</v>
      </c>
      <c r="F55" s="78">
        <f t="shared" ref="F55:H55" si="12">SUM(F41:F54)</f>
        <v>375500</v>
      </c>
      <c r="G55" s="78">
        <f t="shared" si="12"/>
        <v>192500</v>
      </c>
      <c r="H55" s="78">
        <f t="shared" si="12"/>
        <v>183000</v>
      </c>
    </row>
    <row r="56" spans="1:8" hidden="1" x14ac:dyDescent="0.25">
      <c r="A56" t="s">
        <v>32</v>
      </c>
      <c r="B56" s="3">
        <v>45874</v>
      </c>
      <c r="C56" t="s">
        <v>954</v>
      </c>
      <c r="D56" t="s">
        <v>902</v>
      </c>
      <c r="E56">
        <v>8</v>
      </c>
      <c r="F56" s="79">
        <f>E56*8000</f>
        <v>64000</v>
      </c>
      <c r="G56" s="79">
        <f>E56*5500</f>
        <v>44000</v>
      </c>
      <c r="H56" s="79">
        <f>E56*2500</f>
        <v>20000</v>
      </c>
    </row>
    <row r="57" spans="1:8" hidden="1" x14ac:dyDescent="0.25">
      <c r="C57" t="s">
        <v>954</v>
      </c>
      <c r="D57" t="s">
        <v>520</v>
      </c>
      <c r="E57">
        <v>1</v>
      </c>
      <c r="F57" s="79">
        <v>5000</v>
      </c>
      <c r="G57" s="79">
        <v>2500</v>
      </c>
      <c r="H57" s="79">
        <v>2500</v>
      </c>
    </row>
    <row r="58" spans="1:8" hidden="1" x14ac:dyDescent="0.25">
      <c r="C58" t="s">
        <v>846</v>
      </c>
      <c r="D58" t="s">
        <v>13</v>
      </c>
      <c r="E58">
        <v>1</v>
      </c>
      <c r="F58" s="79">
        <v>8000</v>
      </c>
      <c r="G58" s="79">
        <v>4500</v>
      </c>
      <c r="H58" s="79">
        <v>3500</v>
      </c>
    </row>
    <row r="59" spans="1:8" hidden="1" x14ac:dyDescent="0.25">
      <c r="C59" t="s">
        <v>846</v>
      </c>
      <c r="D59" t="s">
        <v>918</v>
      </c>
      <c r="E59">
        <v>1</v>
      </c>
      <c r="F59" s="79">
        <v>15000</v>
      </c>
      <c r="G59" s="79">
        <v>10000</v>
      </c>
      <c r="H59" s="79">
        <v>5000</v>
      </c>
    </row>
    <row r="60" spans="1:8" hidden="1" x14ac:dyDescent="0.25">
      <c r="C60" t="s">
        <v>338</v>
      </c>
      <c r="D60" t="s">
        <v>11</v>
      </c>
      <c r="E60">
        <v>48</v>
      </c>
      <c r="F60" s="79">
        <f>E60*1500</f>
        <v>72000</v>
      </c>
      <c r="G60" s="79">
        <f>E60*500</f>
        <v>24000</v>
      </c>
      <c r="H60" s="79">
        <f>E60*1000</f>
        <v>48000</v>
      </c>
    </row>
    <row r="61" spans="1:8" hidden="1" x14ac:dyDescent="0.25">
      <c r="C61" t="s">
        <v>581</v>
      </c>
      <c r="D61" t="s">
        <v>11</v>
      </c>
      <c r="E61">
        <v>24</v>
      </c>
      <c r="F61" s="79">
        <f t="shared" ref="F61:F64" si="13">E61*1500</f>
        <v>36000</v>
      </c>
      <c r="G61" s="79">
        <f t="shared" ref="G61:G64" si="14">E61*500</f>
        <v>12000</v>
      </c>
      <c r="H61" s="79">
        <f t="shared" ref="H61:H64" si="15">E61*1000</f>
        <v>24000</v>
      </c>
    </row>
    <row r="62" spans="1:8" hidden="1" x14ac:dyDescent="0.25">
      <c r="C62" t="s">
        <v>581</v>
      </c>
      <c r="D62" t="s">
        <v>914</v>
      </c>
      <c r="E62">
        <v>20</v>
      </c>
      <c r="F62" s="79">
        <f t="shared" si="13"/>
        <v>30000</v>
      </c>
      <c r="G62" s="79">
        <f t="shared" si="14"/>
        <v>10000</v>
      </c>
      <c r="H62" s="79">
        <f t="shared" si="15"/>
        <v>20000</v>
      </c>
    </row>
    <row r="63" spans="1:8" hidden="1" x14ac:dyDescent="0.25">
      <c r="C63" t="s">
        <v>571</v>
      </c>
      <c r="D63" t="s">
        <v>11</v>
      </c>
      <c r="E63">
        <v>17</v>
      </c>
      <c r="F63" s="79">
        <f t="shared" si="13"/>
        <v>25500</v>
      </c>
      <c r="G63" s="79">
        <f t="shared" si="14"/>
        <v>8500</v>
      </c>
      <c r="H63" s="79">
        <f t="shared" si="15"/>
        <v>17000</v>
      </c>
    </row>
    <row r="64" spans="1:8" hidden="1" x14ac:dyDescent="0.25">
      <c r="C64" t="s">
        <v>572</v>
      </c>
      <c r="D64" t="s">
        <v>11</v>
      </c>
      <c r="E64">
        <f>173400/1700</f>
        <v>102</v>
      </c>
      <c r="F64" s="79">
        <f t="shared" si="13"/>
        <v>153000</v>
      </c>
      <c r="G64" s="79">
        <f t="shared" si="14"/>
        <v>51000</v>
      </c>
      <c r="H64" s="79">
        <f t="shared" si="15"/>
        <v>102000</v>
      </c>
    </row>
    <row r="65" spans="1:13" hidden="1" x14ac:dyDescent="0.25">
      <c r="A65" s="111" t="s">
        <v>17</v>
      </c>
      <c r="B65" s="111"/>
      <c r="C65" s="111"/>
      <c r="D65" s="111"/>
      <c r="E65" s="1">
        <f>SUM(E56:E64)</f>
        <v>222</v>
      </c>
      <c r="F65" s="1">
        <f t="shared" ref="F65:H65" si="16">SUM(F56:F64)</f>
        <v>408500</v>
      </c>
      <c r="G65" s="78">
        <f t="shared" si="16"/>
        <v>166500</v>
      </c>
      <c r="H65" s="78">
        <f t="shared" si="16"/>
        <v>242000</v>
      </c>
    </row>
    <row r="66" spans="1:13" hidden="1" x14ac:dyDescent="0.25">
      <c r="A66" t="s">
        <v>8</v>
      </c>
      <c r="B66" s="3">
        <v>45875</v>
      </c>
      <c r="C66" t="s">
        <v>954</v>
      </c>
      <c r="D66" t="s">
        <v>520</v>
      </c>
      <c r="E66">
        <v>3</v>
      </c>
      <c r="F66" s="79">
        <f>E66*4000</f>
        <v>12000</v>
      </c>
      <c r="G66">
        <v>6000</v>
      </c>
      <c r="H66">
        <v>6000</v>
      </c>
    </row>
    <row r="67" spans="1:13" hidden="1" x14ac:dyDescent="0.25">
      <c r="C67" t="s">
        <v>954</v>
      </c>
      <c r="D67" t="s">
        <v>902</v>
      </c>
      <c r="E67">
        <v>4</v>
      </c>
      <c r="F67" s="79">
        <f>E67*8000</f>
        <v>32000</v>
      </c>
      <c r="G67" s="79">
        <f>E67*5500</f>
        <v>22000</v>
      </c>
      <c r="H67" s="79">
        <f>E67*2500</f>
        <v>10000</v>
      </c>
    </row>
    <row r="68" spans="1:13" hidden="1" x14ac:dyDescent="0.25">
      <c r="C68" t="s">
        <v>954</v>
      </c>
      <c r="D68" t="s">
        <v>13</v>
      </c>
      <c r="E68">
        <v>1</v>
      </c>
      <c r="F68" s="79">
        <v>8000</v>
      </c>
      <c r="G68" s="79">
        <v>4500</v>
      </c>
      <c r="H68" s="79">
        <v>3500</v>
      </c>
    </row>
    <row r="69" spans="1:13" hidden="1" x14ac:dyDescent="0.25">
      <c r="C69" t="s">
        <v>954</v>
      </c>
      <c r="D69" t="s">
        <v>14</v>
      </c>
      <c r="E69">
        <v>1</v>
      </c>
      <c r="F69" s="79">
        <v>12000</v>
      </c>
      <c r="G69" s="79">
        <v>5500</v>
      </c>
      <c r="H69" s="79">
        <v>6500</v>
      </c>
    </row>
    <row r="70" spans="1:13" hidden="1" x14ac:dyDescent="0.25">
      <c r="C70" t="s">
        <v>846</v>
      </c>
      <c r="D70" t="s">
        <v>918</v>
      </c>
      <c r="E70">
        <v>3</v>
      </c>
      <c r="F70" s="79">
        <f>E70*15000</f>
        <v>45000</v>
      </c>
      <c r="G70" s="79">
        <f>E70*10000</f>
        <v>30000</v>
      </c>
      <c r="H70" s="79">
        <v>15000</v>
      </c>
    </row>
    <row r="71" spans="1:13" hidden="1" x14ac:dyDescent="0.25">
      <c r="C71" t="s">
        <v>846</v>
      </c>
      <c r="D71" t="s">
        <v>520</v>
      </c>
      <c r="E71">
        <v>1</v>
      </c>
      <c r="F71" s="79">
        <v>4000</v>
      </c>
      <c r="G71" s="79">
        <v>2000</v>
      </c>
      <c r="H71" s="79">
        <v>2000</v>
      </c>
      <c r="K71">
        <f>E10+E14+E18+E19+E22+E39+E47+E49+E57+E66+E71+E86+E97+E114+E129+E138+E142+E161+E222+E262+E263+E279+E290+E294+E329+E345+E368+E369</f>
        <v>45</v>
      </c>
    </row>
    <row r="72" spans="1:13" hidden="1" x14ac:dyDescent="0.25">
      <c r="C72" t="s">
        <v>846</v>
      </c>
      <c r="D72" t="s">
        <v>902</v>
      </c>
      <c r="E72">
        <v>2</v>
      </c>
      <c r="F72" s="79">
        <v>16000</v>
      </c>
      <c r="G72" s="79">
        <v>11000</v>
      </c>
      <c r="H72" s="79">
        <v>5000</v>
      </c>
    </row>
    <row r="73" spans="1:13" hidden="1" x14ac:dyDescent="0.25">
      <c r="C73" t="s">
        <v>846</v>
      </c>
      <c r="D73" t="s">
        <v>919</v>
      </c>
      <c r="E73">
        <v>1</v>
      </c>
      <c r="F73" s="79">
        <v>12000</v>
      </c>
      <c r="G73" s="79">
        <v>5500</v>
      </c>
      <c r="H73" s="79">
        <v>6500</v>
      </c>
    </row>
    <row r="74" spans="1:13" hidden="1" x14ac:dyDescent="0.25">
      <c r="C74" t="s">
        <v>338</v>
      </c>
      <c r="D74" t="s">
        <v>11</v>
      </c>
      <c r="E74">
        <v>47</v>
      </c>
      <c r="F74" s="79">
        <f>E74*1500</f>
        <v>70500</v>
      </c>
      <c r="G74" s="79">
        <f>E74*500</f>
        <v>23500</v>
      </c>
      <c r="H74" s="79">
        <f>E74*1000</f>
        <v>47000</v>
      </c>
    </row>
    <row r="75" spans="1:13" hidden="1" x14ac:dyDescent="0.25">
      <c r="C75" t="s">
        <v>965</v>
      </c>
      <c r="D75" t="s">
        <v>11</v>
      </c>
      <c r="E75">
        <v>27</v>
      </c>
      <c r="F75" s="79">
        <f t="shared" ref="F75:F78" si="17">E75*1500</f>
        <v>40500</v>
      </c>
      <c r="G75" s="79">
        <f t="shared" ref="G75:G78" si="18">E75*500</f>
        <v>13500</v>
      </c>
      <c r="H75" s="79">
        <f t="shared" ref="H75:H78" si="19">E75*1000</f>
        <v>27000</v>
      </c>
    </row>
    <row r="76" spans="1:13" hidden="1" x14ac:dyDescent="0.25">
      <c r="C76" t="s">
        <v>571</v>
      </c>
      <c r="D76" t="s">
        <v>11</v>
      </c>
      <c r="E76">
        <v>30</v>
      </c>
      <c r="F76" s="79">
        <f t="shared" si="17"/>
        <v>45000</v>
      </c>
      <c r="G76" s="79">
        <f t="shared" si="18"/>
        <v>15000</v>
      </c>
      <c r="H76" s="79">
        <f t="shared" si="19"/>
        <v>30000</v>
      </c>
    </row>
    <row r="77" spans="1:13" hidden="1" x14ac:dyDescent="0.25">
      <c r="C77" t="s">
        <v>581</v>
      </c>
      <c r="D77" t="s">
        <v>11</v>
      </c>
      <c r="E77">
        <v>20</v>
      </c>
      <c r="F77" s="79">
        <f t="shared" si="17"/>
        <v>30000</v>
      </c>
      <c r="G77" s="79">
        <f t="shared" si="18"/>
        <v>10000</v>
      </c>
      <c r="H77" s="79">
        <f t="shared" si="19"/>
        <v>20000</v>
      </c>
      <c r="M77">
        <f>E6+E23+E51+E61+E77+E91+E102+E122+E132+E146+E155+E167+E180+E191+E197+E206+E216+E230+E240+E272+E284+E298+E311+E322</f>
        <v>507</v>
      </c>
    </row>
    <row r="78" spans="1:13" hidden="1" x14ac:dyDescent="0.25">
      <c r="D78" t="s">
        <v>914</v>
      </c>
      <c r="E78">
        <v>15</v>
      </c>
      <c r="F78" s="79">
        <f t="shared" si="17"/>
        <v>22500</v>
      </c>
      <c r="G78" s="79">
        <f t="shared" si="18"/>
        <v>7500</v>
      </c>
      <c r="H78" s="79">
        <f t="shared" si="19"/>
        <v>15000</v>
      </c>
    </row>
    <row r="79" spans="1:13" hidden="1" x14ac:dyDescent="0.25">
      <c r="A79" s="111" t="s">
        <v>17</v>
      </c>
      <c r="B79" s="111"/>
      <c r="C79" s="111"/>
      <c r="D79" s="111"/>
      <c r="E79" s="1">
        <f>SUM(E66:E78)</f>
        <v>155</v>
      </c>
      <c r="F79" s="78">
        <f t="shared" ref="F79:H79" si="20">SUM(F66:F78)</f>
        <v>349500</v>
      </c>
      <c r="G79" s="78">
        <f t="shared" si="20"/>
        <v>156000</v>
      </c>
      <c r="H79" s="78">
        <f t="shared" si="20"/>
        <v>193500</v>
      </c>
      <c r="I79" s="1"/>
    </row>
    <row r="80" spans="1:13" hidden="1" x14ac:dyDescent="0.25">
      <c r="A80" t="s">
        <v>18</v>
      </c>
      <c r="B80" t="s">
        <v>972</v>
      </c>
      <c r="C80" t="s">
        <v>338</v>
      </c>
      <c r="D80" t="s">
        <v>11</v>
      </c>
      <c r="E80">
        <v>50</v>
      </c>
      <c r="F80" s="79">
        <f>E80*1500</f>
        <v>75000</v>
      </c>
      <c r="G80" s="79">
        <f>E80*500</f>
        <v>25000</v>
      </c>
      <c r="H80" s="79">
        <f>E80*1000</f>
        <v>50000</v>
      </c>
    </row>
    <row r="81" spans="1:13" hidden="1" x14ac:dyDescent="0.25">
      <c r="C81" t="s">
        <v>965</v>
      </c>
      <c r="D81" t="s">
        <v>11</v>
      </c>
      <c r="E81">
        <v>4</v>
      </c>
      <c r="F81" s="79">
        <f>E81*1500</f>
        <v>6000</v>
      </c>
      <c r="G81" s="79">
        <f>E81*500</f>
        <v>2000</v>
      </c>
      <c r="H81" s="79">
        <f>E81*1000</f>
        <v>4000</v>
      </c>
    </row>
    <row r="82" spans="1:13" hidden="1" x14ac:dyDescent="0.25">
      <c r="C82" t="s">
        <v>571</v>
      </c>
      <c r="D82" t="s">
        <v>11</v>
      </c>
      <c r="E82">
        <v>22</v>
      </c>
      <c r="F82" s="79">
        <f>E82*1500</f>
        <v>33000</v>
      </c>
      <c r="G82" s="79">
        <f>E82*500</f>
        <v>11000</v>
      </c>
      <c r="H82" s="79">
        <f>E82*1000</f>
        <v>22000</v>
      </c>
    </row>
    <row r="83" spans="1:13" hidden="1" x14ac:dyDescent="0.25">
      <c r="C83" t="s">
        <v>571</v>
      </c>
      <c r="D83" t="s">
        <v>914</v>
      </c>
      <c r="E83">
        <v>23</v>
      </c>
      <c r="F83" s="79">
        <f>E83*1500</f>
        <v>34500</v>
      </c>
      <c r="G83" s="79">
        <f>E83*500</f>
        <v>11500</v>
      </c>
      <c r="H83" s="79">
        <f>E83*1000</f>
        <v>23000</v>
      </c>
    </row>
    <row r="84" spans="1:13" hidden="1" x14ac:dyDescent="0.25">
      <c r="C84" t="s">
        <v>846</v>
      </c>
      <c r="D84" t="s">
        <v>902</v>
      </c>
      <c r="E84">
        <v>7</v>
      </c>
      <c r="F84" s="79">
        <f>E84*8000</f>
        <v>56000</v>
      </c>
      <c r="G84" s="79">
        <f>E84*5500</f>
        <v>38500</v>
      </c>
      <c r="H84" s="79">
        <f>E84*2500</f>
        <v>17500</v>
      </c>
    </row>
    <row r="85" spans="1:13" hidden="1" x14ac:dyDescent="0.25">
      <c r="C85" t="s">
        <v>846</v>
      </c>
      <c r="D85" t="s">
        <v>918</v>
      </c>
      <c r="E85">
        <v>1</v>
      </c>
      <c r="F85" s="79">
        <f>E85*15000</f>
        <v>15000</v>
      </c>
      <c r="G85" s="79">
        <f>E85*10000</f>
        <v>10000</v>
      </c>
      <c r="H85" s="79">
        <f>E85*5000</f>
        <v>5000</v>
      </c>
    </row>
    <row r="86" spans="1:13" hidden="1" x14ac:dyDescent="0.25">
      <c r="C86" t="s">
        <v>846</v>
      </c>
      <c r="D86" t="s">
        <v>958</v>
      </c>
      <c r="E86">
        <v>1</v>
      </c>
      <c r="F86" s="79">
        <v>10000</v>
      </c>
      <c r="G86" s="79">
        <v>5000</v>
      </c>
      <c r="H86" s="79">
        <v>4500</v>
      </c>
    </row>
    <row r="87" spans="1:13" hidden="1" x14ac:dyDescent="0.25">
      <c r="C87" t="s">
        <v>846</v>
      </c>
      <c r="D87" t="s">
        <v>919</v>
      </c>
      <c r="E87">
        <v>1</v>
      </c>
      <c r="F87" s="79">
        <v>12000</v>
      </c>
      <c r="G87" s="79">
        <v>5500</v>
      </c>
      <c r="H87" s="79">
        <v>6500</v>
      </c>
    </row>
    <row r="88" spans="1:13" hidden="1" x14ac:dyDescent="0.25">
      <c r="C88" t="s">
        <v>24</v>
      </c>
      <c r="D88" t="s">
        <v>243</v>
      </c>
      <c r="E88">
        <v>5</v>
      </c>
      <c r="F88" s="79">
        <v>75000</v>
      </c>
      <c r="G88" s="79">
        <v>50000</v>
      </c>
      <c r="H88" s="79">
        <v>25000</v>
      </c>
    </row>
    <row r="89" spans="1:13" hidden="1" x14ac:dyDescent="0.25">
      <c r="A89" s="112" t="s">
        <v>17</v>
      </c>
      <c r="B89" s="112"/>
      <c r="C89" s="112"/>
      <c r="D89" s="112"/>
      <c r="E89" s="78">
        <f>SUM(E80:E88)</f>
        <v>114</v>
      </c>
      <c r="F89" s="78">
        <f t="shared" ref="F89:H89" si="21">SUM(F80:F88)</f>
        <v>316500</v>
      </c>
      <c r="G89" s="78">
        <f t="shared" si="21"/>
        <v>158500</v>
      </c>
      <c r="H89" s="78">
        <f t="shared" si="21"/>
        <v>157500</v>
      </c>
    </row>
    <row r="90" spans="1:13" hidden="1" x14ac:dyDescent="0.25">
      <c r="A90" t="s">
        <v>22</v>
      </c>
      <c r="B90" s="3">
        <v>45877</v>
      </c>
      <c r="C90" t="s">
        <v>338</v>
      </c>
      <c r="D90" t="s">
        <v>11</v>
      </c>
      <c r="E90">
        <v>44</v>
      </c>
      <c r="F90" s="79">
        <f>E90*1500</f>
        <v>66000</v>
      </c>
      <c r="G90" s="79">
        <f>E90*500</f>
        <v>22000</v>
      </c>
      <c r="H90" s="79">
        <f>E90*1000</f>
        <v>44000</v>
      </c>
    </row>
    <row r="91" spans="1:13" hidden="1" x14ac:dyDescent="0.25">
      <c r="C91" t="s">
        <v>581</v>
      </c>
      <c r="D91" t="s">
        <v>11</v>
      </c>
      <c r="E91">
        <v>20</v>
      </c>
      <c r="F91" s="79">
        <f t="shared" ref="F91:F92" si="22">E91*1500</f>
        <v>30000</v>
      </c>
      <c r="G91" s="79">
        <f t="shared" ref="G91:G92" si="23">E91*500</f>
        <v>10000</v>
      </c>
      <c r="H91" s="79">
        <f t="shared" ref="H91:H92" si="24">E91*1000</f>
        <v>20000</v>
      </c>
      <c r="M91">
        <f>E7+E24+E52+E62+E92+E103+E133+E147+E156+E168+E181+E192+E198+E207+E217+E231+E241+E273+E285+E299+E312+E323</f>
        <v>479</v>
      </c>
    </row>
    <row r="92" spans="1:13" hidden="1" x14ac:dyDescent="0.25">
      <c r="C92" t="s">
        <v>581</v>
      </c>
      <c r="D92" t="s">
        <v>914</v>
      </c>
      <c r="E92">
        <v>18</v>
      </c>
      <c r="F92" s="79">
        <f t="shared" si="22"/>
        <v>27000</v>
      </c>
      <c r="G92" s="79">
        <f t="shared" si="23"/>
        <v>9000</v>
      </c>
      <c r="H92" s="79">
        <f t="shared" si="24"/>
        <v>18000</v>
      </c>
    </row>
    <row r="93" spans="1:13" hidden="1" x14ac:dyDescent="0.25">
      <c r="C93" t="s">
        <v>846</v>
      </c>
      <c r="D93" t="s">
        <v>902</v>
      </c>
      <c r="E93">
        <v>6</v>
      </c>
      <c r="F93" s="79">
        <f>E93*8000</f>
        <v>48000</v>
      </c>
      <c r="G93" s="79">
        <f>E93*5500</f>
        <v>33000</v>
      </c>
      <c r="H93" s="79">
        <f>E93*2500</f>
        <v>15000</v>
      </c>
    </row>
    <row r="94" spans="1:13" hidden="1" x14ac:dyDescent="0.25">
      <c r="C94" t="s">
        <v>846</v>
      </c>
      <c r="D94" t="s">
        <v>14</v>
      </c>
      <c r="E94">
        <v>5</v>
      </c>
      <c r="F94" s="79">
        <f>E94*12000</f>
        <v>60000</v>
      </c>
      <c r="G94" s="79">
        <f>E94*5500</f>
        <v>27500</v>
      </c>
      <c r="H94" s="79">
        <f>E94*6500</f>
        <v>32500</v>
      </c>
    </row>
    <row r="95" spans="1:13" hidden="1" x14ac:dyDescent="0.25">
      <c r="C95" t="s">
        <v>846</v>
      </c>
      <c r="D95" t="s">
        <v>243</v>
      </c>
      <c r="E95">
        <v>2</v>
      </c>
      <c r="F95" s="79">
        <f>E95*17000</f>
        <v>34000</v>
      </c>
      <c r="G95" s="79">
        <f>E95*10000</f>
        <v>20000</v>
      </c>
      <c r="H95" s="79">
        <f>E95*7000</f>
        <v>14000</v>
      </c>
    </row>
    <row r="96" spans="1:13" hidden="1" x14ac:dyDescent="0.25">
      <c r="C96" t="s">
        <v>846</v>
      </c>
      <c r="D96" t="s">
        <v>13</v>
      </c>
      <c r="E96">
        <v>4</v>
      </c>
      <c r="F96" s="79">
        <f>E96*8000</f>
        <v>32000</v>
      </c>
      <c r="G96" s="79">
        <f>E96*4500</f>
        <v>18000</v>
      </c>
      <c r="H96" s="79">
        <f>E96*3500</f>
        <v>14000</v>
      </c>
    </row>
    <row r="97" spans="1:12" hidden="1" x14ac:dyDescent="0.25">
      <c r="C97" t="s">
        <v>846</v>
      </c>
      <c r="D97" t="s">
        <v>958</v>
      </c>
      <c r="E97">
        <v>3</v>
      </c>
      <c r="F97" s="79">
        <f>E97*10000</f>
        <v>30000</v>
      </c>
      <c r="G97" s="79">
        <f>E97*5500</f>
        <v>16500</v>
      </c>
      <c r="H97" s="79">
        <f>E97*4500</f>
        <v>13500</v>
      </c>
    </row>
    <row r="98" spans="1:12" hidden="1" x14ac:dyDescent="0.25">
      <c r="C98" t="s">
        <v>846</v>
      </c>
      <c r="D98" t="s">
        <v>919</v>
      </c>
      <c r="E98">
        <v>1</v>
      </c>
      <c r="F98" s="79">
        <v>12000</v>
      </c>
      <c r="G98" s="79">
        <v>5500</v>
      </c>
      <c r="H98" s="79">
        <v>6500</v>
      </c>
      <c r="J98">
        <f>E9+E73+E87+E98+E112+E113+E153+E160+E176+E201+E221+E246+E255+E292+E302+E327+E364+E366</f>
        <v>23</v>
      </c>
    </row>
    <row r="99" spans="1:12" hidden="1" x14ac:dyDescent="0.25">
      <c r="C99" t="s">
        <v>846</v>
      </c>
      <c r="D99" t="s">
        <v>933</v>
      </c>
      <c r="E99">
        <v>1</v>
      </c>
      <c r="F99" s="79">
        <v>10000</v>
      </c>
      <c r="G99" s="79">
        <v>5500</v>
      </c>
      <c r="H99" s="79">
        <v>4500</v>
      </c>
    </row>
    <row r="100" spans="1:12" hidden="1" x14ac:dyDescent="0.25">
      <c r="A100" s="112" t="s">
        <v>17</v>
      </c>
      <c r="B100" s="112"/>
      <c r="C100" s="112"/>
      <c r="D100" s="112"/>
      <c r="E100" s="78">
        <f>SUM(E90:E99)</f>
        <v>104</v>
      </c>
      <c r="F100" s="78">
        <f t="shared" ref="F100:H100" si="25">SUM(F90:F99)</f>
        <v>349000</v>
      </c>
      <c r="G100" s="78">
        <f t="shared" si="25"/>
        <v>167000</v>
      </c>
      <c r="H100" s="78">
        <f t="shared" si="25"/>
        <v>182000</v>
      </c>
    </row>
    <row r="101" spans="1:12" hidden="1" x14ac:dyDescent="0.25">
      <c r="A101" t="s">
        <v>26</v>
      </c>
      <c r="B101" s="3">
        <v>45878</v>
      </c>
      <c r="C101" t="s">
        <v>338</v>
      </c>
      <c r="D101" t="s">
        <v>11</v>
      </c>
      <c r="E101">
        <v>50</v>
      </c>
      <c r="F101">
        <f>E101*1500</f>
        <v>75000</v>
      </c>
      <c r="G101">
        <f>E101*500</f>
        <v>25000</v>
      </c>
      <c r="H101">
        <f>E101*1000</f>
        <v>50000</v>
      </c>
    </row>
    <row r="102" spans="1:12" hidden="1" x14ac:dyDescent="0.25">
      <c r="C102" t="s">
        <v>581</v>
      </c>
      <c r="D102" t="s">
        <v>11</v>
      </c>
      <c r="E102">
        <v>18</v>
      </c>
      <c r="F102">
        <f t="shared" ref="F102:F103" si="26">E102*1500</f>
        <v>27000</v>
      </c>
      <c r="G102">
        <f t="shared" ref="G102:G103" si="27">E102*500</f>
        <v>9000</v>
      </c>
      <c r="H102">
        <f t="shared" ref="H102:H103" si="28">E102*1000</f>
        <v>18000</v>
      </c>
    </row>
    <row r="103" spans="1:12" hidden="1" x14ac:dyDescent="0.25">
      <c r="C103" t="s">
        <v>581</v>
      </c>
      <c r="D103" t="s">
        <v>914</v>
      </c>
      <c r="E103">
        <v>12</v>
      </c>
      <c r="F103">
        <f t="shared" si="26"/>
        <v>18000</v>
      </c>
      <c r="G103">
        <f t="shared" si="27"/>
        <v>6000</v>
      </c>
      <c r="H103">
        <f t="shared" si="28"/>
        <v>12000</v>
      </c>
    </row>
    <row r="104" spans="1:12" hidden="1" x14ac:dyDescent="0.25">
      <c r="C104" t="s">
        <v>846</v>
      </c>
      <c r="D104" t="s">
        <v>902</v>
      </c>
      <c r="E104">
        <v>7</v>
      </c>
      <c r="F104">
        <f>E104*8000</f>
        <v>56000</v>
      </c>
      <c r="G104">
        <f>E104*5500</f>
        <v>38500</v>
      </c>
      <c r="H104">
        <f>E104*2500</f>
        <v>17500</v>
      </c>
    </row>
    <row r="105" spans="1:12" hidden="1" x14ac:dyDescent="0.25">
      <c r="C105" t="s">
        <v>846</v>
      </c>
      <c r="D105" t="s">
        <v>14</v>
      </c>
      <c r="E105">
        <v>2</v>
      </c>
      <c r="F105">
        <f>E105*12000</f>
        <v>24000</v>
      </c>
      <c r="G105">
        <f t="shared" ref="G105:G107" si="29">E105*5500</f>
        <v>11000</v>
      </c>
      <c r="H105">
        <f>E105*6500</f>
        <v>13000</v>
      </c>
    </row>
    <row r="106" spans="1:12" hidden="1" x14ac:dyDescent="0.25">
      <c r="C106" t="s">
        <v>846</v>
      </c>
      <c r="D106" t="s">
        <v>13</v>
      </c>
      <c r="E106">
        <v>1</v>
      </c>
      <c r="F106">
        <f t="shared" ref="F106" si="30">E106*8000</f>
        <v>8000</v>
      </c>
      <c r="G106">
        <f>E106*4500</f>
        <v>4500</v>
      </c>
      <c r="H106">
        <f>E106*3500</f>
        <v>3500</v>
      </c>
      <c r="L106">
        <f>E28+E33+E36+E38+E42+E45+E58+E68+E96+E106+E109+E118+E137+E126+E140+E150+E159+E163+E171+E173+E243+E250+E253+E265+E267+E275+E289+E306+E319+E326+E339+E348+E352+E358+E361</f>
        <v>226</v>
      </c>
    </row>
    <row r="107" spans="1:12" hidden="1" x14ac:dyDescent="0.25">
      <c r="C107" t="s">
        <v>846</v>
      </c>
      <c r="D107" t="s">
        <v>927</v>
      </c>
      <c r="E107">
        <v>2</v>
      </c>
      <c r="F107">
        <f>E107*12000</f>
        <v>24000</v>
      </c>
      <c r="G107">
        <f t="shared" si="29"/>
        <v>11000</v>
      </c>
      <c r="H107">
        <f>E107*6500</f>
        <v>13000</v>
      </c>
    </row>
    <row r="108" spans="1:12" hidden="1" x14ac:dyDescent="0.25">
      <c r="A108" s="112" t="s">
        <v>17</v>
      </c>
      <c r="B108" s="112"/>
      <c r="C108" s="112"/>
      <c r="D108" s="112"/>
      <c r="E108" s="78">
        <f>SUM(E101:E107)</f>
        <v>92</v>
      </c>
      <c r="F108" s="78">
        <f t="shared" ref="F108:H108" si="31">SUM(F101:F107)</f>
        <v>232000</v>
      </c>
      <c r="G108" s="78">
        <f t="shared" si="31"/>
        <v>105000</v>
      </c>
      <c r="H108" s="78">
        <f t="shared" si="31"/>
        <v>127000</v>
      </c>
    </row>
    <row r="109" spans="1:12" hidden="1" x14ac:dyDescent="0.25">
      <c r="A109" t="s">
        <v>28</v>
      </c>
      <c r="B109" s="3">
        <v>45879</v>
      </c>
      <c r="C109" t="s">
        <v>967</v>
      </c>
      <c r="D109" t="s">
        <v>13</v>
      </c>
      <c r="E109">
        <v>26</v>
      </c>
      <c r="F109" s="79">
        <f>E109*7000</f>
        <v>182000</v>
      </c>
      <c r="G109" s="79">
        <f>E109*4500</f>
        <v>117000</v>
      </c>
      <c r="H109" s="79">
        <f>E109*2500</f>
        <v>65000</v>
      </c>
    </row>
    <row r="110" spans="1:12" hidden="1" x14ac:dyDescent="0.25">
      <c r="C110" t="s">
        <v>967</v>
      </c>
      <c r="D110" t="s">
        <v>14</v>
      </c>
      <c r="E110">
        <v>10</v>
      </c>
      <c r="F110" s="79">
        <f>E110*10000</f>
        <v>100000</v>
      </c>
      <c r="G110" s="79">
        <f>E110*5500</f>
        <v>55000</v>
      </c>
      <c r="H110" s="79">
        <f>E110*4500</f>
        <v>45000</v>
      </c>
      <c r="J110" t="s">
        <v>973</v>
      </c>
    </row>
    <row r="111" spans="1:12" hidden="1" x14ac:dyDescent="0.25">
      <c r="C111" t="s">
        <v>967</v>
      </c>
      <c r="D111" t="s">
        <v>11</v>
      </c>
      <c r="E111">
        <v>3</v>
      </c>
      <c r="F111" s="79">
        <f>E111*2000</f>
        <v>6000</v>
      </c>
      <c r="G111" s="79">
        <f>E111*500</f>
        <v>1500</v>
      </c>
      <c r="H111" s="79">
        <f>E111*1500</f>
        <v>4500</v>
      </c>
    </row>
    <row r="112" spans="1:12" hidden="1" x14ac:dyDescent="0.25">
      <c r="C112" t="s">
        <v>967</v>
      </c>
      <c r="D112" t="s">
        <v>919</v>
      </c>
      <c r="E112">
        <v>2</v>
      </c>
      <c r="F112" s="79">
        <f>E112*12000</f>
        <v>24000</v>
      </c>
      <c r="G112" s="79">
        <f>E112*5500</f>
        <v>11000</v>
      </c>
      <c r="H112" s="79">
        <f>E112*6500</f>
        <v>13000</v>
      </c>
    </row>
    <row r="113" spans="1:11" hidden="1" x14ac:dyDescent="0.25">
      <c r="C113" t="s">
        <v>846</v>
      </c>
      <c r="D113" t="s">
        <v>919</v>
      </c>
      <c r="E113">
        <v>1</v>
      </c>
      <c r="F113" s="79">
        <v>12000</v>
      </c>
      <c r="G113" s="79">
        <v>5500</v>
      </c>
      <c r="H113" s="79">
        <v>6500</v>
      </c>
    </row>
    <row r="114" spans="1:11" hidden="1" x14ac:dyDescent="0.25">
      <c r="C114" t="s">
        <v>846</v>
      </c>
      <c r="D114" t="s">
        <v>958</v>
      </c>
      <c r="E114">
        <v>1</v>
      </c>
      <c r="F114" s="79">
        <v>10000</v>
      </c>
      <c r="G114" s="79">
        <v>5500</v>
      </c>
      <c r="H114" s="79">
        <v>4500</v>
      </c>
    </row>
    <row r="115" spans="1:11" hidden="1" x14ac:dyDescent="0.25">
      <c r="C115" t="s">
        <v>846</v>
      </c>
      <c r="D115" t="s">
        <v>953</v>
      </c>
      <c r="E115">
        <v>1</v>
      </c>
      <c r="F115" s="79">
        <v>10000</v>
      </c>
      <c r="G115" s="79">
        <v>5500</v>
      </c>
      <c r="H115" s="79">
        <v>4500</v>
      </c>
    </row>
    <row r="116" spans="1:11" hidden="1" x14ac:dyDescent="0.25">
      <c r="C116" t="s">
        <v>954</v>
      </c>
      <c r="D116" t="s">
        <v>902</v>
      </c>
      <c r="E116">
        <v>11</v>
      </c>
      <c r="F116" s="79">
        <f>E116*8000</f>
        <v>88000</v>
      </c>
      <c r="G116" s="79">
        <f>E116*5500</f>
        <v>60500</v>
      </c>
      <c r="H116" s="79">
        <f>E116*2500</f>
        <v>27500</v>
      </c>
      <c r="K116">
        <f>E2+E15+E35+E41+E56+E67+E116+E125+E136+E149+E170+E182+E184+E202+E210+E233+E248+E264+E277+E288+E314+E324+E343+E360</f>
        <v>161</v>
      </c>
    </row>
    <row r="117" spans="1:11" hidden="1" x14ac:dyDescent="0.25">
      <c r="C117" t="s">
        <v>217</v>
      </c>
      <c r="D117" t="s">
        <v>11</v>
      </c>
      <c r="E117">
        <v>19</v>
      </c>
      <c r="F117" s="79">
        <f>E117*1500</f>
        <v>28500</v>
      </c>
      <c r="G117" s="79">
        <f>E117*500</f>
        <v>9500</v>
      </c>
      <c r="H117" s="79">
        <v>19000</v>
      </c>
    </row>
    <row r="118" spans="1:11" hidden="1" x14ac:dyDescent="0.25">
      <c r="C118" t="s">
        <v>217</v>
      </c>
      <c r="D118" t="s">
        <v>13</v>
      </c>
      <c r="E118">
        <v>5</v>
      </c>
      <c r="F118" s="79">
        <f>E118*6500</f>
        <v>32500</v>
      </c>
      <c r="G118" s="79">
        <f>E118*4500</f>
        <v>22500</v>
      </c>
      <c r="H118" s="79">
        <f>E118*2500</f>
        <v>12500</v>
      </c>
    </row>
    <row r="119" spans="1:11" hidden="1" x14ac:dyDescent="0.25">
      <c r="C119" t="s">
        <v>217</v>
      </c>
      <c r="D119" t="s">
        <v>14</v>
      </c>
      <c r="E119">
        <v>4</v>
      </c>
      <c r="F119" s="79">
        <f>E119*10000</f>
        <v>40000</v>
      </c>
      <c r="G119" s="79">
        <f>E119*5500</f>
        <v>22000</v>
      </c>
      <c r="H119" s="79">
        <f>E119*4500</f>
        <v>18000</v>
      </c>
    </row>
    <row r="120" spans="1:11" hidden="1" x14ac:dyDescent="0.25">
      <c r="A120" s="112" t="s">
        <v>17</v>
      </c>
      <c r="B120" s="112"/>
      <c r="C120" s="112"/>
      <c r="D120" s="112"/>
      <c r="E120" s="78">
        <f>SUM(E109:E119)</f>
        <v>83</v>
      </c>
      <c r="F120" s="78">
        <f t="shared" ref="F120:H120" si="32">SUM(F109:F119)</f>
        <v>533000</v>
      </c>
      <c r="G120" s="78">
        <f t="shared" si="32"/>
        <v>315500</v>
      </c>
      <c r="H120" s="78">
        <f t="shared" si="32"/>
        <v>220000</v>
      </c>
    </row>
    <row r="121" spans="1:11" hidden="1" x14ac:dyDescent="0.25">
      <c r="A121" t="s">
        <v>30</v>
      </c>
      <c r="B121" s="3">
        <v>45880</v>
      </c>
      <c r="C121" t="s">
        <v>338</v>
      </c>
      <c r="D121" t="s">
        <v>11</v>
      </c>
      <c r="E121">
        <v>46</v>
      </c>
      <c r="F121">
        <f>E121*1500</f>
        <v>69000</v>
      </c>
      <c r="G121">
        <f>E121*500</f>
        <v>23000</v>
      </c>
      <c r="H121">
        <f>E121*1000</f>
        <v>46000</v>
      </c>
    </row>
    <row r="122" spans="1:11" hidden="1" x14ac:dyDescent="0.25">
      <c r="C122" t="s">
        <v>581</v>
      </c>
      <c r="D122" t="s">
        <v>11</v>
      </c>
      <c r="E122">
        <v>25</v>
      </c>
      <c r="F122">
        <f t="shared" ref="F122:F124" si="33">E122*1500</f>
        <v>37500</v>
      </c>
      <c r="G122">
        <f t="shared" ref="G122:G124" si="34">E122*500</f>
        <v>12500</v>
      </c>
      <c r="H122">
        <f t="shared" ref="H122:H124" si="35">E122*1000</f>
        <v>25000</v>
      </c>
    </row>
    <row r="123" spans="1:11" hidden="1" x14ac:dyDescent="0.25">
      <c r="C123" t="s">
        <v>581</v>
      </c>
      <c r="D123" t="s">
        <v>914</v>
      </c>
      <c r="E123">
        <v>0</v>
      </c>
      <c r="F123">
        <f t="shared" si="33"/>
        <v>0</v>
      </c>
      <c r="G123">
        <f t="shared" si="34"/>
        <v>0</v>
      </c>
      <c r="H123">
        <f t="shared" si="35"/>
        <v>0</v>
      </c>
    </row>
    <row r="124" spans="1:11" hidden="1" x14ac:dyDescent="0.25">
      <c r="C124" t="s">
        <v>965</v>
      </c>
      <c r="D124" t="s">
        <v>11</v>
      </c>
      <c r="E124">
        <v>1</v>
      </c>
      <c r="F124">
        <f t="shared" si="33"/>
        <v>1500</v>
      </c>
      <c r="G124">
        <f t="shared" si="34"/>
        <v>500</v>
      </c>
      <c r="H124">
        <f t="shared" si="35"/>
        <v>1000</v>
      </c>
    </row>
    <row r="125" spans="1:11" hidden="1" x14ac:dyDescent="0.25">
      <c r="C125" t="s">
        <v>954</v>
      </c>
      <c r="D125" t="s">
        <v>902</v>
      </c>
      <c r="E125">
        <v>5</v>
      </c>
      <c r="F125">
        <f>E125*8000</f>
        <v>40000</v>
      </c>
      <c r="G125">
        <f>E125*5500</f>
        <v>27500</v>
      </c>
      <c r="H125">
        <f>E125*2500</f>
        <v>12500</v>
      </c>
    </row>
    <row r="126" spans="1:11" hidden="1" x14ac:dyDescent="0.25">
      <c r="C126" t="s">
        <v>954</v>
      </c>
      <c r="D126" t="s">
        <v>13</v>
      </c>
      <c r="E126">
        <v>1</v>
      </c>
      <c r="F126">
        <v>8000</v>
      </c>
      <c r="G126">
        <v>4500</v>
      </c>
      <c r="H126">
        <v>3500</v>
      </c>
    </row>
    <row r="127" spans="1:11" hidden="1" x14ac:dyDescent="0.25">
      <c r="C127" t="s">
        <v>954</v>
      </c>
      <c r="D127" t="s">
        <v>243</v>
      </c>
      <c r="E127">
        <v>1</v>
      </c>
      <c r="F127">
        <v>15000</v>
      </c>
      <c r="G127">
        <v>10000</v>
      </c>
      <c r="H127">
        <v>5000</v>
      </c>
    </row>
    <row r="128" spans="1:11" hidden="1" x14ac:dyDescent="0.25">
      <c r="C128" t="s">
        <v>20</v>
      </c>
      <c r="D128" t="s">
        <v>902</v>
      </c>
      <c r="E128">
        <v>9</v>
      </c>
      <c r="F128">
        <f>E128*8000</f>
        <v>72000</v>
      </c>
      <c r="G128">
        <f>E128*5500</f>
        <v>49500</v>
      </c>
      <c r="H128">
        <f>E128*2500</f>
        <v>22500</v>
      </c>
    </row>
    <row r="129" spans="1:12" hidden="1" x14ac:dyDescent="0.25">
      <c r="D129" t="s">
        <v>958</v>
      </c>
      <c r="E129">
        <v>3</v>
      </c>
      <c r="F129">
        <f>E129*10000</f>
        <v>30000</v>
      </c>
      <c r="G129">
        <f>E129*5500</f>
        <v>16500</v>
      </c>
      <c r="H129">
        <f>E129*4500</f>
        <v>13500</v>
      </c>
    </row>
    <row r="130" spans="1:12" hidden="1" x14ac:dyDescent="0.25">
      <c r="A130" s="111" t="s">
        <v>17</v>
      </c>
      <c r="B130" s="111"/>
      <c r="C130" s="111"/>
      <c r="D130" s="111"/>
      <c r="E130" s="1">
        <f>SUM(E121:E129)</f>
        <v>91</v>
      </c>
      <c r="F130" s="78">
        <f t="shared" ref="F130:H130" si="36">SUM(F121:F129)</f>
        <v>273000</v>
      </c>
      <c r="G130" s="78">
        <f t="shared" si="36"/>
        <v>144000</v>
      </c>
      <c r="H130" s="78">
        <f t="shared" si="36"/>
        <v>129000</v>
      </c>
    </row>
    <row r="131" spans="1:12" hidden="1" x14ac:dyDescent="0.25">
      <c r="A131" t="s">
        <v>32</v>
      </c>
      <c r="B131" s="3">
        <v>45881</v>
      </c>
      <c r="C131" t="s">
        <v>338</v>
      </c>
      <c r="D131" t="s">
        <v>11</v>
      </c>
      <c r="E131">
        <v>49</v>
      </c>
      <c r="F131">
        <f>E131*1500</f>
        <v>73500</v>
      </c>
      <c r="G131">
        <f>E131*500</f>
        <v>24500</v>
      </c>
      <c r="H131">
        <f>E131*1000</f>
        <v>49000</v>
      </c>
      <c r="L131">
        <f>E4+E25+E50+E60+E74+E80+E90+E101+E121+E131+E145+E166+E179+E190+E196+E205+E215+E229+E270+E297+E283+E310+E321+E337</f>
        <v>1107</v>
      </c>
    </row>
    <row r="132" spans="1:12" hidden="1" x14ac:dyDescent="0.25">
      <c r="C132" t="s">
        <v>581</v>
      </c>
      <c r="D132" t="s">
        <v>11</v>
      </c>
      <c r="E132">
        <v>20</v>
      </c>
      <c r="F132">
        <f t="shared" ref="F132:F135" si="37">E132*1500</f>
        <v>30000</v>
      </c>
      <c r="G132">
        <f t="shared" ref="G132:G135" si="38">E132*500</f>
        <v>10000</v>
      </c>
      <c r="H132">
        <f t="shared" ref="H132:H135" si="39">E132*1000</f>
        <v>20000</v>
      </c>
    </row>
    <row r="133" spans="1:12" hidden="1" x14ac:dyDescent="0.25">
      <c r="C133" t="s">
        <v>581</v>
      </c>
      <c r="D133" t="s">
        <v>914</v>
      </c>
      <c r="E133">
        <v>20</v>
      </c>
      <c r="F133">
        <f t="shared" si="37"/>
        <v>30000</v>
      </c>
      <c r="G133">
        <f t="shared" si="38"/>
        <v>10000</v>
      </c>
      <c r="H133">
        <f t="shared" si="39"/>
        <v>20000</v>
      </c>
    </row>
    <row r="134" spans="1:12" hidden="1" x14ac:dyDescent="0.25">
      <c r="C134" t="s">
        <v>965</v>
      </c>
      <c r="D134" t="s">
        <v>11</v>
      </c>
      <c r="E134">
        <v>8</v>
      </c>
      <c r="F134">
        <f t="shared" si="37"/>
        <v>12000</v>
      </c>
      <c r="G134">
        <f t="shared" si="38"/>
        <v>4000</v>
      </c>
      <c r="H134">
        <f t="shared" si="39"/>
        <v>8000</v>
      </c>
    </row>
    <row r="135" spans="1:12" hidden="1" x14ac:dyDescent="0.25">
      <c r="C135" t="s">
        <v>571</v>
      </c>
      <c r="D135" t="s">
        <v>11</v>
      </c>
      <c r="E135">
        <v>17</v>
      </c>
      <c r="F135">
        <f t="shared" si="37"/>
        <v>25500</v>
      </c>
      <c r="G135">
        <f t="shared" si="38"/>
        <v>8500</v>
      </c>
      <c r="H135">
        <f t="shared" si="39"/>
        <v>17000</v>
      </c>
    </row>
    <row r="136" spans="1:12" hidden="1" x14ac:dyDescent="0.25">
      <c r="C136" t="s">
        <v>954</v>
      </c>
      <c r="D136" t="s">
        <v>902</v>
      </c>
      <c r="E136">
        <v>5</v>
      </c>
      <c r="F136">
        <f>E136*8000</f>
        <v>40000</v>
      </c>
      <c r="G136">
        <f>E136*5500</f>
        <v>27500</v>
      </c>
      <c r="H136">
        <f>E136*250</f>
        <v>1250</v>
      </c>
    </row>
    <row r="137" spans="1:12" hidden="1" x14ac:dyDescent="0.25">
      <c r="C137" t="s">
        <v>954</v>
      </c>
      <c r="D137" t="s">
        <v>13</v>
      </c>
      <c r="E137">
        <v>3</v>
      </c>
      <c r="F137">
        <f>E137*8000</f>
        <v>24000</v>
      </c>
      <c r="G137">
        <f>E137*4500</f>
        <v>13500</v>
      </c>
      <c r="H137">
        <f>E137*3500</f>
        <v>10500</v>
      </c>
    </row>
    <row r="138" spans="1:12" hidden="1" x14ac:dyDescent="0.25">
      <c r="C138" t="s">
        <v>954</v>
      </c>
      <c r="D138" t="s">
        <v>520</v>
      </c>
      <c r="E138">
        <v>1</v>
      </c>
      <c r="F138">
        <v>4000</v>
      </c>
      <c r="G138">
        <v>2000</v>
      </c>
      <c r="H138">
        <v>2000</v>
      </c>
    </row>
    <row r="139" spans="1:12" hidden="1" x14ac:dyDescent="0.25">
      <c r="C139" t="s">
        <v>20</v>
      </c>
      <c r="D139" t="s">
        <v>902</v>
      </c>
      <c r="E139">
        <v>4</v>
      </c>
      <c r="F139">
        <f>E139*8000</f>
        <v>32000</v>
      </c>
      <c r="G139">
        <f>E139*5500</f>
        <v>22000</v>
      </c>
      <c r="H139">
        <f>E139*2500</f>
        <v>10000</v>
      </c>
    </row>
    <row r="140" spans="1:12" hidden="1" x14ac:dyDescent="0.25">
      <c r="C140" t="s">
        <v>20</v>
      </c>
      <c r="D140" t="s">
        <v>13</v>
      </c>
      <c r="E140">
        <v>1</v>
      </c>
      <c r="F140">
        <v>8000</v>
      </c>
      <c r="G140">
        <v>4500</v>
      </c>
      <c r="H140">
        <v>3500</v>
      </c>
    </row>
    <row r="141" spans="1:12" hidden="1" x14ac:dyDescent="0.25">
      <c r="C141" t="s">
        <v>20</v>
      </c>
      <c r="D141" t="s">
        <v>14</v>
      </c>
      <c r="E141">
        <v>1</v>
      </c>
      <c r="F141">
        <v>12000</v>
      </c>
      <c r="G141">
        <v>5500</v>
      </c>
      <c r="H141">
        <v>6500</v>
      </c>
    </row>
    <row r="142" spans="1:12" hidden="1" x14ac:dyDescent="0.25">
      <c r="C142" t="s">
        <v>20</v>
      </c>
      <c r="D142" t="s">
        <v>958</v>
      </c>
      <c r="E142">
        <v>1</v>
      </c>
      <c r="F142">
        <v>10000</v>
      </c>
      <c r="G142">
        <v>5500</v>
      </c>
      <c r="H142">
        <v>4500</v>
      </c>
    </row>
    <row r="143" spans="1:12" hidden="1" x14ac:dyDescent="0.25">
      <c r="C143" t="s">
        <v>960</v>
      </c>
      <c r="D143" t="s">
        <v>243</v>
      </c>
      <c r="E143">
        <v>100</v>
      </c>
    </row>
    <row r="144" spans="1:12" hidden="1" x14ac:dyDescent="0.25">
      <c r="A144" s="111" t="s">
        <v>17</v>
      </c>
      <c r="B144" s="111"/>
      <c r="C144" s="111"/>
      <c r="D144" s="111"/>
      <c r="E144" s="78">
        <f>SUM(E131:E143)</f>
        <v>230</v>
      </c>
      <c r="F144" s="78">
        <f t="shared" ref="F144:H144" si="40">SUM(F131:F143)</f>
        <v>301000</v>
      </c>
      <c r="G144" s="78">
        <f t="shared" si="40"/>
        <v>137500</v>
      </c>
      <c r="H144" s="78">
        <f t="shared" si="40"/>
        <v>152250</v>
      </c>
      <c r="I144" s="79"/>
    </row>
    <row r="145" spans="1:12" hidden="1" x14ac:dyDescent="0.25">
      <c r="A145" t="s">
        <v>8</v>
      </c>
      <c r="B145" s="3">
        <v>45882</v>
      </c>
      <c r="C145" t="s">
        <v>338</v>
      </c>
      <c r="D145" t="s">
        <v>11</v>
      </c>
      <c r="E145">
        <v>50</v>
      </c>
      <c r="F145">
        <f>E145*1500</f>
        <v>75000</v>
      </c>
      <c r="G145">
        <f>E145*500</f>
        <v>25000</v>
      </c>
      <c r="H145">
        <f>E145*1000</f>
        <v>50000</v>
      </c>
    </row>
    <row r="146" spans="1:12" hidden="1" x14ac:dyDescent="0.25">
      <c r="C146" t="s">
        <v>581</v>
      </c>
      <c r="D146" t="s">
        <v>11</v>
      </c>
      <c r="E146">
        <v>23</v>
      </c>
      <c r="F146">
        <f t="shared" ref="F146:F148" si="41">E146*1500</f>
        <v>34500</v>
      </c>
      <c r="G146">
        <f t="shared" ref="G146:G148" si="42">E146*500</f>
        <v>11500</v>
      </c>
      <c r="H146">
        <f t="shared" ref="H146:H148" si="43">E146*1000</f>
        <v>23000</v>
      </c>
    </row>
    <row r="147" spans="1:12" hidden="1" x14ac:dyDescent="0.25">
      <c r="C147" t="s">
        <v>581</v>
      </c>
      <c r="D147" t="s">
        <v>914</v>
      </c>
      <c r="E147">
        <v>20</v>
      </c>
      <c r="F147">
        <f t="shared" si="41"/>
        <v>30000</v>
      </c>
      <c r="G147">
        <f t="shared" si="42"/>
        <v>10000</v>
      </c>
      <c r="H147">
        <f t="shared" si="43"/>
        <v>20000</v>
      </c>
    </row>
    <row r="148" spans="1:12" hidden="1" x14ac:dyDescent="0.25">
      <c r="C148" t="s">
        <v>965</v>
      </c>
      <c r="D148" t="s">
        <v>11</v>
      </c>
      <c r="E148">
        <v>15</v>
      </c>
      <c r="F148">
        <f t="shared" si="41"/>
        <v>22500</v>
      </c>
      <c r="G148">
        <f t="shared" si="42"/>
        <v>7500</v>
      </c>
      <c r="H148">
        <f t="shared" si="43"/>
        <v>15000</v>
      </c>
    </row>
    <row r="149" spans="1:12" hidden="1" x14ac:dyDescent="0.25">
      <c r="C149" t="s">
        <v>954</v>
      </c>
      <c r="D149" t="s">
        <v>902</v>
      </c>
      <c r="E149">
        <v>3</v>
      </c>
      <c r="F149">
        <f>E149*8000</f>
        <v>24000</v>
      </c>
      <c r="G149">
        <f>E149*5500</f>
        <v>16500</v>
      </c>
      <c r="H149">
        <f>E149*2500</f>
        <v>7500</v>
      </c>
    </row>
    <row r="150" spans="1:12" hidden="1" x14ac:dyDescent="0.25">
      <c r="C150" t="s">
        <v>954</v>
      </c>
      <c r="D150" t="s">
        <v>13</v>
      </c>
      <c r="E150">
        <v>1</v>
      </c>
      <c r="F150">
        <v>8000</v>
      </c>
      <c r="G150">
        <v>4500</v>
      </c>
      <c r="H150">
        <v>3500</v>
      </c>
    </row>
    <row r="151" spans="1:12" hidden="1" x14ac:dyDescent="0.25">
      <c r="C151" t="s">
        <v>954</v>
      </c>
      <c r="D151" t="s">
        <v>14</v>
      </c>
      <c r="E151">
        <v>1</v>
      </c>
      <c r="F151">
        <v>12000</v>
      </c>
      <c r="G151">
        <v>5500</v>
      </c>
      <c r="H151">
        <v>6500</v>
      </c>
    </row>
    <row r="152" spans="1:12" hidden="1" x14ac:dyDescent="0.25">
      <c r="C152" t="s">
        <v>20</v>
      </c>
      <c r="D152" t="s">
        <v>902</v>
      </c>
      <c r="E152">
        <v>5</v>
      </c>
      <c r="F152">
        <f>E152*8000</f>
        <v>40000</v>
      </c>
      <c r="G152">
        <f>E152*5500</f>
        <v>27500</v>
      </c>
      <c r="H152">
        <f>E152*3500</f>
        <v>17500</v>
      </c>
    </row>
    <row r="153" spans="1:12" hidden="1" x14ac:dyDescent="0.25">
      <c r="C153" t="s">
        <v>20</v>
      </c>
      <c r="D153" t="s">
        <v>919</v>
      </c>
      <c r="E153">
        <v>1</v>
      </c>
      <c r="F153">
        <v>12000</v>
      </c>
      <c r="G153">
        <v>5500</v>
      </c>
      <c r="H153">
        <v>4500</v>
      </c>
    </row>
    <row r="154" spans="1:12" hidden="1" x14ac:dyDescent="0.25">
      <c r="A154" s="111" t="s">
        <v>17</v>
      </c>
      <c r="B154" s="111"/>
      <c r="C154" s="111"/>
      <c r="D154" s="111"/>
      <c r="E154" s="1">
        <f>SUM(E145:E153)</f>
        <v>119</v>
      </c>
      <c r="F154" s="78">
        <f t="shared" ref="F154:H154" si="44">SUM(F145:F153)</f>
        <v>258000</v>
      </c>
      <c r="G154" s="78">
        <f t="shared" si="44"/>
        <v>113500</v>
      </c>
      <c r="H154" s="78">
        <f t="shared" si="44"/>
        <v>147500</v>
      </c>
    </row>
    <row r="155" spans="1:12" hidden="1" x14ac:dyDescent="0.25">
      <c r="A155" t="s">
        <v>18</v>
      </c>
      <c r="B155" s="3">
        <v>45883</v>
      </c>
      <c r="C155" t="s">
        <v>581</v>
      </c>
      <c r="D155" t="s">
        <v>11</v>
      </c>
      <c r="E155">
        <v>22</v>
      </c>
      <c r="F155">
        <f>E155*1500</f>
        <v>33000</v>
      </c>
      <c r="G155">
        <f>E155*500</f>
        <v>11000</v>
      </c>
      <c r="H155">
        <f>E155*1000</f>
        <v>22000</v>
      </c>
    </row>
    <row r="156" spans="1:12" hidden="1" x14ac:dyDescent="0.25">
      <c r="C156" t="s">
        <v>581</v>
      </c>
      <c r="D156" t="s">
        <v>914</v>
      </c>
      <c r="E156">
        <v>21</v>
      </c>
      <c r="F156">
        <f>E156*1500</f>
        <v>31500</v>
      </c>
      <c r="G156">
        <f>E156*500</f>
        <v>10500</v>
      </c>
      <c r="H156">
        <f>E156*1000</f>
        <v>21000</v>
      </c>
    </row>
    <row r="157" spans="1:12" hidden="1" x14ac:dyDescent="0.25">
      <c r="C157" t="s">
        <v>846</v>
      </c>
      <c r="D157" t="s">
        <v>243</v>
      </c>
      <c r="E157">
        <v>1</v>
      </c>
      <c r="F157">
        <v>17000</v>
      </c>
      <c r="G157">
        <v>10000</v>
      </c>
      <c r="H157">
        <v>7000</v>
      </c>
    </row>
    <row r="158" spans="1:12" hidden="1" x14ac:dyDescent="0.25">
      <c r="C158" t="s">
        <v>846</v>
      </c>
      <c r="D158" t="s">
        <v>14</v>
      </c>
      <c r="E158">
        <v>3</v>
      </c>
      <c r="F158">
        <f>E158*12000</f>
        <v>36000</v>
      </c>
      <c r="G158">
        <f>E158*5500</f>
        <v>16500</v>
      </c>
      <c r="H158">
        <f>E158*6500</f>
        <v>19500</v>
      </c>
      <c r="L158">
        <f>E29+E34+E46+E69+E94+E105+E110+E119+E141+E151+E158+E164+E172+E174+E185+E187+E194+E203+E211+E213+E225+E227+E232+E236+E237+E254+E260+E268+E276+E281+E293+E307+E333+E340+E353+E359+E362</f>
        <v>166</v>
      </c>
    </row>
    <row r="159" spans="1:12" hidden="1" x14ac:dyDescent="0.25">
      <c r="C159" t="s">
        <v>846</v>
      </c>
      <c r="D159" t="s">
        <v>13</v>
      </c>
      <c r="E159">
        <v>2</v>
      </c>
      <c r="F159">
        <v>16000</v>
      </c>
      <c r="G159">
        <v>9000</v>
      </c>
      <c r="H159">
        <v>7000</v>
      </c>
    </row>
    <row r="160" spans="1:12" hidden="1" x14ac:dyDescent="0.25">
      <c r="C160" t="s">
        <v>846</v>
      </c>
      <c r="D160" t="s">
        <v>919</v>
      </c>
      <c r="E160">
        <v>1</v>
      </c>
      <c r="F160">
        <v>12000</v>
      </c>
      <c r="G160">
        <v>5500</v>
      </c>
      <c r="H160">
        <v>6500</v>
      </c>
    </row>
    <row r="161" spans="1:8" hidden="1" x14ac:dyDescent="0.25">
      <c r="C161" t="s">
        <v>846</v>
      </c>
      <c r="D161" t="s">
        <v>958</v>
      </c>
      <c r="E161">
        <v>1</v>
      </c>
      <c r="F161">
        <v>10000</v>
      </c>
      <c r="G161">
        <v>5500</v>
      </c>
      <c r="H161">
        <v>4500</v>
      </c>
    </row>
    <row r="162" spans="1:8" hidden="1" x14ac:dyDescent="0.25">
      <c r="C162" t="s">
        <v>217</v>
      </c>
      <c r="D162" t="s">
        <v>11</v>
      </c>
      <c r="E162">
        <v>2</v>
      </c>
      <c r="F162">
        <v>3000</v>
      </c>
      <c r="G162">
        <v>1000</v>
      </c>
      <c r="H162">
        <v>2000</v>
      </c>
    </row>
    <row r="163" spans="1:8" hidden="1" x14ac:dyDescent="0.25">
      <c r="C163" t="s">
        <v>217</v>
      </c>
      <c r="D163" t="s">
        <v>13</v>
      </c>
      <c r="E163">
        <v>3</v>
      </c>
      <c r="F163">
        <f>E163*8000</f>
        <v>24000</v>
      </c>
      <c r="G163">
        <f>E163*4500</f>
        <v>13500</v>
      </c>
      <c r="H163">
        <f>E163*3500</f>
        <v>10500</v>
      </c>
    </row>
    <row r="164" spans="1:8" hidden="1" x14ac:dyDescent="0.25">
      <c r="C164" t="s">
        <v>217</v>
      </c>
      <c r="D164" t="s">
        <v>14</v>
      </c>
      <c r="E164">
        <v>10</v>
      </c>
      <c r="F164">
        <f>E164*8000</f>
        <v>80000</v>
      </c>
      <c r="G164">
        <f>E164*5500</f>
        <v>55000</v>
      </c>
      <c r="H164">
        <f>E164*2500</f>
        <v>25000</v>
      </c>
    </row>
    <row r="165" spans="1:8" hidden="1" x14ac:dyDescent="0.25">
      <c r="A165" s="112" t="s">
        <v>17</v>
      </c>
      <c r="B165" s="112"/>
      <c r="C165" s="112"/>
      <c r="D165" s="112"/>
      <c r="E165" s="78">
        <f>SUM(E155:E164)</f>
        <v>66</v>
      </c>
      <c r="F165" s="78">
        <f t="shared" ref="F165:H165" si="45">SUM(F155:F164)</f>
        <v>262500</v>
      </c>
      <c r="G165" s="78">
        <f t="shared" si="45"/>
        <v>137500</v>
      </c>
      <c r="H165" s="78">
        <f t="shared" si="45"/>
        <v>125000</v>
      </c>
    </row>
    <row r="166" spans="1:8" hidden="1" x14ac:dyDescent="0.25">
      <c r="A166" t="s">
        <v>22</v>
      </c>
      <c r="B166" s="3">
        <v>45884</v>
      </c>
      <c r="C166" t="s">
        <v>974</v>
      </c>
      <c r="D166" t="s">
        <v>11</v>
      </c>
      <c r="E166">
        <v>50</v>
      </c>
      <c r="F166" s="79">
        <f>E166*1500</f>
        <v>75000</v>
      </c>
      <c r="G166" s="79">
        <f>E166*500</f>
        <v>25000</v>
      </c>
      <c r="H166" s="79">
        <f>E166*1000</f>
        <v>50000</v>
      </c>
    </row>
    <row r="167" spans="1:8" hidden="1" x14ac:dyDescent="0.25">
      <c r="C167" t="s">
        <v>581</v>
      </c>
      <c r="D167" t="s">
        <v>11</v>
      </c>
      <c r="E167">
        <v>15</v>
      </c>
      <c r="F167" s="79">
        <f t="shared" ref="F167:F169" si="46">E167*1500</f>
        <v>22500</v>
      </c>
      <c r="G167" s="79">
        <f t="shared" ref="G167:G169" si="47">E167*500</f>
        <v>7500</v>
      </c>
      <c r="H167" s="79">
        <f t="shared" ref="H167:H169" si="48">E167*1000</f>
        <v>15000</v>
      </c>
    </row>
    <row r="168" spans="1:8" hidden="1" x14ac:dyDescent="0.25">
      <c r="C168" t="s">
        <v>581</v>
      </c>
      <c r="D168" t="s">
        <v>914</v>
      </c>
      <c r="E168">
        <v>15</v>
      </c>
      <c r="F168" s="79">
        <f t="shared" si="46"/>
        <v>22500</v>
      </c>
      <c r="G168" s="79">
        <f t="shared" si="47"/>
        <v>7500</v>
      </c>
      <c r="H168" s="79">
        <f t="shared" si="48"/>
        <v>15000</v>
      </c>
    </row>
    <row r="169" spans="1:8" hidden="1" x14ac:dyDescent="0.25">
      <c r="C169" t="s">
        <v>571</v>
      </c>
      <c r="D169" t="s">
        <v>11</v>
      </c>
      <c r="E169">
        <v>30</v>
      </c>
      <c r="F169" s="79">
        <f t="shared" si="46"/>
        <v>45000</v>
      </c>
      <c r="G169" s="79">
        <f t="shared" si="47"/>
        <v>15000</v>
      </c>
      <c r="H169" s="79">
        <f t="shared" si="48"/>
        <v>30000</v>
      </c>
    </row>
    <row r="170" spans="1:8" hidden="1" x14ac:dyDescent="0.25">
      <c r="C170" t="s">
        <v>954</v>
      </c>
      <c r="D170" t="s">
        <v>902</v>
      </c>
      <c r="E170">
        <v>7</v>
      </c>
      <c r="F170" s="79">
        <f>E170*8000</f>
        <v>56000</v>
      </c>
      <c r="G170" s="79">
        <f>E170*5500</f>
        <v>38500</v>
      </c>
      <c r="H170" s="79">
        <f>E170*2500</f>
        <v>17500</v>
      </c>
    </row>
    <row r="171" spans="1:8" hidden="1" x14ac:dyDescent="0.25">
      <c r="C171" t="s">
        <v>954</v>
      </c>
      <c r="D171" t="s">
        <v>13</v>
      </c>
      <c r="E171">
        <v>2</v>
      </c>
      <c r="F171" s="79">
        <v>16000</v>
      </c>
      <c r="G171" s="79">
        <v>9000</v>
      </c>
      <c r="H171" s="79">
        <v>7000</v>
      </c>
    </row>
    <row r="172" spans="1:8" hidden="1" x14ac:dyDescent="0.25">
      <c r="C172" t="s">
        <v>954</v>
      </c>
      <c r="D172" t="s">
        <v>14</v>
      </c>
      <c r="E172">
        <v>1</v>
      </c>
      <c r="F172" s="79">
        <v>12000</v>
      </c>
      <c r="G172" s="79">
        <v>5500</v>
      </c>
      <c r="H172" s="79">
        <v>6500</v>
      </c>
    </row>
    <row r="173" spans="1:8" hidden="1" x14ac:dyDescent="0.25">
      <c r="C173" t="s">
        <v>846</v>
      </c>
      <c r="D173" t="s">
        <v>13</v>
      </c>
      <c r="E173">
        <v>1</v>
      </c>
      <c r="F173" s="79">
        <v>8000</v>
      </c>
      <c r="G173" s="79">
        <v>4500</v>
      </c>
      <c r="H173" s="79">
        <v>3500</v>
      </c>
    </row>
    <row r="174" spans="1:8" hidden="1" x14ac:dyDescent="0.25">
      <c r="C174" t="s">
        <v>846</v>
      </c>
      <c r="D174" t="s">
        <v>14</v>
      </c>
      <c r="E174">
        <v>3</v>
      </c>
      <c r="F174" s="79">
        <v>30000</v>
      </c>
      <c r="G174" s="79">
        <f>E174*5500</f>
        <v>16500</v>
      </c>
      <c r="H174" s="79">
        <f>E174*4500</f>
        <v>13500</v>
      </c>
    </row>
    <row r="175" spans="1:8" hidden="1" x14ac:dyDescent="0.25">
      <c r="C175" t="s">
        <v>846</v>
      </c>
      <c r="D175" t="s">
        <v>902</v>
      </c>
      <c r="E175">
        <v>4</v>
      </c>
      <c r="F175" s="79">
        <v>32000</v>
      </c>
      <c r="G175" s="79">
        <f>E175*5500</f>
        <v>22000</v>
      </c>
      <c r="H175" s="79">
        <f>E175*2500</f>
        <v>10000</v>
      </c>
    </row>
    <row r="176" spans="1:8" hidden="1" x14ac:dyDescent="0.25">
      <c r="C176" t="s">
        <v>846</v>
      </c>
      <c r="D176" t="s">
        <v>919</v>
      </c>
      <c r="E176">
        <v>3</v>
      </c>
      <c r="F176" s="79">
        <f>E176*12000</f>
        <v>36000</v>
      </c>
      <c r="G176" s="79">
        <f>E176*5500</f>
        <v>16500</v>
      </c>
      <c r="H176" s="79">
        <f>E176*6500</f>
        <v>19500</v>
      </c>
    </row>
    <row r="177" spans="1:8" hidden="1" x14ac:dyDescent="0.25">
      <c r="C177" t="s">
        <v>846</v>
      </c>
      <c r="D177" t="s">
        <v>243</v>
      </c>
      <c r="E177">
        <v>1</v>
      </c>
      <c r="F177" s="79">
        <v>15000</v>
      </c>
      <c r="G177" s="79">
        <v>10000</v>
      </c>
      <c r="H177" s="79">
        <v>5000</v>
      </c>
    </row>
    <row r="178" spans="1:8" hidden="1" x14ac:dyDescent="0.25">
      <c r="A178" s="112" t="s">
        <v>17</v>
      </c>
      <c r="B178" s="112"/>
      <c r="C178" s="112"/>
      <c r="D178" s="112"/>
      <c r="E178" s="78">
        <f>SUM(E166:E177)</f>
        <v>132</v>
      </c>
      <c r="F178" s="78">
        <f t="shared" ref="F178:H178" si="49">SUM(F166:F177)</f>
        <v>370000</v>
      </c>
      <c r="G178" s="78">
        <f t="shared" si="49"/>
        <v>177500</v>
      </c>
      <c r="H178" s="78">
        <f t="shared" si="49"/>
        <v>192500</v>
      </c>
    </row>
    <row r="179" spans="1:8" hidden="1" x14ac:dyDescent="0.25">
      <c r="A179" t="s">
        <v>26</v>
      </c>
      <c r="B179" s="3">
        <v>45885</v>
      </c>
      <c r="C179" t="s">
        <v>338</v>
      </c>
      <c r="D179" t="s">
        <v>11</v>
      </c>
      <c r="E179">
        <v>50</v>
      </c>
      <c r="F179" s="79">
        <f>E179*1500</f>
        <v>75000</v>
      </c>
      <c r="G179" s="79">
        <f>E179*500</f>
        <v>25000</v>
      </c>
      <c r="H179" s="79">
        <f>E179*1000</f>
        <v>50000</v>
      </c>
    </row>
    <row r="180" spans="1:8" hidden="1" x14ac:dyDescent="0.25">
      <c r="C180" t="s">
        <v>581</v>
      </c>
      <c r="D180" t="s">
        <v>11</v>
      </c>
      <c r="E180">
        <v>15</v>
      </c>
      <c r="F180" s="79">
        <f t="shared" ref="F180:F181" si="50">E180*1500</f>
        <v>22500</v>
      </c>
      <c r="G180" s="79">
        <f t="shared" ref="G180:G181" si="51">E180*500</f>
        <v>7500</v>
      </c>
      <c r="H180" s="79">
        <f t="shared" ref="H180:H181" si="52">E180*1000</f>
        <v>15000</v>
      </c>
    </row>
    <row r="181" spans="1:8" hidden="1" x14ac:dyDescent="0.25">
      <c r="C181" t="s">
        <v>581</v>
      </c>
      <c r="D181" t="s">
        <v>914</v>
      </c>
      <c r="E181">
        <v>15</v>
      </c>
      <c r="F181" s="79">
        <f t="shared" si="50"/>
        <v>22500</v>
      </c>
      <c r="G181" s="79">
        <f t="shared" si="51"/>
        <v>7500</v>
      </c>
      <c r="H181" s="79">
        <f t="shared" si="52"/>
        <v>15000</v>
      </c>
    </row>
    <row r="182" spans="1:8" hidden="1" x14ac:dyDescent="0.25">
      <c r="C182" t="s">
        <v>954</v>
      </c>
      <c r="D182" t="s">
        <v>902</v>
      </c>
      <c r="E182">
        <v>8</v>
      </c>
      <c r="F182" s="79">
        <f>E182*8000</f>
        <v>64000</v>
      </c>
      <c r="G182" s="79">
        <f>E182*5500</f>
        <v>44000</v>
      </c>
      <c r="H182" s="79">
        <f>E182*2500</f>
        <v>20000</v>
      </c>
    </row>
    <row r="183" spans="1:8" hidden="1" x14ac:dyDescent="0.25">
      <c r="A183" s="112" t="s">
        <v>17</v>
      </c>
      <c r="B183" s="112"/>
      <c r="C183" s="112"/>
      <c r="D183" s="112"/>
      <c r="E183" s="78">
        <f>SUM(E179:E182)</f>
        <v>88</v>
      </c>
      <c r="F183" s="78">
        <f t="shared" ref="F183:H183" si="53">SUM(F179:F182)</f>
        <v>184000</v>
      </c>
      <c r="G183" s="78">
        <f t="shared" si="53"/>
        <v>84000</v>
      </c>
      <c r="H183" s="78">
        <f t="shared" si="53"/>
        <v>100000</v>
      </c>
    </row>
    <row r="184" spans="1:8" hidden="1" x14ac:dyDescent="0.25">
      <c r="A184" t="s">
        <v>28</v>
      </c>
      <c r="B184" s="3">
        <v>45886</v>
      </c>
      <c r="C184" t="s">
        <v>954</v>
      </c>
      <c r="D184" t="s">
        <v>902</v>
      </c>
      <c r="E184">
        <v>7</v>
      </c>
      <c r="F184">
        <f>E184*8000</f>
        <v>56000</v>
      </c>
      <c r="G184">
        <f>E184*5500</f>
        <v>38500</v>
      </c>
      <c r="H184">
        <f>E184*2500</f>
        <v>17500</v>
      </c>
    </row>
    <row r="185" spans="1:8" hidden="1" x14ac:dyDescent="0.25">
      <c r="C185" t="s">
        <v>954</v>
      </c>
      <c r="D185" t="s">
        <v>14</v>
      </c>
      <c r="E185">
        <v>1</v>
      </c>
      <c r="F185">
        <v>12000</v>
      </c>
      <c r="G185">
        <v>5500</v>
      </c>
      <c r="H185">
        <v>6500</v>
      </c>
    </row>
    <row r="186" spans="1:8" hidden="1" x14ac:dyDescent="0.25">
      <c r="C186" t="s">
        <v>954</v>
      </c>
      <c r="D186" t="s">
        <v>11</v>
      </c>
      <c r="E186">
        <v>2</v>
      </c>
      <c r="F186">
        <v>3000</v>
      </c>
      <c r="G186">
        <v>2000</v>
      </c>
      <c r="H186">
        <v>1000</v>
      </c>
    </row>
    <row r="187" spans="1:8" hidden="1" x14ac:dyDescent="0.25">
      <c r="C187" t="s">
        <v>846</v>
      </c>
      <c r="D187" t="s">
        <v>14</v>
      </c>
      <c r="E187">
        <v>4</v>
      </c>
      <c r="F187">
        <f>E187*12000</f>
        <v>48000</v>
      </c>
      <c r="G187">
        <f>E187*5500</f>
        <v>22000</v>
      </c>
      <c r="H187">
        <f>E187*6500</f>
        <v>26000</v>
      </c>
    </row>
    <row r="188" spans="1:8" hidden="1" x14ac:dyDescent="0.25">
      <c r="C188" t="s">
        <v>846</v>
      </c>
      <c r="D188" t="s">
        <v>902</v>
      </c>
      <c r="E188">
        <v>2</v>
      </c>
      <c r="F188">
        <v>16000</v>
      </c>
      <c r="G188">
        <v>11000</v>
      </c>
      <c r="H188">
        <v>5000</v>
      </c>
    </row>
    <row r="189" spans="1:8" hidden="1" x14ac:dyDescent="0.25">
      <c r="A189" s="112" t="s">
        <v>17</v>
      </c>
      <c r="B189" s="112"/>
      <c r="C189" s="112"/>
      <c r="D189" s="112"/>
      <c r="E189" s="78">
        <f>SUM(E184:E188)</f>
        <v>16</v>
      </c>
      <c r="F189" s="78">
        <f t="shared" ref="F189:H189" si="54">SUM(F184:F188)</f>
        <v>135000</v>
      </c>
      <c r="G189" s="78">
        <f t="shared" si="54"/>
        <v>79000</v>
      </c>
      <c r="H189" s="78">
        <f t="shared" si="54"/>
        <v>56000</v>
      </c>
    </row>
    <row r="190" spans="1:8" hidden="1" x14ac:dyDescent="0.25">
      <c r="A190" t="s">
        <v>30</v>
      </c>
      <c r="B190" s="3">
        <v>45887</v>
      </c>
      <c r="C190" t="s">
        <v>338</v>
      </c>
      <c r="D190" t="s">
        <v>11</v>
      </c>
      <c r="E190">
        <v>50</v>
      </c>
      <c r="F190" s="79">
        <f>E190*1500</f>
        <v>75000</v>
      </c>
      <c r="G190" s="79">
        <f>E190*500</f>
        <v>25000</v>
      </c>
      <c r="H190" s="79">
        <f>E190*1000</f>
        <v>50000</v>
      </c>
    </row>
    <row r="191" spans="1:8" hidden="1" x14ac:dyDescent="0.25">
      <c r="C191" t="s">
        <v>581</v>
      </c>
      <c r="D191" t="s">
        <v>11</v>
      </c>
      <c r="E191">
        <v>25</v>
      </c>
      <c r="F191" s="79">
        <f t="shared" ref="F191:F193" si="55">E191*1500</f>
        <v>37500</v>
      </c>
      <c r="G191" s="79">
        <f t="shared" ref="G191:G193" si="56">E191*500</f>
        <v>12500</v>
      </c>
      <c r="H191" s="79">
        <f t="shared" ref="H191:H193" si="57">E191*1000</f>
        <v>25000</v>
      </c>
    </row>
    <row r="192" spans="1:8" hidden="1" x14ac:dyDescent="0.25">
      <c r="C192" t="s">
        <v>581</v>
      </c>
      <c r="D192" t="s">
        <v>914</v>
      </c>
      <c r="E192">
        <v>25</v>
      </c>
      <c r="F192" s="79">
        <f t="shared" si="55"/>
        <v>37500</v>
      </c>
      <c r="G192" s="79">
        <f t="shared" si="56"/>
        <v>12500</v>
      </c>
      <c r="H192" s="79">
        <f t="shared" si="57"/>
        <v>25000</v>
      </c>
    </row>
    <row r="193" spans="1:9" hidden="1" x14ac:dyDescent="0.25">
      <c r="C193" t="s">
        <v>571</v>
      </c>
      <c r="D193" t="s">
        <v>11</v>
      </c>
      <c r="E193">
        <v>25</v>
      </c>
      <c r="F193" s="79">
        <f t="shared" si="55"/>
        <v>37500</v>
      </c>
      <c r="G193" s="79">
        <f t="shared" si="56"/>
        <v>12500</v>
      </c>
      <c r="H193" s="79">
        <f t="shared" si="57"/>
        <v>25000</v>
      </c>
    </row>
    <row r="194" spans="1:9" hidden="1" x14ac:dyDescent="0.25">
      <c r="C194" t="s">
        <v>846</v>
      </c>
      <c r="D194" t="s">
        <v>14</v>
      </c>
      <c r="E194">
        <v>3</v>
      </c>
      <c r="F194" s="79">
        <f>E194*12000</f>
        <v>36000</v>
      </c>
      <c r="G194" s="79">
        <f>E194*5500</f>
        <v>16500</v>
      </c>
      <c r="H194" s="79">
        <f>E194*6500</f>
        <v>19500</v>
      </c>
    </row>
    <row r="195" spans="1:9" hidden="1" x14ac:dyDescent="0.25">
      <c r="A195" s="112" t="s">
        <v>17</v>
      </c>
      <c r="B195" s="112"/>
      <c r="C195" s="112"/>
      <c r="D195" s="112"/>
      <c r="E195" s="78">
        <f>SUM(E190:E194)</f>
        <v>128</v>
      </c>
      <c r="F195" s="78">
        <f t="shared" ref="F195:H195" si="58">SUM(F190:F194)</f>
        <v>223500</v>
      </c>
      <c r="G195" s="78">
        <f t="shared" si="58"/>
        <v>79000</v>
      </c>
      <c r="H195" s="78">
        <f t="shared" si="58"/>
        <v>144500</v>
      </c>
    </row>
    <row r="196" spans="1:9" hidden="1" x14ac:dyDescent="0.25">
      <c r="A196" t="s">
        <v>32</v>
      </c>
      <c r="B196" s="3">
        <v>45888</v>
      </c>
      <c r="C196" t="s">
        <v>338</v>
      </c>
      <c r="D196" t="s">
        <v>11</v>
      </c>
      <c r="E196">
        <v>50</v>
      </c>
      <c r="F196" s="79">
        <f>E196*1500</f>
        <v>75000</v>
      </c>
      <c r="G196" s="79">
        <f>E196*500</f>
        <v>25000</v>
      </c>
      <c r="H196" s="79">
        <f>E196*1000</f>
        <v>50000</v>
      </c>
    </row>
    <row r="197" spans="1:9" hidden="1" x14ac:dyDescent="0.25">
      <c r="C197" t="s">
        <v>581</v>
      </c>
      <c r="D197" t="s">
        <v>11</v>
      </c>
      <c r="E197">
        <v>23</v>
      </c>
      <c r="F197" s="79">
        <f t="shared" ref="F197:F199" si="59">E197*1500</f>
        <v>34500</v>
      </c>
      <c r="G197" s="79">
        <f t="shared" ref="G197:G199" si="60">E197*500</f>
        <v>11500</v>
      </c>
      <c r="H197" s="79">
        <f t="shared" ref="H197:H199" si="61">E197*1000</f>
        <v>23000</v>
      </c>
    </row>
    <row r="198" spans="1:9" hidden="1" x14ac:dyDescent="0.25">
      <c r="C198" t="s">
        <v>581</v>
      </c>
      <c r="D198" t="s">
        <v>914</v>
      </c>
      <c r="E198">
        <v>30</v>
      </c>
      <c r="F198" s="79">
        <f t="shared" si="59"/>
        <v>45000</v>
      </c>
      <c r="G198" s="79">
        <f t="shared" si="60"/>
        <v>15000</v>
      </c>
      <c r="H198" s="79">
        <f t="shared" si="61"/>
        <v>30000</v>
      </c>
    </row>
    <row r="199" spans="1:9" hidden="1" x14ac:dyDescent="0.25">
      <c r="C199" t="s">
        <v>571</v>
      </c>
      <c r="D199" t="s">
        <v>11</v>
      </c>
      <c r="E199">
        <v>15</v>
      </c>
      <c r="F199" s="79">
        <f t="shared" si="59"/>
        <v>22500</v>
      </c>
      <c r="G199" s="79">
        <f t="shared" si="60"/>
        <v>7500</v>
      </c>
      <c r="H199" s="79">
        <f t="shared" si="61"/>
        <v>15000</v>
      </c>
    </row>
    <row r="200" spans="1:9" hidden="1" x14ac:dyDescent="0.25">
      <c r="C200" t="s">
        <v>846</v>
      </c>
      <c r="D200" t="s">
        <v>902</v>
      </c>
      <c r="E200">
        <v>1</v>
      </c>
      <c r="F200" s="79">
        <v>8000</v>
      </c>
      <c r="G200" s="79">
        <v>5500</v>
      </c>
      <c r="H200" s="79">
        <v>2500</v>
      </c>
    </row>
    <row r="201" spans="1:9" hidden="1" x14ac:dyDescent="0.25">
      <c r="C201" t="s">
        <v>846</v>
      </c>
      <c r="D201" t="s">
        <v>919</v>
      </c>
      <c r="E201">
        <v>1</v>
      </c>
      <c r="F201" s="79">
        <v>12000</v>
      </c>
      <c r="G201" s="79">
        <v>5500</v>
      </c>
      <c r="H201" s="79">
        <v>6500</v>
      </c>
    </row>
    <row r="202" spans="1:9" hidden="1" x14ac:dyDescent="0.25">
      <c r="C202" t="s">
        <v>954</v>
      </c>
      <c r="D202" t="s">
        <v>902</v>
      </c>
      <c r="E202">
        <v>6</v>
      </c>
      <c r="F202" s="79">
        <f>E202*8000</f>
        <v>48000</v>
      </c>
      <c r="G202" s="79">
        <f>E202*5500</f>
        <v>33000</v>
      </c>
      <c r="H202" s="79">
        <f>E202*2500</f>
        <v>15000</v>
      </c>
    </row>
    <row r="203" spans="1:9" hidden="1" x14ac:dyDescent="0.25">
      <c r="D203" t="s">
        <v>14</v>
      </c>
      <c r="E203">
        <v>3</v>
      </c>
      <c r="F203" s="79">
        <f>E203*12000</f>
        <v>36000</v>
      </c>
      <c r="G203" s="79">
        <f>E203*5500</f>
        <v>16500</v>
      </c>
      <c r="H203" s="79">
        <f>E203*6500</f>
        <v>19500</v>
      </c>
    </row>
    <row r="204" spans="1:9" hidden="1" x14ac:dyDescent="0.25">
      <c r="A204" s="112" t="s">
        <v>17</v>
      </c>
      <c r="B204" s="112"/>
      <c r="C204" s="112"/>
      <c r="D204" s="112"/>
      <c r="E204" s="78">
        <f>SUM(E196:E203)</f>
        <v>129</v>
      </c>
      <c r="F204" s="78">
        <f t="shared" ref="F204:H204" si="62">SUM(F196:F203)</f>
        <v>281000</v>
      </c>
      <c r="G204" s="78">
        <f t="shared" si="62"/>
        <v>119500</v>
      </c>
      <c r="H204" s="78">
        <f t="shared" si="62"/>
        <v>161500</v>
      </c>
    </row>
    <row r="205" spans="1:9" hidden="1" x14ac:dyDescent="0.25">
      <c r="A205" t="s">
        <v>8</v>
      </c>
      <c r="B205" s="3">
        <v>45889</v>
      </c>
      <c r="C205" t="s">
        <v>338</v>
      </c>
      <c r="D205" t="s">
        <v>11</v>
      </c>
      <c r="E205">
        <v>50</v>
      </c>
      <c r="F205" s="79">
        <f>E205*1500</f>
        <v>75000</v>
      </c>
      <c r="G205" s="79">
        <f>E205*500</f>
        <v>25000</v>
      </c>
      <c r="H205" s="79">
        <f>E205*1000</f>
        <v>50000</v>
      </c>
      <c r="I205" s="79"/>
    </row>
    <row r="206" spans="1:9" hidden="1" x14ac:dyDescent="0.25">
      <c r="C206" t="s">
        <v>581</v>
      </c>
      <c r="D206" t="s">
        <v>11</v>
      </c>
      <c r="E206">
        <v>20</v>
      </c>
      <c r="F206" s="79">
        <f t="shared" ref="F206:F209" si="63">E206*1500</f>
        <v>30000</v>
      </c>
      <c r="G206" s="79">
        <f t="shared" ref="G206:G209" si="64">E206*500</f>
        <v>10000</v>
      </c>
      <c r="H206" s="79">
        <f t="shared" ref="H206:H209" si="65">E206*1000</f>
        <v>20000</v>
      </c>
      <c r="I206" s="79"/>
    </row>
    <row r="207" spans="1:9" hidden="1" x14ac:dyDescent="0.25">
      <c r="C207" t="s">
        <v>581</v>
      </c>
      <c r="D207" t="s">
        <v>914</v>
      </c>
      <c r="E207">
        <v>28</v>
      </c>
      <c r="F207" s="79">
        <f t="shared" si="63"/>
        <v>42000</v>
      </c>
      <c r="G207" s="79">
        <f t="shared" si="64"/>
        <v>14000</v>
      </c>
      <c r="H207" s="79">
        <f t="shared" si="65"/>
        <v>28000</v>
      </c>
      <c r="I207" s="79"/>
    </row>
    <row r="208" spans="1:9" hidden="1" x14ac:dyDescent="0.25">
      <c r="C208" t="s">
        <v>571</v>
      </c>
      <c r="D208" t="s">
        <v>11</v>
      </c>
      <c r="E208">
        <v>17</v>
      </c>
      <c r="F208" s="79">
        <f t="shared" si="63"/>
        <v>25500</v>
      </c>
      <c r="G208" s="79">
        <f t="shared" si="64"/>
        <v>8500</v>
      </c>
      <c r="H208" s="79">
        <f t="shared" si="65"/>
        <v>17000</v>
      </c>
      <c r="I208" s="79"/>
    </row>
    <row r="209" spans="1:13" hidden="1" x14ac:dyDescent="0.25">
      <c r="C209" t="s">
        <v>965</v>
      </c>
      <c r="D209" t="s">
        <v>11</v>
      </c>
      <c r="E209">
        <v>30</v>
      </c>
      <c r="F209" s="79">
        <f t="shared" si="63"/>
        <v>45000</v>
      </c>
      <c r="G209" s="79">
        <f t="shared" si="64"/>
        <v>15000</v>
      </c>
      <c r="H209" s="79">
        <f t="shared" si="65"/>
        <v>30000</v>
      </c>
      <c r="I209" s="79"/>
      <c r="M209">
        <f>E5+E26+E53+E81+E75+E124+E134+E148+E209+E242+E274+E300</f>
        <v>147</v>
      </c>
    </row>
    <row r="210" spans="1:13" hidden="1" x14ac:dyDescent="0.25">
      <c r="C210" t="s">
        <v>954</v>
      </c>
      <c r="D210" t="s">
        <v>902</v>
      </c>
      <c r="E210">
        <v>11</v>
      </c>
      <c r="F210" s="79">
        <f>E210*8000</f>
        <v>88000</v>
      </c>
      <c r="G210" s="79">
        <f>E210*5500</f>
        <v>60500</v>
      </c>
      <c r="H210" s="79">
        <f>E210*2500</f>
        <v>27500</v>
      </c>
      <c r="I210" s="79"/>
    </row>
    <row r="211" spans="1:13" hidden="1" x14ac:dyDescent="0.25">
      <c r="C211" t="s">
        <v>954</v>
      </c>
      <c r="D211" t="s">
        <v>14</v>
      </c>
      <c r="E211">
        <v>2</v>
      </c>
      <c r="F211" s="79">
        <f>E211*12000</f>
        <v>24000</v>
      </c>
      <c r="G211" s="79">
        <f>E211*5500</f>
        <v>11000</v>
      </c>
      <c r="H211" s="79">
        <f>E211*6500</f>
        <v>13000</v>
      </c>
      <c r="I211" s="79"/>
    </row>
    <row r="212" spans="1:13" hidden="1" x14ac:dyDescent="0.25">
      <c r="C212" t="s">
        <v>846</v>
      </c>
      <c r="D212" t="s">
        <v>902</v>
      </c>
      <c r="E212">
        <v>4</v>
      </c>
      <c r="F212" s="79">
        <f>E212*8000</f>
        <v>32000</v>
      </c>
      <c r="G212" s="79">
        <f>E212*5500</f>
        <v>22000</v>
      </c>
      <c r="H212" s="79">
        <f>E212*2500</f>
        <v>10000</v>
      </c>
      <c r="I212" s="79"/>
    </row>
    <row r="213" spans="1:13" hidden="1" x14ac:dyDescent="0.25">
      <c r="C213" t="s">
        <v>846</v>
      </c>
      <c r="D213" t="s">
        <v>14</v>
      </c>
      <c r="E213">
        <v>2</v>
      </c>
      <c r="F213" s="79">
        <v>24000</v>
      </c>
      <c r="G213" s="79">
        <v>11000</v>
      </c>
      <c r="H213" s="79">
        <v>13000</v>
      </c>
      <c r="I213" s="79"/>
      <c r="K213">
        <f>E46+E94+E105+E158+E174+E187+E194+E213+E225+E236+E293</f>
        <v>27</v>
      </c>
    </row>
    <row r="214" spans="1:13" hidden="1" x14ac:dyDescent="0.25">
      <c r="A214" s="112" t="s">
        <v>17</v>
      </c>
      <c r="B214" s="112"/>
      <c r="C214" s="112"/>
      <c r="D214" s="112"/>
      <c r="E214" s="78">
        <f>SUM(E205:E213)</f>
        <v>164</v>
      </c>
      <c r="F214" s="78">
        <f t="shared" ref="F214:H214" si="66">SUM(F205:F213)</f>
        <v>385500</v>
      </c>
      <c r="G214" s="78">
        <f t="shared" si="66"/>
        <v>177000</v>
      </c>
      <c r="H214" s="78">
        <f t="shared" si="66"/>
        <v>208500</v>
      </c>
    </row>
    <row r="215" spans="1:13" hidden="1" x14ac:dyDescent="0.25">
      <c r="A215" t="s">
        <v>18</v>
      </c>
      <c r="B215" s="3">
        <v>45890</v>
      </c>
      <c r="C215" t="s">
        <v>338</v>
      </c>
      <c r="D215" t="s">
        <v>11</v>
      </c>
      <c r="E215">
        <v>50</v>
      </c>
      <c r="F215" s="79">
        <f>E215*1500</f>
        <v>75000</v>
      </c>
      <c r="G215" s="79">
        <f>E215*500</f>
        <v>25000</v>
      </c>
      <c r="H215" s="79">
        <f>E215*1000</f>
        <v>50000</v>
      </c>
    </row>
    <row r="216" spans="1:13" hidden="1" x14ac:dyDescent="0.25">
      <c r="C216" t="s">
        <v>581</v>
      </c>
      <c r="D216" t="s">
        <v>11</v>
      </c>
      <c r="E216">
        <v>30</v>
      </c>
      <c r="F216" s="79">
        <f t="shared" ref="F216:F219" si="67">E216*1500</f>
        <v>45000</v>
      </c>
      <c r="G216" s="79">
        <f t="shared" ref="G216:G219" si="68">E216*500</f>
        <v>15000</v>
      </c>
      <c r="H216" s="79">
        <f t="shared" ref="H216:H219" si="69">E216*1000</f>
        <v>30000</v>
      </c>
    </row>
    <row r="217" spans="1:13" hidden="1" x14ac:dyDescent="0.25">
      <c r="C217" t="s">
        <v>581</v>
      </c>
      <c r="D217" t="s">
        <v>914</v>
      </c>
      <c r="E217">
        <v>24</v>
      </c>
      <c r="F217" s="79">
        <f t="shared" si="67"/>
        <v>36000</v>
      </c>
      <c r="G217" s="79">
        <f t="shared" si="68"/>
        <v>12000</v>
      </c>
      <c r="H217" s="79">
        <f t="shared" si="69"/>
        <v>24000</v>
      </c>
    </row>
    <row r="218" spans="1:13" hidden="1" x14ac:dyDescent="0.25">
      <c r="C218" t="s">
        <v>571</v>
      </c>
      <c r="D218" t="s">
        <v>11</v>
      </c>
      <c r="E218">
        <v>15</v>
      </c>
      <c r="F218" s="79">
        <f t="shared" si="67"/>
        <v>22500</v>
      </c>
      <c r="G218" s="79">
        <f t="shared" si="68"/>
        <v>7500</v>
      </c>
      <c r="H218" s="79">
        <f t="shared" si="69"/>
        <v>15000</v>
      </c>
    </row>
    <row r="219" spans="1:13" hidden="1" x14ac:dyDescent="0.25">
      <c r="C219" t="s">
        <v>306</v>
      </c>
      <c r="D219" t="s">
        <v>914</v>
      </c>
      <c r="E219">
        <v>15</v>
      </c>
      <c r="F219" s="79">
        <f t="shared" si="67"/>
        <v>22500</v>
      </c>
      <c r="G219" s="79">
        <f t="shared" si="68"/>
        <v>7500</v>
      </c>
      <c r="H219" s="79">
        <f t="shared" si="69"/>
        <v>15000</v>
      </c>
    </row>
    <row r="220" spans="1:13" hidden="1" x14ac:dyDescent="0.25">
      <c r="C220" t="s">
        <v>846</v>
      </c>
      <c r="D220" t="s">
        <v>902</v>
      </c>
      <c r="E220">
        <v>4</v>
      </c>
      <c r="F220" s="79">
        <f>E220*8000</f>
        <v>32000</v>
      </c>
      <c r="G220" s="79">
        <f>E220*5500</f>
        <v>22000</v>
      </c>
      <c r="H220" s="79">
        <f>E220*2500</f>
        <v>10000</v>
      </c>
      <c r="M220">
        <f>E44+E72+E84+E93+E104+E175+E188+E200+E212+E220++E235+E244+E291+E301+E318+E328+E330+E344+E347+E365</f>
        <v>68</v>
      </c>
    </row>
    <row r="221" spans="1:13" hidden="1" x14ac:dyDescent="0.25">
      <c r="C221" t="s">
        <v>846</v>
      </c>
      <c r="D221" t="s">
        <v>919</v>
      </c>
      <c r="E221">
        <v>1</v>
      </c>
      <c r="F221" s="79">
        <v>12000</v>
      </c>
      <c r="G221" s="79">
        <v>5500</v>
      </c>
      <c r="H221" s="79">
        <v>6500</v>
      </c>
    </row>
    <row r="222" spans="1:13" hidden="1" x14ac:dyDescent="0.25">
      <c r="C222" t="s">
        <v>846</v>
      </c>
      <c r="D222" t="s">
        <v>958</v>
      </c>
      <c r="E222">
        <v>1</v>
      </c>
      <c r="F222" s="79">
        <v>10000</v>
      </c>
      <c r="G222" s="79">
        <v>5500</v>
      </c>
      <c r="H222" s="79">
        <v>4500</v>
      </c>
    </row>
    <row r="223" spans="1:13" hidden="1" x14ac:dyDescent="0.25">
      <c r="C223" t="s">
        <v>846</v>
      </c>
      <c r="D223" t="s">
        <v>243</v>
      </c>
      <c r="E223">
        <v>3</v>
      </c>
      <c r="F223" s="79">
        <v>45000</v>
      </c>
      <c r="G223" s="79">
        <v>30000</v>
      </c>
      <c r="H223" s="79">
        <v>15000</v>
      </c>
    </row>
    <row r="224" spans="1:13" hidden="1" x14ac:dyDescent="0.25">
      <c r="C224" t="s">
        <v>846</v>
      </c>
      <c r="D224" t="s">
        <v>953</v>
      </c>
      <c r="E224">
        <v>1</v>
      </c>
      <c r="F224" s="79">
        <v>10000</v>
      </c>
      <c r="G224" s="79">
        <v>5500</v>
      </c>
      <c r="H224" s="79">
        <v>4500</v>
      </c>
    </row>
    <row r="225" spans="1:11" hidden="1" x14ac:dyDescent="0.25">
      <c r="C225" t="s">
        <v>846</v>
      </c>
      <c r="D225" t="s">
        <v>14</v>
      </c>
      <c r="E225">
        <v>1</v>
      </c>
      <c r="F225" s="79">
        <v>12000</v>
      </c>
      <c r="G225" s="79">
        <v>5500</v>
      </c>
      <c r="H225" s="79">
        <v>6500</v>
      </c>
    </row>
    <row r="226" spans="1:11" hidden="1" x14ac:dyDescent="0.25">
      <c r="C226" t="s">
        <v>24</v>
      </c>
      <c r="D226" t="s">
        <v>243</v>
      </c>
      <c r="E226">
        <v>2</v>
      </c>
      <c r="F226" s="79">
        <v>30000</v>
      </c>
      <c r="G226" s="79">
        <v>20000</v>
      </c>
      <c r="H226" s="79">
        <v>10000</v>
      </c>
    </row>
    <row r="227" spans="1:11" hidden="1" x14ac:dyDescent="0.25">
      <c r="C227" t="s">
        <v>24</v>
      </c>
      <c r="D227" t="s">
        <v>14</v>
      </c>
      <c r="E227">
        <v>1</v>
      </c>
      <c r="F227" s="79">
        <v>10000</v>
      </c>
      <c r="G227" s="79">
        <v>5500</v>
      </c>
      <c r="H227" s="79">
        <v>4500</v>
      </c>
    </row>
    <row r="228" spans="1:11" hidden="1" x14ac:dyDescent="0.25">
      <c r="A228" s="112" t="s">
        <v>17</v>
      </c>
      <c r="B228" s="112"/>
      <c r="C228" s="112"/>
      <c r="D228" s="112"/>
      <c r="E228" s="78">
        <f>SUM(E215:E227)</f>
        <v>148</v>
      </c>
      <c r="F228" s="78">
        <f t="shared" ref="F228:H228" si="70">SUM(F215:F227)</f>
        <v>362000</v>
      </c>
      <c r="G228" s="78">
        <f t="shared" si="70"/>
        <v>166500</v>
      </c>
      <c r="H228" s="78">
        <f t="shared" si="70"/>
        <v>195500</v>
      </c>
    </row>
    <row r="229" spans="1:11" hidden="1" x14ac:dyDescent="0.25">
      <c r="A229" t="s">
        <v>22</v>
      </c>
      <c r="B229" s="3">
        <v>45891</v>
      </c>
      <c r="C229" t="s">
        <v>338</v>
      </c>
      <c r="D229" t="s">
        <v>11</v>
      </c>
      <c r="E229">
        <v>50</v>
      </c>
      <c r="F229">
        <f>E229*1500</f>
        <v>75000</v>
      </c>
      <c r="G229">
        <f>E229*500</f>
        <v>25000</v>
      </c>
      <c r="H229">
        <f>E229*1000</f>
        <v>50000</v>
      </c>
    </row>
    <row r="230" spans="1:11" hidden="1" x14ac:dyDescent="0.25">
      <c r="C230" t="s">
        <v>581</v>
      </c>
      <c r="D230" t="s">
        <v>11</v>
      </c>
      <c r="E230">
        <v>15</v>
      </c>
      <c r="F230">
        <f t="shared" ref="F230:F231" si="71">E230*1500</f>
        <v>22500</v>
      </c>
      <c r="G230">
        <f t="shared" ref="G230:G231" si="72">E230*500</f>
        <v>7500</v>
      </c>
      <c r="H230">
        <f t="shared" ref="H230:H231" si="73">E230*1000</f>
        <v>15000</v>
      </c>
    </row>
    <row r="231" spans="1:11" hidden="1" x14ac:dyDescent="0.25">
      <c r="C231" t="s">
        <v>581</v>
      </c>
      <c r="D231" t="s">
        <v>914</v>
      </c>
      <c r="E231">
        <v>22</v>
      </c>
      <c r="F231">
        <f t="shared" si="71"/>
        <v>33000</v>
      </c>
      <c r="G231">
        <f t="shared" si="72"/>
        <v>11000</v>
      </c>
      <c r="H231">
        <f t="shared" si="73"/>
        <v>22000</v>
      </c>
    </row>
    <row r="232" spans="1:11" hidden="1" x14ac:dyDescent="0.25">
      <c r="C232" t="s">
        <v>954</v>
      </c>
      <c r="D232" t="s">
        <v>14</v>
      </c>
      <c r="E232">
        <v>2</v>
      </c>
      <c r="F232">
        <v>24000</v>
      </c>
      <c r="G232">
        <f>E232*5500</f>
        <v>11000</v>
      </c>
      <c r="H232">
        <f>E232*6500</f>
        <v>13000</v>
      </c>
    </row>
    <row r="233" spans="1:11" hidden="1" x14ac:dyDescent="0.25">
      <c r="C233" t="s">
        <v>954</v>
      </c>
      <c r="D233" t="s">
        <v>902</v>
      </c>
      <c r="E233">
        <v>2</v>
      </c>
      <c r="F233">
        <v>16000</v>
      </c>
      <c r="G233">
        <v>11000</v>
      </c>
      <c r="H233">
        <v>5000</v>
      </c>
    </row>
    <row r="234" spans="1:11" hidden="1" x14ac:dyDescent="0.25">
      <c r="C234" t="s">
        <v>954</v>
      </c>
      <c r="D234" t="s">
        <v>11</v>
      </c>
      <c r="E234">
        <v>6</v>
      </c>
      <c r="F234">
        <f>E234*1500</f>
        <v>9000</v>
      </c>
      <c r="G234">
        <f>E234*500</f>
        <v>3000</v>
      </c>
      <c r="H234">
        <v>6000</v>
      </c>
    </row>
    <row r="235" spans="1:11" hidden="1" x14ac:dyDescent="0.25">
      <c r="C235" t="s">
        <v>846</v>
      </c>
      <c r="D235" t="s">
        <v>902</v>
      </c>
      <c r="E235">
        <v>3</v>
      </c>
      <c r="F235">
        <f>E235*8000</f>
        <v>24000</v>
      </c>
      <c r="G235">
        <f>E235*5500</f>
        <v>16500</v>
      </c>
      <c r="H235">
        <f>E235*2500</f>
        <v>7500</v>
      </c>
    </row>
    <row r="236" spans="1:11" hidden="1" x14ac:dyDescent="0.25">
      <c r="C236" t="s">
        <v>846</v>
      </c>
      <c r="D236" t="s">
        <v>14</v>
      </c>
      <c r="E236">
        <v>1</v>
      </c>
      <c r="F236">
        <v>12000</v>
      </c>
      <c r="G236">
        <v>5500</v>
      </c>
      <c r="H236">
        <v>6500</v>
      </c>
    </row>
    <row r="237" spans="1:11" hidden="1" x14ac:dyDescent="0.25">
      <c r="C237" t="s">
        <v>554</v>
      </c>
      <c r="D237" t="s">
        <v>14</v>
      </c>
      <c r="E237">
        <v>2</v>
      </c>
    </row>
    <row r="238" spans="1:11" hidden="1" x14ac:dyDescent="0.25">
      <c r="D238" t="s">
        <v>918</v>
      </c>
      <c r="E238">
        <v>4</v>
      </c>
      <c r="K238">
        <f>E8+E16+E48+E59+E70+E85+E238+E278+E346</f>
        <v>19</v>
      </c>
    </row>
    <row r="239" spans="1:11" hidden="1" x14ac:dyDescent="0.25">
      <c r="A239" s="112" t="s">
        <v>17</v>
      </c>
      <c r="B239" s="112"/>
      <c r="C239" s="112"/>
      <c r="D239" s="112"/>
      <c r="E239" s="78">
        <f>SUM(E229:E238)</f>
        <v>107</v>
      </c>
      <c r="F239" s="78">
        <f t="shared" ref="F239:H239" si="74">SUM(F229:F238)</f>
        <v>215500</v>
      </c>
      <c r="G239" s="78">
        <f t="shared" si="74"/>
        <v>90500</v>
      </c>
      <c r="H239" s="78">
        <f t="shared" si="74"/>
        <v>125000</v>
      </c>
    </row>
    <row r="240" spans="1:11" hidden="1" x14ac:dyDescent="0.25">
      <c r="A240" t="s">
        <v>26</v>
      </c>
      <c r="B240" s="3">
        <v>45892</v>
      </c>
      <c r="C240" t="s">
        <v>581</v>
      </c>
      <c r="D240" t="s">
        <v>11</v>
      </c>
      <c r="E240">
        <v>17</v>
      </c>
      <c r="F240">
        <f>E240*1500</f>
        <v>25500</v>
      </c>
      <c r="G240">
        <f>E240*500</f>
        <v>8500</v>
      </c>
      <c r="H240">
        <f>E240*1000</f>
        <v>17000</v>
      </c>
    </row>
    <row r="241" spans="1:12" hidden="1" x14ac:dyDescent="0.25">
      <c r="C241" t="s">
        <v>581</v>
      </c>
      <c r="D241" t="s">
        <v>914</v>
      </c>
      <c r="E241">
        <v>20</v>
      </c>
      <c r="F241">
        <f t="shared" ref="F241:F242" si="75">E241*1500</f>
        <v>30000</v>
      </c>
      <c r="G241">
        <f t="shared" ref="G241:G242" si="76">E241*500</f>
        <v>10000</v>
      </c>
      <c r="H241">
        <f t="shared" ref="H241:H242" si="77">E241*1000</f>
        <v>20000</v>
      </c>
    </row>
    <row r="242" spans="1:12" hidden="1" x14ac:dyDescent="0.25">
      <c r="C242" t="s">
        <v>965</v>
      </c>
      <c r="D242" t="s">
        <v>11</v>
      </c>
      <c r="E242">
        <v>12</v>
      </c>
      <c r="F242">
        <f t="shared" si="75"/>
        <v>18000</v>
      </c>
      <c r="G242">
        <f t="shared" si="76"/>
        <v>6000</v>
      </c>
      <c r="H242">
        <f t="shared" si="77"/>
        <v>12000</v>
      </c>
    </row>
    <row r="243" spans="1:12" hidden="1" x14ac:dyDescent="0.25">
      <c r="C243" t="s">
        <v>846</v>
      </c>
      <c r="D243" t="s">
        <v>13</v>
      </c>
      <c r="E243">
        <v>1</v>
      </c>
      <c r="F243">
        <v>8000</v>
      </c>
      <c r="G243">
        <v>4500</v>
      </c>
      <c r="H243">
        <v>3500</v>
      </c>
      <c r="K243">
        <f>E45+E58+E96+E106+E159+E173+E243+E319+E348</f>
        <v>13</v>
      </c>
    </row>
    <row r="244" spans="1:12" hidden="1" x14ac:dyDescent="0.25">
      <c r="C244" t="s">
        <v>846</v>
      </c>
      <c r="D244" t="s">
        <v>902</v>
      </c>
      <c r="E244">
        <v>2</v>
      </c>
      <c r="F244">
        <f>E244*8000</f>
        <v>16000</v>
      </c>
      <c r="G244">
        <f>E244*5500</f>
        <v>11000</v>
      </c>
      <c r="H244">
        <f>E244*2500</f>
        <v>5000</v>
      </c>
    </row>
    <row r="245" spans="1:12" hidden="1" x14ac:dyDescent="0.25">
      <c r="C245" t="s">
        <v>846</v>
      </c>
      <c r="D245" t="s">
        <v>953</v>
      </c>
      <c r="E245">
        <v>1</v>
      </c>
      <c r="F245">
        <v>10000</v>
      </c>
      <c r="G245">
        <v>5500</v>
      </c>
      <c r="H245">
        <v>4500</v>
      </c>
    </row>
    <row r="246" spans="1:12" hidden="1" x14ac:dyDescent="0.25">
      <c r="C246" t="s">
        <v>846</v>
      </c>
      <c r="D246" t="s">
        <v>919</v>
      </c>
      <c r="E246">
        <v>1</v>
      </c>
      <c r="F246">
        <v>12000</v>
      </c>
      <c r="G246">
        <v>5500</v>
      </c>
      <c r="H246">
        <v>6500</v>
      </c>
    </row>
    <row r="247" spans="1:12" hidden="1" x14ac:dyDescent="0.25">
      <c r="C247" t="s">
        <v>846</v>
      </c>
      <c r="D247" t="s">
        <v>243</v>
      </c>
      <c r="E247">
        <v>1</v>
      </c>
      <c r="F247">
        <v>17000</v>
      </c>
      <c r="G247">
        <v>10000</v>
      </c>
      <c r="H247">
        <v>7000</v>
      </c>
    </row>
    <row r="248" spans="1:12" hidden="1" x14ac:dyDescent="0.25">
      <c r="C248" t="s">
        <v>954</v>
      </c>
      <c r="D248" t="s">
        <v>902</v>
      </c>
      <c r="E248">
        <v>5</v>
      </c>
      <c r="F248">
        <f>E248*8000</f>
        <v>40000</v>
      </c>
      <c r="G248">
        <f>E248*5500</f>
        <v>27500</v>
      </c>
      <c r="H248">
        <f>E248*2500</f>
        <v>12500</v>
      </c>
    </row>
    <row r="249" spans="1:12" hidden="1" x14ac:dyDescent="0.25">
      <c r="C249" t="s">
        <v>954</v>
      </c>
      <c r="D249" t="s">
        <v>11</v>
      </c>
      <c r="E249">
        <v>1</v>
      </c>
      <c r="F249">
        <v>3000</v>
      </c>
      <c r="G249">
        <v>500</v>
      </c>
      <c r="H249">
        <v>2500</v>
      </c>
    </row>
    <row r="250" spans="1:12" hidden="1" x14ac:dyDescent="0.25">
      <c r="C250" t="s">
        <v>954</v>
      </c>
      <c r="D250" t="s">
        <v>13</v>
      </c>
      <c r="E250">
        <v>2</v>
      </c>
      <c r="F250">
        <f>E250*8000</f>
        <v>16000</v>
      </c>
      <c r="G250">
        <f>E250*4500</f>
        <v>9000</v>
      </c>
      <c r="H250">
        <f>E250*3500</f>
        <v>7000</v>
      </c>
    </row>
    <row r="251" spans="1:12" hidden="1" x14ac:dyDescent="0.25">
      <c r="C251" t="s">
        <v>24</v>
      </c>
      <c r="D251" t="s">
        <v>243</v>
      </c>
      <c r="E251">
        <v>2</v>
      </c>
      <c r="F251">
        <f>E251*15000</f>
        <v>30000</v>
      </c>
      <c r="G251">
        <v>20000</v>
      </c>
      <c r="H251">
        <v>10000</v>
      </c>
      <c r="L251">
        <f>E3+E12+E88+E95+E127+E157+E177+E223+E226+E247+E251+E367</f>
        <v>24</v>
      </c>
    </row>
    <row r="252" spans="1:12" hidden="1" x14ac:dyDescent="0.25">
      <c r="A252" s="112" t="s">
        <v>17</v>
      </c>
      <c r="B252" s="112"/>
      <c r="C252" s="112"/>
      <c r="D252" s="112"/>
      <c r="E252" s="78">
        <f>SUM(E240:E251)</f>
        <v>65</v>
      </c>
      <c r="F252" s="78">
        <f t="shared" ref="F252:H252" si="78">SUM(F240:F251)</f>
        <v>225500</v>
      </c>
      <c r="G252" s="78">
        <f t="shared" si="78"/>
        <v>118000</v>
      </c>
      <c r="H252" s="78">
        <f t="shared" si="78"/>
        <v>107500</v>
      </c>
    </row>
    <row r="253" spans="1:12" hidden="1" x14ac:dyDescent="0.25">
      <c r="A253" t="s">
        <v>28</v>
      </c>
      <c r="B253" s="3">
        <v>45893</v>
      </c>
      <c r="C253" t="s">
        <v>967</v>
      </c>
      <c r="D253" t="s">
        <v>13</v>
      </c>
      <c r="E253">
        <v>11</v>
      </c>
      <c r="F253">
        <f>E253*7000</f>
        <v>77000</v>
      </c>
      <c r="G253">
        <f>E253*4500</f>
        <v>49500</v>
      </c>
      <c r="H253">
        <f>E253*2500</f>
        <v>27500</v>
      </c>
    </row>
    <row r="254" spans="1:12" hidden="1" x14ac:dyDescent="0.25">
      <c r="C254" t="s">
        <v>967</v>
      </c>
      <c r="D254" t="s">
        <v>14</v>
      </c>
      <c r="E254">
        <v>4</v>
      </c>
      <c r="F254">
        <f>E254*12000</f>
        <v>48000</v>
      </c>
      <c r="G254">
        <f>E254*5500</f>
        <v>22000</v>
      </c>
      <c r="H254">
        <f>E254*6500</f>
        <v>26000</v>
      </c>
    </row>
    <row r="255" spans="1:12" hidden="1" x14ac:dyDescent="0.25">
      <c r="C255" t="s">
        <v>967</v>
      </c>
      <c r="D255" t="s">
        <v>919</v>
      </c>
      <c r="E255">
        <v>1</v>
      </c>
      <c r="F255">
        <v>12000</v>
      </c>
      <c r="G255">
        <v>5500</v>
      </c>
      <c r="H255">
        <v>6500</v>
      </c>
    </row>
    <row r="256" spans="1:12" x14ac:dyDescent="0.25">
      <c r="C256" t="s">
        <v>967</v>
      </c>
      <c r="D256" t="s">
        <v>975</v>
      </c>
      <c r="E256">
        <v>4</v>
      </c>
      <c r="F256">
        <f>E256*7000</f>
        <v>28000</v>
      </c>
      <c r="G256">
        <f>E256*4000</f>
        <v>16000</v>
      </c>
      <c r="H256">
        <f>E256*3000</f>
        <v>12000</v>
      </c>
    </row>
    <row r="257" spans="1:11" x14ac:dyDescent="0.25">
      <c r="C257" t="s">
        <v>967</v>
      </c>
      <c r="D257" t="s">
        <v>976</v>
      </c>
      <c r="E257">
        <v>2</v>
      </c>
      <c r="F257">
        <f t="shared" ref="F257:F259" si="79">E257*7000</f>
        <v>14000</v>
      </c>
      <c r="G257">
        <f t="shared" ref="G257:G259" si="80">E257*4000</f>
        <v>8000</v>
      </c>
      <c r="H257">
        <f t="shared" ref="H257:H259" si="81">E257*3000</f>
        <v>6000</v>
      </c>
    </row>
    <row r="258" spans="1:11" x14ac:dyDescent="0.25">
      <c r="C258" t="s">
        <v>967</v>
      </c>
      <c r="D258" t="s">
        <v>977</v>
      </c>
      <c r="E258">
        <v>2</v>
      </c>
      <c r="F258">
        <f t="shared" si="79"/>
        <v>14000</v>
      </c>
      <c r="G258">
        <f t="shared" si="80"/>
        <v>8000</v>
      </c>
      <c r="H258">
        <f t="shared" si="81"/>
        <v>6000</v>
      </c>
    </row>
    <row r="259" spans="1:11" x14ac:dyDescent="0.25">
      <c r="C259" t="s">
        <v>967</v>
      </c>
      <c r="D259" t="s">
        <v>978</v>
      </c>
      <c r="E259">
        <v>1</v>
      </c>
      <c r="F259">
        <f t="shared" si="79"/>
        <v>7000</v>
      </c>
      <c r="G259">
        <f t="shared" si="80"/>
        <v>4000</v>
      </c>
      <c r="H259">
        <f t="shared" si="81"/>
        <v>3000</v>
      </c>
    </row>
    <row r="260" spans="1:11" hidden="1" x14ac:dyDescent="0.25">
      <c r="C260" t="s">
        <v>20</v>
      </c>
      <c r="D260" t="s">
        <v>14</v>
      </c>
      <c r="E260">
        <v>4</v>
      </c>
      <c r="F260">
        <f>E260*10000</f>
        <v>40000</v>
      </c>
      <c r="G260">
        <f>E260*5500</f>
        <v>22000</v>
      </c>
      <c r="H260">
        <f>E260*4500</f>
        <v>18000</v>
      </c>
    </row>
    <row r="261" spans="1:11" hidden="1" x14ac:dyDescent="0.25">
      <c r="C261" t="s">
        <v>20</v>
      </c>
      <c r="D261" t="s">
        <v>902</v>
      </c>
      <c r="E261">
        <v>1</v>
      </c>
      <c r="F261">
        <v>8000</v>
      </c>
      <c r="G261">
        <v>5500</v>
      </c>
      <c r="H261">
        <v>2500</v>
      </c>
    </row>
    <row r="262" spans="1:11" hidden="1" x14ac:dyDescent="0.25">
      <c r="C262" t="s">
        <v>20</v>
      </c>
      <c r="D262" t="s">
        <v>420</v>
      </c>
      <c r="E262">
        <v>1</v>
      </c>
      <c r="F262">
        <v>10000</v>
      </c>
      <c r="G262">
        <v>5500</v>
      </c>
      <c r="H262">
        <v>4500</v>
      </c>
    </row>
    <row r="263" spans="1:11" hidden="1" x14ac:dyDescent="0.25">
      <c r="C263" t="s">
        <v>20</v>
      </c>
      <c r="D263" t="s">
        <v>958</v>
      </c>
      <c r="E263">
        <v>2</v>
      </c>
      <c r="F263">
        <v>20000</v>
      </c>
      <c r="G263">
        <v>11000</v>
      </c>
      <c r="H263">
        <v>9000</v>
      </c>
    </row>
    <row r="264" spans="1:11" hidden="1" x14ac:dyDescent="0.25">
      <c r="C264" t="s">
        <v>954</v>
      </c>
      <c r="D264" t="s">
        <v>902</v>
      </c>
      <c r="E264">
        <v>5</v>
      </c>
      <c r="F264">
        <f>E264*8000</f>
        <v>40000</v>
      </c>
      <c r="G264">
        <f>E264*5500</f>
        <v>27500</v>
      </c>
      <c r="H264">
        <f>E264*2500</f>
        <v>12500</v>
      </c>
    </row>
    <row r="265" spans="1:11" hidden="1" x14ac:dyDescent="0.25">
      <c r="C265" t="s">
        <v>954</v>
      </c>
      <c r="D265" t="s">
        <v>13</v>
      </c>
      <c r="E265">
        <v>2</v>
      </c>
      <c r="F265">
        <v>16000</v>
      </c>
      <c r="G265">
        <v>9000</v>
      </c>
      <c r="H265">
        <v>7000</v>
      </c>
    </row>
    <row r="266" spans="1:11" hidden="1" x14ac:dyDescent="0.25">
      <c r="C266" t="s">
        <v>217</v>
      </c>
      <c r="D266" t="s">
        <v>11</v>
      </c>
      <c r="E266">
        <v>5</v>
      </c>
      <c r="F266">
        <f>E266*1500</f>
        <v>7500</v>
      </c>
      <c r="G266">
        <f>E266*500</f>
        <v>2500</v>
      </c>
      <c r="H266">
        <f>E266*1000</f>
        <v>5000</v>
      </c>
    </row>
    <row r="267" spans="1:11" hidden="1" x14ac:dyDescent="0.25">
      <c r="C267" t="s">
        <v>217</v>
      </c>
      <c r="D267" t="s">
        <v>13</v>
      </c>
      <c r="E267">
        <v>7</v>
      </c>
      <c r="F267">
        <f>E267*6500</f>
        <v>45500</v>
      </c>
      <c r="G267">
        <f>E267*4500</f>
        <v>31500</v>
      </c>
      <c r="H267">
        <f>E267*2000</f>
        <v>14000</v>
      </c>
    </row>
    <row r="268" spans="1:11" hidden="1" x14ac:dyDescent="0.25">
      <c r="C268" t="s">
        <v>217</v>
      </c>
      <c r="D268" t="s">
        <v>14</v>
      </c>
      <c r="E268">
        <v>5</v>
      </c>
      <c r="F268">
        <f>E268*12000</f>
        <v>60000</v>
      </c>
      <c r="G268">
        <f>E268*5500</f>
        <v>27500</v>
      </c>
      <c r="H268">
        <f>E268*6500</f>
        <v>32500</v>
      </c>
    </row>
    <row r="269" spans="1:11" hidden="1" x14ac:dyDescent="0.25">
      <c r="A269" s="111" t="s">
        <v>17</v>
      </c>
      <c r="B269" s="111"/>
      <c r="C269" s="111"/>
      <c r="D269" s="111"/>
      <c r="E269" s="1">
        <f>SUM(E253:E268)</f>
        <v>57</v>
      </c>
      <c r="F269" s="78">
        <f t="shared" ref="F269:H269" si="82">SUM(F253:F268)</f>
        <v>447000</v>
      </c>
      <c r="G269" s="78">
        <f t="shared" si="82"/>
        <v>255000</v>
      </c>
      <c r="H269" s="78">
        <f t="shared" si="82"/>
        <v>192000</v>
      </c>
    </row>
    <row r="270" spans="1:11" hidden="1" x14ac:dyDescent="0.25">
      <c r="A270" t="s">
        <v>30</v>
      </c>
      <c r="B270" s="3">
        <v>45894</v>
      </c>
      <c r="C270" t="s">
        <v>338</v>
      </c>
      <c r="D270" t="s">
        <v>11</v>
      </c>
      <c r="E270">
        <v>50</v>
      </c>
      <c r="F270">
        <f>E270*1500</f>
        <v>75000</v>
      </c>
      <c r="G270">
        <f>E270*500</f>
        <v>25000</v>
      </c>
      <c r="H270">
        <f>E270*1000</f>
        <v>50000</v>
      </c>
    </row>
    <row r="271" spans="1:11" hidden="1" x14ac:dyDescent="0.25">
      <c r="C271" t="s">
        <v>571</v>
      </c>
      <c r="D271" t="s">
        <v>11</v>
      </c>
      <c r="E271">
        <v>20</v>
      </c>
      <c r="F271">
        <f t="shared" ref="F271:F274" si="83">E271*1500</f>
        <v>30000</v>
      </c>
      <c r="G271">
        <f t="shared" ref="G271:G274" si="84">E271*500</f>
        <v>10000</v>
      </c>
      <c r="H271">
        <f t="shared" ref="H271:H274" si="85">E271*1000</f>
        <v>20000</v>
      </c>
      <c r="K271">
        <f>E63+E76+E82+E83+E135+E169+E193+E199+E208+E218+E271+E287+E313</f>
        <v>276</v>
      </c>
    </row>
    <row r="272" spans="1:11" hidden="1" x14ac:dyDescent="0.25">
      <c r="C272" t="s">
        <v>581</v>
      </c>
      <c r="D272" t="s">
        <v>11</v>
      </c>
      <c r="E272">
        <v>25</v>
      </c>
      <c r="F272">
        <f t="shared" si="83"/>
        <v>37500</v>
      </c>
      <c r="G272">
        <f t="shared" si="84"/>
        <v>12500</v>
      </c>
      <c r="H272">
        <f t="shared" si="85"/>
        <v>25000</v>
      </c>
    </row>
    <row r="273" spans="1:8" hidden="1" x14ac:dyDescent="0.25">
      <c r="C273" t="s">
        <v>581</v>
      </c>
      <c r="D273" t="s">
        <v>914</v>
      </c>
      <c r="E273">
        <v>25</v>
      </c>
      <c r="F273">
        <f t="shared" si="83"/>
        <v>37500</v>
      </c>
      <c r="G273">
        <f t="shared" si="84"/>
        <v>12500</v>
      </c>
      <c r="H273">
        <f t="shared" si="85"/>
        <v>25000</v>
      </c>
    </row>
    <row r="274" spans="1:8" hidden="1" x14ac:dyDescent="0.25">
      <c r="C274" t="s">
        <v>965</v>
      </c>
      <c r="D274" t="s">
        <v>11</v>
      </c>
      <c r="E274">
        <v>12</v>
      </c>
      <c r="F274">
        <f t="shared" si="83"/>
        <v>18000</v>
      </c>
      <c r="G274">
        <f t="shared" si="84"/>
        <v>6000</v>
      </c>
      <c r="H274">
        <f t="shared" si="85"/>
        <v>12000</v>
      </c>
    </row>
    <row r="275" spans="1:8" hidden="1" x14ac:dyDescent="0.25">
      <c r="C275" t="s">
        <v>954</v>
      </c>
      <c r="D275" t="s">
        <v>13</v>
      </c>
      <c r="E275">
        <v>2</v>
      </c>
      <c r="F275">
        <f>E275*8000</f>
        <v>16000</v>
      </c>
      <c r="G275">
        <f>E275*4500</f>
        <v>9000</v>
      </c>
      <c r="H275">
        <f>E275*3500</f>
        <v>7000</v>
      </c>
    </row>
    <row r="276" spans="1:8" hidden="1" x14ac:dyDescent="0.25">
      <c r="C276" t="s">
        <v>954</v>
      </c>
      <c r="D276" t="s">
        <v>14</v>
      </c>
      <c r="E276">
        <v>1</v>
      </c>
      <c r="F276">
        <v>12000</v>
      </c>
      <c r="G276">
        <v>5500</v>
      </c>
      <c r="H276">
        <v>6500</v>
      </c>
    </row>
    <row r="277" spans="1:8" hidden="1" x14ac:dyDescent="0.25">
      <c r="C277" t="s">
        <v>954</v>
      </c>
      <c r="D277" t="s">
        <v>902</v>
      </c>
      <c r="E277">
        <v>3</v>
      </c>
      <c r="F277">
        <f>E277*8000</f>
        <v>24000</v>
      </c>
      <c r="G277">
        <f>E277*5500</f>
        <v>16500</v>
      </c>
      <c r="H277">
        <f>E277*2500</f>
        <v>7500</v>
      </c>
    </row>
    <row r="278" spans="1:8" hidden="1" x14ac:dyDescent="0.25">
      <c r="C278" t="s">
        <v>846</v>
      </c>
      <c r="D278" t="s">
        <v>918</v>
      </c>
      <c r="E278">
        <v>1</v>
      </c>
      <c r="F278">
        <v>12000</v>
      </c>
      <c r="G278">
        <v>5500</v>
      </c>
      <c r="H278">
        <v>6500</v>
      </c>
    </row>
    <row r="279" spans="1:8" hidden="1" x14ac:dyDescent="0.25">
      <c r="C279" t="s">
        <v>846</v>
      </c>
      <c r="D279" t="s">
        <v>958</v>
      </c>
      <c r="E279">
        <v>1</v>
      </c>
      <c r="F279">
        <v>10000</v>
      </c>
      <c r="G279">
        <v>5500</v>
      </c>
      <c r="H279">
        <v>4500</v>
      </c>
    </row>
    <row r="280" spans="1:8" hidden="1" x14ac:dyDescent="0.25">
      <c r="C280" t="s">
        <v>554</v>
      </c>
      <c r="D280" t="s">
        <v>902</v>
      </c>
      <c r="E280">
        <v>2</v>
      </c>
    </row>
    <row r="281" spans="1:8" hidden="1" x14ac:dyDescent="0.25">
      <c r="D281" t="s">
        <v>14</v>
      </c>
      <c r="E281">
        <v>3</v>
      </c>
    </row>
    <row r="282" spans="1:8" hidden="1" x14ac:dyDescent="0.25">
      <c r="A282" s="111" t="s">
        <v>17</v>
      </c>
      <c r="B282" s="111"/>
      <c r="C282" s="111"/>
      <c r="D282" s="111"/>
      <c r="E282" s="1">
        <f>SUM(E270:E281)</f>
        <v>145</v>
      </c>
      <c r="F282" s="78">
        <f t="shared" ref="F282:H282" si="86">SUM(F270:F281)</f>
        <v>272000</v>
      </c>
      <c r="G282" s="78">
        <f t="shared" si="86"/>
        <v>108000</v>
      </c>
      <c r="H282" s="78">
        <f t="shared" si="86"/>
        <v>164000</v>
      </c>
    </row>
    <row r="283" spans="1:8" hidden="1" x14ac:dyDescent="0.25">
      <c r="A283" t="s">
        <v>32</v>
      </c>
      <c r="B283" s="3">
        <v>45895</v>
      </c>
      <c r="C283" t="s">
        <v>338</v>
      </c>
      <c r="D283" t="s">
        <v>11</v>
      </c>
      <c r="E283">
        <v>50</v>
      </c>
      <c r="F283">
        <f>E283*1500</f>
        <v>75000</v>
      </c>
      <c r="G283">
        <f>E283*500</f>
        <v>25000</v>
      </c>
      <c r="H283">
        <f>E283*1000</f>
        <v>50000</v>
      </c>
    </row>
    <row r="284" spans="1:8" hidden="1" x14ac:dyDescent="0.25">
      <c r="C284" t="s">
        <v>581</v>
      </c>
      <c r="D284" t="s">
        <v>11</v>
      </c>
      <c r="E284">
        <v>23</v>
      </c>
      <c r="F284">
        <f t="shared" ref="F284:F287" si="87">E284*1500</f>
        <v>34500</v>
      </c>
      <c r="G284">
        <f t="shared" ref="G284:G287" si="88">E284*500</f>
        <v>11500</v>
      </c>
      <c r="H284">
        <f t="shared" ref="H284:H287" si="89">E284*1000</f>
        <v>23000</v>
      </c>
    </row>
    <row r="285" spans="1:8" hidden="1" x14ac:dyDescent="0.25">
      <c r="C285" t="s">
        <v>581</v>
      </c>
      <c r="D285" t="s">
        <v>914</v>
      </c>
      <c r="E285">
        <v>30</v>
      </c>
      <c r="F285">
        <f t="shared" si="87"/>
        <v>45000</v>
      </c>
      <c r="G285">
        <f t="shared" si="88"/>
        <v>15000</v>
      </c>
      <c r="H285">
        <f t="shared" si="89"/>
        <v>30000</v>
      </c>
    </row>
    <row r="286" spans="1:8" hidden="1" x14ac:dyDescent="0.25">
      <c r="C286" t="s">
        <v>989</v>
      </c>
      <c r="D286" t="s">
        <v>11</v>
      </c>
      <c r="E286">
        <v>64</v>
      </c>
      <c r="F286">
        <f>E286*1700</f>
        <v>108800</v>
      </c>
      <c r="G286">
        <f>E286*500</f>
        <v>32000</v>
      </c>
      <c r="H286">
        <f>E286*1200</f>
        <v>76800</v>
      </c>
    </row>
    <row r="287" spans="1:8" hidden="1" x14ac:dyDescent="0.25">
      <c r="C287" t="s">
        <v>571</v>
      </c>
      <c r="D287" t="s">
        <v>11</v>
      </c>
      <c r="E287">
        <v>25</v>
      </c>
      <c r="F287">
        <f t="shared" si="87"/>
        <v>37500</v>
      </c>
      <c r="G287">
        <f t="shared" si="88"/>
        <v>12500</v>
      </c>
      <c r="H287">
        <f t="shared" si="89"/>
        <v>25000</v>
      </c>
    </row>
    <row r="288" spans="1:8" hidden="1" x14ac:dyDescent="0.25">
      <c r="C288" t="s">
        <v>954</v>
      </c>
      <c r="D288" t="s">
        <v>902</v>
      </c>
      <c r="E288">
        <v>5</v>
      </c>
      <c r="F288">
        <f>E288*8000</f>
        <v>40000</v>
      </c>
      <c r="G288">
        <f>E288*5500</f>
        <v>27500</v>
      </c>
      <c r="H288">
        <f>E288*2500</f>
        <v>12500</v>
      </c>
    </row>
    <row r="289" spans="1:8" hidden="1" x14ac:dyDescent="0.25">
      <c r="C289" t="s">
        <v>954</v>
      </c>
      <c r="D289" t="s">
        <v>13</v>
      </c>
      <c r="E289">
        <v>2</v>
      </c>
      <c r="F289">
        <v>16000</v>
      </c>
      <c r="G289">
        <v>9000</v>
      </c>
      <c r="H289">
        <v>7000</v>
      </c>
    </row>
    <row r="290" spans="1:8" hidden="1" x14ac:dyDescent="0.25">
      <c r="C290" t="s">
        <v>846</v>
      </c>
      <c r="D290" t="s">
        <v>420</v>
      </c>
      <c r="E290">
        <v>1</v>
      </c>
      <c r="F290">
        <v>10000</v>
      </c>
      <c r="G290">
        <v>5500</v>
      </c>
      <c r="H290">
        <v>4500</v>
      </c>
    </row>
    <row r="291" spans="1:8" hidden="1" x14ac:dyDescent="0.25">
      <c r="C291" t="s">
        <v>846</v>
      </c>
      <c r="D291" t="s">
        <v>902</v>
      </c>
      <c r="E291">
        <v>7</v>
      </c>
      <c r="F291">
        <f>E291*8000</f>
        <v>56000</v>
      </c>
      <c r="G291">
        <f>E291*5500</f>
        <v>38500</v>
      </c>
      <c r="H291">
        <f>E291*2500</f>
        <v>17500</v>
      </c>
    </row>
    <row r="292" spans="1:8" hidden="1" x14ac:dyDescent="0.25">
      <c r="C292" t="s">
        <v>846</v>
      </c>
      <c r="D292" t="s">
        <v>919</v>
      </c>
      <c r="E292">
        <v>1</v>
      </c>
      <c r="F292">
        <v>12000</v>
      </c>
      <c r="G292">
        <v>5500</v>
      </c>
      <c r="H292">
        <v>6500</v>
      </c>
    </row>
    <row r="293" spans="1:8" hidden="1" x14ac:dyDescent="0.25">
      <c r="C293" t="s">
        <v>846</v>
      </c>
      <c r="D293" t="s">
        <v>14</v>
      </c>
      <c r="E293">
        <v>2</v>
      </c>
      <c r="F293">
        <v>20000</v>
      </c>
      <c r="G293">
        <v>5500</v>
      </c>
      <c r="H293">
        <v>4500</v>
      </c>
    </row>
    <row r="294" spans="1:8" hidden="1" x14ac:dyDescent="0.25">
      <c r="C294" t="s">
        <v>846</v>
      </c>
      <c r="D294" t="s">
        <v>958</v>
      </c>
      <c r="E294">
        <v>4</v>
      </c>
      <c r="F294">
        <v>40000</v>
      </c>
      <c r="G294">
        <f>E294*5500</f>
        <v>22000</v>
      </c>
      <c r="H294">
        <f>E294*4500</f>
        <v>18000</v>
      </c>
    </row>
    <row r="295" spans="1:8" x14ac:dyDescent="0.25">
      <c r="C295" t="s">
        <v>846</v>
      </c>
      <c r="D295" t="s">
        <v>979</v>
      </c>
      <c r="E295">
        <v>1</v>
      </c>
      <c r="F295">
        <v>7000</v>
      </c>
      <c r="G295">
        <v>4000</v>
      </c>
      <c r="H295">
        <v>3000</v>
      </c>
    </row>
    <row r="296" spans="1:8" hidden="1" x14ac:dyDescent="0.25">
      <c r="A296" s="111" t="s">
        <v>17</v>
      </c>
      <c r="B296" s="111"/>
      <c r="C296" s="111"/>
      <c r="D296" s="111"/>
      <c r="E296" s="1">
        <f>SUM(E283:E295)</f>
        <v>215</v>
      </c>
      <c r="F296" s="78">
        <f>SUM(F283:F295)</f>
        <v>501800</v>
      </c>
      <c r="G296" s="78">
        <f t="shared" ref="G296:H296" si="90">SUM(G283:G295)</f>
        <v>213500</v>
      </c>
      <c r="H296" s="78">
        <f t="shared" si="90"/>
        <v>278300</v>
      </c>
    </row>
    <row r="297" spans="1:8" hidden="1" x14ac:dyDescent="0.25">
      <c r="A297" t="s">
        <v>8</v>
      </c>
      <c r="B297" s="3">
        <v>45896</v>
      </c>
      <c r="C297" t="s">
        <v>338</v>
      </c>
      <c r="D297" t="s">
        <v>11</v>
      </c>
      <c r="E297">
        <v>21</v>
      </c>
      <c r="F297">
        <f>E297*1500</f>
        <v>31500</v>
      </c>
      <c r="G297">
        <f>E297*500</f>
        <v>10500</v>
      </c>
      <c r="H297">
        <f>E297*1000</f>
        <v>21000</v>
      </c>
    </row>
    <row r="298" spans="1:8" hidden="1" x14ac:dyDescent="0.25">
      <c r="C298" t="s">
        <v>581</v>
      </c>
      <c r="D298" t="s">
        <v>11</v>
      </c>
      <c r="E298">
        <v>25</v>
      </c>
      <c r="F298">
        <f t="shared" ref="F298:F300" si="91">E298*1500</f>
        <v>37500</v>
      </c>
      <c r="G298">
        <f t="shared" ref="G298:G300" si="92">E298*500</f>
        <v>12500</v>
      </c>
      <c r="H298">
        <f t="shared" ref="H298:H300" si="93">E298*1000</f>
        <v>25000</v>
      </c>
    </row>
    <row r="299" spans="1:8" hidden="1" x14ac:dyDescent="0.25">
      <c r="C299" t="s">
        <v>581</v>
      </c>
      <c r="D299" t="s">
        <v>914</v>
      </c>
      <c r="E299">
        <v>25</v>
      </c>
      <c r="F299">
        <f t="shared" si="91"/>
        <v>37500</v>
      </c>
      <c r="G299">
        <f t="shared" si="92"/>
        <v>12500</v>
      </c>
      <c r="H299">
        <f t="shared" si="93"/>
        <v>25000</v>
      </c>
    </row>
    <row r="300" spans="1:8" hidden="1" x14ac:dyDescent="0.25">
      <c r="C300" t="s">
        <v>965</v>
      </c>
      <c r="D300" t="s">
        <v>11</v>
      </c>
      <c r="E300">
        <v>12</v>
      </c>
      <c r="F300">
        <f t="shared" si="91"/>
        <v>18000</v>
      </c>
      <c r="G300">
        <f t="shared" si="92"/>
        <v>6000</v>
      </c>
      <c r="H300">
        <f t="shared" si="93"/>
        <v>12000</v>
      </c>
    </row>
    <row r="301" spans="1:8" hidden="1" x14ac:dyDescent="0.25">
      <c r="C301" t="s">
        <v>846</v>
      </c>
      <c r="D301" t="s">
        <v>902</v>
      </c>
      <c r="E301">
        <v>2</v>
      </c>
      <c r="F301">
        <v>16000</v>
      </c>
      <c r="G301">
        <v>11000</v>
      </c>
      <c r="H301">
        <v>5000</v>
      </c>
    </row>
    <row r="302" spans="1:8" hidden="1" x14ac:dyDescent="0.25">
      <c r="C302" t="s">
        <v>846</v>
      </c>
      <c r="D302" t="s">
        <v>919</v>
      </c>
      <c r="E302">
        <v>1</v>
      </c>
      <c r="F302">
        <v>12000</v>
      </c>
      <c r="G302">
        <v>5500</v>
      </c>
      <c r="H302">
        <v>6500</v>
      </c>
    </row>
    <row r="303" spans="1:8" x14ac:dyDescent="0.25">
      <c r="C303" t="s">
        <v>846</v>
      </c>
      <c r="D303" t="s">
        <v>980</v>
      </c>
      <c r="E303">
        <v>1</v>
      </c>
      <c r="F303">
        <v>7000</v>
      </c>
      <c r="G303">
        <v>4000</v>
      </c>
      <c r="H303">
        <v>3000</v>
      </c>
    </row>
    <row r="304" spans="1:8" x14ac:dyDescent="0.25">
      <c r="C304" t="s">
        <v>846</v>
      </c>
      <c r="D304" t="s">
        <v>981</v>
      </c>
      <c r="E304">
        <v>1</v>
      </c>
      <c r="F304">
        <v>7000</v>
      </c>
      <c r="G304">
        <v>4000</v>
      </c>
      <c r="H304">
        <v>3000</v>
      </c>
    </row>
    <row r="305" spans="1:12" hidden="1" x14ac:dyDescent="0.25">
      <c r="C305" t="s">
        <v>984</v>
      </c>
      <c r="D305" t="s">
        <v>11</v>
      </c>
      <c r="E305">
        <v>85</v>
      </c>
      <c r="F305">
        <f>E305*2000</f>
        <v>170000</v>
      </c>
      <c r="G305">
        <f>E305*500</f>
        <v>42500</v>
      </c>
      <c r="H305">
        <f>E305*1500</f>
        <v>127500</v>
      </c>
    </row>
    <row r="306" spans="1:12" hidden="1" x14ac:dyDescent="0.25">
      <c r="C306" t="s">
        <v>984</v>
      </c>
      <c r="D306" t="s">
        <v>13</v>
      </c>
      <c r="E306">
        <v>13</v>
      </c>
      <c r="F306">
        <f>E306*7000</f>
        <v>91000</v>
      </c>
      <c r="G306">
        <f>E306*4500</f>
        <v>58500</v>
      </c>
      <c r="H306">
        <f>E306*2500</f>
        <v>32500</v>
      </c>
    </row>
    <row r="307" spans="1:12" hidden="1" x14ac:dyDescent="0.25">
      <c r="C307" t="s">
        <v>984</v>
      </c>
      <c r="D307" t="s">
        <v>14</v>
      </c>
      <c r="E307">
        <v>7</v>
      </c>
      <c r="F307">
        <f>E307*10000</f>
        <v>70000</v>
      </c>
      <c r="G307">
        <f>E307*5500</f>
        <v>38500</v>
      </c>
      <c r="H307">
        <f>E307*4500</f>
        <v>31500</v>
      </c>
    </row>
    <row r="308" spans="1:12" hidden="1" x14ac:dyDescent="0.25">
      <c r="C308" t="s">
        <v>960</v>
      </c>
      <c r="D308" t="s">
        <v>243</v>
      </c>
      <c r="E308">
        <v>50</v>
      </c>
      <c r="L308">
        <f>297+50</f>
        <v>347</v>
      </c>
    </row>
    <row r="309" spans="1:12" hidden="1" x14ac:dyDescent="0.25">
      <c r="A309" s="111" t="s">
        <v>17</v>
      </c>
      <c r="B309" s="111"/>
      <c r="C309" s="111"/>
      <c r="D309" s="111"/>
      <c r="E309" s="1">
        <f>SUM(E297:E308)</f>
        <v>243</v>
      </c>
      <c r="F309" s="78">
        <f t="shared" ref="F309:H309" si="94">SUM(F297:F304)</f>
        <v>166500</v>
      </c>
      <c r="G309" s="78">
        <f t="shared" si="94"/>
        <v>66000</v>
      </c>
      <c r="H309" s="78">
        <f t="shared" si="94"/>
        <v>100500</v>
      </c>
    </row>
    <row r="310" spans="1:12" hidden="1" x14ac:dyDescent="0.25">
      <c r="A310" t="s">
        <v>18</v>
      </c>
      <c r="B310" s="3">
        <v>45897</v>
      </c>
      <c r="C310" t="s">
        <v>338</v>
      </c>
      <c r="D310" t="s">
        <v>11</v>
      </c>
      <c r="E310">
        <v>48</v>
      </c>
      <c r="F310">
        <f>E310*1500</f>
        <v>72000</v>
      </c>
      <c r="G310">
        <f>E310*500</f>
        <v>24000</v>
      </c>
      <c r="H310">
        <f>E310*1000</f>
        <v>48000</v>
      </c>
    </row>
    <row r="311" spans="1:12" hidden="1" x14ac:dyDescent="0.25">
      <c r="C311" t="s">
        <v>581</v>
      </c>
      <c r="D311" t="s">
        <v>11</v>
      </c>
      <c r="E311">
        <v>18</v>
      </c>
      <c r="F311">
        <f t="shared" ref="F311:F313" si="95">E311*1500</f>
        <v>27000</v>
      </c>
      <c r="G311">
        <f t="shared" ref="G311:G313" si="96">E311*500</f>
        <v>9000</v>
      </c>
      <c r="H311">
        <f t="shared" ref="H311:H313" si="97">E311*1000</f>
        <v>18000</v>
      </c>
    </row>
    <row r="312" spans="1:12" hidden="1" x14ac:dyDescent="0.25">
      <c r="C312" t="s">
        <v>581</v>
      </c>
      <c r="D312" t="s">
        <v>914</v>
      </c>
      <c r="E312">
        <v>20</v>
      </c>
      <c r="F312">
        <f t="shared" si="95"/>
        <v>30000</v>
      </c>
      <c r="G312">
        <f t="shared" si="96"/>
        <v>10000</v>
      </c>
      <c r="H312">
        <f t="shared" si="97"/>
        <v>20000</v>
      </c>
    </row>
    <row r="313" spans="1:12" hidden="1" x14ac:dyDescent="0.25">
      <c r="C313" t="s">
        <v>571</v>
      </c>
      <c r="D313" t="s">
        <v>11</v>
      </c>
      <c r="E313">
        <v>20</v>
      </c>
      <c r="F313">
        <f t="shared" si="95"/>
        <v>30000</v>
      </c>
      <c r="G313">
        <f t="shared" si="96"/>
        <v>10000</v>
      </c>
      <c r="H313">
        <f t="shared" si="97"/>
        <v>20000</v>
      </c>
    </row>
    <row r="314" spans="1:12" hidden="1" x14ac:dyDescent="0.25">
      <c r="C314" t="s">
        <v>954</v>
      </c>
      <c r="D314" t="s">
        <v>902</v>
      </c>
      <c r="E314">
        <v>13</v>
      </c>
      <c r="F314">
        <f>E314*8000</f>
        <v>104000</v>
      </c>
      <c r="G314">
        <f>E314*5500</f>
        <v>71500</v>
      </c>
      <c r="H314">
        <f>E314*2500</f>
        <v>32500</v>
      </c>
    </row>
    <row r="315" spans="1:12" x14ac:dyDescent="0.25">
      <c r="C315" t="s">
        <v>954</v>
      </c>
      <c r="D315" t="s">
        <v>982</v>
      </c>
      <c r="E315">
        <v>6</v>
      </c>
      <c r="F315">
        <f>E315*7000</f>
        <v>42000</v>
      </c>
      <c r="G315">
        <f>E315*4000</f>
        <v>24000</v>
      </c>
      <c r="H315">
        <f>E315*3000</f>
        <v>18000</v>
      </c>
      <c r="K315">
        <f>E256+E257+E258+E259+E295+E303+E304+E315+E316+E325+E331+E332+E341+E342+E349+E355+E356+E363</f>
        <v>63</v>
      </c>
    </row>
    <row r="316" spans="1:12" x14ac:dyDescent="0.25">
      <c r="C316" t="s">
        <v>954</v>
      </c>
      <c r="D316" t="s">
        <v>983</v>
      </c>
      <c r="E316">
        <v>3</v>
      </c>
      <c r="F316">
        <f>E316*5000</f>
        <v>15000</v>
      </c>
      <c r="G316">
        <f>E316*3000</f>
        <v>9000</v>
      </c>
      <c r="H316">
        <f>E316*2000</f>
        <v>6000</v>
      </c>
    </row>
    <row r="317" spans="1:12" hidden="1" x14ac:dyDescent="0.25">
      <c r="C317" t="s">
        <v>954</v>
      </c>
      <c r="D317" t="s">
        <v>953</v>
      </c>
      <c r="E317">
        <v>1</v>
      </c>
      <c r="F317">
        <v>12000</v>
      </c>
      <c r="G317">
        <v>5500</v>
      </c>
      <c r="H317">
        <v>6500</v>
      </c>
    </row>
    <row r="318" spans="1:12" hidden="1" x14ac:dyDescent="0.25">
      <c r="C318" t="s">
        <v>846</v>
      </c>
      <c r="D318" t="s">
        <v>902</v>
      </c>
      <c r="E318">
        <v>2</v>
      </c>
      <c r="F318">
        <f>E318*8000</f>
        <v>16000</v>
      </c>
      <c r="G318">
        <f>E318*5500</f>
        <v>11000</v>
      </c>
      <c r="H318">
        <f>E318*2500</f>
        <v>5000</v>
      </c>
    </row>
    <row r="319" spans="1:12" hidden="1" x14ac:dyDescent="0.25">
      <c r="C319" t="s">
        <v>846</v>
      </c>
      <c r="D319" t="s">
        <v>13</v>
      </c>
      <c r="E319">
        <v>1</v>
      </c>
      <c r="F319">
        <v>8000</v>
      </c>
      <c r="G319">
        <v>4500</v>
      </c>
      <c r="H319">
        <v>3500</v>
      </c>
    </row>
    <row r="320" spans="1:12" hidden="1" x14ac:dyDescent="0.25">
      <c r="A320" s="111" t="s">
        <v>17</v>
      </c>
      <c r="B320" s="111"/>
      <c r="C320" s="111"/>
      <c r="D320" s="111"/>
      <c r="E320" s="1">
        <f>SUM(E310:E319)</f>
        <v>132</v>
      </c>
      <c r="F320" s="78">
        <f t="shared" ref="F320:H320" si="98">SUM(F310:F319)</f>
        <v>356000</v>
      </c>
      <c r="G320" s="78">
        <f t="shared" si="98"/>
        <v>178500</v>
      </c>
      <c r="H320" s="78">
        <f t="shared" si="98"/>
        <v>177500</v>
      </c>
    </row>
    <row r="321" spans="1:8" hidden="1" x14ac:dyDescent="0.25">
      <c r="A321" t="s">
        <v>22</v>
      </c>
      <c r="B321" s="3">
        <v>45898</v>
      </c>
      <c r="C321" t="s">
        <v>338</v>
      </c>
      <c r="D321" t="s">
        <v>11</v>
      </c>
      <c r="E321">
        <v>40</v>
      </c>
      <c r="F321">
        <f>E321*1500</f>
        <v>60000</v>
      </c>
      <c r="G321">
        <f>E321*500</f>
        <v>20000</v>
      </c>
      <c r="H321">
        <f>E321*1000</f>
        <v>40000</v>
      </c>
    </row>
    <row r="322" spans="1:8" hidden="1" x14ac:dyDescent="0.25">
      <c r="C322" t="s">
        <v>581</v>
      </c>
      <c r="D322" t="s">
        <v>11</v>
      </c>
      <c r="E322">
        <v>17</v>
      </c>
      <c r="F322">
        <f t="shared" ref="F322:F323" si="99">E322*1500</f>
        <v>25500</v>
      </c>
      <c r="G322">
        <f t="shared" ref="G322:G323" si="100">E322*500</f>
        <v>8500</v>
      </c>
      <c r="H322">
        <f t="shared" ref="H322:H323" si="101">E322*1000</f>
        <v>17000</v>
      </c>
    </row>
    <row r="323" spans="1:8" hidden="1" x14ac:dyDescent="0.25">
      <c r="C323" t="s">
        <v>581</v>
      </c>
      <c r="D323" t="s">
        <v>914</v>
      </c>
      <c r="E323">
        <v>18</v>
      </c>
      <c r="F323">
        <f t="shared" si="99"/>
        <v>27000</v>
      </c>
      <c r="G323">
        <f t="shared" si="100"/>
        <v>9000</v>
      </c>
      <c r="H323">
        <f t="shared" si="101"/>
        <v>18000</v>
      </c>
    </row>
    <row r="324" spans="1:8" hidden="1" x14ac:dyDescent="0.25">
      <c r="C324" t="s">
        <v>954</v>
      </c>
      <c r="D324" t="s">
        <v>902</v>
      </c>
      <c r="E324">
        <v>14</v>
      </c>
      <c r="F324">
        <f>E324*8000</f>
        <v>112000</v>
      </c>
      <c r="G324">
        <f>E324*5500</f>
        <v>77000</v>
      </c>
      <c r="H324">
        <f>E324*2500</f>
        <v>35000</v>
      </c>
    </row>
    <row r="325" spans="1:8" x14ac:dyDescent="0.25">
      <c r="C325" t="s">
        <v>954</v>
      </c>
      <c r="D325" t="s">
        <v>985</v>
      </c>
      <c r="E325">
        <v>3</v>
      </c>
      <c r="F325">
        <f>E325*5000</f>
        <v>15000</v>
      </c>
      <c r="G325">
        <f>E325*3000</f>
        <v>9000</v>
      </c>
      <c r="H325">
        <f>E325*2000</f>
        <v>6000</v>
      </c>
    </row>
    <row r="326" spans="1:8" hidden="1" x14ac:dyDescent="0.25">
      <c r="C326" t="s">
        <v>954</v>
      </c>
      <c r="D326" t="s">
        <v>13</v>
      </c>
      <c r="E326">
        <v>1</v>
      </c>
      <c r="F326">
        <v>8000</v>
      </c>
      <c r="G326">
        <v>4500</v>
      </c>
      <c r="H326">
        <v>3500</v>
      </c>
    </row>
    <row r="327" spans="1:8" hidden="1" x14ac:dyDescent="0.25">
      <c r="C327" t="s">
        <v>846</v>
      </c>
      <c r="D327" t="s">
        <v>919</v>
      </c>
      <c r="E327">
        <v>2</v>
      </c>
      <c r="F327">
        <v>24000</v>
      </c>
      <c r="G327">
        <f>E327*5500</f>
        <v>11000</v>
      </c>
      <c r="H327">
        <f>E327*6500</f>
        <v>13000</v>
      </c>
    </row>
    <row r="328" spans="1:8" hidden="1" x14ac:dyDescent="0.25">
      <c r="C328" t="s">
        <v>846</v>
      </c>
      <c r="D328" t="s">
        <v>902</v>
      </c>
      <c r="E328">
        <v>2</v>
      </c>
      <c r="F328">
        <f>E328*8000</f>
        <v>16000</v>
      </c>
      <c r="G328">
        <f>E328*5500</f>
        <v>11000</v>
      </c>
      <c r="H328">
        <f>E328*2500</f>
        <v>5000</v>
      </c>
    </row>
    <row r="329" spans="1:8" hidden="1" x14ac:dyDescent="0.25">
      <c r="C329" t="s">
        <v>846</v>
      </c>
      <c r="D329" t="s">
        <v>958</v>
      </c>
      <c r="E329">
        <v>2</v>
      </c>
      <c r="F329">
        <v>20000</v>
      </c>
      <c r="G329">
        <v>11000</v>
      </c>
      <c r="H329">
        <v>9000</v>
      </c>
    </row>
    <row r="330" spans="1:8" hidden="1" x14ac:dyDescent="0.25">
      <c r="C330" t="s">
        <v>846</v>
      </c>
      <c r="D330" t="s">
        <v>902</v>
      </c>
      <c r="E330">
        <v>1</v>
      </c>
      <c r="F330">
        <v>8000</v>
      </c>
      <c r="G330">
        <v>5500</v>
      </c>
      <c r="H330">
        <v>2500</v>
      </c>
    </row>
    <row r="331" spans="1:8" x14ac:dyDescent="0.25">
      <c r="C331" t="s">
        <v>846</v>
      </c>
      <c r="D331" t="s">
        <v>985</v>
      </c>
      <c r="E331">
        <v>1</v>
      </c>
      <c r="F331">
        <v>5000</v>
      </c>
      <c r="G331">
        <v>3000</v>
      </c>
      <c r="H331">
        <v>2000</v>
      </c>
    </row>
    <row r="332" spans="1:8" x14ac:dyDescent="0.25">
      <c r="C332" t="s">
        <v>846</v>
      </c>
      <c r="D332" t="s">
        <v>982</v>
      </c>
      <c r="E332">
        <v>5</v>
      </c>
      <c r="F332">
        <f>E332*7000</f>
        <v>35000</v>
      </c>
      <c r="G332">
        <f>E332*4000</f>
        <v>20000</v>
      </c>
      <c r="H332">
        <f>E332*3000</f>
        <v>15000</v>
      </c>
    </row>
    <row r="333" spans="1:8" hidden="1" x14ac:dyDescent="0.25">
      <c r="C333" t="s">
        <v>554</v>
      </c>
      <c r="D333" t="s">
        <v>14</v>
      </c>
      <c r="E333">
        <v>2</v>
      </c>
    </row>
    <row r="334" spans="1:8" hidden="1" x14ac:dyDescent="0.25">
      <c r="C334" t="s">
        <v>554</v>
      </c>
      <c r="D334" t="s">
        <v>902</v>
      </c>
      <c r="E334">
        <v>1</v>
      </c>
    </row>
    <row r="335" spans="1:8" hidden="1" x14ac:dyDescent="0.25">
      <c r="C335" t="s">
        <v>24</v>
      </c>
      <c r="D335" t="s">
        <v>866</v>
      </c>
      <c r="E335">
        <v>3</v>
      </c>
    </row>
    <row r="336" spans="1:8" hidden="1" x14ac:dyDescent="0.25">
      <c r="A336" s="111" t="s">
        <v>17</v>
      </c>
      <c r="B336" s="111"/>
      <c r="C336" s="111"/>
      <c r="D336" s="111"/>
      <c r="E336" s="1">
        <f>SUM(E321:E335)</f>
        <v>112</v>
      </c>
      <c r="F336" s="78">
        <f t="shared" ref="F336:H336" si="102">SUM(F321:F335)</f>
        <v>355500</v>
      </c>
      <c r="G336" s="78">
        <f t="shared" si="102"/>
        <v>189500</v>
      </c>
      <c r="H336" s="78">
        <f t="shared" si="102"/>
        <v>166000</v>
      </c>
    </row>
    <row r="337" spans="1:8" hidden="1" x14ac:dyDescent="0.25">
      <c r="A337" t="s">
        <v>26</v>
      </c>
      <c r="B337" s="3">
        <v>45899</v>
      </c>
      <c r="C337" t="s">
        <v>338</v>
      </c>
      <c r="D337" t="s">
        <v>11</v>
      </c>
      <c r="E337">
        <v>34</v>
      </c>
      <c r="F337" s="79">
        <f>E337*1500</f>
        <v>51000</v>
      </c>
      <c r="G337" s="79">
        <f>E337*500</f>
        <v>17000</v>
      </c>
      <c r="H337" s="79">
        <v>34000</v>
      </c>
    </row>
    <row r="338" spans="1:8" hidden="1" x14ac:dyDescent="0.25">
      <c r="C338" t="s">
        <v>984</v>
      </c>
      <c r="D338" t="s">
        <v>11</v>
      </c>
      <c r="E338">
        <f>83+52</f>
        <v>135</v>
      </c>
      <c r="F338" s="79">
        <f>E338*2000</f>
        <v>270000</v>
      </c>
      <c r="G338" s="79">
        <f>E338*500</f>
        <v>67500</v>
      </c>
      <c r="H338" s="79">
        <f>E338*1500</f>
        <v>202500</v>
      </c>
    </row>
    <row r="339" spans="1:8" hidden="1" x14ac:dyDescent="0.25">
      <c r="C339" t="s">
        <v>984</v>
      </c>
      <c r="D339" t="s">
        <v>13</v>
      </c>
      <c r="E339">
        <f>29+33</f>
        <v>62</v>
      </c>
      <c r="F339" s="79">
        <f>E339*7000</f>
        <v>434000</v>
      </c>
      <c r="G339" s="79">
        <f>E339*4500</f>
        <v>279000</v>
      </c>
      <c r="H339" s="79">
        <f>E339*2500</f>
        <v>155000</v>
      </c>
    </row>
    <row r="340" spans="1:8" hidden="1" x14ac:dyDescent="0.25">
      <c r="C340" t="s">
        <v>984</v>
      </c>
      <c r="D340" t="s">
        <v>14</v>
      </c>
      <c r="E340">
        <f>11+12</f>
        <v>23</v>
      </c>
      <c r="F340" s="79">
        <f>E340*10000</f>
        <v>230000</v>
      </c>
      <c r="G340" s="79">
        <f>E340*5500</f>
        <v>126500</v>
      </c>
      <c r="H340" s="79">
        <f>E340*4500</f>
        <v>103500</v>
      </c>
    </row>
    <row r="341" spans="1:8" x14ac:dyDescent="0.25">
      <c r="C341" t="s">
        <v>984</v>
      </c>
      <c r="D341" t="s">
        <v>985</v>
      </c>
      <c r="E341">
        <v>8</v>
      </c>
      <c r="F341" s="79">
        <f>E341*5000</f>
        <v>40000</v>
      </c>
      <c r="G341" s="79">
        <f>E341*3000</f>
        <v>24000</v>
      </c>
      <c r="H341" s="79">
        <f>E341*2000</f>
        <v>16000</v>
      </c>
    </row>
    <row r="342" spans="1:8" x14ac:dyDescent="0.25">
      <c r="C342" t="s">
        <v>984</v>
      </c>
      <c r="D342" t="s">
        <v>976</v>
      </c>
      <c r="E342">
        <v>9</v>
      </c>
      <c r="F342" s="79">
        <f>E342*7000</f>
        <v>63000</v>
      </c>
      <c r="G342" s="79">
        <f>E342*4000</f>
        <v>36000</v>
      </c>
      <c r="H342" s="79">
        <f>E342*3000</f>
        <v>27000</v>
      </c>
    </row>
    <row r="343" spans="1:8" hidden="1" x14ac:dyDescent="0.25">
      <c r="C343" t="s">
        <v>954</v>
      </c>
      <c r="D343" t="s">
        <v>902</v>
      </c>
      <c r="E343">
        <v>7</v>
      </c>
      <c r="F343" s="79">
        <f>E343*8000</f>
        <v>56000</v>
      </c>
      <c r="G343" s="79">
        <f>E343*5500</f>
        <v>38500</v>
      </c>
      <c r="H343" s="79">
        <f>E343*2500</f>
        <v>17500</v>
      </c>
    </row>
    <row r="344" spans="1:8" hidden="1" x14ac:dyDescent="0.25">
      <c r="C344" t="s">
        <v>846</v>
      </c>
      <c r="D344" t="s">
        <v>902</v>
      </c>
      <c r="E344">
        <v>1</v>
      </c>
      <c r="F344" s="79">
        <v>8000</v>
      </c>
      <c r="G344" s="79">
        <v>5500</v>
      </c>
      <c r="H344" s="79">
        <v>2500</v>
      </c>
    </row>
    <row r="345" spans="1:8" hidden="1" x14ac:dyDescent="0.25">
      <c r="C345" t="s">
        <v>846</v>
      </c>
      <c r="D345" t="s">
        <v>420</v>
      </c>
      <c r="E345">
        <v>1</v>
      </c>
      <c r="F345" s="79">
        <v>10000</v>
      </c>
      <c r="G345" s="79">
        <v>5500</v>
      </c>
      <c r="H345" s="79">
        <v>4500</v>
      </c>
    </row>
    <row r="346" spans="1:8" hidden="1" x14ac:dyDescent="0.25">
      <c r="C346" t="s">
        <v>846</v>
      </c>
      <c r="D346" t="s">
        <v>918</v>
      </c>
      <c r="E346">
        <v>3</v>
      </c>
      <c r="F346" s="79">
        <f>E346*15000</f>
        <v>45000</v>
      </c>
      <c r="G346" s="79">
        <f>E346*10000</f>
        <v>30000</v>
      </c>
      <c r="H346" s="79">
        <f>E346*5000</f>
        <v>15000</v>
      </c>
    </row>
    <row r="347" spans="1:8" hidden="1" x14ac:dyDescent="0.25">
      <c r="C347" t="s">
        <v>846</v>
      </c>
      <c r="D347" t="s">
        <v>902</v>
      </c>
      <c r="E347">
        <v>2</v>
      </c>
      <c r="F347" s="79">
        <f>E347*8000</f>
        <v>16000</v>
      </c>
      <c r="G347" s="79">
        <v>11000</v>
      </c>
      <c r="H347" s="79">
        <v>5000</v>
      </c>
    </row>
    <row r="348" spans="1:8" hidden="1" x14ac:dyDescent="0.25">
      <c r="C348" t="s">
        <v>846</v>
      </c>
      <c r="D348" t="s">
        <v>13</v>
      </c>
      <c r="E348">
        <v>1</v>
      </c>
      <c r="F348" s="79">
        <v>8000</v>
      </c>
      <c r="G348" s="79">
        <v>4500</v>
      </c>
      <c r="H348" s="79">
        <v>3500</v>
      </c>
    </row>
    <row r="349" spans="1:8" x14ac:dyDescent="0.25">
      <c r="C349" t="s">
        <v>846</v>
      </c>
      <c r="D349" t="s">
        <v>982</v>
      </c>
      <c r="E349">
        <v>1</v>
      </c>
      <c r="F349" s="79">
        <v>7000</v>
      </c>
      <c r="G349" s="79">
        <v>4000</v>
      </c>
      <c r="H349" s="79">
        <v>3000</v>
      </c>
    </row>
    <row r="350" spans="1:8" hidden="1" x14ac:dyDescent="0.25">
      <c r="A350" s="112" t="s">
        <v>17</v>
      </c>
      <c r="B350" s="112"/>
      <c r="C350" s="112"/>
      <c r="D350" s="112"/>
      <c r="E350" s="78">
        <f>SUM(E337:E349)</f>
        <v>287</v>
      </c>
      <c r="F350" s="78">
        <f>SUM(F337:F349)</f>
        <v>1238000</v>
      </c>
      <c r="G350" s="78">
        <f t="shared" ref="G350:H350" si="103">SUM(G337:G349)</f>
        <v>649000</v>
      </c>
      <c r="H350" s="78">
        <f t="shared" si="103"/>
        <v>589000</v>
      </c>
    </row>
    <row r="351" spans="1:8" hidden="1" x14ac:dyDescent="0.25">
      <c r="A351" t="s">
        <v>28</v>
      </c>
      <c r="B351" s="3">
        <v>45900</v>
      </c>
      <c r="C351" t="s">
        <v>967</v>
      </c>
      <c r="D351" t="s">
        <v>11</v>
      </c>
      <c r="E351">
        <v>5</v>
      </c>
      <c r="F351" s="79">
        <f>E351*2000</f>
        <v>10000</v>
      </c>
      <c r="G351" s="79">
        <f>E351*500</f>
        <v>2500</v>
      </c>
      <c r="H351" s="79">
        <f>E351*1500</f>
        <v>7500</v>
      </c>
    </row>
    <row r="352" spans="1:8" hidden="1" x14ac:dyDescent="0.25">
      <c r="C352" t="s">
        <v>967</v>
      </c>
      <c r="D352" t="s">
        <v>13</v>
      </c>
      <c r="E352">
        <v>17</v>
      </c>
      <c r="F352" s="79">
        <f>E352*7000</f>
        <v>119000</v>
      </c>
      <c r="G352" s="79">
        <f>E352*4500</f>
        <v>76500</v>
      </c>
      <c r="H352" s="79">
        <f>E352*3500</f>
        <v>59500</v>
      </c>
    </row>
    <row r="353" spans="3:8" hidden="1" x14ac:dyDescent="0.25">
      <c r="C353" t="s">
        <v>967</v>
      </c>
      <c r="D353" t="s">
        <v>14</v>
      </c>
      <c r="E353">
        <v>12</v>
      </c>
      <c r="F353" s="79">
        <f>E353*10000</f>
        <v>120000</v>
      </c>
      <c r="G353" s="79">
        <f>E353*5500</f>
        <v>66000</v>
      </c>
      <c r="H353" s="79">
        <f>E353*6500</f>
        <v>78000</v>
      </c>
    </row>
    <row r="354" spans="3:8" hidden="1" x14ac:dyDescent="0.25">
      <c r="C354" t="s">
        <v>967</v>
      </c>
      <c r="D354" t="s">
        <v>968</v>
      </c>
      <c r="E354">
        <v>4</v>
      </c>
      <c r="F354" s="79">
        <f>E354*12000</f>
        <v>48000</v>
      </c>
      <c r="G354" s="79">
        <f>E354*5500</f>
        <v>22000</v>
      </c>
      <c r="H354" s="79">
        <f>E354*6500</f>
        <v>26000</v>
      </c>
    </row>
    <row r="355" spans="3:8" x14ac:dyDescent="0.25">
      <c r="C355" t="s">
        <v>967</v>
      </c>
      <c r="D355" t="s">
        <v>986</v>
      </c>
      <c r="E355">
        <v>3</v>
      </c>
      <c r="F355" s="79">
        <f>E355*5000</f>
        <v>15000</v>
      </c>
      <c r="G355" s="79">
        <f>E355*3000</f>
        <v>9000</v>
      </c>
      <c r="H355" s="79">
        <f>E355*2000</f>
        <v>6000</v>
      </c>
    </row>
    <row r="356" spans="3:8" x14ac:dyDescent="0.25">
      <c r="C356" t="s">
        <v>967</v>
      </c>
      <c r="D356" t="s">
        <v>987</v>
      </c>
      <c r="E356">
        <v>10</v>
      </c>
      <c r="F356" s="79">
        <f>E356*7000</f>
        <v>70000</v>
      </c>
      <c r="G356" s="79">
        <f>E356*4000</f>
        <v>40000</v>
      </c>
      <c r="H356" s="79">
        <f>E356*3000</f>
        <v>30000</v>
      </c>
    </row>
    <row r="357" spans="3:8" hidden="1" x14ac:dyDescent="0.25">
      <c r="C357" t="s">
        <v>217</v>
      </c>
      <c r="D357" t="s">
        <v>11</v>
      </c>
      <c r="E357">
        <v>17</v>
      </c>
      <c r="F357" s="79">
        <f>E357*2000</f>
        <v>34000</v>
      </c>
      <c r="G357" s="79">
        <f>E357*500</f>
        <v>8500</v>
      </c>
      <c r="H357" s="79">
        <f>E357*1500</f>
        <v>25500</v>
      </c>
    </row>
    <row r="358" spans="3:8" hidden="1" x14ac:dyDescent="0.25">
      <c r="C358" t="s">
        <v>217</v>
      </c>
      <c r="D358" t="s">
        <v>13</v>
      </c>
      <c r="E358">
        <v>4</v>
      </c>
      <c r="F358" s="79">
        <f>E358*6500</f>
        <v>26000</v>
      </c>
      <c r="G358" s="79">
        <f>E358*4500</f>
        <v>18000</v>
      </c>
      <c r="H358" s="79">
        <f>E358*2000</f>
        <v>8000</v>
      </c>
    </row>
    <row r="359" spans="3:8" hidden="1" x14ac:dyDescent="0.25">
      <c r="C359" t="s">
        <v>217</v>
      </c>
      <c r="D359" t="s">
        <v>14</v>
      </c>
      <c r="E359">
        <v>4</v>
      </c>
      <c r="F359" s="79">
        <f>E359*10000</f>
        <v>40000</v>
      </c>
      <c r="G359" s="79">
        <f>E359*5500</f>
        <v>22000</v>
      </c>
      <c r="H359" s="79">
        <f>E359*4500</f>
        <v>18000</v>
      </c>
    </row>
    <row r="360" spans="3:8" hidden="1" x14ac:dyDescent="0.25">
      <c r="C360" t="s">
        <v>954</v>
      </c>
      <c r="D360" t="s">
        <v>902</v>
      </c>
      <c r="E360">
        <v>3</v>
      </c>
      <c r="F360" s="79">
        <f>E360*8000</f>
        <v>24000</v>
      </c>
      <c r="G360" s="79">
        <f>E360*5500</f>
        <v>16500</v>
      </c>
      <c r="H360" s="79">
        <f>E360*2500</f>
        <v>7500</v>
      </c>
    </row>
    <row r="361" spans="3:8" hidden="1" x14ac:dyDescent="0.25">
      <c r="C361" t="s">
        <v>954</v>
      </c>
      <c r="D361" t="s">
        <v>13</v>
      </c>
      <c r="E361">
        <v>3</v>
      </c>
      <c r="F361" s="79">
        <f>E361*8000</f>
        <v>24000</v>
      </c>
      <c r="G361" s="79">
        <f>E361*4500</f>
        <v>13500</v>
      </c>
      <c r="H361" s="79">
        <f>E361*3500</f>
        <v>10500</v>
      </c>
    </row>
    <row r="362" spans="3:8" hidden="1" x14ac:dyDescent="0.25">
      <c r="C362" t="s">
        <v>954</v>
      </c>
      <c r="D362" t="s">
        <v>14</v>
      </c>
      <c r="E362">
        <v>1</v>
      </c>
      <c r="F362" s="79">
        <v>12000</v>
      </c>
      <c r="G362" s="79">
        <v>5500</v>
      </c>
      <c r="H362" s="79">
        <v>6500</v>
      </c>
    </row>
    <row r="363" spans="3:8" x14ac:dyDescent="0.25">
      <c r="C363" t="s">
        <v>954</v>
      </c>
      <c r="D363" t="s">
        <v>987</v>
      </c>
      <c r="E363">
        <v>2</v>
      </c>
      <c r="F363" s="79">
        <v>14000</v>
      </c>
      <c r="G363" s="79">
        <v>8000</v>
      </c>
      <c r="H363" s="79">
        <v>6000</v>
      </c>
    </row>
    <row r="364" spans="3:8" hidden="1" x14ac:dyDescent="0.25">
      <c r="C364" t="s">
        <v>954</v>
      </c>
      <c r="D364" t="s">
        <v>919</v>
      </c>
      <c r="E364">
        <v>1</v>
      </c>
      <c r="F364" s="79">
        <v>12000</v>
      </c>
      <c r="G364" s="79">
        <v>5500</v>
      </c>
      <c r="H364" s="79">
        <v>6500</v>
      </c>
    </row>
    <row r="365" spans="3:8" hidden="1" x14ac:dyDescent="0.25">
      <c r="C365" t="s">
        <v>846</v>
      </c>
      <c r="D365" t="s">
        <v>902</v>
      </c>
      <c r="E365">
        <v>3</v>
      </c>
      <c r="F365" s="79">
        <f>E365*8000</f>
        <v>24000</v>
      </c>
      <c r="G365" s="79">
        <f>E365*5500</f>
        <v>16500</v>
      </c>
      <c r="H365" s="79">
        <f>E365*2500</f>
        <v>7500</v>
      </c>
    </row>
    <row r="366" spans="3:8" hidden="1" x14ac:dyDescent="0.25">
      <c r="C366" t="s">
        <v>846</v>
      </c>
      <c r="D366" t="s">
        <v>919</v>
      </c>
      <c r="E366">
        <v>1</v>
      </c>
      <c r="F366" s="79">
        <v>12000</v>
      </c>
      <c r="G366" s="79">
        <v>5500</v>
      </c>
      <c r="H366" s="79">
        <v>6500</v>
      </c>
    </row>
    <row r="367" spans="3:8" hidden="1" x14ac:dyDescent="0.25">
      <c r="C367" t="s">
        <v>846</v>
      </c>
      <c r="D367" t="s">
        <v>243</v>
      </c>
      <c r="E367">
        <v>2</v>
      </c>
      <c r="F367" s="79">
        <v>30000</v>
      </c>
      <c r="G367" s="79">
        <v>20000</v>
      </c>
      <c r="H367" s="79">
        <v>10000</v>
      </c>
    </row>
    <row r="368" spans="3:8" hidden="1" x14ac:dyDescent="0.25">
      <c r="C368" t="s">
        <v>846</v>
      </c>
      <c r="D368" t="s">
        <v>959</v>
      </c>
      <c r="E368">
        <v>1</v>
      </c>
      <c r="F368" s="79">
        <v>10000</v>
      </c>
      <c r="G368" s="79">
        <v>5500</v>
      </c>
      <c r="H368" s="79">
        <v>4500</v>
      </c>
    </row>
    <row r="369" spans="1:11" hidden="1" x14ac:dyDescent="0.25">
      <c r="C369" t="s">
        <v>846</v>
      </c>
      <c r="D369" t="s">
        <v>958</v>
      </c>
      <c r="E369">
        <v>2</v>
      </c>
      <c r="F369" s="79">
        <v>20000</v>
      </c>
      <c r="G369" s="79">
        <v>11000</v>
      </c>
      <c r="H369" s="79">
        <v>9000</v>
      </c>
    </row>
    <row r="370" spans="1:11" hidden="1" x14ac:dyDescent="0.25">
      <c r="C370" t="s">
        <v>960</v>
      </c>
      <c r="D370" t="s">
        <v>243</v>
      </c>
      <c r="E370">
        <v>100</v>
      </c>
      <c r="F370" s="79"/>
      <c r="G370" s="79"/>
      <c r="H370" s="79"/>
    </row>
    <row r="371" spans="1:11" hidden="1" x14ac:dyDescent="0.25">
      <c r="A371" s="112" t="s">
        <v>17</v>
      </c>
      <c r="B371" s="112"/>
      <c r="C371" s="112"/>
      <c r="D371" s="112"/>
      <c r="E371" s="78">
        <f>SUM(E351:E370)</f>
        <v>195</v>
      </c>
      <c r="F371" s="78">
        <f t="shared" ref="F371:G371" si="104">SUM(F351:F369)</f>
        <v>664000</v>
      </c>
      <c r="G371" s="78">
        <f t="shared" si="104"/>
        <v>372000</v>
      </c>
      <c r="H371" s="78">
        <f>SUM(H351:H369)</f>
        <v>333000</v>
      </c>
    </row>
    <row r="375" spans="1:11" x14ac:dyDescent="0.25">
      <c r="K375">
        <f>E32+E117+E162+E266+E357</f>
        <v>59</v>
      </c>
    </row>
    <row r="376" spans="1:11" x14ac:dyDescent="0.25">
      <c r="K376">
        <f>E20+E305+E338</f>
        <v>224</v>
      </c>
    </row>
  </sheetData>
  <autoFilter ref="A1:H371" xr:uid="{B9BE8FD9-DE09-4A47-96E4-34E831506AA5}">
    <filterColumn colId="3">
      <filters>
        <filter val="COOCKIS ORI"/>
        <filter val="COOCKIS RASA"/>
        <filter val="COOKIE COKLAT"/>
        <filter val="COOKIES CHIP"/>
        <filter val="COOKIES CHOCOLATE"/>
        <filter val="COOKIES ORI"/>
        <filter val="COOKIES RASA"/>
        <filter val="COOKIS CHIPS"/>
        <filter val="COOKIS COKLAT"/>
        <filter val="COOKIS MATCHA"/>
        <filter val="COOKIS ORI"/>
        <filter val="COOKIS REDVELVET"/>
      </filters>
    </filterColumn>
  </autoFilter>
  <mergeCells count="31">
    <mergeCell ref="A371:D371"/>
    <mergeCell ref="A100:D100"/>
    <mergeCell ref="A89:D89"/>
    <mergeCell ref="A79:D79"/>
    <mergeCell ref="A13:D13"/>
    <mergeCell ref="A27:D27"/>
    <mergeCell ref="A40:D40"/>
    <mergeCell ref="A55:D55"/>
    <mergeCell ref="A65:D65"/>
    <mergeCell ref="A108:D108"/>
    <mergeCell ref="A120:D120"/>
    <mergeCell ref="A178:D178"/>
    <mergeCell ref="A183:D183"/>
    <mergeCell ref="A189:D189"/>
    <mergeCell ref="A165:D165"/>
    <mergeCell ref="A130:D130"/>
    <mergeCell ref="A144:D144"/>
    <mergeCell ref="A154:D154"/>
    <mergeCell ref="A239:D239"/>
    <mergeCell ref="A252:D252"/>
    <mergeCell ref="A269:D269"/>
    <mergeCell ref="A204:D204"/>
    <mergeCell ref="A195:D195"/>
    <mergeCell ref="A214:D214"/>
    <mergeCell ref="A228:D228"/>
    <mergeCell ref="A350:D350"/>
    <mergeCell ref="A282:D282"/>
    <mergeCell ref="A296:D296"/>
    <mergeCell ref="A309:D309"/>
    <mergeCell ref="A320:D320"/>
    <mergeCell ref="A336:D33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B571-ECBD-4095-9F0F-DA41B7BEAA59}">
  <dimension ref="A1:K323"/>
  <sheetViews>
    <sheetView workbookViewId="0">
      <selection sqref="A1:H1"/>
    </sheetView>
  </sheetViews>
  <sheetFormatPr defaultRowHeight="15" x14ac:dyDescent="0.25"/>
  <cols>
    <col min="2" max="2" width="12.42578125" customWidth="1"/>
    <col min="5" max="5" width="9.28515625" bestFit="1" customWidth="1"/>
    <col min="6" max="6" width="10.5703125" bestFit="1" customWidth="1"/>
    <col min="7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30</v>
      </c>
      <c r="B2" s="3">
        <v>45901</v>
      </c>
      <c r="C2" t="s">
        <v>954</v>
      </c>
      <c r="D2" t="s">
        <v>902</v>
      </c>
      <c r="E2">
        <v>6</v>
      </c>
      <c r="F2" s="79">
        <f>E2*8000</f>
        <v>48000</v>
      </c>
      <c r="G2" s="79">
        <f>E2*5500</f>
        <v>33000</v>
      </c>
      <c r="H2" s="79">
        <f>E2*2500</f>
        <v>15000</v>
      </c>
    </row>
    <row r="3" spans="1:8" x14ac:dyDescent="0.25">
      <c r="C3" t="s">
        <v>954</v>
      </c>
      <c r="D3" t="s">
        <v>13</v>
      </c>
      <c r="E3">
        <v>3</v>
      </c>
      <c r="F3" s="79">
        <v>17000</v>
      </c>
      <c r="G3" s="79">
        <v>10000</v>
      </c>
      <c r="H3" s="79">
        <v>70000</v>
      </c>
    </row>
    <row r="4" spans="1:8" x14ac:dyDescent="0.25">
      <c r="C4" t="s">
        <v>954</v>
      </c>
      <c r="D4" t="s">
        <v>14</v>
      </c>
      <c r="E4">
        <v>1</v>
      </c>
      <c r="F4" s="79">
        <v>12000</v>
      </c>
      <c r="G4" s="79">
        <v>5500</v>
      </c>
      <c r="H4" s="79">
        <v>6500</v>
      </c>
    </row>
    <row r="5" spans="1:8" x14ac:dyDescent="0.25">
      <c r="C5" t="s">
        <v>338</v>
      </c>
      <c r="D5" t="s">
        <v>11</v>
      </c>
      <c r="E5">
        <v>50</v>
      </c>
      <c r="F5" s="79">
        <f t="shared" ref="F5:F6" si="0">E5*1500</f>
        <v>75000</v>
      </c>
      <c r="G5" s="79">
        <f t="shared" ref="G5:G7" si="1">E5*500</f>
        <v>25000</v>
      </c>
      <c r="H5" s="79">
        <f t="shared" ref="H5:H7" si="2">E5*1000</f>
        <v>50000</v>
      </c>
    </row>
    <row r="6" spans="1:8" x14ac:dyDescent="0.25">
      <c r="C6" t="s">
        <v>581</v>
      </c>
      <c r="D6" t="s">
        <v>11</v>
      </c>
      <c r="E6">
        <v>25</v>
      </c>
      <c r="F6" s="79">
        <f t="shared" si="0"/>
        <v>37500</v>
      </c>
      <c r="G6" s="79">
        <f t="shared" si="1"/>
        <v>12500</v>
      </c>
      <c r="H6" s="79">
        <f t="shared" si="2"/>
        <v>25000</v>
      </c>
    </row>
    <row r="7" spans="1:8" x14ac:dyDescent="0.25">
      <c r="C7" t="s">
        <v>581</v>
      </c>
      <c r="D7" t="s">
        <v>914</v>
      </c>
      <c r="E7">
        <v>20</v>
      </c>
      <c r="F7" s="79">
        <f>E7*1500</f>
        <v>30000</v>
      </c>
      <c r="G7" s="79">
        <f t="shared" si="1"/>
        <v>10000</v>
      </c>
      <c r="H7" s="79">
        <f t="shared" si="2"/>
        <v>20000</v>
      </c>
    </row>
    <row r="8" spans="1:8" x14ac:dyDescent="0.25">
      <c r="C8" t="s">
        <v>846</v>
      </c>
      <c r="D8" t="s">
        <v>13</v>
      </c>
      <c r="E8">
        <v>7</v>
      </c>
      <c r="F8" s="79">
        <f>E8*15000</f>
        <v>105000</v>
      </c>
      <c r="G8" s="79">
        <f>E8*10000</f>
        <v>70000</v>
      </c>
      <c r="H8" s="79">
        <f>E8*5000</f>
        <v>35000</v>
      </c>
    </row>
    <row r="9" spans="1:8" x14ac:dyDescent="0.25">
      <c r="C9" t="s">
        <v>846</v>
      </c>
      <c r="D9" t="s">
        <v>902</v>
      </c>
      <c r="E9">
        <v>5</v>
      </c>
      <c r="F9" s="79">
        <f>E9*12000</f>
        <v>60000</v>
      </c>
      <c r="G9" s="79">
        <f>E9*5500</f>
        <v>27500</v>
      </c>
      <c r="H9" s="79">
        <f>E9*6500</f>
        <v>32500</v>
      </c>
    </row>
    <row r="10" spans="1:8" x14ac:dyDescent="0.25">
      <c r="C10" t="s">
        <v>846</v>
      </c>
      <c r="D10" t="s">
        <v>959</v>
      </c>
      <c r="E10">
        <v>2</v>
      </c>
      <c r="F10" s="79">
        <v>10000</v>
      </c>
      <c r="G10" s="79">
        <v>5500</v>
      </c>
      <c r="H10" s="79">
        <v>4500</v>
      </c>
    </row>
    <row r="11" spans="1:8" x14ac:dyDescent="0.25">
      <c r="C11" t="s">
        <v>846</v>
      </c>
      <c r="D11" t="s">
        <v>988</v>
      </c>
      <c r="E11">
        <v>1</v>
      </c>
      <c r="F11" s="79">
        <f>E11*8000</f>
        <v>8000</v>
      </c>
      <c r="G11" s="79">
        <f>E11*5500</f>
        <v>5500</v>
      </c>
      <c r="H11" s="79">
        <f>E11*2500</f>
        <v>2500</v>
      </c>
    </row>
    <row r="12" spans="1:8" x14ac:dyDescent="0.25">
      <c r="C12" t="s">
        <v>846</v>
      </c>
      <c r="D12" t="s">
        <v>14</v>
      </c>
      <c r="E12">
        <v>1</v>
      </c>
      <c r="F12" s="79">
        <v>12000</v>
      </c>
      <c r="G12" s="79">
        <v>5500</v>
      </c>
      <c r="H12" s="79">
        <v>6500</v>
      </c>
    </row>
    <row r="13" spans="1:8" x14ac:dyDescent="0.25">
      <c r="C13" t="s">
        <v>846</v>
      </c>
      <c r="D13" t="s">
        <v>918</v>
      </c>
      <c r="E13">
        <v>1</v>
      </c>
      <c r="F13" s="79">
        <v>12000</v>
      </c>
      <c r="G13" s="79">
        <v>5500</v>
      </c>
      <c r="H13" s="79">
        <v>6500</v>
      </c>
    </row>
    <row r="14" spans="1:8" x14ac:dyDescent="0.25">
      <c r="C14" t="s">
        <v>846</v>
      </c>
      <c r="D14" t="s">
        <v>958</v>
      </c>
      <c r="E14">
        <v>1</v>
      </c>
      <c r="F14" s="79">
        <v>10000</v>
      </c>
      <c r="G14" s="79">
        <v>5500</v>
      </c>
      <c r="H14" s="79">
        <v>4500</v>
      </c>
    </row>
    <row r="15" spans="1:8" x14ac:dyDescent="0.25">
      <c r="C15" t="s">
        <v>846</v>
      </c>
      <c r="D15" t="s">
        <v>919</v>
      </c>
      <c r="E15">
        <v>1</v>
      </c>
      <c r="F15" s="79">
        <v>12000</v>
      </c>
      <c r="G15" s="79">
        <v>5500</v>
      </c>
      <c r="H15" s="79">
        <v>6500</v>
      </c>
    </row>
    <row r="16" spans="1:8" x14ac:dyDescent="0.25">
      <c r="A16" s="112" t="s">
        <v>17</v>
      </c>
      <c r="B16" s="112"/>
      <c r="C16" s="112"/>
      <c r="D16" s="112"/>
      <c r="E16" s="78">
        <f>SUM(E2:E15)</f>
        <v>124</v>
      </c>
      <c r="F16" s="78">
        <f t="shared" ref="F16:H16" si="3">SUM(F2:F15)</f>
        <v>448500</v>
      </c>
      <c r="G16" s="78">
        <f t="shared" si="3"/>
        <v>226500</v>
      </c>
      <c r="H16" s="78">
        <f t="shared" si="3"/>
        <v>285000</v>
      </c>
    </row>
    <row r="17" spans="1:8" x14ac:dyDescent="0.25">
      <c r="A17" t="s">
        <v>32</v>
      </c>
      <c r="B17" s="3">
        <v>45902</v>
      </c>
      <c r="C17" t="s">
        <v>338</v>
      </c>
      <c r="D17" t="s">
        <v>11</v>
      </c>
      <c r="E17">
        <v>48</v>
      </c>
      <c r="F17" s="79">
        <f>E17*1500</f>
        <v>72000</v>
      </c>
      <c r="G17" s="79">
        <f>E17*500</f>
        <v>24000</v>
      </c>
      <c r="H17" s="79">
        <f>E17*1000</f>
        <v>48000</v>
      </c>
    </row>
    <row r="18" spans="1:8" x14ac:dyDescent="0.25">
      <c r="C18" t="s">
        <v>581</v>
      </c>
      <c r="D18" t="s">
        <v>11</v>
      </c>
      <c r="E18">
        <v>25</v>
      </c>
      <c r="F18" s="79">
        <f t="shared" ref="F18:F21" si="4">E18*1500</f>
        <v>37500</v>
      </c>
      <c r="G18" s="79">
        <f t="shared" ref="G18:G21" si="5">E18*500</f>
        <v>12500</v>
      </c>
      <c r="H18" s="79">
        <f t="shared" ref="H18:H21" si="6">E18*1000</f>
        <v>25000</v>
      </c>
    </row>
    <row r="19" spans="1:8" x14ac:dyDescent="0.25">
      <c r="C19" t="s">
        <v>581</v>
      </c>
      <c r="D19" t="s">
        <v>914</v>
      </c>
      <c r="E19">
        <v>24</v>
      </c>
      <c r="F19" s="79">
        <f t="shared" si="4"/>
        <v>36000</v>
      </c>
      <c r="G19" s="79">
        <f t="shared" si="5"/>
        <v>12000</v>
      </c>
      <c r="H19" s="79">
        <f t="shared" si="6"/>
        <v>24000</v>
      </c>
    </row>
    <row r="20" spans="1:8" x14ac:dyDescent="0.25">
      <c r="C20" t="s">
        <v>104</v>
      </c>
      <c r="D20" t="s">
        <v>11</v>
      </c>
      <c r="E20">
        <v>15</v>
      </c>
      <c r="F20" s="79">
        <f t="shared" si="4"/>
        <v>22500</v>
      </c>
      <c r="G20" s="79">
        <f t="shared" si="5"/>
        <v>7500</v>
      </c>
      <c r="H20" s="79">
        <f t="shared" si="6"/>
        <v>15000</v>
      </c>
    </row>
    <row r="21" spans="1:8" x14ac:dyDescent="0.25">
      <c r="C21" t="s">
        <v>571</v>
      </c>
      <c r="D21" t="s">
        <v>11</v>
      </c>
      <c r="E21">
        <v>25</v>
      </c>
      <c r="F21" s="79">
        <f t="shared" si="4"/>
        <v>37500</v>
      </c>
      <c r="G21" s="79">
        <f t="shared" si="5"/>
        <v>12500</v>
      </c>
      <c r="H21" s="79">
        <f t="shared" si="6"/>
        <v>25000</v>
      </c>
    </row>
    <row r="22" spans="1:8" x14ac:dyDescent="0.25">
      <c r="C22" t="s">
        <v>846</v>
      </c>
      <c r="D22" t="s">
        <v>14</v>
      </c>
      <c r="E22">
        <v>4</v>
      </c>
      <c r="F22" s="79">
        <f>E22*12000</f>
        <v>48000</v>
      </c>
      <c r="G22" s="79">
        <f>E22*5500</f>
        <v>22000</v>
      </c>
      <c r="H22" s="79">
        <f>E22*6500</f>
        <v>26000</v>
      </c>
    </row>
    <row r="23" spans="1:8" x14ac:dyDescent="0.25">
      <c r="C23" t="s">
        <v>846</v>
      </c>
      <c r="D23" t="s">
        <v>13</v>
      </c>
      <c r="E23">
        <v>2</v>
      </c>
      <c r="F23" s="79">
        <v>16000</v>
      </c>
      <c r="G23" s="79">
        <v>9000</v>
      </c>
      <c r="H23" s="79">
        <v>7000</v>
      </c>
    </row>
    <row r="24" spans="1:8" x14ac:dyDescent="0.25">
      <c r="C24" t="s">
        <v>846</v>
      </c>
      <c r="D24" t="s">
        <v>902</v>
      </c>
      <c r="E24">
        <v>5</v>
      </c>
      <c r="F24" s="79">
        <f>E24*8000</f>
        <v>40000</v>
      </c>
      <c r="G24" s="79">
        <f>E24*5500</f>
        <v>27500</v>
      </c>
      <c r="H24" s="79">
        <f>E24*4500</f>
        <v>22500</v>
      </c>
    </row>
    <row r="25" spans="1:8" x14ac:dyDescent="0.25">
      <c r="C25" t="s">
        <v>846</v>
      </c>
      <c r="D25" t="s">
        <v>919</v>
      </c>
      <c r="E25">
        <v>2</v>
      </c>
      <c r="F25" s="79">
        <f>E25*12000</f>
        <v>24000</v>
      </c>
      <c r="G25" s="79">
        <f>E25*5500</f>
        <v>11000</v>
      </c>
      <c r="H25" s="79">
        <f>E25*6500</f>
        <v>13000</v>
      </c>
    </row>
    <row r="26" spans="1:8" x14ac:dyDescent="0.25">
      <c r="C26" t="s">
        <v>846</v>
      </c>
      <c r="D26" t="s">
        <v>918</v>
      </c>
      <c r="E26">
        <v>1</v>
      </c>
      <c r="F26" s="79">
        <v>15000</v>
      </c>
      <c r="G26" s="79">
        <v>10000</v>
      </c>
      <c r="H26" s="79">
        <v>5000</v>
      </c>
    </row>
    <row r="27" spans="1:8" x14ac:dyDescent="0.25">
      <c r="C27" t="s">
        <v>846</v>
      </c>
      <c r="D27" t="s">
        <v>902</v>
      </c>
      <c r="E27">
        <v>1</v>
      </c>
      <c r="F27" s="79">
        <v>8000</v>
      </c>
      <c r="G27" s="79">
        <v>5500</v>
      </c>
      <c r="H27" s="79">
        <v>32500</v>
      </c>
    </row>
    <row r="28" spans="1:8" x14ac:dyDescent="0.25">
      <c r="C28" t="s">
        <v>846</v>
      </c>
      <c r="D28" t="s">
        <v>958</v>
      </c>
      <c r="E28">
        <v>1</v>
      </c>
      <c r="F28" s="79">
        <v>10000</v>
      </c>
      <c r="G28" s="79">
        <v>5500</v>
      </c>
      <c r="H28" s="79">
        <v>4500</v>
      </c>
    </row>
    <row r="29" spans="1:8" x14ac:dyDescent="0.25">
      <c r="A29" s="112" t="s">
        <v>17</v>
      </c>
      <c r="B29" s="112"/>
      <c r="C29" s="112"/>
      <c r="D29" s="112"/>
      <c r="E29" s="78">
        <f>SUM(E17:E28)</f>
        <v>153</v>
      </c>
      <c r="F29" s="78">
        <f t="shared" ref="F29:H29" si="7">SUM(F17:F28)</f>
        <v>366500</v>
      </c>
      <c r="G29" s="78">
        <f t="shared" si="7"/>
        <v>159000</v>
      </c>
      <c r="H29" s="78">
        <f t="shared" si="7"/>
        <v>247500</v>
      </c>
    </row>
    <row r="30" spans="1:8" x14ac:dyDescent="0.25">
      <c r="A30" t="s">
        <v>8</v>
      </c>
      <c r="B30" s="3">
        <v>45903</v>
      </c>
      <c r="C30" t="s">
        <v>338</v>
      </c>
      <c r="D30" t="s">
        <v>11</v>
      </c>
      <c r="E30">
        <v>50</v>
      </c>
      <c r="F30">
        <f>E30*1500</f>
        <v>75000</v>
      </c>
      <c r="G30">
        <f>E30*500</f>
        <v>25000</v>
      </c>
      <c r="H30">
        <f>E30*1000</f>
        <v>50000</v>
      </c>
    </row>
    <row r="31" spans="1:8" x14ac:dyDescent="0.25">
      <c r="C31" t="s">
        <v>581</v>
      </c>
      <c r="D31" t="s">
        <v>11</v>
      </c>
      <c r="E31">
        <v>20</v>
      </c>
      <c r="F31">
        <f t="shared" ref="F31:F34" si="8">E31*1500</f>
        <v>30000</v>
      </c>
      <c r="G31">
        <f t="shared" ref="G31:G34" si="9">E31*500</f>
        <v>10000</v>
      </c>
      <c r="H31">
        <f t="shared" ref="H31:H34" si="10">E31*1000</f>
        <v>20000</v>
      </c>
    </row>
    <row r="32" spans="1:8" x14ac:dyDescent="0.25">
      <c r="C32" t="s">
        <v>581</v>
      </c>
      <c r="D32" t="s">
        <v>914</v>
      </c>
      <c r="E32">
        <v>25</v>
      </c>
      <c r="F32">
        <f t="shared" si="8"/>
        <v>37500</v>
      </c>
      <c r="G32">
        <f t="shared" si="9"/>
        <v>12500</v>
      </c>
      <c r="H32">
        <f t="shared" si="10"/>
        <v>25000</v>
      </c>
    </row>
    <row r="33" spans="1:8" x14ac:dyDescent="0.25">
      <c r="C33" t="s">
        <v>571</v>
      </c>
      <c r="D33" t="s">
        <v>11</v>
      </c>
      <c r="E33">
        <v>23</v>
      </c>
      <c r="F33">
        <f t="shared" si="8"/>
        <v>34500</v>
      </c>
      <c r="G33">
        <f t="shared" si="9"/>
        <v>11500</v>
      </c>
      <c r="H33">
        <f t="shared" si="10"/>
        <v>23000</v>
      </c>
    </row>
    <row r="34" spans="1:8" x14ac:dyDescent="0.25">
      <c r="C34" t="s">
        <v>104</v>
      </c>
      <c r="D34" t="s">
        <v>11</v>
      </c>
      <c r="E34">
        <v>10</v>
      </c>
      <c r="F34">
        <f t="shared" si="8"/>
        <v>15000</v>
      </c>
      <c r="G34">
        <f t="shared" si="9"/>
        <v>5000</v>
      </c>
      <c r="H34">
        <f t="shared" si="10"/>
        <v>10000</v>
      </c>
    </row>
    <row r="35" spans="1:8" x14ac:dyDescent="0.25">
      <c r="C35" t="s">
        <v>954</v>
      </c>
      <c r="D35" t="s">
        <v>902</v>
      </c>
      <c r="E35">
        <v>5</v>
      </c>
      <c r="F35">
        <f>E35*8000</f>
        <v>40000</v>
      </c>
      <c r="G35">
        <f>E35*5500</f>
        <v>27500</v>
      </c>
      <c r="H35">
        <f>E35*2500</f>
        <v>12500</v>
      </c>
    </row>
    <row r="36" spans="1:8" x14ac:dyDescent="0.25">
      <c r="C36" t="s">
        <v>954</v>
      </c>
      <c r="D36" t="s">
        <v>243</v>
      </c>
      <c r="E36">
        <v>1</v>
      </c>
      <c r="F36">
        <v>17000</v>
      </c>
      <c r="G36">
        <v>10000</v>
      </c>
      <c r="H36">
        <v>7000</v>
      </c>
    </row>
    <row r="37" spans="1:8" x14ac:dyDescent="0.25">
      <c r="C37" t="s">
        <v>954</v>
      </c>
      <c r="D37" t="s">
        <v>990</v>
      </c>
      <c r="E37">
        <v>1</v>
      </c>
      <c r="F37">
        <v>5000</v>
      </c>
      <c r="G37">
        <v>3000</v>
      </c>
      <c r="H37">
        <v>2000</v>
      </c>
    </row>
    <row r="38" spans="1:8" x14ac:dyDescent="0.25">
      <c r="C38" t="s">
        <v>954</v>
      </c>
      <c r="D38" t="s">
        <v>988</v>
      </c>
      <c r="E38">
        <v>2</v>
      </c>
      <c r="F38">
        <v>14000</v>
      </c>
      <c r="G38">
        <v>8000</v>
      </c>
      <c r="H38">
        <v>6000</v>
      </c>
    </row>
    <row r="39" spans="1:8" x14ac:dyDescent="0.25">
      <c r="C39" t="s">
        <v>954</v>
      </c>
      <c r="D39" t="s">
        <v>13</v>
      </c>
      <c r="E39">
        <v>1</v>
      </c>
      <c r="F39">
        <v>8000</v>
      </c>
      <c r="G39">
        <v>4500</v>
      </c>
      <c r="H39">
        <v>3500</v>
      </c>
    </row>
    <row r="40" spans="1:8" x14ac:dyDescent="0.25">
      <c r="C40" t="s">
        <v>846</v>
      </c>
      <c r="D40" t="s">
        <v>988</v>
      </c>
      <c r="E40">
        <v>4</v>
      </c>
      <c r="F40">
        <v>28000</v>
      </c>
      <c r="G40">
        <v>16000</v>
      </c>
      <c r="H40">
        <v>12000</v>
      </c>
    </row>
    <row r="41" spans="1:8" x14ac:dyDescent="0.25">
      <c r="C41" t="s">
        <v>846</v>
      </c>
      <c r="D41" t="s">
        <v>958</v>
      </c>
      <c r="E41">
        <v>1</v>
      </c>
      <c r="F41">
        <v>10000</v>
      </c>
      <c r="G41">
        <v>5500</v>
      </c>
      <c r="H41">
        <v>4500</v>
      </c>
    </row>
    <row r="42" spans="1:8" x14ac:dyDescent="0.25">
      <c r="C42" t="s">
        <v>846</v>
      </c>
      <c r="D42" t="s">
        <v>14</v>
      </c>
      <c r="E42">
        <v>1</v>
      </c>
      <c r="F42">
        <v>12000</v>
      </c>
      <c r="G42">
        <v>5500</v>
      </c>
      <c r="H42">
        <v>4500</v>
      </c>
    </row>
    <row r="43" spans="1:8" x14ac:dyDescent="0.25">
      <c r="C43" t="s">
        <v>846</v>
      </c>
      <c r="D43" t="s">
        <v>902</v>
      </c>
      <c r="E43">
        <v>3</v>
      </c>
      <c r="F43">
        <v>24000</v>
      </c>
      <c r="G43">
        <f>E43*5500</f>
        <v>16500</v>
      </c>
      <c r="H43">
        <f>E43*2500</f>
        <v>7500</v>
      </c>
    </row>
    <row r="44" spans="1:8" x14ac:dyDescent="0.25">
      <c r="A44" s="112" t="s">
        <v>17</v>
      </c>
      <c r="B44" s="112"/>
      <c r="C44" s="112"/>
      <c r="D44" s="112"/>
      <c r="E44" s="78">
        <f>SUM(E30:E43)</f>
        <v>147</v>
      </c>
      <c r="F44" s="78">
        <f t="shared" ref="F44:H44" si="11">SUM(F30:F43)</f>
        <v>350000</v>
      </c>
      <c r="G44" s="78">
        <f t="shared" si="11"/>
        <v>160500</v>
      </c>
      <c r="H44" s="78">
        <f t="shared" si="11"/>
        <v>187500</v>
      </c>
    </row>
    <row r="45" spans="1:8" x14ac:dyDescent="0.25">
      <c r="A45" t="s">
        <v>18</v>
      </c>
      <c r="B45" s="3">
        <v>45904</v>
      </c>
      <c r="C45" t="s">
        <v>338</v>
      </c>
      <c r="D45" t="s">
        <v>11</v>
      </c>
      <c r="E45">
        <v>49</v>
      </c>
      <c r="F45">
        <f>E45*1500</f>
        <v>73500</v>
      </c>
      <c r="G45">
        <f>E45*500</f>
        <v>24500</v>
      </c>
      <c r="H45">
        <f>E45*1000</f>
        <v>49000</v>
      </c>
    </row>
    <row r="46" spans="1:8" x14ac:dyDescent="0.25">
      <c r="C46" t="s">
        <v>581</v>
      </c>
      <c r="D46" t="s">
        <v>11</v>
      </c>
      <c r="E46">
        <v>25</v>
      </c>
      <c r="F46">
        <f t="shared" ref="F46:F47" si="12">E46*1500</f>
        <v>37500</v>
      </c>
      <c r="G46">
        <f t="shared" ref="G46:G47" si="13">E46*500</f>
        <v>12500</v>
      </c>
      <c r="H46">
        <f t="shared" ref="H46:H47" si="14">E46*1000</f>
        <v>25000</v>
      </c>
    </row>
    <row r="47" spans="1:8" x14ac:dyDescent="0.25">
      <c r="C47" t="s">
        <v>581</v>
      </c>
      <c r="D47" t="s">
        <v>914</v>
      </c>
      <c r="E47">
        <v>19</v>
      </c>
      <c r="F47">
        <f t="shared" si="12"/>
        <v>28500</v>
      </c>
      <c r="G47">
        <f t="shared" si="13"/>
        <v>9500</v>
      </c>
      <c r="H47">
        <f t="shared" si="14"/>
        <v>19000</v>
      </c>
    </row>
    <row r="48" spans="1:8" x14ac:dyDescent="0.25">
      <c r="C48" t="s">
        <v>954</v>
      </c>
      <c r="D48" t="s">
        <v>13</v>
      </c>
      <c r="E48">
        <v>1</v>
      </c>
      <c r="F48">
        <v>8000</v>
      </c>
      <c r="G48">
        <v>4500</v>
      </c>
      <c r="H48">
        <v>3500</v>
      </c>
    </row>
    <row r="49" spans="1:8" x14ac:dyDescent="0.25">
      <c r="C49" t="s">
        <v>954</v>
      </c>
      <c r="D49" t="s">
        <v>902</v>
      </c>
      <c r="E49">
        <v>3</v>
      </c>
      <c r="F49">
        <v>24000</v>
      </c>
      <c r="G49">
        <f>E49*5500</f>
        <v>16500</v>
      </c>
      <c r="H49">
        <f>E49*2500</f>
        <v>7500</v>
      </c>
    </row>
    <row r="50" spans="1:8" x14ac:dyDescent="0.25">
      <c r="A50" s="112" t="s">
        <v>17</v>
      </c>
      <c r="B50" s="112"/>
      <c r="C50" s="112"/>
      <c r="D50" s="112"/>
      <c r="E50" s="78">
        <f>SUM(E45:E49)</f>
        <v>97</v>
      </c>
      <c r="F50" s="78">
        <f t="shared" ref="F50:H50" si="15">SUM(F45:F49)</f>
        <v>171500</v>
      </c>
      <c r="G50" s="78">
        <f t="shared" si="15"/>
        <v>67500</v>
      </c>
      <c r="H50" s="78">
        <f t="shared" si="15"/>
        <v>104000</v>
      </c>
    </row>
    <row r="51" spans="1:8" x14ac:dyDescent="0.25">
      <c r="A51" t="s">
        <v>22</v>
      </c>
      <c r="B51" s="3">
        <v>45905</v>
      </c>
      <c r="C51" t="s">
        <v>954</v>
      </c>
      <c r="D51" t="s">
        <v>902</v>
      </c>
      <c r="E51">
        <v>19</v>
      </c>
      <c r="F51" s="79">
        <f>E51*8000</f>
        <v>152000</v>
      </c>
      <c r="G51" s="79">
        <f>E51*5500</f>
        <v>104500</v>
      </c>
      <c r="H51" s="79">
        <f>E51*2500</f>
        <v>47500</v>
      </c>
    </row>
    <row r="52" spans="1:8" x14ac:dyDescent="0.25">
      <c r="C52" t="s">
        <v>954</v>
      </c>
      <c r="D52" t="s">
        <v>14</v>
      </c>
      <c r="E52">
        <v>5</v>
      </c>
      <c r="F52" s="79">
        <f>E52*12000</f>
        <v>60000</v>
      </c>
      <c r="G52" s="79">
        <f>E52*5500</f>
        <v>27500</v>
      </c>
      <c r="H52" s="79">
        <f>E52*6500</f>
        <v>32500</v>
      </c>
    </row>
    <row r="53" spans="1:8" x14ac:dyDescent="0.25">
      <c r="C53" t="s">
        <v>954</v>
      </c>
      <c r="D53" t="s">
        <v>991</v>
      </c>
      <c r="E53">
        <v>3</v>
      </c>
      <c r="F53" s="79">
        <f>E53*12000</f>
        <v>36000</v>
      </c>
      <c r="G53" s="79">
        <f>E53*5500</f>
        <v>16500</v>
      </c>
      <c r="H53" s="79">
        <f>E53*6500</f>
        <v>19500</v>
      </c>
    </row>
    <row r="54" spans="1:8" x14ac:dyDescent="0.25">
      <c r="C54" t="s">
        <v>954</v>
      </c>
      <c r="D54" t="s">
        <v>985</v>
      </c>
      <c r="E54">
        <v>3</v>
      </c>
      <c r="F54" s="79">
        <f>E54*5000</f>
        <v>15000</v>
      </c>
      <c r="G54" s="79">
        <f>E54*3000</f>
        <v>9000</v>
      </c>
      <c r="H54" s="79">
        <v>6000</v>
      </c>
    </row>
    <row r="55" spans="1:8" x14ac:dyDescent="0.25">
      <c r="C55" t="s">
        <v>846</v>
      </c>
      <c r="D55" t="s">
        <v>902</v>
      </c>
      <c r="E55">
        <v>12</v>
      </c>
      <c r="F55" s="79">
        <f>E55*8000</f>
        <v>96000</v>
      </c>
      <c r="G55" s="79">
        <f>E55*5500</f>
        <v>66000</v>
      </c>
      <c r="H55" s="79">
        <f>E55*2500</f>
        <v>30000</v>
      </c>
    </row>
    <row r="56" spans="1:8" x14ac:dyDescent="0.25">
      <c r="C56" t="s">
        <v>846</v>
      </c>
      <c r="D56" t="s">
        <v>992</v>
      </c>
      <c r="E56">
        <v>3</v>
      </c>
      <c r="F56" s="79">
        <f>E56*7000</f>
        <v>21000</v>
      </c>
      <c r="G56" s="79">
        <f>E56*4000</f>
        <v>12000</v>
      </c>
      <c r="H56" s="79">
        <f>E56*3000</f>
        <v>9000</v>
      </c>
    </row>
    <row r="57" spans="1:8" x14ac:dyDescent="0.25">
      <c r="C57" t="s">
        <v>846</v>
      </c>
      <c r="D57" t="s">
        <v>919</v>
      </c>
      <c r="E57">
        <v>4</v>
      </c>
      <c r="F57" s="79">
        <f>E57*12000</f>
        <v>48000</v>
      </c>
      <c r="G57" s="79">
        <f>E57*5500</f>
        <v>22000</v>
      </c>
      <c r="H57" s="79">
        <f>E57*6500</f>
        <v>26000</v>
      </c>
    </row>
    <row r="58" spans="1:8" x14ac:dyDescent="0.25">
      <c r="C58" t="s">
        <v>993</v>
      </c>
      <c r="D58" t="s">
        <v>11</v>
      </c>
      <c r="E58">
        <v>20</v>
      </c>
      <c r="F58" s="79">
        <f>E58*2000</f>
        <v>40000</v>
      </c>
      <c r="G58" s="79">
        <f>E58*500</f>
        <v>10000</v>
      </c>
      <c r="H58" s="79">
        <f>E58*1500</f>
        <v>30000</v>
      </c>
    </row>
    <row r="59" spans="1:8" x14ac:dyDescent="0.25">
      <c r="C59" t="s">
        <v>993</v>
      </c>
      <c r="D59" t="s">
        <v>13</v>
      </c>
      <c r="E59">
        <v>40</v>
      </c>
      <c r="F59" s="79">
        <f>E59*7000</f>
        <v>280000</v>
      </c>
      <c r="G59" s="79">
        <f>E59*4500</f>
        <v>180000</v>
      </c>
      <c r="H59" s="79">
        <f>E59*2500</f>
        <v>100000</v>
      </c>
    </row>
    <row r="60" spans="1:8" x14ac:dyDescent="0.25">
      <c r="C60" t="s">
        <v>993</v>
      </c>
      <c r="D60" t="s">
        <v>14</v>
      </c>
      <c r="E60">
        <v>35</v>
      </c>
      <c r="F60" s="79">
        <f>E60*10000</f>
        <v>350000</v>
      </c>
      <c r="G60" s="79">
        <f>E60*5500</f>
        <v>192500</v>
      </c>
      <c r="H60" s="79">
        <f>E60*6500</f>
        <v>227500</v>
      </c>
    </row>
    <row r="61" spans="1:8" x14ac:dyDescent="0.25">
      <c r="C61" t="s">
        <v>24</v>
      </c>
      <c r="D61" t="s">
        <v>243</v>
      </c>
      <c r="E61">
        <v>2</v>
      </c>
      <c r="F61" s="79">
        <v>30000</v>
      </c>
      <c r="G61" s="79">
        <v>20000</v>
      </c>
      <c r="H61" s="79">
        <v>10000</v>
      </c>
    </row>
    <row r="62" spans="1:8" x14ac:dyDescent="0.25">
      <c r="C62" t="s">
        <v>554</v>
      </c>
      <c r="D62" t="s">
        <v>243</v>
      </c>
      <c r="E62">
        <v>2</v>
      </c>
      <c r="F62" s="79"/>
      <c r="G62" s="79"/>
      <c r="H62" s="79"/>
    </row>
    <row r="63" spans="1:8" x14ac:dyDescent="0.25">
      <c r="A63" s="112" t="s">
        <v>17</v>
      </c>
      <c r="B63" s="112"/>
      <c r="C63" s="112"/>
      <c r="D63" s="112"/>
      <c r="E63" s="78">
        <f>SUM(E51:E62)</f>
        <v>148</v>
      </c>
      <c r="F63" s="78">
        <f>SUM(F51:F62)</f>
        <v>1128000</v>
      </c>
      <c r="G63" s="78">
        <f t="shared" ref="G63:H63" si="16">SUM(G51:G62)</f>
        <v>660000</v>
      </c>
      <c r="H63" s="78">
        <f t="shared" si="16"/>
        <v>538000</v>
      </c>
    </row>
    <row r="64" spans="1:8" x14ac:dyDescent="0.25">
      <c r="A64" t="s">
        <v>26</v>
      </c>
      <c r="B64" s="3">
        <v>45906</v>
      </c>
      <c r="C64" t="s">
        <v>954</v>
      </c>
      <c r="D64" t="s">
        <v>902</v>
      </c>
      <c r="E64">
        <v>9</v>
      </c>
      <c r="F64" s="79">
        <f>E64*8000</f>
        <v>72000</v>
      </c>
      <c r="G64" s="79">
        <f>E64*5500</f>
        <v>49500</v>
      </c>
      <c r="H64" s="79">
        <f>E64*2500</f>
        <v>22500</v>
      </c>
    </row>
    <row r="65" spans="1:8" x14ac:dyDescent="0.25">
      <c r="C65" t="s">
        <v>954</v>
      </c>
      <c r="D65" t="s">
        <v>13</v>
      </c>
      <c r="E65">
        <v>5</v>
      </c>
      <c r="F65" s="79">
        <f>E65*8000</f>
        <v>40000</v>
      </c>
      <c r="G65" s="79">
        <f>E65*4500</f>
        <v>22500</v>
      </c>
      <c r="H65" s="79">
        <f>E65*2500</f>
        <v>12500</v>
      </c>
    </row>
    <row r="66" spans="1:8" x14ac:dyDescent="0.25">
      <c r="C66" t="s">
        <v>954</v>
      </c>
      <c r="D66" t="s">
        <v>968</v>
      </c>
      <c r="E66">
        <v>1</v>
      </c>
      <c r="F66" s="79">
        <v>12000</v>
      </c>
      <c r="G66" s="79">
        <v>5500</v>
      </c>
      <c r="H66" s="79">
        <v>6500</v>
      </c>
    </row>
    <row r="67" spans="1:8" x14ac:dyDescent="0.25">
      <c r="C67" t="s">
        <v>20</v>
      </c>
      <c r="D67" t="s">
        <v>902</v>
      </c>
      <c r="E67">
        <v>6</v>
      </c>
      <c r="F67" s="79">
        <f>E67*8000</f>
        <v>48000</v>
      </c>
      <c r="G67" s="79">
        <f>E67*5500</f>
        <v>33000</v>
      </c>
      <c r="H67" s="79">
        <f>E67*2500</f>
        <v>15000</v>
      </c>
    </row>
    <row r="68" spans="1:8" x14ac:dyDescent="0.25">
      <c r="C68" t="s">
        <v>20</v>
      </c>
      <c r="D68" t="s">
        <v>14</v>
      </c>
      <c r="E68">
        <v>1</v>
      </c>
      <c r="F68" s="79">
        <v>12000</v>
      </c>
      <c r="G68" s="79">
        <v>5500</v>
      </c>
      <c r="H68" s="79">
        <v>6500</v>
      </c>
    </row>
    <row r="69" spans="1:8" x14ac:dyDescent="0.25">
      <c r="C69" t="s">
        <v>20</v>
      </c>
      <c r="D69" t="s">
        <v>959</v>
      </c>
      <c r="E69">
        <v>1</v>
      </c>
      <c r="F69" s="79">
        <v>10000</v>
      </c>
      <c r="G69" s="79">
        <v>5500</v>
      </c>
      <c r="H69" s="79">
        <v>4500</v>
      </c>
    </row>
    <row r="70" spans="1:8" x14ac:dyDescent="0.25">
      <c r="C70" t="s">
        <v>20</v>
      </c>
      <c r="D70" t="s">
        <v>919</v>
      </c>
      <c r="E70">
        <v>1</v>
      </c>
      <c r="F70" s="79">
        <v>12000</v>
      </c>
      <c r="G70" s="79">
        <v>5500</v>
      </c>
      <c r="H70" s="79">
        <v>6500</v>
      </c>
    </row>
    <row r="71" spans="1:8" x14ac:dyDescent="0.25">
      <c r="C71" t="s">
        <v>20</v>
      </c>
      <c r="D71" t="s">
        <v>918</v>
      </c>
      <c r="E71">
        <v>1</v>
      </c>
      <c r="F71" s="79">
        <v>15000</v>
      </c>
      <c r="G71" s="79">
        <v>10000</v>
      </c>
      <c r="H71" s="79">
        <v>5000</v>
      </c>
    </row>
    <row r="72" spans="1:8" x14ac:dyDescent="0.25">
      <c r="C72" t="s">
        <v>20</v>
      </c>
      <c r="D72" t="s">
        <v>958</v>
      </c>
      <c r="E72">
        <v>1</v>
      </c>
      <c r="F72" s="79">
        <v>10000</v>
      </c>
      <c r="G72" s="79">
        <v>5500</v>
      </c>
      <c r="H72" s="79">
        <v>4500</v>
      </c>
    </row>
    <row r="73" spans="1:8" x14ac:dyDescent="0.25">
      <c r="D73" t="s">
        <v>992</v>
      </c>
      <c r="E73">
        <v>2</v>
      </c>
      <c r="F73" s="79">
        <v>14000</v>
      </c>
      <c r="G73" s="79">
        <v>8000</v>
      </c>
      <c r="H73" s="79">
        <v>6000</v>
      </c>
    </row>
    <row r="74" spans="1:8" x14ac:dyDescent="0.25">
      <c r="A74" s="112" t="s">
        <v>17</v>
      </c>
      <c r="B74" s="112"/>
      <c r="C74" s="112"/>
      <c r="D74" s="112"/>
      <c r="E74" s="78">
        <f>SUM(E64:E73)</f>
        <v>28</v>
      </c>
      <c r="F74" s="78">
        <f t="shared" ref="F74:H74" si="17">SUM(F64:F73)</f>
        <v>245000</v>
      </c>
      <c r="G74" s="78">
        <f t="shared" si="17"/>
        <v>150500</v>
      </c>
      <c r="H74" s="78">
        <f t="shared" si="17"/>
        <v>89500</v>
      </c>
    </row>
    <row r="75" spans="1:8" x14ac:dyDescent="0.25">
      <c r="A75" t="s">
        <v>28</v>
      </c>
      <c r="B75" s="3">
        <v>45907</v>
      </c>
      <c r="C75" t="s">
        <v>693</v>
      </c>
      <c r="D75" t="s">
        <v>13</v>
      </c>
      <c r="E75">
        <v>23</v>
      </c>
      <c r="F75" s="79">
        <f>E75*7000</f>
        <v>161000</v>
      </c>
      <c r="G75" s="79">
        <f>E75*4500</f>
        <v>103500</v>
      </c>
      <c r="H75" s="79">
        <f>E75*2500</f>
        <v>57500</v>
      </c>
    </row>
    <row r="76" spans="1:8" x14ac:dyDescent="0.25">
      <c r="C76" t="s">
        <v>693</v>
      </c>
      <c r="D76" t="s">
        <v>14</v>
      </c>
      <c r="E76">
        <v>22</v>
      </c>
      <c r="F76" s="79">
        <f>E76*10000</f>
        <v>220000</v>
      </c>
      <c r="G76" s="79">
        <f>E76*5500</f>
        <v>121000</v>
      </c>
      <c r="H76" s="79">
        <f>E76*4500</f>
        <v>99000</v>
      </c>
    </row>
    <row r="77" spans="1:8" x14ac:dyDescent="0.25">
      <c r="C77" t="s">
        <v>693</v>
      </c>
      <c r="D77" t="s">
        <v>968</v>
      </c>
      <c r="E77">
        <v>3</v>
      </c>
      <c r="F77" s="79">
        <f>E77*10000</f>
        <v>30000</v>
      </c>
      <c r="G77" s="79">
        <f>E77*5500</f>
        <v>16500</v>
      </c>
      <c r="H77" s="79">
        <f>E77*4500</f>
        <v>13500</v>
      </c>
    </row>
    <row r="78" spans="1:8" x14ac:dyDescent="0.25">
      <c r="C78" t="s">
        <v>693</v>
      </c>
      <c r="D78" t="s">
        <v>985</v>
      </c>
      <c r="E78">
        <v>2</v>
      </c>
      <c r="F78" s="79">
        <v>14000</v>
      </c>
      <c r="G78" s="79">
        <v>8000</v>
      </c>
      <c r="H78" s="79">
        <v>6000</v>
      </c>
    </row>
    <row r="79" spans="1:8" x14ac:dyDescent="0.25">
      <c r="C79" t="s">
        <v>693</v>
      </c>
      <c r="D79" t="s">
        <v>994</v>
      </c>
      <c r="E79">
        <v>3</v>
      </c>
      <c r="F79" s="79">
        <v>30000</v>
      </c>
      <c r="G79" s="79">
        <f>E79*5500</f>
        <v>16500</v>
      </c>
      <c r="H79" s="79">
        <f>E79*4500</f>
        <v>13500</v>
      </c>
    </row>
    <row r="80" spans="1:8" x14ac:dyDescent="0.25">
      <c r="C80" t="s">
        <v>693</v>
      </c>
      <c r="D80" t="s">
        <v>992</v>
      </c>
      <c r="E80">
        <v>1</v>
      </c>
      <c r="F80" s="79">
        <v>5000</v>
      </c>
      <c r="G80" s="79">
        <v>3000</v>
      </c>
      <c r="H80" s="79">
        <v>2000</v>
      </c>
    </row>
    <row r="81" spans="1:8" x14ac:dyDescent="0.25">
      <c r="C81" t="s">
        <v>217</v>
      </c>
      <c r="D81" t="s">
        <v>11</v>
      </c>
      <c r="E81">
        <v>68</v>
      </c>
      <c r="F81" s="79">
        <f>E81*1500</f>
        <v>102000</v>
      </c>
      <c r="G81" s="79">
        <f>E81*500</f>
        <v>34000</v>
      </c>
      <c r="H81" s="79">
        <f>E81*1000</f>
        <v>68000</v>
      </c>
    </row>
    <row r="82" spans="1:8" x14ac:dyDescent="0.25">
      <c r="C82" t="s">
        <v>217</v>
      </c>
      <c r="D82" t="s">
        <v>13</v>
      </c>
      <c r="E82">
        <v>13</v>
      </c>
      <c r="F82" s="79">
        <f>E82*6500</f>
        <v>84500</v>
      </c>
      <c r="G82" s="79">
        <f>E82*4500</f>
        <v>58500</v>
      </c>
      <c r="H82" s="79">
        <f>E82*2000</f>
        <v>26000</v>
      </c>
    </row>
    <row r="83" spans="1:8" x14ac:dyDescent="0.25">
      <c r="C83" t="s">
        <v>217</v>
      </c>
      <c r="D83" t="s">
        <v>14</v>
      </c>
      <c r="E83">
        <v>9</v>
      </c>
      <c r="F83" s="79">
        <f>E83*10000</f>
        <v>90000</v>
      </c>
      <c r="G83" s="79">
        <f>E83*5500</f>
        <v>49500</v>
      </c>
      <c r="H83" s="79">
        <f>E83*4500</f>
        <v>40500</v>
      </c>
    </row>
    <row r="84" spans="1:8" x14ac:dyDescent="0.25">
      <c r="A84" s="112" t="s">
        <v>17</v>
      </c>
      <c r="B84" s="112"/>
      <c r="C84" s="112"/>
      <c r="D84" s="112"/>
      <c r="E84" s="78">
        <f>SUM(E75:E83)</f>
        <v>144</v>
      </c>
      <c r="F84" s="78">
        <f t="shared" ref="F84:H84" si="18">SUM(F75:F83)</f>
        <v>736500</v>
      </c>
      <c r="G84" s="78">
        <f t="shared" si="18"/>
        <v>410500</v>
      </c>
      <c r="H84" s="78">
        <f t="shared" si="18"/>
        <v>326000</v>
      </c>
    </row>
    <row r="85" spans="1:8" x14ac:dyDescent="0.25">
      <c r="A85" t="s">
        <v>30</v>
      </c>
      <c r="B85" s="3">
        <v>45908</v>
      </c>
      <c r="C85" t="s">
        <v>954</v>
      </c>
      <c r="D85" t="s">
        <v>13</v>
      </c>
      <c r="E85">
        <v>3</v>
      </c>
      <c r="F85" s="79">
        <f>E85*8000</f>
        <v>24000</v>
      </c>
      <c r="G85" s="79">
        <f>E85*4500</f>
        <v>13500</v>
      </c>
      <c r="H85" s="79">
        <f>E85*3500</f>
        <v>10500</v>
      </c>
    </row>
    <row r="86" spans="1:8" x14ac:dyDescent="0.25">
      <c r="D86" t="s">
        <v>14</v>
      </c>
      <c r="E86">
        <v>1</v>
      </c>
      <c r="F86" s="79">
        <v>12000</v>
      </c>
      <c r="G86" s="79">
        <v>5500</v>
      </c>
      <c r="H86" s="79">
        <v>6500</v>
      </c>
    </row>
    <row r="87" spans="1:8" x14ac:dyDescent="0.25">
      <c r="D87" t="s">
        <v>902</v>
      </c>
      <c r="E87">
        <v>5</v>
      </c>
      <c r="F87" s="79">
        <f>E87*8000</f>
        <v>40000</v>
      </c>
      <c r="G87" s="79">
        <f>E87*5500</f>
        <v>27500</v>
      </c>
      <c r="H87" s="79">
        <f>E87*2500</f>
        <v>12500</v>
      </c>
    </row>
    <row r="88" spans="1:8" x14ac:dyDescent="0.25">
      <c r="D88" t="s">
        <v>992</v>
      </c>
      <c r="E88">
        <v>2</v>
      </c>
      <c r="F88" s="79">
        <f>E88*7000</f>
        <v>14000</v>
      </c>
      <c r="G88" s="79">
        <f>E88*4000</f>
        <v>8000</v>
      </c>
      <c r="H88" s="79">
        <f>E88*3000</f>
        <v>6000</v>
      </c>
    </row>
    <row r="89" spans="1:8" x14ac:dyDescent="0.25">
      <c r="C89" t="s">
        <v>20</v>
      </c>
      <c r="D89" t="s">
        <v>14</v>
      </c>
      <c r="E89">
        <v>1</v>
      </c>
      <c r="F89" s="79">
        <v>12000</v>
      </c>
      <c r="G89" s="79">
        <v>5500</v>
      </c>
      <c r="H89" s="79">
        <v>6500</v>
      </c>
    </row>
    <row r="90" spans="1:8" x14ac:dyDescent="0.25">
      <c r="D90" t="s">
        <v>902</v>
      </c>
      <c r="E90">
        <v>1</v>
      </c>
      <c r="F90" s="79">
        <v>8000</v>
      </c>
      <c r="G90" s="79">
        <v>5500</v>
      </c>
      <c r="H90" s="79">
        <v>2500</v>
      </c>
    </row>
    <row r="91" spans="1:8" x14ac:dyDescent="0.25">
      <c r="C91" t="s">
        <v>338</v>
      </c>
      <c r="D91" t="s">
        <v>11</v>
      </c>
      <c r="E91">
        <v>39</v>
      </c>
      <c r="F91" s="79">
        <f>E91*1500</f>
        <v>58500</v>
      </c>
      <c r="G91" s="79">
        <f>E91*500</f>
        <v>19500</v>
      </c>
      <c r="H91" s="79">
        <f>E91*1000</f>
        <v>39000</v>
      </c>
    </row>
    <row r="92" spans="1:8" x14ac:dyDescent="0.25">
      <c r="C92" t="s">
        <v>581</v>
      </c>
      <c r="D92" t="s">
        <v>11</v>
      </c>
      <c r="E92">
        <v>20</v>
      </c>
      <c r="F92" s="79">
        <f>E92*1600</f>
        <v>32000</v>
      </c>
      <c r="G92" s="79">
        <f>E92*500</f>
        <v>10000</v>
      </c>
      <c r="H92" s="79">
        <f>E92*1100</f>
        <v>22000</v>
      </c>
    </row>
    <row r="93" spans="1:8" x14ac:dyDescent="0.25">
      <c r="D93" t="s">
        <v>914</v>
      </c>
      <c r="E93">
        <v>25</v>
      </c>
      <c r="F93" s="79">
        <f>E93*1600</f>
        <v>40000</v>
      </c>
      <c r="G93" s="79">
        <f>E93*500</f>
        <v>12500</v>
      </c>
      <c r="H93" s="79">
        <f>E93*1100</f>
        <v>27500</v>
      </c>
    </row>
    <row r="94" spans="1:8" x14ac:dyDescent="0.25">
      <c r="C94" t="s">
        <v>104</v>
      </c>
      <c r="D94" t="s">
        <v>11</v>
      </c>
      <c r="E94">
        <v>15</v>
      </c>
      <c r="F94" s="79">
        <f>E94*1500</f>
        <v>22500</v>
      </c>
      <c r="G94" s="79">
        <f>E94*500</f>
        <v>7500</v>
      </c>
      <c r="H94" s="79">
        <f>E94*1000</f>
        <v>15000</v>
      </c>
    </row>
    <row r="95" spans="1:8" x14ac:dyDescent="0.25">
      <c r="C95" t="s">
        <v>217</v>
      </c>
      <c r="D95" t="s">
        <v>11</v>
      </c>
      <c r="E95">
        <v>2</v>
      </c>
      <c r="F95" s="79">
        <f>E95*1500</f>
        <v>3000</v>
      </c>
      <c r="G95" s="79">
        <f>E95*500</f>
        <v>1000</v>
      </c>
      <c r="H95" s="79">
        <f>E95*1000</f>
        <v>2000</v>
      </c>
    </row>
    <row r="96" spans="1:8" x14ac:dyDescent="0.25">
      <c r="D96" t="s">
        <v>13</v>
      </c>
      <c r="E96">
        <v>6</v>
      </c>
      <c r="F96" s="79">
        <f>E96*6500</f>
        <v>39000</v>
      </c>
      <c r="G96" s="79">
        <f>E96*4500</f>
        <v>27000</v>
      </c>
      <c r="H96" s="79">
        <f>E96*2000</f>
        <v>12000</v>
      </c>
    </row>
    <row r="97" spans="1:8" x14ac:dyDescent="0.25">
      <c r="D97" t="s">
        <v>14</v>
      </c>
      <c r="E97">
        <v>3</v>
      </c>
      <c r="F97" s="79">
        <f>E97*8000</f>
        <v>24000</v>
      </c>
      <c r="G97" s="79">
        <f>E97*5500</f>
        <v>16500</v>
      </c>
      <c r="H97" s="79">
        <f>E97*3500</f>
        <v>10500</v>
      </c>
    </row>
    <row r="98" spans="1:8" x14ac:dyDescent="0.25">
      <c r="A98" s="112" t="s">
        <v>17</v>
      </c>
      <c r="B98" s="112"/>
      <c r="C98" s="112"/>
      <c r="D98" s="112"/>
      <c r="E98" s="78">
        <f>SUM(E85:E97)</f>
        <v>123</v>
      </c>
      <c r="F98" s="78">
        <f t="shared" ref="F98:H98" si="19">SUM(F85:F97)</f>
        <v>329000</v>
      </c>
      <c r="G98" s="78">
        <f t="shared" si="19"/>
        <v>159500</v>
      </c>
      <c r="H98" s="78">
        <f t="shared" si="19"/>
        <v>172500</v>
      </c>
    </row>
    <row r="99" spans="1:8" x14ac:dyDescent="0.25">
      <c r="A99" t="s">
        <v>32</v>
      </c>
      <c r="B99" s="3">
        <v>45909</v>
      </c>
      <c r="C99" t="s">
        <v>581</v>
      </c>
      <c r="D99" t="s">
        <v>11</v>
      </c>
      <c r="E99">
        <v>15</v>
      </c>
      <c r="F99" s="79">
        <f>E99*1600</f>
        <v>24000</v>
      </c>
      <c r="G99" s="79">
        <f>E99*500</f>
        <v>7500</v>
      </c>
      <c r="H99" s="79">
        <f>E99*1100</f>
        <v>16500</v>
      </c>
    </row>
    <row r="100" spans="1:8" x14ac:dyDescent="0.25">
      <c r="D100" t="s">
        <v>914</v>
      </c>
      <c r="E100">
        <v>24</v>
      </c>
      <c r="F100" s="79">
        <f>E100*1600</f>
        <v>38400</v>
      </c>
      <c r="G100" s="79">
        <f>E100*500</f>
        <v>12000</v>
      </c>
      <c r="H100" s="79">
        <f>E100*1100</f>
        <v>26400</v>
      </c>
    </row>
    <row r="101" spans="1:8" x14ac:dyDescent="0.25">
      <c r="C101" t="s">
        <v>954</v>
      </c>
      <c r="D101" t="s">
        <v>14</v>
      </c>
      <c r="E101">
        <v>2</v>
      </c>
      <c r="F101" s="79">
        <f>E101*12000</f>
        <v>24000</v>
      </c>
      <c r="G101" s="79">
        <f>E101*5500</f>
        <v>11000</v>
      </c>
      <c r="H101" s="79">
        <f>E101*6500</f>
        <v>13000</v>
      </c>
    </row>
    <row r="102" spans="1:8" x14ac:dyDescent="0.25">
      <c r="A102" s="112" t="s">
        <v>17</v>
      </c>
      <c r="B102" s="112"/>
      <c r="C102" s="112"/>
      <c r="D102" s="112"/>
      <c r="E102" s="78">
        <f>SUM(E99:E101)</f>
        <v>41</v>
      </c>
      <c r="F102" s="78">
        <f t="shared" ref="F102:H102" si="20">SUM(F99:F101)</f>
        <v>86400</v>
      </c>
      <c r="G102" s="78">
        <f t="shared" si="20"/>
        <v>30500</v>
      </c>
      <c r="H102" s="78">
        <f t="shared" si="20"/>
        <v>55900</v>
      </c>
    </row>
    <row r="103" spans="1:8" x14ac:dyDescent="0.25">
      <c r="A103" t="s">
        <v>8</v>
      </c>
      <c r="B103" s="3">
        <v>45910</v>
      </c>
      <c r="C103" t="s">
        <v>338</v>
      </c>
      <c r="D103" t="s">
        <v>11</v>
      </c>
      <c r="E103">
        <v>49</v>
      </c>
      <c r="F103" s="79">
        <f>E103*1500</f>
        <v>73500</v>
      </c>
      <c r="G103" s="79">
        <f>E103*500</f>
        <v>24500</v>
      </c>
      <c r="H103" s="79">
        <f>E103*1000</f>
        <v>49000</v>
      </c>
    </row>
    <row r="104" spans="1:8" x14ac:dyDescent="0.25">
      <c r="C104" t="s">
        <v>581</v>
      </c>
      <c r="D104" t="s">
        <v>11</v>
      </c>
      <c r="E104">
        <v>17</v>
      </c>
      <c r="F104" s="79">
        <f t="shared" ref="F104:F106" si="21">E104*1500</f>
        <v>25500</v>
      </c>
      <c r="G104" s="79">
        <f t="shared" ref="G104:G106" si="22">E104*500</f>
        <v>8500</v>
      </c>
      <c r="H104" s="79">
        <f t="shared" ref="H104:H106" si="23">E104*1000</f>
        <v>17000</v>
      </c>
    </row>
    <row r="105" spans="1:8" x14ac:dyDescent="0.25">
      <c r="D105" t="s">
        <v>914</v>
      </c>
      <c r="E105">
        <v>16</v>
      </c>
      <c r="F105" s="79">
        <f t="shared" si="21"/>
        <v>24000</v>
      </c>
      <c r="G105" s="79">
        <f t="shared" si="22"/>
        <v>8000</v>
      </c>
      <c r="H105" s="79">
        <f t="shared" si="23"/>
        <v>16000</v>
      </c>
    </row>
    <row r="106" spans="1:8" x14ac:dyDescent="0.25">
      <c r="C106" t="s">
        <v>571</v>
      </c>
      <c r="D106" t="s">
        <v>11</v>
      </c>
      <c r="E106">
        <v>40</v>
      </c>
      <c r="F106" s="79">
        <f t="shared" si="21"/>
        <v>60000</v>
      </c>
      <c r="G106" s="79">
        <f t="shared" si="22"/>
        <v>20000</v>
      </c>
      <c r="H106" s="79">
        <f t="shared" si="23"/>
        <v>40000</v>
      </c>
    </row>
    <row r="107" spans="1:8" x14ac:dyDescent="0.25">
      <c r="C107" t="s">
        <v>954</v>
      </c>
      <c r="D107" t="s">
        <v>14</v>
      </c>
      <c r="E107">
        <v>2</v>
      </c>
      <c r="F107" s="79">
        <f>E107*12000</f>
        <v>24000</v>
      </c>
      <c r="G107" s="79">
        <f>E107*5500</f>
        <v>11000</v>
      </c>
      <c r="H107" s="79">
        <f>E107*6500</f>
        <v>13000</v>
      </c>
    </row>
    <row r="108" spans="1:8" x14ac:dyDescent="0.25">
      <c r="D108" t="s">
        <v>13</v>
      </c>
      <c r="E108">
        <v>1</v>
      </c>
      <c r="F108" s="79">
        <v>8000</v>
      </c>
      <c r="G108" s="79">
        <v>4500</v>
      </c>
      <c r="H108" s="79">
        <v>3500</v>
      </c>
    </row>
    <row r="109" spans="1:8" x14ac:dyDescent="0.25">
      <c r="D109" t="s">
        <v>902</v>
      </c>
      <c r="E109">
        <v>5</v>
      </c>
      <c r="F109" s="79">
        <f>E109*8000</f>
        <v>40000</v>
      </c>
      <c r="G109" s="79">
        <f>E109*5500</f>
        <v>27500</v>
      </c>
      <c r="H109" s="79">
        <f>E109*2500</f>
        <v>12500</v>
      </c>
    </row>
    <row r="110" spans="1:8" x14ac:dyDescent="0.25">
      <c r="D110" t="s">
        <v>243</v>
      </c>
      <c r="E110">
        <v>2</v>
      </c>
      <c r="F110" s="79">
        <f>E110*17000</f>
        <v>34000</v>
      </c>
      <c r="G110" s="79">
        <f>E110*10000</f>
        <v>20000</v>
      </c>
      <c r="H110" s="79">
        <f>E110*7000</f>
        <v>14000</v>
      </c>
    </row>
    <row r="111" spans="1:8" x14ac:dyDescent="0.25">
      <c r="D111" t="s">
        <v>927</v>
      </c>
      <c r="E111">
        <v>1</v>
      </c>
      <c r="F111" s="79">
        <v>12000</v>
      </c>
      <c r="G111" s="79">
        <v>5500</v>
      </c>
      <c r="H111" s="79">
        <v>6500</v>
      </c>
    </row>
    <row r="112" spans="1:8" x14ac:dyDescent="0.25">
      <c r="C112" t="s">
        <v>846</v>
      </c>
      <c r="D112" t="s">
        <v>902</v>
      </c>
      <c r="E112">
        <v>3</v>
      </c>
      <c r="F112" s="79">
        <f>E112*8000</f>
        <v>24000</v>
      </c>
      <c r="G112" s="79">
        <f>E112*5500</f>
        <v>16500</v>
      </c>
      <c r="H112" s="79">
        <f>E112*2500</f>
        <v>7500</v>
      </c>
    </row>
    <row r="113" spans="1:8" x14ac:dyDescent="0.25">
      <c r="D113" t="s">
        <v>13</v>
      </c>
      <c r="E113">
        <v>1</v>
      </c>
      <c r="F113" s="79">
        <v>8000</v>
      </c>
      <c r="G113" s="79">
        <v>4500</v>
      </c>
      <c r="H113" s="79">
        <v>3500</v>
      </c>
    </row>
    <row r="114" spans="1:8" x14ac:dyDescent="0.25">
      <c r="D114" t="s">
        <v>958</v>
      </c>
      <c r="E114">
        <v>1</v>
      </c>
      <c r="F114" s="79">
        <v>10000</v>
      </c>
      <c r="G114" s="79">
        <v>5500</v>
      </c>
      <c r="H114" s="79">
        <v>4500</v>
      </c>
    </row>
    <row r="115" spans="1:8" x14ac:dyDescent="0.25">
      <c r="A115" s="143" t="s">
        <v>17</v>
      </c>
      <c r="B115" s="143"/>
      <c r="C115" s="143"/>
      <c r="D115" s="143"/>
      <c r="E115" s="78">
        <f>SUM(E103:E114)</f>
        <v>138</v>
      </c>
      <c r="F115" s="78">
        <f t="shared" ref="F115:H115" si="24">SUM(F103:F114)</f>
        <v>343000</v>
      </c>
      <c r="G115" s="78">
        <f t="shared" si="24"/>
        <v>156000</v>
      </c>
      <c r="H115" s="78">
        <f t="shared" si="24"/>
        <v>187000</v>
      </c>
    </row>
    <row r="116" spans="1:8" x14ac:dyDescent="0.25">
      <c r="A116" t="s">
        <v>18</v>
      </c>
      <c r="B116" s="3">
        <v>45911</v>
      </c>
      <c r="C116" t="s">
        <v>338</v>
      </c>
      <c r="D116" t="s">
        <v>11</v>
      </c>
      <c r="E116">
        <v>50</v>
      </c>
      <c r="F116">
        <f>E116*1500</f>
        <v>75000</v>
      </c>
      <c r="G116">
        <f>E116*500</f>
        <v>25000</v>
      </c>
      <c r="H116">
        <f>E116*1000</f>
        <v>50000</v>
      </c>
    </row>
    <row r="117" spans="1:8" x14ac:dyDescent="0.25">
      <c r="C117" t="s">
        <v>581</v>
      </c>
      <c r="D117" t="s">
        <v>11</v>
      </c>
      <c r="E117">
        <v>18</v>
      </c>
      <c r="F117">
        <f>E117*1600</f>
        <v>28800</v>
      </c>
      <c r="G117">
        <f>E117*500</f>
        <v>9000</v>
      </c>
      <c r="H117">
        <f>E117*1100</f>
        <v>19800</v>
      </c>
    </row>
    <row r="118" spans="1:8" x14ac:dyDescent="0.25">
      <c r="D118" t="s">
        <v>914</v>
      </c>
      <c r="E118">
        <v>23</v>
      </c>
      <c r="F118">
        <f>E118*1600</f>
        <v>36800</v>
      </c>
      <c r="G118">
        <f>E118*500</f>
        <v>11500</v>
      </c>
      <c r="H118">
        <f>E118*1100</f>
        <v>25300</v>
      </c>
    </row>
    <row r="119" spans="1:8" x14ac:dyDescent="0.25">
      <c r="C119" t="s">
        <v>20</v>
      </c>
      <c r="D119" t="s">
        <v>14</v>
      </c>
      <c r="E119">
        <v>2</v>
      </c>
      <c r="F119">
        <f>E119*12000</f>
        <v>24000</v>
      </c>
      <c r="G119">
        <f>E119*5500</f>
        <v>11000</v>
      </c>
      <c r="H119">
        <f>E119*6500</f>
        <v>13000</v>
      </c>
    </row>
    <row r="120" spans="1:8" x14ac:dyDescent="0.25">
      <c r="D120" t="s">
        <v>918</v>
      </c>
      <c r="E120">
        <v>1</v>
      </c>
      <c r="F120">
        <v>15000</v>
      </c>
      <c r="G120">
        <v>10000</v>
      </c>
      <c r="H120">
        <v>5000</v>
      </c>
    </row>
    <row r="121" spans="1:8" x14ac:dyDescent="0.25">
      <c r="D121" t="s">
        <v>13</v>
      </c>
      <c r="E121">
        <v>2</v>
      </c>
      <c r="F121">
        <v>16000</v>
      </c>
      <c r="G121">
        <v>9000</v>
      </c>
      <c r="H121">
        <v>7000</v>
      </c>
    </row>
    <row r="122" spans="1:8" x14ac:dyDescent="0.25">
      <c r="D122" t="s">
        <v>902</v>
      </c>
      <c r="E122">
        <v>5</v>
      </c>
      <c r="F122">
        <f>E122*8000</f>
        <v>40000</v>
      </c>
      <c r="G122">
        <f>E122*5500</f>
        <v>27500</v>
      </c>
      <c r="H122">
        <f>E122*2500</f>
        <v>12500</v>
      </c>
    </row>
    <row r="123" spans="1:8" x14ac:dyDescent="0.25">
      <c r="D123" t="s">
        <v>919</v>
      </c>
      <c r="E123">
        <v>3</v>
      </c>
      <c r="F123">
        <f>E123*12000</f>
        <v>36000</v>
      </c>
      <c r="G123">
        <f>E123*5500</f>
        <v>16500</v>
      </c>
      <c r="H123">
        <f>E123*6500</f>
        <v>19500</v>
      </c>
    </row>
    <row r="124" spans="1:8" x14ac:dyDescent="0.25">
      <c r="A124" s="112" t="s">
        <v>17</v>
      </c>
      <c r="B124" s="112"/>
      <c r="C124" s="112"/>
      <c r="D124" s="112"/>
      <c r="E124" s="78">
        <f>SUM(E116:E123)</f>
        <v>104</v>
      </c>
      <c r="F124" s="78">
        <f t="shared" ref="F124:H124" si="25">SUM(F116:F123)</f>
        <v>271600</v>
      </c>
      <c r="G124" s="78">
        <f t="shared" si="25"/>
        <v>119500</v>
      </c>
      <c r="H124" s="78">
        <f t="shared" si="25"/>
        <v>152100</v>
      </c>
    </row>
    <row r="125" spans="1:8" x14ac:dyDescent="0.25">
      <c r="A125" t="s">
        <v>22</v>
      </c>
      <c r="B125" s="3">
        <v>45912</v>
      </c>
      <c r="C125" t="s">
        <v>338</v>
      </c>
      <c r="D125" t="s">
        <v>11</v>
      </c>
      <c r="E125">
        <v>44</v>
      </c>
      <c r="F125" s="79">
        <f>E125*1500</f>
        <v>66000</v>
      </c>
      <c r="G125" s="79">
        <f>E125*500</f>
        <v>22000</v>
      </c>
      <c r="H125" s="79">
        <f>E125*1000</f>
        <v>44000</v>
      </c>
    </row>
    <row r="126" spans="1:8" x14ac:dyDescent="0.25">
      <c r="C126" t="s">
        <v>581</v>
      </c>
      <c r="D126" t="s">
        <v>11</v>
      </c>
      <c r="E126">
        <v>25</v>
      </c>
      <c r="F126" s="79">
        <f t="shared" ref="F126:F129" si="26">E126*1500</f>
        <v>37500</v>
      </c>
      <c r="G126" s="79">
        <f t="shared" ref="G126:G129" si="27">E126*500</f>
        <v>12500</v>
      </c>
      <c r="H126" s="79">
        <f t="shared" ref="H126:H129" si="28">E126*1000</f>
        <v>25000</v>
      </c>
    </row>
    <row r="127" spans="1:8" x14ac:dyDescent="0.25">
      <c r="D127" t="s">
        <v>914</v>
      </c>
      <c r="E127">
        <v>15</v>
      </c>
      <c r="F127" s="79">
        <f t="shared" si="26"/>
        <v>22500</v>
      </c>
      <c r="G127" s="79">
        <f t="shared" si="27"/>
        <v>7500</v>
      </c>
      <c r="H127" s="79">
        <f t="shared" si="28"/>
        <v>15000</v>
      </c>
    </row>
    <row r="128" spans="1:8" x14ac:dyDescent="0.25">
      <c r="C128" t="s">
        <v>571</v>
      </c>
      <c r="D128" t="s">
        <v>11</v>
      </c>
      <c r="E128">
        <v>18</v>
      </c>
      <c r="F128" s="79">
        <f t="shared" si="26"/>
        <v>27000</v>
      </c>
      <c r="G128" s="79">
        <f t="shared" si="27"/>
        <v>9000</v>
      </c>
      <c r="H128" s="79">
        <f t="shared" si="28"/>
        <v>18000</v>
      </c>
    </row>
    <row r="129" spans="1:8" x14ac:dyDescent="0.25">
      <c r="C129" t="s">
        <v>217</v>
      </c>
      <c r="D129" t="s">
        <v>11</v>
      </c>
      <c r="E129">
        <v>29</v>
      </c>
      <c r="F129" s="79">
        <f t="shared" si="26"/>
        <v>43500</v>
      </c>
      <c r="G129" s="79">
        <f t="shared" si="27"/>
        <v>14500</v>
      </c>
      <c r="H129" s="79">
        <f t="shared" si="28"/>
        <v>29000</v>
      </c>
    </row>
    <row r="130" spans="1:8" x14ac:dyDescent="0.25">
      <c r="D130" t="s">
        <v>13</v>
      </c>
      <c r="E130">
        <v>19</v>
      </c>
      <c r="F130" s="79">
        <f>E130*6500</f>
        <v>123500</v>
      </c>
      <c r="G130" s="79">
        <f>E130*4500</f>
        <v>85500</v>
      </c>
      <c r="H130" s="79">
        <f>E130*2000</f>
        <v>38000</v>
      </c>
    </row>
    <row r="131" spans="1:8" x14ac:dyDescent="0.25">
      <c r="D131" t="s">
        <v>14</v>
      </c>
      <c r="E131">
        <v>10</v>
      </c>
      <c r="F131" s="79">
        <f>E131*8000</f>
        <v>80000</v>
      </c>
      <c r="G131" s="79">
        <f>E131*5500</f>
        <v>55000</v>
      </c>
      <c r="H131" s="79">
        <f>E131*2500</f>
        <v>25000</v>
      </c>
    </row>
    <row r="132" spans="1:8" x14ac:dyDescent="0.25">
      <c r="C132" t="s">
        <v>954</v>
      </c>
      <c r="D132" t="s">
        <v>927</v>
      </c>
      <c r="E132">
        <v>1</v>
      </c>
      <c r="F132" s="79">
        <v>12000</v>
      </c>
      <c r="G132" s="79">
        <v>5500</v>
      </c>
      <c r="H132" s="79">
        <v>6500</v>
      </c>
    </row>
    <row r="133" spans="1:8" x14ac:dyDescent="0.25">
      <c r="D133" t="s">
        <v>13</v>
      </c>
      <c r="E133">
        <v>1</v>
      </c>
      <c r="F133" s="79">
        <v>8000</v>
      </c>
      <c r="G133" s="79">
        <v>4500</v>
      </c>
      <c r="H133" s="79">
        <v>3500</v>
      </c>
    </row>
    <row r="134" spans="1:8" x14ac:dyDescent="0.25">
      <c r="D134" t="s">
        <v>902</v>
      </c>
      <c r="E134">
        <v>6</v>
      </c>
      <c r="F134" s="79">
        <f>E134*8000</f>
        <v>48000</v>
      </c>
      <c r="G134" s="79">
        <f>E134*5500</f>
        <v>33000</v>
      </c>
      <c r="H134" s="79">
        <f>E134*2500</f>
        <v>15000</v>
      </c>
    </row>
    <row r="135" spans="1:8" x14ac:dyDescent="0.25">
      <c r="C135" t="s">
        <v>846</v>
      </c>
      <c r="D135" t="s">
        <v>902</v>
      </c>
      <c r="E135">
        <v>3</v>
      </c>
      <c r="F135" s="79">
        <f>E135*8000</f>
        <v>24000</v>
      </c>
      <c r="G135" s="79">
        <f>E135*5500</f>
        <v>16500</v>
      </c>
      <c r="H135" s="79">
        <f>E135*2500</f>
        <v>7500</v>
      </c>
    </row>
    <row r="136" spans="1:8" x14ac:dyDescent="0.25">
      <c r="D136" t="s">
        <v>918</v>
      </c>
      <c r="E136">
        <v>1</v>
      </c>
      <c r="F136" s="79">
        <v>15000</v>
      </c>
      <c r="G136" s="79">
        <v>10000</v>
      </c>
      <c r="H136" s="79">
        <v>5000</v>
      </c>
    </row>
    <row r="137" spans="1:8" x14ac:dyDescent="0.25">
      <c r="D137" t="s">
        <v>958</v>
      </c>
      <c r="E137">
        <v>1</v>
      </c>
      <c r="F137" s="79">
        <v>10000</v>
      </c>
      <c r="G137" s="79">
        <v>5500</v>
      </c>
      <c r="H137" s="79">
        <v>4500</v>
      </c>
    </row>
    <row r="138" spans="1:8" x14ac:dyDescent="0.25">
      <c r="A138" s="111" t="s">
        <v>17</v>
      </c>
      <c r="B138" s="111"/>
      <c r="C138" s="111"/>
      <c r="D138" s="111"/>
      <c r="E138" s="1">
        <f>SUM(E125:E137)</f>
        <v>173</v>
      </c>
      <c r="F138" s="78">
        <f t="shared" ref="F138:H138" si="29">SUM(F125:F137)</f>
        <v>517000</v>
      </c>
      <c r="G138" s="78">
        <f t="shared" si="29"/>
        <v>281000</v>
      </c>
      <c r="H138" s="78">
        <f t="shared" si="29"/>
        <v>236000</v>
      </c>
    </row>
    <row r="139" spans="1:8" x14ac:dyDescent="0.25">
      <c r="A139" t="s">
        <v>26</v>
      </c>
      <c r="B139" s="3">
        <v>45913</v>
      </c>
      <c r="C139" t="s">
        <v>338</v>
      </c>
      <c r="D139" t="s">
        <v>11</v>
      </c>
      <c r="E139">
        <v>35</v>
      </c>
      <c r="F139" s="79">
        <f>E139*1500</f>
        <v>52500</v>
      </c>
      <c r="G139" s="79">
        <f>E139*500</f>
        <v>17500</v>
      </c>
      <c r="H139" s="79">
        <f>E139*1000</f>
        <v>35000</v>
      </c>
    </row>
    <row r="140" spans="1:8" x14ac:dyDescent="0.25">
      <c r="C140" t="s">
        <v>581</v>
      </c>
      <c r="D140" t="s">
        <v>11</v>
      </c>
      <c r="E140">
        <v>18</v>
      </c>
      <c r="F140" s="79">
        <f t="shared" ref="F140:F141" si="30">E140*1500</f>
        <v>27000</v>
      </c>
      <c r="G140" s="79">
        <f t="shared" ref="G140:G142" si="31">E140*500</f>
        <v>9000</v>
      </c>
      <c r="H140" s="79">
        <f t="shared" ref="H140:H142" si="32">E140*1000</f>
        <v>18000</v>
      </c>
    </row>
    <row r="141" spans="1:8" x14ac:dyDescent="0.25">
      <c r="C141" t="s">
        <v>581</v>
      </c>
      <c r="D141" t="s">
        <v>914</v>
      </c>
      <c r="E141">
        <v>15</v>
      </c>
      <c r="F141" s="79">
        <f t="shared" si="30"/>
        <v>22500</v>
      </c>
      <c r="G141" s="79">
        <f t="shared" si="31"/>
        <v>7500</v>
      </c>
      <c r="H141" s="79">
        <f t="shared" si="32"/>
        <v>15000</v>
      </c>
    </row>
    <row r="142" spans="1:8" x14ac:dyDescent="0.25">
      <c r="C142" t="s">
        <v>104</v>
      </c>
      <c r="D142" t="s">
        <v>11</v>
      </c>
      <c r="E142">
        <v>8</v>
      </c>
      <c r="F142" s="79">
        <f>E142*1500</f>
        <v>12000</v>
      </c>
      <c r="G142" s="79">
        <f t="shared" si="31"/>
        <v>4000</v>
      </c>
      <c r="H142" s="79">
        <f t="shared" si="32"/>
        <v>8000</v>
      </c>
    </row>
    <row r="143" spans="1:8" x14ac:dyDescent="0.25">
      <c r="C143" t="s">
        <v>954</v>
      </c>
      <c r="D143" t="s">
        <v>13</v>
      </c>
      <c r="E143">
        <v>3</v>
      </c>
      <c r="F143" s="79">
        <f>E143*8000</f>
        <v>24000</v>
      </c>
      <c r="G143" s="79">
        <f>E143*4500</f>
        <v>13500</v>
      </c>
      <c r="H143" s="79">
        <f>E143*3500</f>
        <v>10500</v>
      </c>
    </row>
    <row r="144" spans="1:8" x14ac:dyDescent="0.25">
      <c r="C144" t="s">
        <v>954</v>
      </c>
      <c r="D144" t="s">
        <v>902</v>
      </c>
      <c r="E144">
        <v>1</v>
      </c>
      <c r="F144" s="79">
        <v>8000</v>
      </c>
      <c r="G144" s="79">
        <v>5500</v>
      </c>
      <c r="H144" s="79">
        <v>2500</v>
      </c>
    </row>
    <row r="145" spans="1:8" x14ac:dyDescent="0.25">
      <c r="C145" t="s">
        <v>846</v>
      </c>
      <c r="D145" t="s">
        <v>919</v>
      </c>
      <c r="E145">
        <v>1</v>
      </c>
      <c r="F145" s="79">
        <v>12000</v>
      </c>
      <c r="G145" s="79">
        <v>5500</v>
      </c>
      <c r="H145" s="79">
        <v>6500</v>
      </c>
    </row>
    <row r="146" spans="1:8" x14ac:dyDescent="0.25">
      <c r="C146" t="s">
        <v>846</v>
      </c>
      <c r="D146" t="s">
        <v>902</v>
      </c>
      <c r="E146">
        <v>3</v>
      </c>
      <c r="F146" s="79">
        <f>E146*8000</f>
        <v>24000</v>
      </c>
      <c r="G146" s="79">
        <f>E146*5500</f>
        <v>16500</v>
      </c>
      <c r="H146" s="79">
        <f>E146*2500</f>
        <v>7500</v>
      </c>
    </row>
    <row r="147" spans="1:8" x14ac:dyDescent="0.25">
      <c r="C147" t="s">
        <v>846</v>
      </c>
      <c r="D147" t="s">
        <v>13</v>
      </c>
      <c r="E147">
        <v>4</v>
      </c>
      <c r="F147" s="79">
        <f>E147*8000</f>
        <v>32000</v>
      </c>
      <c r="G147" s="79">
        <f>E147*4500</f>
        <v>18000</v>
      </c>
      <c r="H147" s="79">
        <f>E147*3500</f>
        <v>14000</v>
      </c>
    </row>
    <row r="148" spans="1:8" x14ac:dyDescent="0.25">
      <c r="C148" t="s">
        <v>846</v>
      </c>
      <c r="D148" t="s">
        <v>14</v>
      </c>
      <c r="E148">
        <v>1</v>
      </c>
      <c r="F148" s="79">
        <v>12000</v>
      </c>
      <c r="G148" s="79">
        <v>5500</v>
      </c>
      <c r="H148" s="79">
        <v>6500</v>
      </c>
    </row>
    <row r="149" spans="1:8" x14ac:dyDescent="0.25">
      <c r="C149" t="s">
        <v>846</v>
      </c>
      <c r="D149" t="s">
        <v>958</v>
      </c>
      <c r="E149">
        <v>1</v>
      </c>
      <c r="F149" s="79">
        <v>10000</v>
      </c>
      <c r="G149" s="79">
        <v>5500</v>
      </c>
      <c r="H149" s="79">
        <v>4500</v>
      </c>
    </row>
    <row r="150" spans="1:8" x14ac:dyDescent="0.25">
      <c r="C150" t="s">
        <v>846</v>
      </c>
      <c r="D150" t="s">
        <v>404</v>
      </c>
      <c r="E150">
        <v>2</v>
      </c>
      <c r="F150" s="79">
        <v>10000</v>
      </c>
      <c r="G150" s="79">
        <v>5000</v>
      </c>
      <c r="H150" s="79">
        <v>5000</v>
      </c>
    </row>
    <row r="151" spans="1:8" x14ac:dyDescent="0.25">
      <c r="A151" s="112" t="s">
        <v>17</v>
      </c>
      <c r="B151" s="112"/>
      <c r="C151" s="112"/>
      <c r="D151" s="112"/>
      <c r="E151" s="78">
        <f>SUM(E139:E150)</f>
        <v>92</v>
      </c>
      <c r="F151" s="78">
        <f t="shared" ref="F151:H151" si="33">SUM(F139:F150)</f>
        <v>246000</v>
      </c>
      <c r="G151" s="78">
        <f t="shared" si="33"/>
        <v>113000</v>
      </c>
      <c r="H151" s="78">
        <f t="shared" si="33"/>
        <v>133000</v>
      </c>
    </row>
    <row r="152" spans="1:8" x14ac:dyDescent="0.25">
      <c r="A152" t="s">
        <v>28</v>
      </c>
      <c r="B152" s="3">
        <v>45914</v>
      </c>
      <c r="C152" t="s">
        <v>20</v>
      </c>
      <c r="D152" t="s">
        <v>13</v>
      </c>
      <c r="E152">
        <v>17</v>
      </c>
      <c r="F152" s="79">
        <f>E152*7000</f>
        <v>119000</v>
      </c>
      <c r="G152" s="79">
        <f>E152*4500</f>
        <v>76500</v>
      </c>
      <c r="H152" s="79">
        <f>E152*2500</f>
        <v>42500</v>
      </c>
    </row>
    <row r="153" spans="1:8" x14ac:dyDescent="0.25">
      <c r="C153" t="s">
        <v>20</v>
      </c>
      <c r="D153" t="s">
        <v>14</v>
      </c>
      <c r="E153">
        <v>15</v>
      </c>
      <c r="F153" s="79">
        <f>E153*10000</f>
        <v>150000</v>
      </c>
      <c r="G153" s="79">
        <f>E153*5500</f>
        <v>82500</v>
      </c>
      <c r="H153" s="79">
        <f>E153*4500</f>
        <v>67500</v>
      </c>
    </row>
    <row r="154" spans="1:8" x14ac:dyDescent="0.25">
      <c r="C154" t="s">
        <v>20</v>
      </c>
      <c r="D154" t="s">
        <v>919</v>
      </c>
      <c r="E154">
        <v>2</v>
      </c>
      <c r="F154" s="79">
        <v>24000</v>
      </c>
      <c r="G154" s="79">
        <v>11000</v>
      </c>
      <c r="H154" s="79">
        <v>13000</v>
      </c>
    </row>
    <row r="155" spans="1:8" x14ac:dyDescent="0.25">
      <c r="C155" t="s">
        <v>20</v>
      </c>
      <c r="D155" t="s">
        <v>995</v>
      </c>
      <c r="E155">
        <v>2</v>
      </c>
      <c r="F155" s="79">
        <v>7000</v>
      </c>
      <c r="G155" s="79">
        <v>4000</v>
      </c>
      <c r="H155" s="79">
        <v>3000</v>
      </c>
    </row>
    <row r="156" spans="1:8" x14ac:dyDescent="0.25">
      <c r="C156" t="s">
        <v>20</v>
      </c>
      <c r="D156" t="s">
        <v>996</v>
      </c>
      <c r="E156">
        <v>2</v>
      </c>
      <c r="F156" s="79">
        <v>20000</v>
      </c>
      <c r="G156" s="79">
        <v>10000</v>
      </c>
      <c r="H156" s="79">
        <v>10000</v>
      </c>
    </row>
    <row r="157" spans="1:8" x14ac:dyDescent="0.25">
      <c r="C157" t="s">
        <v>217</v>
      </c>
      <c r="D157" t="s">
        <v>11</v>
      </c>
      <c r="E157">
        <v>9</v>
      </c>
      <c r="F157" s="79">
        <f>E157*1500</f>
        <v>13500</v>
      </c>
      <c r="G157" s="79">
        <f>E157*500</f>
        <v>4500</v>
      </c>
      <c r="H157" s="79">
        <f>E157*1000</f>
        <v>9000</v>
      </c>
    </row>
    <row r="158" spans="1:8" x14ac:dyDescent="0.25">
      <c r="C158" t="s">
        <v>217</v>
      </c>
      <c r="D158" t="s">
        <v>13</v>
      </c>
      <c r="E158">
        <v>5</v>
      </c>
      <c r="F158" s="79">
        <f>E158*6500</f>
        <v>32500</v>
      </c>
      <c r="G158" s="79">
        <f>E158*4500</f>
        <v>22500</v>
      </c>
      <c r="H158" s="79">
        <f>E158*2000</f>
        <v>10000</v>
      </c>
    </row>
    <row r="159" spans="1:8" x14ac:dyDescent="0.25">
      <c r="C159" t="s">
        <v>217</v>
      </c>
      <c r="D159" t="s">
        <v>14</v>
      </c>
      <c r="E159">
        <v>5</v>
      </c>
      <c r="F159" s="79">
        <f>E159*10000</f>
        <v>50000</v>
      </c>
      <c r="G159" s="79">
        <f>E159*5500</f>
        <v>27500</v>
      </c>
      <c r="H159" s="79">
        <f>E159*4500</f>
        <v>22500</v>
      </c>
    </row>
    <row r="160" spans="1:8" x14ac:dyDescent="0.25">
      <c r="C160" t="s">
        <v>954</v>
      </c>
      <c r="D160" t="s">
        <v>902</v>
      </c>
      <c r="E160">
        <v>8</v>
      </c>
      <c r="F160" s="79">
        <f>E160*8000</f>
        <v>64000</v>
      </c>
      <c r="G160" s="79">
        <f>E160*5500</f>
        <v>44000</v>
      </c>
      <c r="H160" s="79">
        <f>E160*2500</f>
        <v>20000</v>
      </c>
    </row>
    <row r="161" spans="1:8" x14ac:dyDescent="0.25">
      <c r="C161" t="s">
        <v>954</v>
      </c>
      <c r="D161" t="s">
        <v>13</v>
      </c>
      <c r="E161">
        <v>1</v>
      </c>
      <c r="F161" s="79">
        <v>8000</v>
      </c>
      <c r="G161" s="79">
        <v>4500</v>
      </c>
      <c r="H161" s="79">
        <v>3500</v>
      </c>
    </row>
    <row r="162" spans="1:8" x14ac:dyDescent="0.25">
      <c r="C162" t="s">
        <v>954</v>
      </c>
      <c r="D162" t="s">
        <v>919</v>
      </c>
      <c r="E162">
        <v>1</v>
      </c>
      <c r="F162" s="79">
        <v>12000</v>
      </c>
      <c r="G162" s="79">
        <v>5500</v>
      </c>
      <c r="H162" s="79">
        <v>6500</v>
      </c>
    </row>
    <row r="163" spans="1:8" x14ac:dyDescent="0.25">
      <c r="C163" t="s">
        <v>954</v>
      </c>
      <c r="D163" t="s">
        <v>997</v>
      </c>
      <c r="E163">
        <v>1</v>
      </c>
      <c r="F163" s="79">
        <v>7000</v>
      </c>
      <c r="G163" s="79">
        <v>4000</v>
      </c>
      <c r="H163" s="79">
        <v>3000</v>
      </c>
    </row>
    <row r="164" spans="1:8" x14ac:dyDescent="0.25">
      <c r="C164" t="s">
        <v>846</v>
      </c>
      <c r="D164" t="s">
        <v>919</v>
      </c>
      <c r="E164">
        <v>1</v>
      </c>
      <c r="F164" s="79">
        <v>12000</v>
      </c>
      <c r="G164" s="79">
        <v>5500</v>
      </c>
      <c r="H164" s="79">
        <v>6500</v>
      </c>
    </row>
    <row r="165" spans="1:8" x14ac:dyDescent="0.25">
      <c r="C165" t="s">
        <v>846</v>
      </c>
      <c r="D165" t="s">
        <v>918</v>
      </c>
      <c r="E165">
        <v>1</v>
      </c>
      <c r="F165" s="79">
        <v>15000</v>
      </c>
      <c r="G165" s="79">
        <v>10000</v>
      </c>
      <c r="H165" s="79">
        <v>5000</v>
      </c>
    </row>
    <row r="166" spans="1:8" x14ac:dyDescent="0.25">
      <c r="C166" t="s">
        <v>846</v>
      </c>
      <c r="D166" t="s">
        <v>927</v>
      </c>
      <c r="E166">
        <v>1</v>
      </c>
      <c r="F166" s="79">
        <v>12000</v>
      </c>
      <c r="G166" s="79">
        <v>5500</v>
      </c>
      <c r="H166" s="79">
        <v>6500</v>
      </c>
    </row>
    <row r="167" spans="1:8" x14ac:dyDescent="0.25">
      <c r="C167" t="s">
        <v>846</v>
      </c>
      <c r="D167" t="s">
        <v>995</v>
      </c>
      <c r="E167">
        <v>1</v>
      </c>
      <c r="F167" s="79">
        <v>6000</v>
      </c>
      <c r="G167" s="79">
        <v>4000</v>
      </c>
      <c r="H167" s="79">
        <v>2000</v>
      </c>
    </row>
    <row r="168" spans="1:8" x14ac:dyDescent="0.25">
      <c r="C168" t="s">
        <v>846</v>
      </c>
      <c r="D168" t="s">
        <v>902</v>
      </c>
      <c r="E168">
        <v>4</v>
      </c>
      <c r="F168" s="79">
        <f>E168*8000</f>
        <v>32000</v>
      </c>
      <c r="G168" s="79">
        <f>E168*5500</f>
        <v>22000</v>
      </c>
      <c r="H168" s="79">
        <f>E168*2500</f>
        <v>10000</v>
      </c>
    </row>
    <row r="169" spans="1:8" x14ac:dyDescent="0.25">
      <c r="C169" t="s">
        <v>846</v>
      </c>
      <c r="D169" t="s">
        <v>13</v>
      </c>
      <c r="E169">
        <v>1</v>
      </c>
      <c r="F169" s="79">
        <v>8000</v>
      </c>
      <c r="G169" s="79">
        <v>4500</v>
      </c>
      <c r="H169" s="79">
        <v>3500</v>
      </c>
    </row>
    <row r="170" spans="1:8" x14ac:dyDescent="0.25">
      <c r="A170" s="112" t="s">
        <v>17</v>
      </c>
      <c r="B170" s="112"/>
      <c r="C170" s="112"/>
      <c r="D170" s="112"/>
      <c r="E170" s="78">
        <f>SUM(E152:E169)</f>
        <v>77</v>
      </c>
      <c r="F170" s="78">
        <f t="shared" ref="F170:H170" si="34">SUM(F152:F169)</f>
        <v>592000</v>
      </c>
      <c r="G170" s="78">
        <f t="shared" si="34"/>
        <v>348000</v>
      </c>
      <c r="H170" s="78">
        <f t="shared" si="34"/>
        <v>244000</v>
      </c>
    </row>
    <row r="171" spans="1:8" x14ac:dyDescent="0.25">
      <c r="A171" t="s">
        <v>30</v>
      </c>
      <c r="B171" s="3">
        <v>45915</v>
      </c>
      <c r="C171" t="s">
        <v>338</v>
      </c>
      <c r="D171" t="s">
        <v>11</v>
      </c>
      <c r="E171">
        <v>43</v>
      </c>
      <c r="F171">
        <f>E171*1500</f>
        <v>64500</v>
      </c>
      <c r="G171">
        <f>E171*500</f>
        <v>21500</v>
      </c>
      <c r="H171">
        <f>E171*1000</f>
        <v>43000</v>
      </c>
    </row>
    <row r="172" spans="1:8" x14ac:dyDescent="0.25">
      <c r="C172" t="s">
        <v>581</v>
      </c>
      <c r="D172" t="s">
        <v>11</v>
      </c>
      <c r="E172">
        <v>23</v>
      </c>
      <c r="F172">
        <f t="shared" ref="F172:F174" si="35">E172*1500</f>
        <v>34500</v>
      </c>
      <c r="G172">
        <f t="shared" ref="G172:G174" si="36">E172*500</f>
        <v>11500</v>
      </c>
      <c r="H172">
        <f t="shared" ref="H172:H174" si="37">E172*1000</f>
        <v>23000</v>
      </c>
    </row>
    <row r="173" spans="1:8" x14ac:dyDescent="0.25">
      <c r="D173" t="s">
        <v>914</v>
      </c>
      <c r="E173">
        <v>23</v>
      </c>
      <c r="F173">
        <f t="shared" si="35"/>
        <v>34500</v>
      </c>
      <c r="G173">
        <f t="shared" si="36"/>
        <v>11500</v>
      </c>
      <c r="H173">
        <f t="shared" si="37"/>
        <v>23000</v>
      </c>
    </row>
    <row r="174" spans="1:8" x14ac:dyDescent="0.25">
      <c r="C174" t="s">
        <v>571</v>
      </c>
      <c r="D174" t="s">
        <v>11</v>
      </c>
      <c r="E174">
        <v>8</v>
      </c>
      <c r="F174">
        <f t="shared" si="35"/>
        <v>12000</v>
      </c>
      <c r="G174">
        <f t="shared" si="36"/>
        <v>4000</v>
      </c>
      <c r="H174">
        <f t="shared" si="37"/>
        <v>8000</v>
      </c>
    </row>
    <row r="175" spans="1:8" x14ac:dyDescent="0.25">
      <c r="C175" t="s">
        <v>954</v>
      </c>
      <c r="D175" t="s">
        <v>14</v>
      </c>
      <c r="E175">
        <v>1</v>
      </c>
      <c r="F175">
        <v>12000</v>
      </c>
      <c r="G175">
        <v>5500</v>
      </c>
      <c r="H175">
        <v>6500</v>
      </c>
    </row>
    <row r="176" spans="1:8" x14ac:dyDescent="0.25">
      <c r="D176" t="s">
        <v>902</v>
      </c>
      <c r="E176">
        <v>2</v>
      </c>
      <c r="F176">
        <v>16000</v>
      </c>
      <c r="G176">
        <v>11000</v>
      </c>
      <c r="H176">
        <v>5000</v>
      </c>
    </row>
    <row r="177" spans="1:8" x14ac:dyDescent="0.25">
      <c r="C177" t="s">
        <v>20</v>
      </c>
      <c r="D177" t="s">
        <v>902</v>
      </c>
      <c r="E177">
        <v>2</v>
      </c>
      <c r="F177">
        <v>16000</v>
      </c>
      <c r="G177">
        <v>11000</v>
      </c>
      <c r="H177">
        <v>5000</v>
      </c>
    </row>
    <row r="178" spans="1:8" x14ac:dyDescent="0.25">
      <c r="D178" t="s">
        <v>404</v>
      </c>
      <c r="E178">
        <v>1</v>
      </c>
      <c r="F178">
        <v>4000</v>
      </c>
      <c r="G178">
        <v>2000</v>
      </c>
      <c r="H178">
        <v>2000</v>
      </c>
    </row>
    <row r="179" spans="1:8" x14ac:dyDescent="0.25">
      <c r="D179" t="s">
        <v>958</v>
      </c>
      <c r="E179">
        <v>1</v>
      </c>
      <c r="F179">
        <v>10000</v>
      </c>
      <c r="G179">
        <v>5500</v>
      </c>
      <c r="H179">
        <v>4500</v>
      </c>
    </row>
    <row r="180" spans="1:8" x14ac:dyDescent="0.25">
      <c r="D180" t="s">
        <v>13</v>
      </c>
      <c r="E180">
        <v>2</v>
      </c>
      <c r="F180">
        <v>16000</v>
      </c>
      <c r="G180">
        <v>9000</v>
      </c>
      <c r="H180">
        <v>7000</v>
      </c>
    </row>
    <row r="181" spans="1:8" x14ac:dyDescent="0.25">
      <c r="D181" t="s">
        <v>998</v>
      </c>
      <c r="E181">
        <v>2</v>
      </c>
      <c r="F181">
        <v>12000</v>
      </c>
      <c r="G181">
        <v>6000</v>
      </c>
      <c r="H181">
        <v>6000</v>
      </c>
    </row>
    <row r="182" spans="1:8" x14ac:dyDescent="0.25">
      <c r="D182" t="s">
        <v>14</v>
      </c>
      <c r="E182">
        <v>1</v>
      </c>
      <c r="F182">
        <v>12000</v>
      </c>
      <c r="G182">
        <v>5500</v>
      </c>
      <c r="H182">
        <v>6500</v>
      </c>
    </row>
    <row r="183" spans="1:8" x14ac:dyDescent="0.25">
      <c r="D183" t="s">
        <v>997</v>
      </c>
      <c r="E183">
        <v>1</v>
      </c>
      <c r="F183">
        <v>7000</v>
      </c>
      <c r="G183">
        <v>4000</v>
      </c>
      <c r="H183">
        <v>3000</v>
      </c>
    </row>
    <row r="184" spans="1:8" x14ac:dyDescent="0.25">
      <c r="A184" s="112" t="s">
        <v>17</v>
      </c>
      <c r="B184" s="112"/>
      <c r="C184" s="112"/>
      <c r="D184" s="112"/>
      <c r="E184" s="78">
        <f>SUM(E171:E183)</f>
        <v>110</v>
      </c>
      <c r="F184" s="78">
        <f t="shared" ref="F184:H184" si="38">SUM(F171:F182)</f>
        <v>243500</v>
      </c>
      <c r="G184" s="78">
        <f t="shared" si="38"/>
        <v>104000</v>
      </c>
      <c r="H184" s="78">
        <f t="shared" si="38"/>
        <v>139500</v>
      </c>
    </row>
    <row r="185" spans="1:8" x14ac:dyDescent="0.25">
      <c r="A185" t="s">
        <v>32</v>
      </c>
      <c r="B185" t="s">
        <v>999</v>
      </c>
      <c r="C185" t="s">
        <v>338</v>
      </c>
      <c r="D185" t="s">
        <v>11</v>
      </c>
      <c r="E185">
        <v>25</v>
      </c>
      <c r="F185">
        <f>E185*1500</f>
        <v>37500</v>
      </c>
      <c r="G185">
        <f>E185*500</f>
        <v>12500</v>
      </c>
      <c r="H185">
        <f>E185*1000</f>
        <v>25000</v>
      </c>
    </row>
    <row r="186" spans="1:8" x14ac:dyDescent="0.25">
      <c r="C186" t="s">
        <v>776</v>
      </c>
      <c r="D186" t="s">
        <v>914</v>
      </c>
      <c r="E186">
        <v>12</v>
      </c>
      <c r="F186">
        <f t="shared" ref="F186:F187" si="39">E186*1500</f>
        <v>18000</v>
      </c>
      <c r="G186">
        <f t="shared" ref="G186:G187" si="40">E186*500</f>
        <v>6000</v>
      </c>
      <c r="H186">
        <f t="shared" ref="H186:H187" si="41">E186*1000</f>
        <v>12000</v>
      </c>
    </row>
    <row r="187" spans="1:8" x14ac:dyDescent="0.25">
      <c r="C187" t="s">
        <v>581</v>
      </c>
      <c r="D187" t="s">
        <v>914</v>
      </c>
      <c r="E187">
        <v>39</v>
      </c>
      <c r="F187">
        <f t="shared" si="39"/>
        <v>58500</v>
      </c>
      <c r="G187">
        <f t="shared" si="40"/>
        <v>19500</v>
      </c>
      <c r="H187">
        <f t="shared" si="41"/>
        <v>39000</v>
      </c>
    </row>
    <row r="188" spans="1:8" x14ac:dyDescent="0.25">
      <c r="C188" t="s">
        <v>954</v>
      </c>
      <c r="D188" t="s">
        <v>902</v>
      </c>
      <c r="E188">
        <v>8</v>
      </c>
      <c r="F188">
        <f>E188*8000</f>
        <v>64000</v>
      </c>
      <c r="G188">
        <f>E188*5500</f>
        <v>44000</v>
      </c>
      <c r="H188">
        <f>E188*2500</f>
        <v>20000</v>
      </c>
    </row>
    <row r="189" spans="1:8" x14ac:dyDescent="0.25">
      <c r="C189" t="s">
        <v>846</v>
      </c>
      <c r="D189" t="s">
        <v>902</v>
      </c>
      <c r="E189">
        <v>2</v>
      </c>
      <c r="F189">
        <f t="shared" ref="F189:F190" si="42">E189*8000</f>
        <v>16000</v>
      </c>
      <c r="G189">
        <f t="shared" ref="G189:G190" si="43">E189*5500</f>
        <v>11000</v>
      </c>
      <c r="H189">
        <f t="shared" ref="H189:H190" si="44">E189*2500</f>
        <v>5000</v>
      </c>
    </row>
    <row r="190" spans="1:8" x14ac:dyDescent="0.25">
      <c r="D190" t="s">
        <v>959</v>
      </c>
      <c r="E190">
        <v>1</v>
      </c>
      <c r="F190">
        <f t="shared" si="42"/>
        <v>8000</v>
      </c>
      <c r="G190">
        <f t="shared" si="43"/>
        <v>5500</v>
      </c>
      <c r="H190">
        <f t="shared" si="44"/>
        <v>2500</v>
      </c>
    </row>
    <row r="191" spans="1:8" x14ac:dyDescent="0.25">
      <c r="D191" t="s">
        <v>11</v>
      </c>
      <c r="E191">
        <v>2</v>
      </c>
      <c r="F191">
        <v>6000</v>
      </c>
      <c r="G191">
        <v>1000</v>
      </c>
      <c r="H191">
        <v>5000</v>
      </c>
    </row>
    <row r="192" spans="1:8" x14ac:dyDescent="0.25">
      <c r="A192" s="111" t="s">
        <v>17</v>
      </c>
      <c r="B192" s="111"/>
      <c r="C192" s="111"/>
      <c r="D192" s="111"/>
      <c r="E192" s="1">
        <f>SUM(E185:E191)</f>
        <v>89</v>
      </c>
      <c r="F192" s="78">
        <f t="shared" ref="F192:H192" si="45">SUM(F185:F191)</f>
        <v>208000</v>
      </c>
      <c r="G192" s="78">
        <f t="shared" si="45"/>
        <v>99500</v>
      </c>
      <c r="H192" s="78">
        <f t="shared" si="45"/>
        <v>108500</v>
      </c>
    </row>
    <row r="193" spans="1:8" x14ac:dyDescent="0.25">
      <c r="A193" t="s">
        <v>8</v>
      </c>
      <c r="B193" s="3">
        <v>45917</v>
      </c>
      <c r="C193" t="s">
        <v>338</v>
      </c>
      <c r="D193" t="s">
        <v>11</v>
      </c>
      <c r="E193">
        <v>41</v>
      </c>
      <c r="F193">
        <f>E193*1500</f>
        <v>61500</v>
      </c>
      <c r="G193">
        <f>E193*500</f>
        <v>20500</v>
      </c>
      <c r="H193">
        <f>E193*1000</f>
        <v>41000</v>
      </c>
    </row>
    <row r="194" spans="1:8" x14ac:dyDescent="0.25">
      <c r="C194" t="s">
        <v>571</v>
      </c>
      <c r="D194" t="s">
        <v>11</v>
      </c>
      <c r="E194">
        <v>15</v>
      </c>
      <c r="F194">
        <f t="shared" ref="F194:F198" si="46">E194*1500</f>
        <v>22500</v>
      </c>
      <c r="G194">
        <f t="shared" ref="G194:G198" si="47">E194*500</f>
        <v>7500</v>
      </c>
      <c r="H194">
        <f t="shared" ref="H194:H198" si="48">E194*1000</f>
        <v>15000</v>
      </c>
    </row>
    <row r="195" spans="1:8" x14ac:dyDescent="0.25">
      <c r="C195" t="s">
        <v>581</v>
      </c>
      <c r="D195" t="s">
        <v>11</v>
      </c>
      <c r="E195">
        <v>27</v>
      </c>
      <c r="F195">
        <f t="shared" si="46"/>
        <v>40500</v>
      </c>
      <c r="G195">
        <f t="shared" si="47"/>
        <v>13500</v>
      </c>
      <c r="H195">
        <f t="shared" si="48"/>
        <v>27000</v>
      </c>
    </row>
    <row r="196" spans="1:8" x14ac:dyDescent="0.25">
      <c r="D196" t="s">
        <v>914</v>
      </c>
      <c r="E196">
        <v>6</v>
      </c>
      <c r="F196">
        <f t="shared" si="46"/>
        <v>9000</v>
      </c>
      <c r="G196">
        <f t="shared" si="47"/>
        <v>3000</v>
      </c>
      <c r="H196">
        <f t="shared" si="48"/>
        <v>6000</v>
      </c>
    </row>
    <row r="197" spans="1:8" x14ac:dyDescent="0.25">
      <c r="C197" t="s">
        <v>104</v>
      </c>
      <c r="D197" t="s">
        <v>11</v>
      </c>
      <c r="E197">
        <v>36</v>
      </c>
      <c r="F197">
        <f t="shared" si="46"/>
        <v>54000</v>
      </c>
      <c r="G197">
        <f t="shared" si="47"/>
        <v>18000</v>
      </c>
      <c r="H197">
        <f t="shared" si="48"/>
        <v>36000</v>
      </c>
    </row>
    <row r="198" spans="1:8" x14ac:dyDescent="0.25">
      <c r="C198" t="s">
        <v>572</v>
      </c>
      <c r="D198" t="s">
        <v>11</v>
      </c>
      <c r="E198">
        <v>47</v>
      </c>
      <c r="F198">
        <f t="shared" si="46"/>
        <v>70500</v>
      </c>
      <c r="G198">
        <f t="shared" si="47"/>
        <v>23500</v>
      </c>
      <c r="H198">
        <f t="shared" si="48"/>
        <v>47000</v>
      </c>
    </row>
    <row r="199" spans="1:8" x14ac:dyDescent="0.25">
      <c r="C199" t="s">
        <v>954</v>
      </c>
      <c r="D199" t="s">
        <v>902</v>
      </c>
      <c r="E199">
        <v>6</v>
      </c>
      <c r="F199">
        <f>E199*8000</f>
        <v>48000</v>
      </c>
      <c r="G199">
        <f>E199*5500</f>
        <v>33000</v>
      </c>
      <c r="H199">
        <f>E199*2500</f>
        <v>15000</v>
      </c>
    </row>
    <row r="200" spans="1:8" x14ac:dyDescent="0.25">
      <c r="C200" t="s">
        <v>954</v>
      </c>
      <c r="D200" t="s">
        <v>13</v>
      </c>
      <c r="E200">
        <v>3</v>
      </c>
      <c r="F200">
        <f>E200*8000</f>
        <v>24000</v>
      </c>
      <c r="G200">
        <f>E200*5500</f>
        <v>16500</v>
      </c>
      <c r="H200">
        <f>E200*2500</f>
        <v>7500</v>
      </c>
    </row>
    <row r="201" spans="1:8" x14ac:dyDescent="0.25">
      <c r="C201" t="s">
        <v>954</v>
      </c>
      <c r="D201" t="s">
        <v>14</v>
      </c>
      <c r="E201">
        <v>1</v>
      </c>
      <c r="F201">
        <v>12000</v>
      </c>
      <c r="G201">
        <v>5500</v>
      </c>
      <c r="H201">
        <v>6500</v>
      </c>
    </row>
    <row r="202" spans="1:8" x14ac:dyDescent="0.25">
      <c r="C202" t="s">
        <v>954</v>
      </c>
      <c r="D202" t="s">
        <v>919</v>
      </c>
      <c r="E202">
        <v>2</v>
      </c>
      <c r="F202">
        <v>24000</v>
      </c>
      <c r="G202">
        <v>11000</v>
      </c>
      <c r="H202">
        <v>13000</v>
      </c>
    </row>
    <row r="203" spans="1:8" x14ac:dyDescent="0.25">
      <c r="A203" s="111" t="s">
        <v>17</v>
      </c>
      <c r="B203" s="111"/>
      <c r="C203" s="111"/>
      <c r="D203" s="111"/>
      <c r="E203" s="1">
        <f>SUM(E193:E202)</f>
        <v>184</v>
      </c>
      <c r="F203" s="78">
        <f t="shared" ref="F203:H203" si="49">SUM(F193:F202)</f>
        <v>366000</v>
      </c>
      <c r="G203" s="78">
        <f t="shared" si="49"/>
        <v>152000</v>
      </c>
      <c r="H203" s="78">
        <f t="shared" si="49"/>
        <v>214000</v>
      </c>
    </row>
    <row r="204" spans="1:8" x14ac:dyDescent="0.25">
      <c r="A204" s="108" t="s">
        <v>18</v>
      </c>
      <c r="B204" s="109">
        <v>45918</v>
      </c>
      <c r="C204" s="108" t="s">
        <v>75</v>
      </c>
      <c r="D204" s="108" t="s">
        <v>75</v>
      </c>
      <c r="E204" s="108" t="s">
        <v>75</v>
      </c>
      <c r="F204" s="108" t="s">
        <v>75</v>
      </c>
      <c r="G204" s="108" t="s">
        <v>75</v>
      </c>
      <c r="H204" s="108" t="s">
        <v>75</v>
      </c>
    </row>
    <row r="205" spans="1:8" x14ac:dyDescent="0.25">
      <c r="A205" s="108" t="s">
        <v>22</v>
      </c>
      <c r="B205" s="109">
        <v>45919</v>
      </c>
      <c r="C205" s="108" t="s">
        <v>75</v>
      </c>
      <c r="D205" s="108" t="s">
        <v>75</v>
      </c>
      <c r="E205" s="108" t="s">
        <v>75</v>
      </c>
      <c r="F205" s="108" t="s">
        <v>75</v>
      </c>
      <c r="G205" s="108" t="s">
        <v>75</v>
      </c>
      <c r="H205" s="108" t="s">
        <v>75</v>
      </c>
    </row>
    <row r="206" spans="1:8" x14ac:dyDescent="0.25">
      <c r="A206" t="s">
        <v>26</v>
      </c>
      <c r="B206" s="3">
        <v>45920</v>
      </c>
      <c r="C206" t="s">
        <v>954</v>
      </c>
      <c r="D206" t="s">
        <v>902</v>
      </c>
      <c r="E206">
        <v>6</v>
      </c>
      <c r="F206">
        <f>E206*8000</f>
        <v>48000</v>
      </c>
      <c r="G206">
        <f>E206*5500</f>
        <v>33000</v>
      </c>
      <c r="H206">
        <f>E206*2500</f>
        <v>15000</v>
      </c>
    </row>
    <row r="207" spans="1:8" x14ac:dyDescent="0.25">
      <c r="C207" t="s">
        <v>954</v>
      </c>
      <c r="D207" t="s">
        <v>13</v>
      </c>
      <c r="E207">
        <v>3</v>
      </c>
      <c r="F207">
        <f>E207*8000</f>
        <v>24000</v>
      </c>
      <c r="G207">
        <f>E207*4500</f>
        <v>13500</v>
      </c>
      <c r="H207">
        <f>E207*3500</f>
        <v>10500</v>
      </c>
    </row>
    <row r="208" spans="1:8" x14ac:dyDescent="0.25">
      <c r="C208" t="s">
        <v>954</v>
      </c>
      <c r="D208" t="s">
        <v>14</v>
      </c>
      <c r="E208">
        <v>1</v>
      </c>
      <c r="F208">
        <v>12000</v>
      </c>
      <c r="G208">
        <v>5500</v>
      </c>
      <c r="H208">
        <v>6500</v>
      </c>
    </row>
    <row r="209" spans="1:8" x14ac:dyDescent="0.25">
      <c r="C209" t="s">
        <v>954</v>
      </c>
      <c r="D209" t="s">
        <v>919</v>
      </c>
      <c r="E209">
        <v>2</v>
      </c>
      <c r="F209">
        <v>24000</v>
      </c>
      <c r="G209">
        <v>11000</v>
      </c>
      <c r="H209">
        <v>13000</v>
      </c>
    </row>
    <row r="210" spans="1:8" x14ac:dyDescent="0.25">
      <c r="C210" t="s">
        <v>20</v>
      </c>
      <c r="D210" t="s">
        <v>902</v>
      </c>
      <c r="E210">
        <v>2</v>
      </c>
      <c r="F210">
        <v>16000</v>
      </c>
      <c r="G210">
        <v>11000</v>
      </c>
      <c r="H210">
        <v>5000</v>
      </c>
    </row>
    <row r="211" spans="1:8" x14ac:dyDescent="0.25">
      <c r="D211" t="s">
        <v>919</v>
      </c>
      <c r="E211">
        <v>3</v>
      </c>
      <c r="F211">
        <v>24000</v>
      </c>
      <c r="G211">
        <f>E211*5500</f>
        <v>16500</v>
      </c>
      <c r="H211">
        <f>E211*6500</f>
        <v>19500</v>
      </c>
    </row>
    <row r="212" spans="1:8" x14ac:dyDescent="0.25">
      <c r="A212" s="111" t="s">
        <v>17</v>
      </c>
      <c r="B212" s="111"/>
      <c r="C212" s="111"/>
      <c r="D212" s="111"/>
      <c r="E212" s="1">
        <f>SUM(E206:E211)</f>
        <v>17</v>
      </c>
      <c r="F212" s="78">
        <f t="shared" ref="F212:H212" si="50">SUM(F206:F211)</f>
        <v>148000</v>
      </c>
      <c r="G212" s="78">
        <f t="shared" si="50"/>
        <v>90500</v>
      </c>
      <c r="H212" s="78">
        <f t="shared" si="50"/>
        <v>69500</v>
      </c>
    </row>
    <row r="213" spans="1:8" x14ac:dyDescent="0.25">
      <c r="A213" t="s">
        <v>28</v>
      </c>
      <c r="B213" s="3">
        <v>45921</v>
      </c>
      <c r="C213" t="s">
        <v>693</v>
      </c>
      <c r="D213" t="s">
        <v>11</v>
      </c>
      <c r="E213">
        <v>2</v>
      </c>
      <c r="F213">
        <f>E213*2500</f>
        <v>5000</v>
      </c>
      <c r="G213">
        <f>E213*500</f>
        <v>1000</v>
      </c>
      <c r="H213">
        <f>E213*2000</f>
        <v>4000</v>
      </c>
    </row>
    <row r="214" spans="1:8" x14ac:dyDescent="0.25">
      <c r="C214" t="s">
        <v>693</v>
      </c>
      <c r="D214" t="s">
        <v>13</v>
      </c>
      <c r="E214">
        <v>25</v>
      </c>
      <c r="F214">
        <f>E214*7000</f>
        <v>175000</v>
      </c>
      <c r="G214">
        <f>E214*4500</f>
        <v>112500</v>
      </c>
      <c r="H214">
        <f>E214*2500</f>
        <v>62500</v>
      </c>
    </row>
    <row r="215" spans="1:8" x14ac:dyDescent="0.25">
      <c r="C215" t="s">
        <v>693</v>
      </c>
      <c r="D215" t="s">
        <v>14</v>
      </c>
      <c r="E215">
        <v>15</v>
      </c>
      <c r="F215">
        <f>E215*10000</f>
        <v>150000</v>
      </c>
      <c r="G215">
        <f>E215*5500</f>
        <v>82500</v>
      </c>
      <c r="H215">
        <f>E215*4500</f>
        <v>67500</v>
      </c>
    </row>
    <row r="216" spans="1:8" x14ac:dyDescent="0.25">
      <c r="C216" t="s">
        <v>693</v>
      </c>
      <c r="D216" t="s">
        <v>111</v>
      </c>
      <c r="E216">
        <v>2</v>
      </c>
      <c r="F216">
        <v>30000</v>
      </c>
      <c r="G216">
        <v>20000</v>
      </c>
      <c r="H216">
        <v>10000</v>
      </c>
    </row>
    <row r="217" spans="1:8" x14ac:dyDescent="0.25">
      <c r="C217" t="s">
        <v>693</v>
      </c>
      <c r="D217" t="s">
        <v>919</v>
      </c>
      <c r="E217">
        <v>4</v>
      </c>
      <c r="F217">
        <f>E217*10000</f>
        <v>40000</v>
      </c>
      <c r="G217">
        <f>E217*5500</f>
        <v>22000</v>
      </c>
      <c r="H217">
        <f>E217*4500</f>
        <v>18000</v>
      </c>
    </row>
    <row r="218" spans="1:8" x14ac:dyDescent="0.25">
      <c r="C218" t="s">
        <v>217</v>
      </c>
      <c r="D218" t="s">
        <v>11</v>
      </c>
      <c r="E218">
        <v>4</v>
      </c>
      <c r="F218">
        <f>E218*1500</f>
        <v>6000</v>
      </c>
      <c r="G218">
        <f>E218*500</f>
        <v>2000</v>
      </c>
      <c r="H218">
        <f>E218*1000</f>
        <v>4000</v>
      </c>
    </row>
    <row r="219" spans="1:8" x14ac:dyDescent="0.25">
      <c r="C219" t="s">
        <v>217</v>
      </c>
      <c r="D219" t="s">
        <v>13</v>
      </c>
      <c r="E219">
        <v>10</v>
      </c>
      <c r="F219">
        <f>E219*6500</f>
        <v>65000</v>
      </c>
      <c r="G219">
        <f>E219*4500</f>
        <v>45000</v>
      </c>
      <c r="H219">
        <f>E219*2000</f>
        <v>20000</v>
      </c>
    </row>
    <row r="220" spans="1:8" x14ac:dyDescent="0.25">
      <c r="C220" t="s">
        <v>217</v>
      </c>
      <c r="D220" t="s">
        <v>14</v>
      </c>
      <c r="E220">
        <v>11</v>
      </c>
      <c r="F220">
        <f>E220*10000</f>
        <v>110000</v>
      </c>
      <c r="G220">
        <f>E220*5500</f>
        <v>60500</v>
      </c>
      <c r="H220">
        <f>E220*4500</f>
        <v>49500</v>
      </c>
    </row>
    <row r="221" spans="1:8" x14ac:dyDescent="0.25">
      <c r="C221" t="s">
        <v>217</v>
      </c>
      <c r="D221" t="s">
        <v>11</v>
      </c>
      <c r="E221">
        <v>23</v>
      </c>
      <c r="F221">
        <f>E221*1500</f>
        <v>34500</v>
      </c>
      <c r="G221">
        <f>E221*500</f>
        <v>11500</v>
      </c>
      <c r="H221">
        <f>E221*1000</f>
        <v>23000</v>
      </c>
    </row>
    <row r="222" spans="1:8" x14ac:dyDescent="0.25">
      <c r="C222" t="s">
        <v>217</v>
      </c>
      <c r="D222" t="s">
        <v>13</v>
      </c>
      <c r="E222">
        <v>9</v>
      </c>
      <c r="F222">
        <f>E222*6500</f>
        <v>58500</v>
      </c>
      <c r="G222">
        <f>E222*4500</f>
        <v>40500</v>
      </c>
      <c r="H222">
        <f>E222*2000</f>
        <v>18000</v>
      </c>
    </row>
    <row r="223" spans="1:8" x14ac:dyDescent="0.25">
      <c r="C223" t="s">
        <v>217</v>
      </c>
      <c r="D223" t="s">
        <v>14</v>
      </c>
      <c r="E223">
        <v>3</v>
      </c>
      <c r="F223">
        <f>E223*10000</f>
        <v>30000</v>
      </c>
      <c r="G223">
        <f>E223*5500</f>
        <v>16500</v>
      </c>
      <c r="H223">
        <f>E223*4500</f>
        <v>13500</v>
      </c>
    </row>
    <row r="224" spans="1:8" x14ac:dyDescent="0.25">
      <c r="C224" t="s">
        <v>217</v>
      </c>
      <c r="D224" t="s">
        <v>243</v>
      </c>
      <c r="E224">
        <v>1</v>
      </c>
      <c r="F224">
        <v>13000</v>
      </c>
      <c r="G224">
        <v>10000</v>
      </c>
      <c r="H224">
        <v>3000</v>
      </c>
    </row>
    <row r="225" spans="1:9" x14ac:dyDescent="0.25">
      <c r="C225" t="s">
        <v>954</v>
      </c>
      <c r="D225" t="s">
        <v>13</v>
      </c>
      <c r="E225">
        <v>5</v>
      </c>
      <c r="F225">
        <f>E225*8000</f>
        <v>40000</v>
      </c>
      <c r="G225">
        <f>E225*4500</f>
        <v>22500</v>
      </c>
      <c r="H225">
        <f>E225*3500</f>
        <v>17500</v>
      </c>
    </row>
    <row r="226" spans="1:9" x14ac:dyDescent="0.25">
      <c r="C226" t="s">
        <v>954</v>
      </c>
      <c r="D226" t="s">
        <v>14</v>
      </c>
      <c r="E226">
        <v>1</v>
      </c>
      <c r="F226">
        <v>12000</v>
      </c>
      <c r="G226">
        <v>5500</v>
      </c>
      <c r="H226">
        <v>6500</v>
      </c>
    </row>
    <row r="227" spans="1:9" x14ac:dyDescent="0.25">
      <c r="C227" t="s">
        <v>954</v>
      </c>
      <c r="D227" t="s">
        <v>902</v>
      </c>
      <c r="E227">
        <v>1</v>
      </c>
      <c r="F227">
        <v>8000</v>
      </c>
      <c r="G227">
        <v>5500</v>
      </c>
      <c r="H227">
        <v>2500</v>
      </c>
    </row>
    <row r="228" spans="1:9" x14ac:dyDescent="0.25">
      <c r="C228" t="s">
        <v>20</v>
      </c>
      <c r="D228" t="s">
        <v>919</v>
      </c>
      <c r="E228">
        <v>1</v>
      </c>
      <c r="F228">
        <v>12000</v>
      </c>
      <c r="G228">
        <v>5500</v>
      </c>
      <c r="H228">
        <v>6500</v>
      </c>
    </row>
    <row r="229" spans="1:9" x14ac:dyDescent="0.25">
      <c r="C229" t="s">
        <v>20</v>
      </c>
      <c r="D229" t="s">
        <v>902</v>
      </c>
      <c r="E229">
        <v>2</v>
      </c>
      <c r="F229">
        <v>16000</v>
      </c>
      <c r="G229">
        <v>11000</v>
      </c>
      <c r="H229">
        <v>5000</v>
      </c>
    </row>
    <row r="230" spans="1:9" x14ac:dyDescent="0.25">
      <c r="C230" t="s">
        <v>20</v>
      </c>
      <c r="D230" t="s">
        <v>14</v>
      </c>
      <c r="E230">
        <v>5</v>
      </c>
      <c r="F230">
        <f>E230*10000</f>
        <v>50000</v>
      </c>
      <c r="G230">
        <f>E230*5500</f>
        <v>27500</v>
      </c>
      <c r="H230">
        <f>E230*4500</f>
        <v>22500</v>
      </c>
    </row>
    <row r="231" spans="1:9" x14ac:dyDescent="0.25">
      <c r="C231" t="s">
        <v>20</v>
      </c>
      <c r="D231" t="s">
        <v>420</v>
      </c>
      <c r="E231">
        <v>2</v>
      </c>
      <c r="F231">
        <v>20000</v>
      </c>
      <c r="G231">
        <v>10000</v>
      </c>
      <c r="H231">
        <v>10000</v>
      </c>
    </row>
    <row r="232" spans="1:9" x14ac:dyDescent="0.25">
      <c r="A232" s="111" t="s">
        <v>17</v>
      </c>
      <c r="B232" s="111"/>
      <c r="C232" s="111"/>
      <c r="D232" s="111"/>
      <c r="E232" s="1">
        <f>SUM(E213:E231)</f>
        <v>126</v>
      </c>
      <c r="F232" s="78">
        <f t="shared" ref="F232:H232" si="51">SUM(F213:F231)</f>
        <v>875000</v>
      </c>
      <c r="G232" s="78">
        <f t="shared" si="51"/>
        <v>511500</v>
      </c>
      <c r="H232" s="78">
        <f t="shared" si="51"/>
        <v>363500</v>
      </c>
      <c r="I232" s="79"/>
    </row>
    <row r="233" spans="1:9" x14ac:dyDescent="0.25">
      <c r="A233" t="s">
        <v>30</v>
      </c>
      <c r="B233" s="3">
        <v>45922</v>
      </c>
      <c r="C233" t="s">
        <v>338</v>
      </c>
      <c r="D233" t="s">
        <v>11</v>
      </c>
      <c r="E233">
        <v>34</v>
      </c>
      <c r="F233" s="79">
        <f>E233*1500</f>
        <v>51000</v>
      </c>
      <c r="G233" s="79">
        <f>E233*500</f>
        <v>17000</v>
      </c>
      <c r="H233" s="79">
        <f>E233*1000</f>
        <v>34000</v>
      </c>
      <c r="I233" s="79"/>
    </row>
    <row r="234" spans="1:9" x14ac:dyDescent="0.25">
      <c r="C234" t="s">
        <v>581</v>
      </c>
      <c r="D234" t="s">
        <v>11</v>
      </c>
      <c r="E234">
        <v>27</v>
      </c>
      <c r="F234" s="79">
        <f t="shared" ref="F234:F236" si="52">E234*1500</f>
        <v>40500</v>
      </c>
      <c r="G234" s="79">
        <f t="shared" ref="G234:G236" si="53">E234*500</f>
        <v>13500</v>
      </c>
      <c r="H234" s="79">
        <f t="shared" ref="H234:H236" si="54">E234*1000</f>
        <v>27000</v>
      </c>
    </row>
    <row r="235" spans="1:9" x14ac:dyDescent="0.25">
      <c r="C235" t="s">
        <v>581</v>
      </c>
      <c r="D235" t="s">
        <v>914</v>
      </c>
      <c r="E235">
        <v>27</v>
      </c>
      <c r="F235" s="79">
        <f t="shared" si="52"/>
        <v>40500</v>
      </c>
      <c r="G235" s="79">
        <f t="shared" si="53"/>
        <v>13500</v>
      </c>
      <c r="H235" s="79">
        <f t="shared" si="54"/>
        <v>27000</v>
      </c>
    </row>
    <row r="236" spans="1:9" x14ac:dyDescent="0.25">
      <c r="C236" t="s">
        <v>571</v>
      </c>
      <c r="D236" t="s">
        <v>11</v>
      </c>
      <c r="E236">
        <v>25</v>
      </c>
      <c r="F236" s="79">
        <f t="shared" si="52"/>
        <v>37500</v>
      </c>
      <c r="G236" s="79">
        <f t="shared" si="53"/>
        <v>12500</v>
      </c>
      <c r="H236" s="79">
        <f t="shared" si="54"/>
        <v>25000</v>
      </c>
    </row>
    <row r="237" spans="1:9" x14ac:dyDescent="0.25">
      <c r="C237" t="s">
        <v>954</v>
      </c>
      <c r="D237" t="s">
        <v>902</v>
      </c>
      <c r="E237">
        <v>10</v>
      </c>
      <c r="F237" s="79">
        <f>E237*8000</f>
        <v>80000</v>
      </c>
      <c r="G237" s="79">
        <f>E237*5500</f>
        <v>55000</v>
      </c>
      <c r="H237" s="79">
        <f>E237*2500</f>
        <v>25000</v>
      </c>
    </row>
    <row r="238" spans="1:9" x14ac:dyDescent="0.25">
      <c r="C238" t="s">
        <v>954</v>
      </c>
      <c r="D238" t="s">
        <v>14</v>
      </c>
      <c r="E238">
        <v>2</v>
      </c>
      <c r="F238">
        <v>24000</v>
      </c>
      <c r="G238">
        <v>11000</v>
      </c>
      <c r="H238">
        <v>13000</v>
      </c>
    </row>
    <row r="239" spans="1:9" x14ac:dyDescent="0.25">
      <c r="A239" s="111" t="s">
        <v>17</v>
      </c>
      <c r="B239" s="111"/>
      <c r="C239" s="111"/>
      <c r="D239" s="111"/>
      <c r="E239" s="1">
        <f>SUM(E233:E238)</f>
        <v>125</v>
      </c>
      <c r="F239" s="78">
        <f t="shared" ref="F239:H239" si="55">SUM(F233:F238)</f>
        <v>273500</v>
      </c>
      <c r="G239" s="78">
        <f t="shared" si="55"/>
        <v>122500</v>
      </c>
      <c r="H239" s="78">
        <f t="shared" si="55"/>
        <v>151000</v>
      </c>
    </row>
    <row r="240" spans="1:9" x14ac:dyDescent="0.25">
      <c r="A240" t="s">
        <v>32</v>
      </c>
      <c r="B240" s="3">
        <v>45923</v>
      </c>
      <c r="C240" t="s">
        <v>338</v>
      </c>
      <c r="D240" t="s">
        <v>11</v>
      </c>
      <c r="E240">
        <v>26</v>
      </c>
      <c r="F240" s="79">
        <f>E240*1500</f>
        <v>39000</v>
      </c>
      <c r="G240" s="79">
        <f>E240*500</f>
        <v>13000</v>
      </c>
      <c r="H240" s="79">
        <f>E240*1000</f>
        <v>26000</v>
      </c>
    </row>
    <row r="241" spans="1:8" x14ac:dyDescent="0.25">
      <c r="C241" t="s">
        <v>581</v>
      </c>
      <c r="D241" t="s">
        <v>11</v>
      </c>
      <c r="E241">
        <v>21</v>
      </c>
      <c r="F241" s="79">
        <f t="shared" ref="F241:F243" si="56">E241*1500</f>
        <v>31500</v>
      </c>
      <c r="G241" s="79">
        <f t="shared" ref="G241:G243" si="57">E241*500</f>
        <v>10500</v>
      </c>
      <c r="H241" s="79">
        <f t="shared" ref="H241:H243" si="58">E241*1000</f>
        <v>21000</v>
      </c>
    </row>
    <row r="242" spans="1:8" x14ac:dyDescent="0.25">
      <c r="C242" t="s">
        <v>581</v>
      </c>
      <c r="D242" t="s">
        <v>914</v>
      </c>
      <c r="E242">
        <v>21</v>
      </c>
      <c r="F242" s="79">
        <f t="shared" si="56"/>
        <v>31500</v>
      </c>
      <c r="G242" s="79">
        <f t="shared" si="57"/>
        <v>10500</v>
      </c>
      <c r="H242" s="79">
        <f t="shared" si="58"/>
        <v>21000</v>
      </c>
    </row>
    <row r="243" spans="1:8" x14ac:dyDescent="0.25">
      <c r="C243" t="s">
        <v>571</v>
      </c>
      <c r="D243" t="s">
        <v>11</v>
      </c>
      <c r="E243">
        <v>13</v>
      </c>
      <c r="F243" s="79">
        <f t="shared" si="56"/>
        <v>19500</v>
      </c>
      <c r="G243" s="79">
        <f t="shared" si="57"/>
        <v>6500</v>
      </c>
      <c r="H243" s="79">
        <f t="shared" si="58"/>
        <v>13000</v>
      </c>
    </row>
    <row r="244" spans="1:8" x14ac:dyDescent="0.25">
      <c r="C244" t="s">
        <v>24</v>
      </c>
      <c r="D244" t="s">
        <v>21</v>
      </c>
      <c r="E244">
        <v>2</v>
      </c>
      <c r="F244" s="79">
        <f>E244*20000</f>
        <v>40000</v>
      </c>
      <c r="G244">
        <v>20000</v>
      </c>
      <c r="H244">
        <v>20000</v>
      </c>
    </row>
    <row r="245" spans="1:8" x14ac:dyDescent="0.25">
      <c r="C245" t="s">
        <v>24</v>
      </c>
      <c r="D245" t="s">
        <v>13</v>
      </c>
      <c r="E245">
        <v>5</v>
      </c>
      <c r="F245" s="79">
        <f>E245*8000</f>
        <v>40000</v>
      </c>
      <c r="G245" s="79">
        <f>E245*4500</f>
        <v>22500</v>
      </c>
      <c r="H245" s="79">
        <f>E245*3500</f>
        <v>17500</v>
      </c>
    </row>
    <row r="246" spans="1:8" x14ac:dyDescent="0.25">
      <c r="C246" t="s">
        <v>954</v>
      </c>
      <c r="D246" t="s">
        <v>902</v>
      </c>
      <c r="E246">
        <v>7</v>
      </c>
      <c r="F246">
        <f>E246*8000</f>
        <v>56000</v>
      </c>
      <c r="G246">
        <f>E246*5500</f>
        <v>38500</v>
      </c>
      <c r="H246">
        <f>E246*2500</f>
        <v>17500</v>
      </c>
    </row>
    <row r="247" spans="1:8" x14ac:dyDescent="0.25">
      <c r="C247" t="s">
        <v>954</v>
      </c>
      <c r="D247" t="s">
        <v>243</v>
      </c>
      <c r="E247">
        <v>1</v>
      </c>
      <c r="F247">
        <v>17000</v>
      </c>
      <c r="G247">
        <v>10000</v>
      </c>
      <c r="H247">
        <v>7000</v>
      </c>
    </row>
    <row r="248" spans="1:8" x14ac:dyDescent="0.25">
      <c r="C248" t="s">
        <v>20</v>
      </c>
      <c r="D248" t="s">
        <v>13</v>
      </c>
      <c r="E248">
        <v>7</v>
      </c>
    </row>
    <row r="249" spans="1:8" x14ac:dyDescent="0.25">
      <c r="A249" s="111" t="s">
        <v>17</v>
      </c>
      <c r="B249" s="111"/>
      <c r="C249" s="111"/>
      <c r="D249" s="111"/>
      <c r="E249" s="1">
        <f>SUM(E240:E248)</f>
        <v>103</v>
      </c>
      <c r="F249" s="1">
        <f t="shared" ref="F249:H249" si="59">SUM(F240:F248)</f>
        <v>274500</v>
      </c>
      <c r="G249" s="1">
        <f t="shared" si="59"/>
        <v>131500</v>
      </c>
      <c r="H249" s="1">
        <f t="shared" si="59"/>
        <v>143000</v>
      </c>
    </row>
    <row r="250" spans="1:8" x14ac:dyDescent="0.25">
      <c r="A250" t="s">
        <v>8</v>
      </c>
      <c r="B250" s="3">
        <v>45924</v>
      </c>
      <c r="C250" t="s">
        <v>338</v>
      </c>
      <c r="D250" t="s">
        <v>11</v>
      </c>
      <c r="E250">
        <v>45</v>
      </c>
      <c r="F250">
        <f>E250*1500</f>
        <v>67500</v>
      </c>
      <c r="G250">
        <f>E250*500</f>
        <v>22500</v>
      </c>
      <c r="H250">
        <f>E250*1000</f>
        <v>45000</v>
      </c>
    </row>
    <row r="251" spans="1:8" x14ac:dyDescent="0.25">
      <c r="C251" t="s">
        <v>581</v>
      </c>
      <c r="D251" t="s">
        <v>11</v>
      </c>
      <c r="E251">
        <v>29</v>
      </c>
      <c r="F251">
        <f t="shared" ref="F251:F254" si="60">E251*1500</f>
        <v>43500</v>
      </c>
      <c r="G251">
        <f t="shared" ref="G251:G254" si="61">E251*500</f>
        <v>14500</v>
      </c>
      <c r="H251">
        <f t="shared" ref="H251:H254" si="62">E251*1000</f>
        <v>29000</v>
      </c>
    </row>
    <row r="252" spans="1:8" x14ac:dyDescent="0.25">
      <c r="C252" t="s">
        <v>581</v>
      </c>
      <c r="D252" t="s">
        <v>914</v>
      </c>
      <c r="E252">
        <v>25</v>
      </c>
      <c r="F252">
        <f t="shared" si="60"/>
        <v>37500</v>
      </c>
      <c r="G252">
        <f t="shared" si="61"/>
        <v>12500</v>
      </c>
      <c r="H252">
        <f t="shared" si="62"/>
        <v>25000</v>
      </c>
    </row>
    <row r="253" spans="1:8" x14ac:dyDescent="0.25">
      <c r="C253" t="s">
        <v>306</v>
      </c>
      <c r="D253" t="s">
        <v>914</v>
      </c>
      <c r="E253">
        <v>30</v>
      </c>
      <c r="F253">
        <f t="shared" si="60"/>
        <v>45000</v>
      </c>
      <c r="G253">
        <f t="shared" si="61"/>
        <v>15000</v>
      </c>
      <c r="H253">
        <f t="shared" si="62"/>
        <v>30000</v>
      </c>
    </row>
    <row r="254" spans="1:8" x14ac:dyDescent="0.25">
      <c r="C254" t="s">
        <v>104</v>
      </c>
      <c r="D254" t="s">
        <v>11</v>
      </c>
      <c r="E254">
        <v>13</v>
      </c>
      <c r="F254">
        <f t="shared" si="60"/>
        <v>19500</v>
      </c>
      <c r="G254">
        <f t="shared" si="61"/>
        <v>6500</v>
      </c>
      <c r="H254">
        <f t="shared" si="62"/>
        <v>13000</v>
      </c>
    </row>
    <row r="255" spans="1:8" x14ac:dyDescent="0.25">
      <c r="C255" t="s">
        <v>24</v>
      </c>
      <c r="D255" t="s">
        <v>14</v>
      </c>
      <c r="E255">
        <v>2</v>
      </c>
      <c r="F255">
        <v>20000</v>
      </c>
      <c r="G255">
        <v>10000</v>
      </c>
      <c r="H255">
        <v>10000</v>
      </c>
    </row>
    <row r="256" spans="1:8" x14ac:dyDescent="0.25">
      <c r="C256" t="s">
        <v>954</v>
      </c>
      <c r="D256" t="s">
        <v>13</v>
      </c>
      <c r="E256">
        <v>1</v>
      </c>
      <c r="F256">
        <v>8000</v>
      </c>
      <c r="G256">
        <v>4500</v>
      </c>
      <c r="H256">
        <v>3500</v>
      </c>
    </row>
    <row r="257" spans="1:8" x14ac:dyDescent="0.25">
      <c r="C257" t="s">
        <v>846</v>
      </c>
      <c r="D257" t="s">
        <v>902</v>
      </c>
      <c r="E257">
        <v>2</v>
      </c>
      <c r="F257">
        <v>16000</v>
      </c>
      <c r="G257">
        <v>11000</v>
      </c>
      <c r="H257">
        <v>5000</v>
      </c>
    </row>
    <row r="258" spans="1:8" x14ac:dyDescent="0.25">
      <c r="C258" t="s">
        <v>846</v>
      </c>
      <c r="D258" t="s">
        <v>902</v>
      </c>
      <c r="E258">
        <v>1</v>
      </c>
      <c r="F258">
        <v>8000</v>
      </c>
      <c r="G258">
        <v>5500</v>
      </c>
      <c r="H258">
        <v>2500</v>
      </c>
    </row>
    <row r="259" spans="1:8" x14ac:dyDescent="0.25">
      <c r="C259" t="s">
        <v>846</v>
      </c>
      <c r="D259" t="s">
        <v>959</v>
      </c>
      <c r="E259">
        <v>1</v>
      </c>
      <c r="F259">
        <v>8000</v>
      </c>
      <c r="G259">
        <v>4500</v>
      </c>
      <c r="H259">
        <v>3500</v>
      </c>
    </row>
    <row r="260" spans="1:8" x14ac:dyDescent="0.25">
      <c r="C260" t="s">
        <v>846</v>
      </c>
      <c r="D260" t="s">
        <v>918</v>
      </c>
      <c r="E260">
        <v>4</v>
      </c>
      <c r="F260">
        <f>E260*15000</f>
        <v>60000</v>
      </c>
      <c r="G260">
        <f>E260*10000</f>
        <v>40000</v>
      </c>
      <c r="H260">
        <f>E260*5000</f>
        <v>20000</v>
      </c>
    </row>
    <row r="261" spans="1:8" x14ac:dyDescent="0.25">
      <c r="C261" t="s">
        <v>846</v>
      </c>
      <c r="D261" t="s">
        <v>14</v>
      </c>
      <c r="E261">
        <v>1</v>
      </c>
      <c r="F261">
        <v>12000</v>
      </c>
      <c r="G261">
        <v>5500</v>
      </c>
      <c r="H261">
        <v>6500</v>
      </c>
    </row>
    <row r="262" spans="1:8" x14ac:dyDescent="0.25">
      <c r="A262" s="112" t="s">
        <v>17</v>
      </c>
      <c r="B262" s="112"/>
      <c r="C262" s="112"/>
      <c r="D262" s="112"/>
      <c r="E262" s="78">
        <f>SUM(E250:E261)</f>
        <v>154</v>
      </c>
      <c r="F262" s="78">
        <f t="shared" ref="F262:H262" si="63">SUM(F250:F261)</f>
        <v>345000</v>
      </c>
      <c r="G262" s="78">
        <f t="shared" si="63"/>
        <v>152000</v>
      </c>
      <c r="H262" s="78">
        <f t="shared" si="63"/>
        <v>193000</v>
      </c>
    </row>
    <row r="263" spans="1:8" x14ac:dyDescent="0.25">
      <c r="A263" t="s">
        <v>18</v>
      </c>
      <c r="B263" s="3">
        <v>45925</v>
      </c>
      <c r="C263" t="s">
        <v>338</v>
      </c>
      <c r="D263" t="s">
        <v>11</v>
      </c>
      <c r="E263">
        <v>39</v>
      </c>
      <c r="F263">
        <f>E263*1500</f>
        <v>58500</v>
      </c>
      <c r="G263">
        <f>E263*500</f>
        <v>19500</v>
      </c>
      <c r="H263">
        <f>E263*1000</f>
        <v>39000</v>
      </c>
    </row>
    <row r="264" spans="1:8" x14ac:dyDescent="0.25">
      <c r="C264" t="s">
        <v>571</v>
      </c>
      <c r="D264" t="s">
        <v>11</v>
      </c>
      <c r="E264">
        <v>24</v>
      </c>
      <c r="F264">
        <f t="shared" ref="F264:F266" si="64">E264*1500</f>
        <v>36000</v>
      </c>
      <c r="G264">
        <f t="shared" ref="G264:G266" si="65">E264*500</f>
        <v>12000</v>
      </c>
      <c r="H264">
        <f t="shared" ref="H264:H266" si="66">E264*1000</f>
        <v>24000</v>
      </c>
    </row>
    <row r="265" spans="1:8" x14ac:dyDescent="0.25">
      <c r="C265" t="s">
        <v>581</v>
      </c>
      <c r="D265" t="s">
        <v>11</v>
      </c>
      <c r="E265">
        <v>24</v>
      </c>
      <c r="F265">
        <f t="shared" si="64"/>
        <v>36000</v>
      </c>
      <c r="G265">
        <f t="shared" si="65"/>
        <v>12000</v>
      </c>
      <c r="H265">
        <f t="shared" si="66"/>
        <v>24000</v>
      </c>
    </row>
    <row r="266" spans="1:8" x14ac:dyDescent="0.25">
      <c r="C266" t="s">
        <v>581</v>
      </c>
      <c r="D266" t="s">
        <v>914</v>
      </c>
      <c r="E266">
        <v>17</v>
      </c>
      <c r="F266">
        <f t="shared" si="64"/>
        <v>25500</v>
      </c>
      <c r="G266">
        <f t="shared" si="65"/>
        <v>8500</v>
      </c>
      <c r="H266">
        <f t="shared" si="66"/>
        <v>17000</v>
      </c>
    </row>
    <row r="267" spans="1:8" x14ac:dyDescent="0.25">
      <c r="A267" s="112" t="s">
        <v>17</v>
      </c>
      <c r="B267" s="112"/>
      <c r="C267" s="112"/>
      <c r="D267" s="112"/>
      <c r="E267" s="78">
        <f>SUM(E263:E266)</f>
        <v>104</v>
      </c>
      <c r="F267" s="78">
        <f t="shared" ref="F267:H267" si="67">SUM(F263:F266)</f>
        <v>156000</v>
      </c>
      <c r="G267" s="78">
        <f t="shared" si="67"/>
        <v>52000</v>
      </c>
      <c r="H267" s="78">
        <f t="shared" si="67"/>
        <v>104000</v>
      </c>
    </row>
    <row r="268" spans="1:8" x14ac:dyDescent="0.25">
      <c r="A268" t="s">
        <v>22</v>
      </c>
      <c r="B268" s="3">
        <v>45926</v>
      </c>
      <c r="C268" t="s">
        <v>338</v>
      </c>
      <c r="D268" t="s">
        <v>11</v>
      </c>
      <c r="E268">
        <v>41</v>
      </c>
      <c r="F268" s="79">
        <f>E268*1500</f>
        <v>61500</v>
      </c>
      <c r="G268" s="79">
        <f>E268*500</f>
        <v>20500</v>
      </c>
      <c r="H268" s="79">
        <f>E268*1000</f>
        <v>41000</v>
      </c>
    </row>
    <row r="269" spans="1:8" x14ac:dyDescent="0.25">
      <c r="C269" t="s">
        <v>581</v>
      </c>
      <c r="D269" t="s">
        <v>11</v>
      </c>
      <c r="E269">
        <v>20</v>
      </c>
      <c r="F269" s="79">
        <f t="shared" ref="F269:F271" si="68">E269*1500</f>
        <v>30000</v>
      </c>
      <c r="G269" s="79">
        <f t="shared" ref="G269:G271" si="69">E269*500</f>
        <v>10000</v>
      </c>
      <c r="H269" s="79">
        <f t="shared" ref="H269:H271" si="70">E269*1000</f>
        <v>20000</v>
      </c>
    </row>
    <row r="270" spans="1:8" x14ac:dyDescent="0.25">
      <c r="C270" t="s">
        <v>581</v>
      </c>
      <c r="D270" t="s">
        <v>914</v>
      </c>
      <c r="E270">
        <v>13</v>
      </c>
      <c r="F270" s="79">
        <f t="shared" si="68"/>
        <v>19500</v>
      </c>
      <c r="G270" s="79">
        <f t="shared" si="69"/>
        <v>6500</v>
      </c>
      <c r="H270" s="79">
        <f t="shared" si="70"/>
        <v>13000</v>
      </c>
    </row>
    <row r="271" spans="1:8" x14ac:dyDescent="0.25">
      <c r="C271" t="s">
        <v>104</v>
      </c>
      <c r="D271" t="s">
        <v>11</v>
      </c>
      <c r="E271">
        <v>8</v>
      </c>
      <c r="F271" s="79">
        <f t="shared" si="68"/>
        <v>12000</v>
      </c>
      <c r="G271" s="79">
        <f t="shared" si="69"/>
        <v>4000</v>
      </c>
      <c r="H271" s="79">
        <f t="shared" si="70"/>
        <v>8000</v>
      </c>
    </row>
    <row r="272" spans="1:8" x14ac:dyDescent="0.25">
      <c r="C272" t="s">
        <v>954</v>
      </c>
      <c r="D272" t="s">
        <v>902</v>
      </c>
      <c r="E272">
        <v>7</v>
      </c>
      <c r="F272" s="79">
        <f>E272*8000</f>
        <v>56000</v>
      </c>
      <c r="G272" s="79">
        <f>E272*5500</f>
        <v>38500</v>
      </c>
      <c r="H272" s="79">
        <f>E272*2500</f>
        <v>17500</v>
      </c>
    </row>
    <row r="273" spans="1:8" x14ac:dyDescent="0.25">
      <c r="C273" t="s">
        <v>954</v>
      </c>
      <c r="D273" t="s">
        <v>991</v>
      </c>
      <c r="E273">
        <v>1</v>
      </c>
      <c r="F273" s="79">
        <v>12000</v>
      </c>
      <c r="G273" s="79">
        <v>5500</v>
      </c>
      <c r="H273" s="79">
        <v>6500</v>
      </c>
    </row>
    <row r="274" spans="1:8" x14ac:dyDescent="0.25">
      <c r="C274" t="s">
        <v>954</v>
      </c>
      <c r="D274" t="s">
        <v>14</v>
      </c>
      <c r="E274">
        <v>2</v>
      </c>
      <c r="F274" s="79">
        <f>E274*12000</f>
        <v>24000</v>
      </c>
      <c r="G274" s="79">
        <f>E274*5500</f>
        <v>11000</v>
      </c>
      <c r="H274" s="79">
        <f>E274*6500</f>
        <v>13000</v>
      </c>
    </row>
    <row r="275" spans="1:8" x14ac:dyDescent="0.25">
      <c r="C275" t="s">
        <v>846</v>
      </c>
      <c r="D275" t="s">
        <v>902</v>
      </c>
      <c r="E275">
        <v>4</v>
      </c>
      <c r="F275" s="79">
        <f>E275*8000</f>
        <v>32000</v>
      </c>
      <c r="G275" s="79">
        <f>E275*5500</f>
        <v>22000</v>
      </c>
      <c r="H275" s="79">
        <f>E275*2500</f>
        <v>10000</v>
      </c>
    </row>
    <row r="276" spans="1:8" x14ac:dyDescent="0.25">
      <c r="C276" t="s">
        <v>846</v>
      </c>
      <c r="D276" t="s">
        <v>14</v>
      </c>
      <c r="E276">
        <v>1</v>
      </c>
      <c r="F276" s="79">
        <v>12000</v>
      </c>
      <c r="G276" s="79">
        <v>5500</v>
      </c>
      <c r="H276" s="79">
        <v>6500</v>
      </c>
    </row>
    <row r="277" spans="1:8" x14ac:dyDescent="0.25">
      <c r="C277" t="s">
        <v>846</v>
      </c>
      <c r="D277" t="s">
        <v>927</v>
      </c>
      <c r="E277">
        <v>1</v>
      </c>
      <c r="F277" s="79">
        <v>12000</v>
      </c>
      <c r="G277" s="79">
        <v>5500</v>
      </c>
      <c r="H277" s="79">
        <v>6500</v>
      </c>
    </row>
    <row r="278" spans="1:8" x14ac:dyDescent="0.25">
      <c r="A278" s="112" t="s">
        <v>17</v>
      </c>
      <c r="B278" s="112"/>
      <c r="C278" s="112"/>
      <c r="D278" s="112"/>
      <c r="E278" s="78">
        <f>SUM(E268:E277)</f>
        <v>98</v>
      </c>
      <c r="F278" s="78">
        <f t="shared" ref="F278:H278" si="71">SUM(F268:F277)</f>
        <v>271000</v>
      </c>
      <c r="G278" s="78">
        <f t="shared" si="71"/>
        <v>129000</v>
      </c>
      <c r="H278" s="78">
        <f t="shared" si="71"/>
        <v>142000</v>
      </c>
    </row>
    <row r="279" spans="1:8" x14ac:dyDescent="0.25">
      <c r="A279" t="s">
        <v>26</v>
      </c>
      <c r="B279" s="3">
        <v>45927</v>
      </c>
      <c r="C279" t="s">
        <v>338</v>
      </c>
      <c r="D279" t="s">
        <v>11</v>
      </c>
      <c r="E279">
        <v>44</v>
      </c>
      <c r="F279">
        <f>E279*1500</f>
        <v>66000</v>
      </c>
      <c r="G279">
        <f>E279*500</f>
        <v>22000</v>
      </c>
      <c r="H279">
        <f>E279*1000</f>
        <v>44000</v>
      </c>
    </row>
    <row r="280" spans="1:8" x14ac:dyDescent="0.25">
      <c r="C280" t="s">
        <v>581</v>
      </c>
      <c r="D280" t="s">
        <v>11</v>
      </c>
      <c r="E280">
        <v>23</v>
      </c>
      <c r="F280">
        <f t="shared" ref="F280:F281" si="72">E280*1500</f>
        <v>34500</v>
      </c>
      <c r="G280">
        <f t="shared" ref="G280:G281" si="73">E280*500</f>
        <v>11500</v>
      </c>
      <c r="H280">
        <f t="shared" ref="H280:H281" si="74">E280*1000</f>
        <v>23000</v>
      </c>
    </row>
    <row r="281" spans="1:8" x14ac:dyDescent="0.25">
      <c r="C281" t="s">
        <v>581</v>
      </c>
      <c r="D281" t="s">
        <v>914</v>
      </c>
      <c r="E281">
        <v>14</v>
      </c>
      <c r="F281">
        <f t="shared" si="72"/>
        <v>21000</v>
      </c>
      <c r="G281">
        <f t="shared" si="73"/>
        <v>7000</v>
      </c>
      <c r="H281">
        <f t="shared" si="74"/>
        <v>14000</v>
      </c>
    </row>
    <row r="282" spans="1:8" x14ac:dyDescent="0.25">
      <c r="C282" t="s">
        <v>20</v>
      </c>
      <c r="D282" t="s">
        <v>902</v>
      </c>
      <c r="E282">
        <v>3</v>
      </c>
      <c r="F282">
        <f>E282*8000</f>
        <v>24000</v>
      </c>
      <c r="G282">
        <f>E282*5500</f>
        <v>16500</v>
      </c>
      <c r="H282">
        <f>E282*2500</f>
        <v>7500</v>
      </c>
    </row>
    <row r="283" spans="1:8" x14ac:dyDescent="0.25">
      <c r="C283" t="s">
        <v>846</v>
      </c>
      <c r="D283" t="s">
        <v>14</v>
      </c>
      <c r="E283">
        <v>4</v>
      </c>
      <c r="F283">
        <f>E283*12000</f>
        <v>48000</v>
      </c>
      <c r="G283">
        <f>E283*5500</f>
        <v>22000</v>
      </c>
      <c r="H283">
        <f>E283*6500</f>
        <v>26000</v>
      </c>
    </row>
    <row r="284" spans="1:8" x14ac:dyDescent="0.25">
      <c r="C284" t="s">
        <v>846</v>
      </c>
      <c r="D284" t="s">
        <v>902</v>
      </c>
      <c r="E284">
        <v>10</v>
      </c>
      <c r="F284">
        <f>E284*8000</f>
        <v>80000</v>
      </c>
      <c r="G284">
        <f>E284*5500</f>
        <v>55000</v>
      </c>
      <c r="H284">
        <f>E284*2500</f>
        <v>25000</v>
      </c>
    </row>
    <row r="285" spans="1:8" x14ac:dyDescent="0.25">
      <c r="C285" t="s">
        <v>846</v>
      </c>
      <c r="D285" t="s">
        <v>995</v>
      </c>
      <c r="E285">
        <v>4</v>
      </c>
      <c r="F285">
        <f>E285*2500</f>
        <v>10000</v>
      </c>
      <c r="G285">
        <f>E285*1500</f>
        <v>6000</v>
      </c>
      <c r="H285">
        <f>E285*1000</f>
        <v>4000</v>
      </c>
    </row>
    <row r="286" spans="1:8" x14ac:dyDescent="0.25">
      <c r="C286" t="s">
        <v>846</v>
      </c>
      <c r="D286" t="s">
        <v>918</v>
      </c>
      <c r="E286">
        <v>1</v>
      </c>
      <c r="F286">
        <v>15000</v>
      </c>
      <c r="G286">
        <v>10000</v>
      </c>
      <c r="H286">
        <v>5000</v>
      </c>
    </row>
    <row r="287" spans="1:8" x14ac:dyDescent="0.25">
      <c r="C287" t="s">
        <v>846</v>
      </c>
      <c r="D287" t="s">
        <v>966</v>
      </c>
      <c r="E287">
        <v>1</v>
      </c>
      <c r="F287">
        <v>10000</v>
      </c>
      <c r="G287">
        <v>5500</v>
      </c>
      <c r="H287">
        <v>4500</v>
      </c>
    </row>
    <row r="288" spans="1:8" x14ac:dyDescent="0.25">
      <c r="C288" t="s">
        <v>217</v>
      </c>
      <c r="D288" t="s">
        <v>11</v>
      </c>
      <c r="E288">
        <v>6</v>
      </c>
      <c r="F288">
        <f>E288*1500</f>
        <v>9000</v>
      </c>
      <c r="G288">
        <f>E288*500</f>
        <v>3000</v>
      </c>
      <c r="H288">
        <f>E288*1000</f>
        <v>6000</v>
      </c>
    </row>
    <row r="289" spans="1:11" x14ac:dyDescent="0.25">
      <c r="C289" t="s">
        <v>217</v>
      </c>
      <c r="D289" t="s">
        <v>13</v>
      </c>
      <c r="E289">
        <v>8</v>
      </c>
      <c r="F289">
        <f>E289*6500</f>
        <v>52000</v>
      </c>
      <c r="G289">
        <f>E289*4500</f>
        <v>36000</v>
      </c>
      <c r="H289">
        <f>E289*2000</f>
        <v>16000</v>
      </c>
    </row>
    <row r="290" spans="1:11" x14ac:dyDescent="0.25">
      <c r="C290" t="s">
        <v>217</v>
      </c>
      <c r="D290" t="s">
        <v>14</v>
      </c>
      <c r="E290">
        <v>3</v>
      </c>
      <c r="F290">
        <f>E290*8000</f>
        <v>24000</v>
      </c>
      <c r="G290">
        <f>E290*5500</f>
        <v>16500</v>
      </c>
      <c r="H290">
        <f>E290*2500</f>
        <v>7500</v>
      </c>
    </row>
    <row r="291" spans="1:11" x14ac:dyDescent="0.25">
      <c r="C291" t="s">
        <v>217</v>
      </c>
      <c r="D291" t="s">
        <v>243</v>
      </c>
      <c r="E291">
        <v>1</v>
      </c>
      <c r="F291">
        <v>13000</v>
      </c>
      <c r="G291">
        <v>10000</v>
      </c>
      <c r="H291">
        <v>3000</v>
      </c>
    </row>
    <row r="292" spans="1:11" x14ac:dyDescent="0.25">
      <c r="A292" s="112" t="s">
        <v>17</v>
      </c>
      <c r="B292" s="112"/>
      <c r="C292" s="112"/>
      <c r="D292" s="112"/>
      <c r="E292" s="78">
        <f>SUM(E279:E291)</f>
        <v>122</v>
      </c>
      <c r="F292" s="78">
        <f t="shared" ref="F292:H292" si="75">SUM(F279:F291)</f>
        <v>406500</v>
      </c>
      <c r="G292" s="78">
        <f t="shared" si="75"/>
        <v>221000</v>
      </c>
      <c r="H292" s="78">
        <f t="shared" si="75"/>
        <v>185500</v>
      </c>
    </row>
    <row r="293" spans="1:11" x14ac:dyDescent="0.25">
      <c r="A293" t="s">
        <v>28</v>
      </c>
      <c r="B293" s="3">
        <v>45928</v>
      </c>
      <c r="C293" t="s">
        <v>693</v>
      </c>
      <c r="D293" t="s">
        <v>11</v>
      </c>
      <c r="E293">
        <v>5</v>
      </c>
      <c r="F293" s="79">
        <f>E293*2000</f>
        <v>10000</v>
      </c>
      <c r="G293" s="79">
        <f>E293*500</f>
        <v>2500</v>
      </c>
      <c r="H293" s="79">
        <f>E293*1500</f>
        <v>7500</v>
      </c>
    </row>
    <row r="294" spans="1:11" x14ac:dyDescent="0.25">
      <c r="C294" t="s">
        <v>693</v>
      </c>
      <c r="D294" t="s">
        <v>13</v>
      </c>
      <c r="E294">
        <v>22</v>
      </c>
      <c r="F294" s="79">
        <f>E294*7000</f>
        <v>154000</v>
      </c>
      <c r="G294" s="79">
        <f>E294*4500</f>
        <v>99000</v>
      </c>
      <c r="H294" s="79">
        <f>E294*2500</f>
        <v>55000</v>
      </c>
    </row>
    <row r="295" spans="1:11" x14ac:dyDescent="0.25">
      <c r="C295" t="s">
        <v>693</v>
      </c>
      <c r="D295" t="s">
        <v>14</v>
      </c>
      <c r="E295">
        <v>13</v>
      </c>
      <c r="F295" s="79">
        <f>E295*10000</f>
        <v>130000</v>
      </c>
      <c r="G295" s="79">
        <f>E295*5500</f>
        <v>71500</v>
      </c>
      <c r="H295" s="79">
        <f>E295*4500</f>
        <v>58500</v>
      </c>
    </row>
    <row r="296" spans="1:11" x14ac:dyDescent="0.25">
      <c r="C296" t="s">
        <v>693</v>
      </c>
      <c r="D296" t="s">
        <v>919</v>
      </c>
      <c r="E296">
        <v>4</v>
      </c>
      <c r="F296" s="79">
        <f>E296*10000</f>
        <v>40000</v>
      </c>
      <c r="G296" s="79">
        <f>E296*5500</f>
        <v>22000</v>
      </c>
      <c r="H296" s="79">
        <f>E296*4500</f>
        <v>18000</v>
      </c>
    </row>
    <row r="297" spans="1:11" x14ac:dyDescent="0.25">
      <c r="C297" t="s">
        <v>693</v>
      </c>
      <c r="D297" t="s">
        <v>995</v>
      </c>
      <c r="E297">
        <v>4</v>
      </c>
      <c r="F297" s="79">
        <f>E297*2500</f>
        <v>10000</v>
      </c>
      <c r="G297" s="79">
        <f>E297*1500</f>
        <v>6000</v>
      </c>
      <c r="H297" s="79">
        <f>E297*1000</f>
        <v>4000</v>
      </c>
    </row>
    <row r="298" spans="1:11" x14ac:dyDescent="0.25">
      <c r="C298" t="s">
        <v>217</v>
      </c>
      <c r="D298" t="s">
        <v>11</v>
      </c>
      <c r="E298">
        <v>10</v>
      </c>
      <c r="F298" s="79">
        <f>E298*1500</f>
        <v>15000</v>
      </c>
      <c r="G298" s="79">
        <f>E298*500</f>
        <v>5000</v>
      </c>
      <c r="H298" s="79">
        <f>E298*1000</f>
        <v>10000</v>
      </c>
    </row>
    <row r="299" spans="1:11" x14ac:dyDescent="0.25">
      <c r="D299" t="s">
        <v>13</v>
      </c>
      <c r="E299">
        <v>18</v>
      </c>
      <c r="F299" s="79">
        <f>E299*6500</f>
        <v>117000</v>
      </c>
      <c r="G299" s="79">
        <f>E299*4500</f>
        <v>81000</v>
      </c>
      <c r="H299" s="79">
        <f>E299*2000</f>
        <v>36000</v>
      </c>
    </row>
    <row r="300" spans="1:11" x14ac:dyDescent="0.25">
      <c r="D300" t="s">
        <v>14</v>
      </c>
      <c r="E300">
        <v>8</v>
      </c>
      <c r="F300" s="79">
        <f>E300*10000</f>
        <v>80000</v>
      </c>
      <c r="G300" s="79">
        <f>E300*5500</f>
        <v>44000</v>
      </c>
      <c r="H300" s="79">
        <f>E300*4500</f>
        <v>36000</v>
      </c>
    </row>
    <row r="301" spans="1:11" x14ac:dyDescent="0.25">
      <c r="C301" t="s">
        <v>954</v>
      </c>
      <c r="D301" t="s">
        <v>902</v>
      </c>
      <c r="E301">
        <v>5</v>
      </c>
      <c r="F301" s="79">
        <f>E301*8000</f>
        <v>40000</v>
      </c>
      <c r="G301" s="79">
        <f>E301*5500</f>
        <v>27500</v>
      </c>
      <c r="H301" s="79">
        <f>E301*2500</f>
        <v>12500</v>
      </c>
    </row>
    <row r="302" spans="1:11" x14ac:dyDescent="0.25">
      <c r="C302" t="s">
        <v>846</v>
      </c>
      <c r="D302" t="s">
        <v>902</v>
      </c>
      <c r="E302">
        <v>1</v>
      </c>
      <c r="F302" s="79">
        <v>8000</v>
      </c>
      <c r="G302" s="79">
        <v>5500</v>
      </c>
      <c r="H302" s="79">
        <v>2500</v>
      </c>
    </row>
    <row r="303" spans="1:11" x14ac:dyDescent="0.25">
      <c r="A303" s="112" t="s">
        <v>17</v>
      </c>
      <c r="B303" s="112"/>
      <c r="C303" s="112"/>
      <c r="D303" s="112"/>
      <c r="E303" s="78">
        <f>SUM(E293:E302)</f>
        <v>90</v>
      </c>
      <c r="F303" s="78">
        <f t="shared" ref="F303:H303" si="76">SUM(F293:F302)</f>
        <v>604000</v>
      </c>
      <c r="G303" s="78">
        <f t="shared" si="76"/>
        <v>364000</v>
      </c>
      <c r="H303" s="78">
        <f t="shared" si="76"/>
        <v>240000</v>
      </c>
      <c r="K303" t="s">
        <v>612</v>
      </c>
    </row>
    <row r="304" spans="1:11" x14ac:dyDescent="0.25">
      <c r="A304" t="s">
        <v>30</v>
      </c>
      <c r="B304" s="3">
        <v>45929</v>
      </c>
      <c r="C304" t="s">
        <v>338</v>
      </c>
      <c r="D304" t="s">
        <v>11</v>
      </c>
      <c r="E304">
        <v>50</v>
      </c>
      <c r="F304">
        <f>E304*1500</f>
        <v>75000</v>
      </c>
      <c r="G304">
        <f>E304*500</f>
        <v>25000</v>
      </c>
      <c r="H304">
        <f>E304*1000</f>
        <v>50000</v>
      </c>
    </row>
    <row r="305" spans="1:8" x14ac:dyDescent="0.25">
      <c r="C305" t="s">
        <v>571</v>
      </c>
      <c r="D305" t="s">
        <v>11</v>
      </c>
      <c r="E305">
        <v>23</v>
      </c>
      <c r="F305">
        <f>E305*1500</f>
        <v>34500</v>
      </c>
      <c r="G305">
        <f>E305*500</f>
        <v>11500</v>
      </c>
      <c r="H305">
        <f>E305*1000</f>
        <v>23000</v>
      </c>
    </row>
    <row r="306" spans="1:8" x14ac:dyDescent="0.25">
      <c r="C306" t="s">
        <v>954</v>
      </c>
      <c r="D306" t="s">
        <v>13</v>
      </c>
      <c r="E306">
        <v>1</v>
      </c>
      <c r="F306">
        <v>8000</v>
      </c>
      <c r="G306">
        <v>4500</v>
      </c>
      <c r="H306">
        <v>3500</v>
      </c>
    </row>
    <row r="307" spans="1:8" x14ac:dyDescent="0.25">
      <c r="D307" t="s">
        <v>902</v>
      </c>
      <c r="E307">
        <v>12</v>
      </c>
      <c r="F307">
        <f>E307*8000</f>
        <v>96000</v>
      </c>
      <c r="G307">
        <f>E307*5500</f>
        <v>66000</v>
      </c>
      <c r="H307">
        <f>E307*2500</f>
        <v>30000</v>
      </c>
    </row>
    <row r="308" spans="1:8" x14ac:dyDescent="0.25">
      <c r="C308" t="s">
        <v>846</v>
      </c>
      <c r="D308" t="s">
        <v>902</v>
      </c>
      <c r="E308">
        <v>4</v>
      </c>
      <c r="F308">
        <f>E308*8000</f>
        <v>32000</v>
      </c>
      <c r="G308">
        <f t="shared" ref="G308:G309" si="77">E308*5500</f>
        <v>22000</v>
      </c>
      <c r="H308">
        <f>E308*2500</f>
        <v>10000</v>
      </c>
    </row>
    <row r="309" spans="1:8" x14ac:dyDescent="0.25">
      <c r="D309" t="s">
        <v>959</v>
      </c>
      <c r="E309">
        <v>1</v>
      </c>
      <c r="F309">
        <v>10000</v>
      </c>
      <c r="G309">
        <f t="shared" si="77"/>
        <v>5500</v>
      </c>
      <c r="H309">
        <v>4500</v>
      </c>
    </row>
    <row r="310" spans="1:8" x14ac:dyDescent="0.25">
      <c r="C310" t="s">
        <v>217</v>
      </c>
      <c r="D310" t="s">
        <v>11</v>
      </c>
      <c r="E310">
        <v>8</v>
      </c>
      <c r="F310">
        <f>E310*1500</f>
        <v>12000</v>
      </c>
      <c r="G310">
        <f>E310*500</f>
        <v>4000</v>
      </c>
      <c r="H310">
        <f>E310*1000</f>
        <v>8000</v>
      </c>
    </row>
    <row r="311" spans="1:8" x14ac:dyDescent="0.25">
      <c r="C311" t="s">
        <v>217</v>
      </c>
      <c r="D311" t="s">
        <v>13</v>
      </c>
      <c r="E311">
        <v>4</v>
      </c>
      <c r="F311">
        <f>E311*8000</f>
        <v>32000</v>
      </c>
      <c r="G311">
        <f>E311*4500</f>
        <v>18000</v>
      </c>
      <c r="H311">
        <f>E311*3500</f>
        <v>14000</v>
      </c>
    </row>
    <row r="312" spans="1:8" x14ac:dyDescent="0.25">
      <c r="C312" t="s">
        <v>217</v>
      </c>
      <c r="D312" t="s">
        <v>243</v>
      </c>
      <c r="E312">
        <v>1</v>
      </c>
      <c r="F312">
        <v>15000</v>
      </c>
      <c r="G312">
        <v>10000</v>
      </c>
      <c r="H312">
        <v>5000</v>
      </c>
    </row>
    <row r="313" spans="1:8" x14ac:dyDescent="0.25">
      <c r="A313" s="112" t="s">
        <v>17</v>
      </c>
      <c r="B313" s="112"/>
      <c r="C313" s="112"/>
      <c r="D313" s="112"/>
      <c r="E313" s="78">
        <f>SUM(E304:E312)</f>
        <v>104</v>
      </c>
      <c r="F313" s="78">
        <f t="shared" ref="F313:H313" si="78">SUM(F304:F312)</f>
        <v>314500</v>
      </c>
      <c r="G313" s="78">
        <f t="shared" si="78"/>
        <v>166500</v>
      </c>
      <c r="H313" s="78">
        <f t="shared" si="78"/>
        <v>148000</v>
      </c>
    </row>
    <row r="314" spans="1:8" x14ac:dyDescent="0.25">
      <c r="A314" t="s">
        <v>32</v>
      </c>
      <c r="B314" s="3">
        <v>45930</v>
      </c>
      <c r="C314" t="s">
        <v>338</v>
      </c>
      <c r="D314" t="s">
        <v>11</v>
      </c>
      <c r="E314">
        <v>40</v>
      </c>
      <c r="F314">
        <f>E314*1500</f>
        <v>60000</v>
      </c>
      <c r="G314">
        <f>E314*500</f>
        <v>20000</v>
      </c>
      <c r="H314">
        <f>E314*1000</f>
        <v>40000</v>
      </c>
    </row>
    <row r="315" spans="1:8" x14ac:dyDescent="0.25">
      <c r="C315" t="s">
        <v>306</v>
      </c>
      <c r="E315">
        <v>20</v>
      </c>
      <c r="F315">
        <f>E315*1500</f>
        <v>30000</v>
      </c>
      <c r="G315">
        <f>E315*500</f>
        <v>10000</v>
      </c>
      <c r="H315">
        <f>E315*1000</f>
        <v>20000</v>
      </c>
    </row>
    <row r="316" spans="1:8" x14ac:dyDescent="0.25">
      <c r="C316" t="s">
        <v>954</v>
      </c>
      <c r="D316" t="s">
        <v>902</v>
      </c>
      <c r="E316">
        <v>4</v>
      </c>
      <c r="F316">
        <f>E316*8000</f>
        <v>32000</v>
      </c>
      <c r="G316">
        <f>E316*5500</f>
        <v>22000</v>
      </c>
      <c r="H316">
        <f>E316*2500</f>
        <v>10000</v>
      </c>
    </row>
    <row r="317" spans="1:8" x14ac:dyDescent="0.25">
      <c r="C317" t="s">
        <v>217</v>
      </c>
      <c r="D317" t="s">
        <v>11</v>
      </c>
      <c r="E317">
        <v>6</v>
      </c>
      <c r="F317">
        <f>E317*1500</f>
        <v>9000</v>
      </c>
      <c r="G317">
        <f>E317*500</f>
        <v>3000</v>
      </c>
      <c r="H317">
        <f>E317*1000</f>
        <v>6000</v>
      </c>
    </row>
    <row r="318" spans="1:8" x14ac:dyDescent="0.25">
      <c r="C318" t="s">
        <v>217</v>
      </c>
      <c r="D318" t="s">
        <v>14</v>
      </c>
      <c r="E318">
        <v>3</v>
      </c>
      <c r="F318">
        <f>E318*8000</f>
        <v>24000</v>
      </c>
      <c r="G318">
        <f>E318*5500</f>
        <v>16500</v>
      </c>
      <c r="H318">
        <f>E318*2500</f>
        <v>7500</v>
      </c>
    </row>
    <row r="319" spans="1:8" x14ac:dyDescent="0.25">
      <c r="C319" t="s">
        <v>846</v>
      </c>
      <c r="D319" t="s">
        <v>902</v>
      </c>
      <c r="E319">
        <v>8</v>
      </c>
      <c r="F319">
        <f>E319*8000</f>
        <v>64000</v>
      </c>
      <c r="G319">
        <f>E319*5500</f>
        <v>44000</v>
      </c>
      <c r="H319">
        <f>E319*2500</f>
        <v>20000</v>
      </c>
    </row>
    <row r="320" spans="1:8" x14ac:dyDescent="0.25">
      <c r="C320" t="s">
        <v>846</v>
      </c>
      <c r="D320" t="s">
        <v>13</v>
      </c>
      <c r="E320">
        <v>4</v>
      </c>
      <c r="F320">
        <f>E320*8000</f>
        <v>32000</v>
      </c>
      <c r="G320">
        <f>E320*4500</f>
        <v>18000</v>
      </c>
      <c r="H320">
        <f>E320*3500</f>
        <v>14000</v>
      </c>
    </row>
    <row r="321" spans="1:8" x14ac:dyDescent="0.25">
      <c r="C321" t="s">
        <v>846</v>
      </c>
      <c r="D321" t="s">
        <v>959</v>
      </c>
      <c r="E321">
        <v>3</v>
      </c>
      <c r="F321">
        <f>E321*8000</f>
        <v>24000</v>
      </c>
      <c r="G321">
        <f>E321*5500</f>
        <v>16500</v>
      </c>
      <c r="H321">
        <f>E321*2500</f>
        <v>7500</v>
      </c>
    </row>
    <row r="322" spans="1:8" x14ac:dyDescent="0.25">
      <c r="C322" t="s">
        <v>846</v>
      </c>
      <c r="D322" t="s">
        <v>918</v>
      </c>
      <c r="E322">
        <v>1</v>
      </c>
      <c r="F322">
        <v>15000</v>
      </c>
      <c r="G322">
        <v>10000</v>
      </c>
      <c r="H322">
        <v>5000</v>
      </c>
    </row>
    <row r="323" spans="1:8" x14ac:dyDescent="0.25">
      <c r="A323" s="112" t="s">
        <v>17</v>
      </c>
      <c r="B323" s="112"/>
      <c r="C323" s="112"/>
      <c r="D323" s="112"/>
      <c r="E323" s="78">
        <f>SUM(E314:E322)</f>
        <v>89</v>
      </c>
      <c r="F323" s="78">
        <f t="shared" ref="F323:H323" si="79">SUM(F314:F322)</f>
        <v>290000</v>
      </c>
      <c r="G323" s="78">
        <f t="shared" si="79"/>
        <v>160000</v>
      </c>
      <c r="H323" s="78">
        <f t="shared" si="79"/>
        <v>130000</v>
      </c>
    </row>
  </sheetData>
  <mergeCells count="28">
    <mergeCell ref="A303:D303"/>
    <mergeCell ref="A151:D151"/>
    <mergeCell ref="A212:D212"/>
    <mergeCell ref="A170:D170"/>
    <mergeCell ref="A323:D323"/>
    <mergeCell ref="A313:D313"/>
    <mergeCell ref="A267:D267"/>
    <mergeCell ref="A262:D262"/>
    <mergeCell ref="A239:D239"/>
    <mergeCell ref="A249:D249"/>
    <mergeCell ref="A278:D278"/>
    <mergeCell ref="A292:D292"/>
    <mergeCell ref="A74:D74"/>
    <mergeCell ref="A84:D84"/>
    <mergeCell ref="A16:D16"/>
    <mergeCell ref="A29:D29"/>
    <mergeCell ref="A44:D44"/>
    <mergeCell ref="A50:D50"/>
    <mergeCell ref="A63:D63"/>
    <mergeCell ref="A115:D115"/>
    <mergeCell ref="A102:D102"/>
    <mergeCell ref="A98:D98"/>
    <mergeCell ref="A232:D232"/>
    <mergeCell ref="A184:D184"/>
    <mergeCell ref="A124:D124"/>
    <mergeCell ref="A138:D138"/>
    <mergeCell ref="A192:D192"/>
    <mergeCell ref="A203:D203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31DD-154F-487A-80E9-8BBE50797F6A}">
  <dimension ref="A1:X350"/>
  <sheetViews>
    <sheetView topLeftCell="A336" workbookViewId="0">
      <selection activeCell="I353" sqref="I353"/>
    </sheetView>
  </sheetViews>
  <sheetFormatPr defaultRowHeight="15" x14ac:dyDescent="0.25"/>
  <cols>
    <col min="2" max="2" width="10.7109375" bestFit="1" customWidth="1"/>
    <col min="5" max="5" width="9.28515625" bestFit="1" customWidth="1"/>
    <col min="6" max="6" width="10.5703125" bestFit="1" customWidth="1"/>
    <col min="7" max="7" width="10" bestFit="1" customWidth="1"/>
    <col min="8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8</v>
      </c>
      <c r="B2" s="3">
        <v>45931</v>
      </c>
      <c r="C2" t="s">
        <v>338</v>
      </c>
      <c r="D2" t="s">
        <v>11</v>
      </c>
      <c r="E2">
        <v>41</v>
      </c>
      <c r="F2" s="79">
        <f>E2*1500</f>
        <v>61500</v>
      </c>
      <c r="G2" s="79">
        <f>E2*500</f>
        <v>20500</v>
      </c>
      <c r="H2" s="79">
        <f>E2*1000</f>
        <v>41000</v>
      </c>
    </row>
    <row r="3" spans="1:8" x14ac:dyDescent="0.25">
      <c r="C3" t="s">
        <v>581</v>
      </c>
      <c r="D3" t="s">
        <v>11</v>
      </c>
      <c r="E3">
        <v>27</v>
      </c>
      <c r="F3" s="79">
        <f>E3*1600</f>
        <v>43200</v>
      </c>
      <c r="G3" s="79">
        <f>E3*500</f>
        <v>13500</v>
      </c>
      <c r="H3" s="79">
        <f>E3*1100</f>
        <v>29700</v>
      </c>
    </row>
    <row r="4" spans="1:8" x14ac:dyDescent="0.25">
      <c r="C4" t="s">
        <v>846</v>
      </c>
      <c r="D4" t="s">
        <v>902</v>
      </c>
      <c r="E4">
        <v>4</v>
      </c>
      <c r="F4" s="79">
        <f>E4*8000</f>
        <v>32000</v>
      </c>
      <c r="G4" s="79">
        <f>E4*5500</f>
        <v>22000</v>
      </c>
      <c r="H4" s="79">
        <f>E4*4500</f>
        <v>18000</v>
      </c>
    </row>
    <row r="5" spans="1:8" x14ac:dyDescent="0.25">
      <c r="C5" t="s">
        <v>846</v>
      </c>
      <c r="D5" t="s">
        <v>13</v>
      </c>
      <c r="E5">
        <v>5</v>
      </c>
      <c r="F5" s="79">
        <f>E5*8000</f>
        <v>40000</v>
      </c>
      <c r="G5" s="79">
        <f>E5*4500</f>
        <v>22500</v>
      </c>
      <c r="H5" s="79">
        <f>E5*3500</f>
        <v>17500</v>
      </c>
    </row>
    <row r="6" spans="1:8" x14ac:dyDescent="0.25">
      <c r="C6" t="s">
        <v>846</v>
      </c>
      <c r="D6" t="s">
        <v>919</v>
      </c>
      <c r="E6">
        <v>1</v>
      </c>
      <c r="F6" s="79">
        <v>12000</v>
      </c>
      <c r="G6" s="79">
        <v>5500</v>
      </c>
      <c r="H6" s="79">
        <v>6500</v>
      </c>
    </row>
    <row r="7" spans="1:8" x14ac:dyDescent="0.25">
      <c r="C7" t="s">
        <v>797</v>
      </c>
      <c r="D7" t="s">
        <v>13</v>
      </c>
      <c r="E7">
        <v>27</v>
      </c>
      <c r="F7" s="79">
        <f>E7*6500</f>
        <v>175500</v>
      </c>
      <c r="G7" s="79">
        <f>E7*4500</f>
        <v>121500</v>
      </c>
      <c r="H7" s="79">
        <f>E7*2000</f>
        <v>54000</v>
      </c>
    </row>
    <row r="8" spans="1:8" x14ac:dyDescent="0.25">
      <c r="C8" t="s">
        <v>797</v>
      </c>
      <c r="D8" t="s">
        <v>14</v>
      </c>
      <c r="E8">
        <v>2</v>
      </c>
      <c r="F8" s="79">
        <f>E8*10000</f>
        <v>20000</v>
      </c>
      <c r="G8" s="79">
        <f>E8*5500</f>
        <v>11000</v>
      </c>
      <c r="H8" s="79">
        <f>E8*4500</f>
        <v>9000</v>
      </c>
    </row>
    <row r="9" spans="1:8" x14ac:dyDescent="0.25">
      <c r="C9" t="s">
        <v>797</v>
      </c>
      <c r="D9" t="s">
        <v>243</v>
      </c>
      <c r="E9">
        <v>10</v>
      </c>
      <c r="F9" s="79">
        <f>E9*14000</f>
        <v>140000</v>
      </c>
      <c r="G9" s="79">
        <f>E9*9000</f>
        <v>90000</v>
      </c>
      <c r="H9" s="79">
        <f>E9*5000</f>
        <v>50000</v>
      </c>
    </row>
    <row r="10" spans="1:8" x14ac:dyDescent="0.25">
      <c r="A10" s="112" t="s">
        <v>17</v>
      </c>
      <c r="B10" s="112"/>
      <c r="C10" s="112"/>
      <c r="D10" s="112"/>
      <c r="E10" s="78">
        <f>SUM(E2:E9)</f>
        <v>117</v>
      </c>
      <c r="F10" s="78">
        <f t="shared" ref="F10:H10" si="0">SUM(F2:F9)</f>
        <v>524200</v>
      </c>
      <c r="G10" s="78">
        <f t="shared" si="0"/>
        <v>306500</v>
      </c>
      <c r="H10" s="78">
        <f t="shared" si="0"/>
        <v>225700</v>
      </c>
    </row>
    <row r="11" spans="1:8" x14ac:dyDescent="0.25">
      <c r="A11" t="s">
        <v>18</v>
      </c>
      <c r="B11" s="3">
        <v>45932</v>
      </c>
      <c r="C11" t="s">
        <v>338</v>
      </c>
      <c r="D11" t="s">
        <v>11</v>
      </c>
      <c r="E11">
        <v>50</v>
      </c>
      <c r="F11">
        <f>E11*1500</f>
        <v>75000</v>
      </c>
      <c r="G11">
        <f>E11*500</f>
        <v>25000</v>
      </c>
      <c r="H11">
        <f>E11*1000</f>
        <v>50000</v>
      </c>
    </row>
    <row r="12" spans="1:8" x14ac:dyDescent="0.25">
      <c r="C12" t="s">
        <v>581</v>
      </c>
      <c r="D12" t="s">
        <v>11</v>
      </c>
      <c r="E12">
        <v>27</v>
      </c>
      <c r="F12">
        <f>E12*1600</f>
        <v>43200</v>
      </c>
      <c r="G12">
        <f>E12*500</f>
        <v>13500</v>
      </c>
      <c r="H12">
        <f>E12*1100</f>
        <v>29700</v>
      </c>
    </row>
    <row r="13" spans="1:8" x14ac:dyDescent="0.25">
      <c r="C13" t="s">
        <v>306</v>
      </c>
      <c r="D13" t="s">
        <v>11</v>
      </c>
      <c r="E13">
        <v>5</v>
      </c>
      <c r="F13">
        <f>E13*1800</f>
        <v>9000</v>
      </c>
      <c r="G13">
        <f>E13*500</f>
        <v>2500</v>
      </c>
      <c r="H13">
        <f>E13*1300</f>
        <v>6500</v>
      </c>
    </row>
    <row r="14" spans="1:8" x14ac:dyDescent="0.25">
      <c r="C14" t="s">
        <v>306</v>
      </c>
      <c r="D14" t="s">
        <v>995</v>
      </c>
      <c r="E14">
        <v>5</v>
      </c>
      <c r="F14">
        <f>E14*2000</f>
        <v>10000</v>
      </c>
      <c r="G14">
        <f>E14*1000</f>
        <v>5000</v>
      </c>
      <c r="H14">
        <v>5000</v>
      </c>
    </row>
    <row r="15" spans="1:8" x14ac:dyDescent="0.25">
      <c r="C15" t="s">
        <v>571</v>
      </c>
      <c r="D15" t="s">
        <v>11</v>
      </c>
      <c r="E15">
        <v>35</v>
      </c>
      <c r="F15">
        <f>E15*1700</f>
        <v>59500</v>
      </c>
      <c r="G15">
        <f>E15*500</f>
        <v>17500</v>
      </c>
      <c r="H15">
        <f>E15*1200</f>
        <v>42000</v>
      </c>
    </row>
    <row r="16" spans="1:8" x14ac:dyDescent="0.25">
      <c r="C16" t="s">
        <v>24</v>
      </c>
      <c r="D16" t="s">
        <v>243</v>
      </c>
      <c r="E16">
        <v>10</v>
      </c>
      <c r="F16">
        <f>E16*12000</f>
        <v>120000</v>
      </c>
      <c r="G16">
        <f>E16*9000</f>
        <v>90000</v>
      </c>
      <c r="H16">
        <f>E16*3000</f>
        <v>30000</v>
      </c>
    </row>
    <row r="17" spans="1:8" x14ac:dyDescent="0.25">
      <c r="C17" t="s">
        <v>20</v>
      </c>
      <c r="D17" t="s">
        <v>902</v>
      </c>
      <c r="E17">
        <v>5</v>
      </c>
      <c r="F17">
        <f>E17*8000</f>
        <v>40000</v>
      </c>
      <c r="G17">
        <f>E17*5500</f>
        <v>27500</v>
      </c>
      <c r="H17">
        <f>E17*2500</f>
        <v>12500</v>
      </c>
    </row>
    <row r="18" spans="1:8" x14ac:dyDescent="0.25">
      <c r="C18" t="s">
        <v>20</v>
      </c>
      <c r="D18" t="s">
        <v>14</v>
      </c>
      <c r="E18">
        <v>1</v>
      </c>
      <c r="F18">
        <v>12000</v>
      </c>
      <c r="G18">
        <v>5500</v>
      </c>
      <c r="H18">
        <v>6500</v>
      </c>
    </row>
    <row r="19" spans="1:8" x14ac:dyDescent="0.25">
      <c r="A19" s="112" t="s">
        <v>17</v>
      </c>
      <c r="B19" s="112"/>
      <c r="C19" s="112"/>
      <c r="D19" s="112"/>
      <c r="E19" s="78">
        <f>SUM(E11:E18)</f>
        <v>138</v>
      </c>
      <c r="F19" s="78">
        <f t="shared" ref="F19:H19" si="1">SUM(F11:F18)</f>
        <v>368700</v>
      </c>
      <c r="G19" s="78">
        <f t="shared" si="1"/>
        <v>186500</v>
      </c>
      <c r="H19" s="78">
        <f t="shared" si="1"/>
        <v>182200</v>
      </c>
    </row>
    <row r="20" spans="1:8" x14ac:dyDescent="0.25">
      <c r="A20" t="s">
        <v>22</v>
      </c>
      <c r="B20" s="3">
        <v>45933</v>
      </c>
      <c r="C20" t="s">
        <v>797</v>
      </c>
      <c r="D20" t="s">
        <v>13</v>
      </c>
      <c r="E20">
        <v>9</v>
      </c>
      <c r="F20" s="79">
        <f>E20*6500</f>
        <v>58500</v>
      </c>
      <c r="G20" s="79">
        <f>E20*4500</f>
        <v>40500</v>
      </c>
      <c r="H20" s="79">
        <f>E20*2000</f>
        <v>18000</v>
      </c>
    </row>
    <row r="21" spans="1:8" x14ac:dyDescent="0.25">
      <c r="C21" t="s">
        <v>797</v>
      </c>
      <c r="D21" t="s">
        <v>14</v>
      </c>
      <c r="E21">
        <v>9</v>
      </c>
      <c r="F21" s="79">
        <f>E21*10000</f>
        <v>90000</v>
      </c>
      <c r="G21" s="79">
        <f>E21*5500</f>
        <v>49500</v>
      </c>
      <c r="H21" s="79">
        <f>E21*4500</f>
        <v>40500</v>
      </c>
    </row>
    <row r="22" spans="1:8" x14ac:dyDescent="0.25">
      <c r="C22" t="s">
        <v>797</v>
      </c>
      <c r="D22" t="s">
        <v>243</v>
      </c>
      <c r="E22">
        <v>2</v>
      </c>
      <c r="F22" s="79">
        <f>E22*14000</f>
        <v>28000</v>
      </c>
      <c r="G22" s="79">
        <f>E22*9000</f>
        <v>18000</v>
      </c>
      <c r="H22" s="79">
        <f>E22*5000</f>
        <v>10000</v>
      </c>
    </row>
    <row r="23" spans="1:8" x14ac:dyDescent="0.25">
      <c r="C23" t="s">
        <v>846</v>
      </c>
      <c r="D23" t="s">
        <v>14</v>
      </c>
      <c r="E23">
        <v>1</v>
      </c>
      <c r="F23" s="79">
        <v>12000</v>
      </c>
      <c r="G23" s="79">
        <v>5500</v>
      </c>
      <c r="H23" s="79">
        <v>6500</v>
      </c>
    </row>
    <row r="24" spans="1:8" x14ac:dyDescent="0.25">
      <c r="C24" t="s">
        <v>846</v>
      </c>
      <c r="D24" t="s">
        <v>902</v>
      </c>
      <c r="E24">
        <v>5</v>
      </c>
      <c r="F24" s="79">
        <f>E24*8000</f>
        <v>40000</v>
      </c>
      <c r="G24" s="79">
        <f>E24*5500</f>
        <v>27500</v>
      </c>
      <c r="H24" s="79">
        <f>E24*2500</f>
        <v>12500</v>
      </c>
    </row>
    <row r="25" spans="1:8" x14ac:dyDescent="0.25">
      <c r="C25" t="s">
        <v>846</v>
      </c>
      <c r="D25" t="s">
        <v>918</v>
      </c>
      <c r="E25">
        <v>8</v>
      </c>
      <c r="F25" s="79">
        <f>E25*15000</f>
        <v>120000</v>
      </c>
      <c r="G25" s="79">
        <f>E25*10000</f>
        <v>80000</v>
      </c>
      <c r="H25" s="79">
        <f>E25*5000</f>
        <v>40000</v>
      </c>
    </row>
    <row r="26" spans="1:8" x14ac:dyDescent="0.25">
      <c r="C26" t="s">
        <v>846</v>
      </c>
      <c r="D26" t="s">
        <v>959</v>
      </c>
      <c r="E26">
        <v>2</v>
      </c>
      <c r="F26" s="79">
        <f>E26*8000</f>
        <v>16000</v>
      </c>
      <c r="G26" s="79">
        <f>E26*5500</f>
        <v>11000</v>
      </c>
      <c r="H26" s="79">
        <f>E26*2500</f>
        <v>5000</v>
      </c>
    </row>
    <row r="27" spans="1:8" x14ac:dyDescent="0.25">
      <c r="C27" t="s">
        <v>846</v>
      </c>
      <c r="D27" t="s">
        <v>919</v>
      </c>
      <c r="E27">
        <v>1</v>
      </c>
      <c r="F27" s="79">
        <v>12000</v>
      </c>
      <c r="G27" s="79">
        <v>5500</v>
      </c>
      <c r="H27" s="79">
        <v>6500</v>
      </c>
    </row>
    <row r="28" spans="1:8" x14ac:dyDescent="0.25">
      <c r="A28" s="111" t="s">
        <v>17</v>
      </c>
      <c r="B28" s="111"/>
      <c r="C28" s="111"/>
      <c r="D28" s="111"/>
      <c r="E28" s="1">
        <f>SUM(E20:E27)</f>
        <v>37</v>
      </c>
      <c r="F28" s="78">
        <f t="shared" ref="F28:H28" si="2">SUM(F20:F27)</f>
        <v>376500</v>
      </c>
      <c r="G28" s="78">
        <f t="shared" si="2"/>
        <v>237500</v>
      </c>
      <c r="H28" s="78">
        <f t="shared" si="2"/>
        <v>139000</v>
      </c>
    </row>
    <row r="29" spans="1:8" x14ac:dyDescent="0.25">
      <c r="A29" t="s">
        <v>26</v>
      </c>
      <c r="B29" s="3">
        <v>45934</v>
      </c>
      <c r="C29" t="s">
        <v>797</v>
      </c>
      <c r="D29" t="s">
        <v>13</v>
      </c>
      <c r="E29">
        <v>11</v>
      </c>
      <c r="F29" s="79">
        <f>E29*6500</f>
        <v>71500</v>
      </c>
      <c r="G29" s="79">
        <f>E29*4500</f>
        <v>49500</v>
      </c>
      <c r="H29" s="79">
        <f>E29*2000</f>
        <v>22000</v>
      </c>
    </row>
    <row r="30" spans="1:8" x14ac:dyDescent="0.25">
      <c r="C30" t="s">
        <v>797</v>
      </c>
      <c r="D30" t="s">
        <v>14</v>
      </c>
      <c r="E30">
        <v>1</v>
      </c>
      <c r="F30" s="79">
        <v>10000</v>
      </c>
      <c r="G30" s="79">
        <v>5500</v>
      </c>
      <c r="H30" s="79">
        <v>4500</v>
      </c>
    </row>
    <row r="31" spans="1:8" x14ac:dyDescent="0.25">
      <c r="C31" t="s">
        <v>217</v>
      </c>
      <c r="D31" t="s">
        <v>11</v>
      </c>
      <c r="E31">
        <v>21</v>
      </c>
      <c r="F31" s="79">
        <f>E31*1500</f>
        <v>31500</v>
      </c>
      <c r="G31" s="79">
        <f>E31*500</f>
        <v>10500</v>
      </c>
      <c r="H31" s="79">
        <f>E31*1000</f>
        <v>21000</v>
      </c>
    </row>
    <row r="32" spans="1:8" x14ac:dyDescent="0.25">
      <c r="C32" t="s">
        <v>217</v>
      </c>
      <c r="D32" t="s">
        <v>13</v>
      </c>
      <c r="E32">
        <v>10</v>
      </c>
      <c r="F32" s="79">
        <f>E32*6500</f>
        <v>65000</v>
      </c>
      <c r="G32" s="79">
        <f>E32*4500</f>
        <v>45000</v>
      </c>
      <c r="H32" s="79">
        <f>E32*2000</f>
        <v>20000</v>
      </c>
    </row>
    <row r="33" spans="1:24" x14ac:dyDescent="0.25">
      <c r="C33" t="s">
        <v>217</v>
      </c>
      <c r="D33" t="s">
        <v>14</v>
      </c>
      <c r="E33">
        <v>8</v>
      </c>
      <c r="F33" s="79">
        <f>E33*8000</f>
        <v>64000</v>
      </c>
      <c r="G33" s="79">
        <f>E33*5500</f>
        <v>44000</v>
      </c>
      <c r="H33" s="79">
        <f>E33*4500</f>
        <v>36000</v>
      </c>
    </row>
    <row r="34" spans="1:24" x14ac:dyDescent="0.25">
      <c r="A34" s="111" t="s">
        <v>17</v>
      </c>
      <c r="B34" s="111"/>
      <c r="C34" s="111"/>
      <c r="D34" s="111"/>
      <c r="E34" s="1">
        <f>SUM(E29:E33)</f>
        <v>51</v>
      </c>
      <c r="F34" s="78">
        <f t="shared" ref="F34:H34" si="3">SUM(F29:F33)</f>
        <v>242000</v>
      </c>
      <c r="G34" s="78">
        <f t="shared" si="3"/>
        <v>154500</v>
      </c>
      <c r="H34" s="78">
        <f t="shared" si="3"/>
        <v>103500</v>
      </c>
    </row>
    <row r="35" spans="1:24" x14ac:dyDescent="0.25">
      <c r="A35" t="s">
        <v>28</v>
      </c>
      <c r="B35" s="3">
        <v>45935</v>
      </c>
      <c r="C35" t="s">
        <v>693</v>
      </c>
      <c r="D35" t="s">
        <v>11</v>
      </c>
      <c r="E35">
        <v>8</v>
      </c>
      <c r="F35" s="79">
        <f>E35*1500</f>
        <v>12000</v>
      </c>
      <c r="G35" s="79">
        <f>E35*500</f>
        <v>4000</v>
      </c>
      <c r="H35" s="79">
        <f>E35*1000</f>
        <v>8000</v>
      </c>
    </row>
    <row r="36" spans="1:24" x14ac:dyDescent="0.25">
      <c r="C36" t="s">
        <v>693</v>
      </c>
      <c r="D36" t="s">
        <v>13</v>
      </c>
      <c r="E36">
        <v>13</v>
      </c>
      <c r="F36" s="79">
        <f>E36*7000</f>
        <v>91000</v>
      </c>
      <c r="G36" s="79">
        <f>E36*4500</f>
        <v>58500</v>
      </c>
      <c r="H36" s="79">
        <f>E36*25000</f>
        <v>325000</v>
      </c>
    </row>
    <row r="37" spans="1:24" x14ac:dyDescent="0.25">
      <c r="C37" t="s">
        <v>693</v>
      </c>
      <c r="D37" t="s">
        <v>14</v>
      </c>
      <c r="E37">
        <v>16</v>
      </c>
      <c r="F37" s="79">
        <f>E37*1000</f>
        <v>16000</v>
      </c>
      <c r="G37" s="79">
        <f>E37*5500</f>
        <v>88000</v>
      </c>
      <c r="H37" s="79">
        <f>E37*4500</f>
        <v>72000</v>
      </c>
    </row>
    <row r="38" spans="1:24" x14ac:dyDescent="0.25">
      <c r="C38" t="s">
        <v>217</v>
      </c>
      <c r="D38" t="s">
        <v>11</v>
      </c>
      <c r="E38">
        <v>9</v>
      </c>
      <c r="F38" s="79">
        <f>E38*1500</f>
        <v>13500</v>
      </c>
      <c r="G38" s="79">
        <f>E38*500</f>
        <v>4500</v>
      </c>
      <c r="H38" s="79">
        <f>E38*1000</f>
        <v>9000</v>
      </c>
    </row>
    <row r="39" spans="1:24" x14ac:dyDescent="0.25">
      <c r="C39" t="s">
        <v>217</v>
      </c>
      <c r="D39" t="s">
        <v>13</v>
      </c>
      <c r="E39">
        <v>18</v>
      </c>
      <c r="F39" s="79">
        <f>E39*6500</f>
        <v>117000</v>
      </c>
      <c r="G39" s="79">
        <f>E39*4500</f>
        <v>81000</v>
      </c>
      <c r="H39" s="79">
        <f>E39*2000</f>
        <v>36000</v>
      </c>
    </row>
    <row r="40" spans="1:24" x14ac:dyDescent="0.25">
      <c r="C40" t="s">
        <v>217</v>
      </c>
      <c r="D40" t="s">
        <v>14</v>
      </c>
      <c r="E40">
        <v>5</v>
      </c>
      <c r="F40" s="79">
        <f>E40*8000</f>
        <v>40000</v>
      </c>
      <c r="G40" s="79">
        <f>E40*5500</f>
        <v>27500</v>
      </c>
      <c r="H40" s="79">
        <f>E40*2500</f>
        <v>12500</v>
      </c>
    </row>
    <row r="41" spans="1:24" x14ac:dyDescent="0.25">
      <c r="C41" t="s">
        <v>20</v>
      </c>
      <c r="D41" t="s">
        <v>13</v>
      </c>
      <c r="E41">
        <v>1</v>
      </c>
      <c r="F41" s="79">
        <v>8000</v>
      </c>
      <c r="G41" s="79">
        <v>4500</v>
      </c>
      <c r="H41" s="79">
        <v>3500</v>
      </c>
    </row>
    <row r="42" spans="1:24" x14ac:dyDescent="0.25">
      <c r="C42" t="s">
        <v>20</v>
      </c>
      <c r="D42" t="s">
        <v>14</v>
      </c>
      <c r="E42">
        <v>2</v>
      </c>
      <c r="F42" s="79">
        <v>20000</v>
      </c>
      <c r="G42" s="79">
        <v>11000</v>
      </c>
      <c r="H42" s="79">
        <v>9000</v>
      </c>
    </row>
    <row r="43" spans="1:24" x14ac:dyDescent="0.25">
      <c r="C43" t="s">
        <v>20</v>
      </c>
      <c r="D43" t="s">
        <v>902</v>
      </c>
      <c r="E43">
        <v>4</v>
      </c>
      <c r="F43">
        <f>E43*8000</f>
        <v>32000</v>
      </c>
      <c r="G43">
        <f>E43*5500</f>
        <v>22000</v>
      </c>
      <c r="H43">
        <f>E43*2500</f>
        <v>10000</v>
      </c>
      <c r="X43" t="s">
        <v>1000</v>
      </c>
    </row>
    <row r="44" spans="1:24" x14ac:dyDescent="0.25">
      <c r="C44" t="s">
        <v>20</v>
      </c>
      <c r="D44" t="s">
        <v>959</v>
      </c>
      <c r="E44">
        <v>2</v>
      </c>
      <c r="F44">
        <v>16000</v>
      </c>
      <c r="G44">
        <v>11000</v>
      </c>
      <c r="H44">
        <v>5000</v>
      </c>
    </row>
    <row r="45" spans="1:24" x14ac:dyDescent="0.25">
      <c r="A45" s="112" t="s">
        <v>17</v>
      </c>
      <c r="B45" s="112"/>
      <c r="C45" s="112"/>
      <c r="D45" s="112"/>
      <c r="E45" s="78">
        <f>SUM(E35:E44)</f>
        <v>78</v>
      </c>
      <c r="F45" s="78">
        <f t="shared" ref="F45:G45" si="4">SUM(F35:F44)</f>
        <v>365500</v>
      </c>
      <c r="G45" s="78">
        <f t="shared" si="4"/>
        <v>312000</v>
      </c>
      <c r="H45" s="78">
        <f>SUM(H35:H44)</f>
        <v>490000</v>
      </c>
    </row>
    <row r="46" spans="1:24" x14ac:dyDescent="0.25">
      <c r="A46" t="s">
        <v>30</v>
      </c>
      <c r="B46" s="3">
        <v>45936</v>
      </c>
      <c r="C46" t="s">
        <v>338</v>
      </c>
      <c r="D46" t="s">
        <v>11</v>
      </c>
      <c r="E46">
        <v>100</v>
      </c>
      <c r="F46" s="79">
        <f>E46*1500</f>
        <v>150000</v>
      </c>
      <c r="G46" s="79">
        <f>E46*500</f>
        <v>50000</v>
      </c>
      <c r="H46" s="79">
        <f>E46*1000</f>
        <v>100000</v>
      </c>
    </row>
    <row r="47" spans="1:24" x14ac:dyDescent="0.25">
      <c r="C47" t="s">
        <v>581</v>
      </c>
      <c r="D47" t="s">
        <v>11</v>
      </c>
      <c r="E47">
        <v>52</v>
      </c>
      <c r="F47" s="79">
        <f>E47*1600</f>
        <v>83200</v>
      </c>
      <c r="G47" s="79">
        <f>E47*500</f>
        <v>26000</v>
      </c>
      <c r="H47" s="79">
        <f>E47*1100</f>
        <v>57200</v>
      </c>
    </row>
    <row r="48" spans="1:24" x14ac:dyDescent="0.25">
      <c r="C48" t="s">
        <v>571</v>
      </c>
      <c r="D48" t="s">
        <v>11</v>
      </c>
      <c r="E48">
        <v>16</v>
      </c>
      <c r="F48" s="79">
        <f>E48*1700</f>
        <v>27200</v>
      </c>
      <c r="G48" s="79">
        <f>E48*500</f>
        <v>8000</v>
      </c>
      <c r="H48" s="79">
        <f>E48*1200</f>
        <v>19200</v>
      </c>
    </row>
    <row r="49" spans="1:8" x14ac:dyDescent="0.25">
      <c r="C49" t="s">
        <v>217</v>
      </c>
      <c r="D49" t="s">
        <v>11</v>
      </c>
      <c r="E49">
        <v>15</v>
      </c>
      <c r="F49" s="79">
        <f>E49*1500</f>
        <v>22500</v>
      </c>
      <c r="G49" s="79">
        <f>E49*500</f>
        <v>7500</v>
      </c>
      <c r="H49" s="79">
        <f>E49*1000</f>
        <v>15000</v>
      </c>
    </row>
    <row r="50" spans="1:8" x14ac:dyDescent="0.25">
      <c r="C50" t="s">
        <v>217</v>
      </c>
      <c r="D50" t="s">
        <v>13</v>
      </c>
      <c r="E50">
        <v>8</v>
      </c>
      <c r="F50" s="79">
        <f>E50*6500</f>
        <v>52000</v>
      </c>
      <c r="G50" s="79">
        <f>E50*4500</f>
        <v>36000</v>
      </c>
      <c r="H50" s="79">
        <f>E50*2000</f>
        <v>16000</v>
      </c>
    </row>
    <row r="51" spans="1:8" x14ac:dyDescent="0.25">
      <c r="C51" t="s">
        <v>217</v>
      </c>
      <c r="D51" t="s">
        <v>14</v>
      </c>
      <c r="E51">
        <v>5</v>
      </c>
      <c r="F51" s="79">
        <f>E51*8000</f>
        <v>40000</v>
      </c>
      <c r="G51" s="79">
        <f>E51*5500</f>
        <v>27500</v>
      </c>
      <c r="H51" s="79">
        <f>E51*3500</f>
        <v>17500</v>
      </c>
    </row>
    <row r="52" spans="1:8" x14ac:dyDescent="0.25">
      <c r="C52" t="s">
        <v>954</v>
      </c>
      <c r="D52" t="s">
        <v>902</v>
      </c>
      <c r="E52">
        <v>6</v>
      </c>
      <c r="F52" s="79">
        <f>E52*8000</f>
        <v>48000</v>
      </c>
      <c r="G52" s="79">
        <f>E52*5500</f>
        <v>33000</v>
      </c>
      <c r="H52" s="79">
        <f>E52*2500</f>
        <v>15000</v>
      </c>
    </row>
    <row r="53" spans="1:8" x14ac:dyDescent="0.25">
      <c r="C53" t="s">
        <v>954</v>
      </c>
      <c r="D53" t="s">
        <v>919</v>
      </c>
      <c r="E53">
        <v>2</v>
      </c>
      <c r="F53" s="79">
        <f>E53*12000</f>
        <v>24000</v>
      </c>
      <c r="G53" s="79">
        <f>E53*5500</f>
        <v>11000</v>
      </c>
      <c r="H53" s="79">
        <f>E53*6500</f>
        <v>13000</v>
      </c>
    </row>
    <row r="54" spans="1:8" x14ac:dyDescent="0.25">
      <c r="C54" t="s">
        <v>846</v>
      </c>
      <c r="D54" t="s">
        <v>918</v>
      </c>
      <c r="E54">
        <v>3</v>
      </c>
      <c r="F54" s="79">
        <f>E54*15000</f>
        <v>45000</v>
      </c>
      <c r="G54" s="79">
        <f>E54*10000</f>
        <v>30000</v>
      </c>
      <c r="H54" s="79">
        <f>E54*5000</f>
        <v>15000</v>
      </c>
    </row>
    <row r="55" spans="1:8" x14ac:dyDescent="0.25">
      <c r="C55" t="s">
        <v>846</v>
      </c>
      <c r="D55" t="s">
        <v>902</v>
      </c>
      <c r="E55">
        <v>2</v>
      </c>
      <c r="F55" s="79">
        <f>E55*8000</f>
        <v>16000</v>
      </c>
      <c r="G55" s="79">
        <f>E55*5500</f>
        <v>11000</v>
      </c>
      <c r="H55" s="79">
        <f>E55*2500</f>
        <v>5000</v>
      </c>
    </row>
    <row r="56" spans="1:8" x14ac:dyDescent="0.25">
      <c r="C56" t="s">
        <v>797</v>
      </c>
      <c r="D56" t="s">
        <v>13</v>
      </c>
      <c r="E56">
        <v>20</v>
      </c>
      <c r="F56" s="79">
        <f>E56*6500</f>
        <v>130000</v>
      </c>
      <c r="G56" s="79">
        <f>E56*4500</f>
        <v>90000</v>
      </c>
      <c r="H56" s="79">
        <f>E56*2000</f>
        <v>40000</v>
      </c>
    </row>
    <row r="57" spans="1:8" x14ac:dyDescent="0.25">
      <c r="C57" t="s">
        <v>797</v>
      </c>
      <c r="D57" t="s">
        <v>14</v>
      </c>
      <c r="E57">
        <v>13</v>
      </c>
      <c r="F57" s="79">
        <f>E57*10000</f>
        <v>130000</v>
      </c>
      <c r="G57" s="79">
        <f>E57*5500</f>
        <v>71500</v>
      </c>
      <c r="H57" s="79">
        <f>E57*4500</f>
        <v>58500</v>
      </c>
    </row>
    <row r="58" spans="1:8" x14ac:dyDescent="0.25">
      <c r="C58" t="s">
        <v>797</v>
      </c>
      <c r="D58" t="s">
        <v>243</v>
      </c>
      <c r="E58">
        <v>2</v>
      </c>
      <c r="F58" s="79">
        <f>E58*14000</f>
        <v>28000</v>
      </c>
      <c r="G58" s="79">
        <f>E58*9000</f>
        <v>18000</v>
      </c>
      <c r="H58" s="79">
        <f>E58*5000</f>
        <v>10000</v>
      </c>
    </row>
    <row r="59" spans="1:8" x14ac:dyDescent="0.25">
      <c r="A59" s="112" t="s">
        <v>17</v>
      </c>
      <c r="B59" s="112"/>
      <c r="C59" s="112"/>
      <c r="D59" s="112"/>
      <c r="E59" s="78">
        <f>SUM(E46:E58)</f>
        <v>244</v>
      </c>
      <c r="F59" s="78">
        <f t="shared" ref="F59:H59" si="5">SUM(F46:F58)</f>
        <v>795900</v>
      </c>
      <c r="G59" s="78">
        <f t="shared" si="5"/>
        <v>419500</v>
      </c>
      <c r="H59" s="78">
        <f t="shared" si="5"/>
        <v>381400</v>
      </c>
    </row>
    <row r="60" spans="1:8" x14ac:dyDescent="0.25">
      <c r="A60" t="s">
        <v>32</v>
      </c>
      <c r="B60" s="3">
        <v>45937</v>
      </c>
      <c r="C60" t="s">
        <v>338</v>
      </c>
      <c r="D60" t="s">
        <v>11</v>
      </c>
      <c r="E60">
        <v>50</v>
      </c>
      <c r="F60">
        <f>E60*1500</f>
        <v>75000</v>
      </c>
      <c r="G60">
        <f>E60*500</f>
        <v>25000</v>
      </c>
      <c r="H60">
        <f>E60*1000</f>
        <v>50000</v>
      </c>
    </row>
    <row r="61" spans="1:8" x14ac:dyDescent="0.25">
      <c r="C61" t="s">
        <v>581</v>
      </c>
      <c r="D61" t="s">
        <v>11</v>
      </c>
      <c r="E61">
        <v>23</v>
      </c>
      <c r="F61">
        <f>E61*1500</f>
        <v>34500</v>
      </c>
      <c r="G61">
        <f>E61*500</f>
        <v>11500</v>
      </c>
      <c r="H61">
        <f>E61*1000</f>
        <v>23000</v>
      </c>
    </row>
    <row r="62" spans="1:8" x14ac:dyDescent="0.25">
      <c r="C62" t="s">
        <v>954</v>
      </c>
      <c r="D62" t="s">
        <v>902</v>
      </c>
      <c r="E62">
        <v>3</v>
      </c>
      <c r="F62">
        <f>E62*8000</f>
        <v>24000</v>
      </c>
      <c r="G62">
        <f>E62*5500</f>
        <v>16500</v>
      </c>
      <c r="H62">
        <f>E62*2500</f>
        <v>7500</v>
      </c>
    </row>
    <row r="63" spans="1:8" x14ac:dyDescent="0.25">
      <c r="C63" t="s">
        <v>797</v>
      </c>
      <c r="D63" t="s">
        <v>13</v>
      </c>
      <c r="E63">
        <v>1</v>
      </c>
      <c r="F63">
        <v>8000</v>
      </c>
      <c r="G63">
        <v>4500</v>
      </c>
      <c r="H63">
        <v>3500</v>
      </c>
    </row>
    <row r="64" spans="1:8" x14ac:dyDescent="0.25">
      <c r="C64" t="s">
        <v>797</v>
      </c>
      <c r="D64" t="s">
        <v>14</v>
      </c>
      <c r="E64">
        <v>13</v>
      </c>
      <c r="F64">
        <f>E64*10000</f>
        <v>130000</v>
      </c>
      <c r="G64">
        <f>E64*5500</f>
        <v>71500</v>
      </c>
      <c r="H64">
        <f>E64*4500</f>
        <v>58500</v>
      </c>
    </row>
    <row r="65" spans="1:8" x14ac:dyDescent="0.25">
      <c r="C65" t="s">
        <v>797</v>
      </c>
      <c r="D65" t="s">
        <v>243</v>
      </c>
      <c r="E65">
        <v>2</v>
      </c>
      <c r="F65">
        <v>24000</v>
      </c>
      <c r="G65">
        <v>18000</v>
      </c>
      <c r="H65">
        <v>6000</v>
      </c>
    </row>
    <row r="66" spans="1:8" x14ac:dyDescent="0.25">
      <c r="C66" t="s">
        <v>846</v>
      </c>
      <c r="D66" t="s">
        <v>902</v>
      </c>
      <c r="E66">
        <v>2</v>
      </c>
      <c r="F66">
        <v>16000</v>
      </c>
      <c r="G66">
        <v>11000</v>
      </c>
      <c r="H66">
        <v>5000</v>
      </c>
    </row>
    <row r="67" spans="1:8" x14ac:dyDescent="0.25">
      <c r="C67" t="s">
        <v>846</v>
      </c>
      <c r="D67" t="s">
        <v>959</v>
      </c>
      <c r="E67">
        <v>1</v>
      </c>
      <c r="F67">
        <v>8000</v>
      </c>
      <c r="G67">
        <v>5500</v>
      </c>
      <c r="H67">
        <v>2500</v>
      </c>
    </row>
    <row r="68" spans="1:8" x14ac:dyDescent="0.25">
      <c r="C68" t="s">
        <v>846</v>
      </c>
      <c r="D68" t="s">
        <v>958</v>
      </c>
      <c r="E68">
        <v>1</v>
      </c>
      <c r="F68">
        <v>10000</v>
      </c>
      <c r="G68">
        <v>5500</v>
      </c>
      <c r="H68">
        <v>4500</v>
      </c>
    </row>
    <row r="69" spans="1:8" x14ac:dyDescent="0.25">
      <c r="C69" t="s">
        <v>846</v>
      </c>
      <c r="D69" t="s">
        <v>13</v>
      </c>
      <c r="E69">
        <v>1</v>
      </c>
      <c r="F69">
        <v>8000</v>
      </c>
      <c r="G69">
        <v>4500</v>
      </c>
      <c r="H69">
        <v>3500</v>
      </c>
    </row>
    <row r="70" spans="1:8" x14ac:dyDescent="0.25">
      <c r="C70" t="s">
        <v>217</v>
      </c>
      <c r="D70" t="s">
        <v>11</v>
      </c>
      <c r="E70">
        <v>10</v>
      </c>
      <c r="F70">
        <f>E70*1500</f>
        <v>15000</v>
      </c>
      <c r="G70">
        <f>E70*500</f>
        <v>5000</v>
      </c>
      <c r="H70">
        <f>E70*1000</f>
        <v>10000</v>
      </c>
    </row>
    <row r="71" spans="1:8" x14ac:dyDescent="0.25">
      <c r="C71" t="s">
        <v>217</v>
      </c>
      <c r="D71" t="s">
        <v>13</v>
      </c>
      <c r="E71">
        <v>7</v>
      </c>
      <c r="F71">
        <f>E71*6500</f>
        <v>45500</v>
      </c>
      <c r="G71">
        <f>E71*4500</f>
        <v>31500</v>
      </c>
      <c r="H71">
        <f>E71*2000</f>
        <v>14000</v>
      </c>
    </row>
    <row r="72" spans="1:8" x14ac:dyDescent="0.25">
      <c r="C72" t="s">
        <v>1001</v>
      </c>
      <c r="D72" t="s">
        <v>243</v>
      </c>
      <c r="E72">
        <v>50</v>
      </c>
      <c r="F72">
        <f>E72*12000</f>
        <v>600000</v>
      </c>
      <c r="G72">
        <f>E72*9000</f>
        <v>450000</v>
      </c>
      <c r="H72">
        <f>E72*3000</f>
        <v>150000</v>
      </c>
    </row>
    <row r="73" spans="1:8" x14ac:dyDescent="0.25">
      <c r="A73" s="112" t="s">
        <v>17</v>
      </c>
      <c r="B73" s="112"/>
      <c r="C73" s="112"/>
      <c r="D73" s="112"/>
      <c r="E73" s="78">
        <f>SUM(E60:E72)</f>
        <v>164</v>
      </c>
      <c r="F73" s="78">
        <f>SUM(F60:F72)</f>
        <v>998000</v>
      </c>
      <c r="G73" s="78">
        <f>SUM(G60:G72)</f>
        <v>660000</v>
      </c>
      <c r="H73" s="78">
        <f>SUM(H60:H72)</f>
        <v>338000</v>
      </c>
    </row>
    <row r="74" spans="1:8" x14ac:dyDescent="0.25">
      <c r="A74" t="s">
        <v>8</v>
      </c>
      <c r="B74" s="3">
        <v>45938</v>
      </c>
      <c r="C74" t="s">
        <v>338</v>
      </c>
      <c r="D74" t="s">
        <v>11</v>
      </c>
      <c r="E74">
        <v>50</v>
      </c>
      <c r="F74">
        <f>E74*1500</f>
        <v>75000</v>
      </c>
      <c r="G74">
        <f>E74*500</f>
        <v>25000</v>
      </c>
      <c r="H74">
        <f>E74*1000</f>
        <v>50000</v>
      </c>
    </row>
    <row r="75" spans="1:8" x14ac:dyDescent="0.25">
      <c r="C75" t="s">
        <v>581</v>
      </c>
      <c r="D75" t="s">
        <v>11</v>
      </c>
      <c r="E75">
        <v>30</v>
      </c>
      <c r="F75">
        <f>E75*1600</f>
        <v>48000</v>
      </c>
      <c r="G75">
        <f t="shared" ref="G75:G77" si="6">E75*500</f>
        <v>15000</v>
      </c>
      <c r="H75">
        <f>E75*1100</f>
        <v>33000</v>
      </c>
    </row>
    <row r="76" spans="1:8" x14ac:dyDescent="0.25">
      <c r="C76" t="s">
        <v>571</v>
      </c>
      <c r="D76" t="s">
        <v>11</v>
      </c>
      <c r="E76">
        <v>28</v>
      </c>
      <c r="F76">
        <f>E76*1700</f>
        <v>47600</v>
      </c>
      <c r="G76">
        <f t="shared" si="6"/>
        <v>14000</v>
      </c>
      <c r="H76">
        <f>E76*1200</f>
        <v>33600</v>
      </c>
    </row>
    <row r="77" spans="1:8" x14ac:dyDescent="0.25">
      <c r="C77" t="s">
        <v>993</v>
      </c>
      <c r="D77" t="s">
        <v>11</v>
      </c>
      <c r="E77">
        <v>50</v>
      </c>
      <c r="F77">
        <f>E77*2000</f>
        <v>100000</v>
      </c>
      <c r="G77">
        <f t="shared" si="6"/>
        <v>25000</v>
      </c>
      <c r="H77">
        <f>E77*1500</f>
        <v>75000</v>
      </c>
    </row>
    <row r="78" spans="1:8" x14ac:dyDescent="0.25">
      <c r="C78" t="s">
        <v>993</v>
      </c>
      <c r="D78" t="s">
        <v>13</v>
      </c>
      <c r="E78">
        <v>30</v>
      </c>
      <c r="F78">
        <f>E78*7000</f>
        <v>210000</v>
      </c>
      <c r="G78">
        <f>E78*4500</f>
        <v>135000</v>
      </c>
      <c r="H78">
        <f>E78*2500</f>
        <v>75000</v>
      </c>
    </row>
    <row r="79" spans="1:8" x14ac:dyDescent="0.25">
      <c r="C79" t="s">
        <v>993</v>
      </c>
      <c r="D79" t="s">
        <v>14</v>
      </c>
      <c r="E79">
        <v>20</v>
      </c>
      <c r="F79">
        <f>E79*10000</f>
        <v>200000</v>
      </c>
      <c r="G79">
        <f>E79*5500</f>
        <v>110000</v>
      </c>
      <c r="H79">
        <f>E79*4500</f>
        <v>90000</v>
      </c>
    </row>
    <row r="80" spans="1:8" x14ac:dyDescent="0.25">
      <c r="C80" t="s">
        <v>954</v>
      </c>
      <c r="D80" t="s">
        <v>918</v>
      </c>
      <c r="E80">
        <v>1</v>
      </c>
      <c r="F80">
        <v>15000</v>
      </c>
      <c r="G80">
        <v>10000</v>
      </c>
      <c r="H80">
        <v>5000</v>
      </c>
    </row>
    <row r="81" spans="1:8" x14ac:dyDescent="0.25">
      <c r="C81" t="s">
        <v>954</v>
      </c>
      <c r="D81" t="s">
        <v>902</v>
      </c>
      <c r="E81">
        <v>5</v>
      </c>
      <c r="F81">
        <f>E81*8000</f>
        <v>40000</v>
      </c>
      <c r="G81">
        <f>E81*5500</f>
        <v>27500</v>
      </c>
      <c r="H81">
        <f>E81*2500</f>
        <v>12500</v>
      </c>
    </row>
    <row r="82" spans="1:8" x14ac:dyDescent="0.25">
      <c r="C82" t="s">
        <v>954</v>
      </c>
      <c r="D82" t="s">
        <v>919</v>
      </c>
      <c r="E82">
        <v>1</v>
      </c>
      <c r="F82">
        <v>12000</v>
      </c>
      <c r="G82">
        <v>5500</v>
      </c>
      <c r="H82">
        <v>6500</v>
      </c>
    </row>
    <row r="83" spans="1:8" x14ac:dyDescent="0.25">
      <c r="C83" t="s">
        <v>797</v>
      </c>
      <c r="D83" t="s">
        <v>13</v>
      </c>
      <c r="E83">
        <v>28</v>
      </c>
      <c r="F83">
        <f>E83*6500</f>
        <v>182000</v>
      </c>
      <c r="G83">
        <f>E83*4500</f>
        <v>126000</v>
      </c>
      <c r="H83">
        <f>E83*2000</f>
        <v>56000</v>
      </c>
    </row>
    <row r="84" spans="1:8" x14ac:dyDescent="0.25">
      <c r="C84" t="s">
        <v>797</v>
      </c>
      <c r="D84" t="s">
        <v>14</v>
      </c>
      <c r="E84">
        <v>4</v>
      </c>
      <c r="F84">
        <f>E84*10000</f>
        <v>40000</v>
      </c>
      <c r="G84">
        <f>E84*5500</f>
        <v>22000</v>
      </c>
      <c r="H84">
        <f>E84*4500</f>
        <v>18000</v>
      </c>
    </row>
    <row r="85" spans="1:8" x14ac:dyDescent="0.25">
      <c r="C85" t="s">
        <v>797</v>
      </c>
      <c r="D85" t="s">
        <v>243</v>
      </c>
      <c r="E85">
        <v>3</v>
      </c>
      <c r="F85">
        <f>E85*14000</f>
        <v>42000</v>
      </c>
      <c r="G85">
        <f>E85*9000</f>
        <v>27000</v>
      </c>
      <c r="H85">
        <f>E85*5000</f>
        <v>15000</v>
      </c>
    </row>
    <row r="86" spans="1:8" x14ac:dyDescent="0.25">
      <c r="C86" t="s">
        <v>797</v>
      </c>
      <c r="D86" t="s">
        <v>13</v>
      </c>
      <c r="E86">
        <v>18</v>
      </c>
      <c r="F86">
        <f>E86*6500</f>
        <v>117000</v>
      </c>
      <c r="G86">
        <f>E86*4500</f>
        <v>81000</v>
      </c>
      <c r="H86">
        <f>E86*2000</f>
        <v>36000</v>
      </c>
    </row>
    <row r="87" spans="1:8" x14ac:dyDescent="0.25">
      <c r="C87" t="s">
        <v>797</v>
      </c>
      <c r="D87" t="s">
        <v>14</v>
      </c>
      <c r="E87">
        <v>7</v>
      </c>
      <c r="F87">
        <f>E87*10000</f>
        <v>70000</v>
      </c>
      <c r="G87">
        <f>E87*5500</f>
        <v>38500</v>
      </c>
      <c r="H87">
        <f>E87*4500</f>
        <v>31500</v>
      </c>
    </row>
    <row r="88" spans="1:8" x14ac:dyDescent="0.25">
      <c r="C88" t="s">
        <v>797</v>
      </c>
      <c r="D88" t="s">
        <v>243</v>
      </c>
      <c r="E88">
        <v>3</v>
      </c>
      <c r="F88">
        <f>E88*14000</f>
        <v>42000</v>
      </c>
      <c r="G88">
        <f>E88*9000</f>
        <v>27000</v>
      </c>
      <c r="H88">
        <f>E88*5000</f>
        <v>15000</v>
      </c>
    </row>
    <row r="89" spans="1:8" x14ac:dyDescent="0.25">
      <c r="C89" t="s">
        <v>960</v>
      </c>
      <c r="D89" t="s">
        <v>243</v>
      </c>
      <c r="E89">
        <v>50</v>
      </c>
    </row>
    <row r="90" spans="1:8" x14ac:dyDescent="0.25">
      <c r="C90" t="s">
        <v>846</v>
      </c>
      <c r="D90" t="s">
        <v>902</v>
      </c>
      <c r="E90">
        <v>10</v>
      </c>
      <c r="F90">
        <f>E90*8000</f>
        <v>80000</v>
      </c>
      <c r="G90">
        <f>E90*5500</f>
        <v>55000</v>
      </c>
      <c r="H90">
        <f>E90*2500</f>
        <v>25000</v>
      </c>
    </row>
    <row r="91" spans="1:8" x14ac:dyDescent="0.25">
      <c r="C91" t="s">
        <v>846</v>
      </c>
      <c r="D91" t="s">
        <v>918</v>
      </c>
      <c r="E91">
        <v>1</v>
      </c>
      <c r="F91">
        <v>15000</v>
      </c>
      <c r="G91">
        <v>10000</v>
      </c>
      <c r="H91">
        <v>5000</v>
      </c>
    </row>
    <row r="92" spans="1:8" x14ac:dyDescent="0.25">
      <c r="C92" t="s">
        <v>846</v>
      </c>
      <c r="D92" t="s">
        <v>13</v>
      </c>
      <c r="E92">
        <v>1</v>
      </c>
      <c r="F92">
        <v>8000</v>
      </c>
      <c r="G92">
        <v>4500</v>
      </c>
      <c r="H92">
        <v>3500</v>
      </c>
    </row>
    <row r="93" spans="1:8" x14ac:dyDescent="0.25">
      <c r="C93" t="s">
        <v>846</v>
      </c>
      <c r="D93" t="s">
        <v>14</v>
      </c>
      <c r="E93">
        <v>2</v>
      </c>
      <c r="F93">
        <v>24000</v>
      </c>
      <c r="G93">
        <v>11000</v>
      </c>
      <c r="H93">
        <v>13000</v>
      </c>
    </row>
    <row r="94" spans="1:8" x14ac:dyDescent="0.25">
      <c r="A94" s="112" t="s">
        <v>17</v>
      </c>
      <c r="B94" s="112"/>
      <c r="C94" s="112"/>
      <c r="D94" s="112"/>
      <c r="E94" s="78">
        <f>SUM(E74:E93)</f>
        <v>342</v>
      </c>
      <c r="F94" s="78">
        <f>SUM(F74:F93)</f>
        <v>1367600</v>
      </c>
      <c r="G94" s="78">
        <f>SUM(G74:G93)</f>
        <v>769000</v>
      </c>
      <c r="H94" s="78">
        <f>SUM(H74:H93)</f>
        <v>598600</v>
      </c>
    </row>
    <row r="95" spans="1:8" x14ac:dyDescent="0.25">
      <c r="A95" t="s">
        <v>18</v>
      </c>
      <c r="B95" s="3">
        <v>45939</v>
      </c>
      <c r="C95" t="s">
        <v>581</v>
      </c>
      <c r="D95" t="s">
        <v>11</v>
      </c>
      <c r="E95">
        <v>25</v>
      </c>
      <c r="F95">
        <f>E95*1500</f>
        <v>37500</v>
      </c>
      <c r="G95">
        <f>E95*500</f>
        <v>12500</v>
      </c>
      <c r="H95">
        <f>E95*1000</f>
        <v>25000</v>
      </c>
    </row>
    <row r="96" spans="1:8" x14ac:dyDescent="0.25">
      <c r="C96" t="s">
        <v>571</v>
      </c>
      <c r="D96" t="s">
        <v>11</v>
      </c>
      <c r="E96">
        <v>24</v>
      </c>
      <c r="F96">
        <f>E96*1700</f>
        <v>40800</v>
      </c>
      <c r="G96">
        <f>E96*500</f>
        <v>12000</v>
      </c>
      <c r="H96">
        <f>E96*1200</f>
        <v>28800</v>
      </c>
    </row>
    <row r="97" spans="1:8" x14ac:dyDescent="0.25">
      <c r="C97" t="s">
        <v>954</v>
      </c>
      <c r="D97" t="s">
        <v>902</v>
      </c>
      <c r="E97">
        <v>5</v>
      </c>
      <c r="F97">
        <f>E97*8000</f>
        <v>40000</v>
      </c>
      <c r="G97">
        <f>E97*5500</f>
        <v>27500</v>
      </c>
      <c r="H97">
        <f>E97*2500</f>
        <v>12500</v>
      </c>
    </row>
    <row r="98" spans="1:8" x14ac:dyDescent="0.25">
      <c r="C98" t="s">
        <v>954</v>
      </c>
      <c r="D98" t="s">
        <v>243</v>
      </c>
      <c r="E98">
        <v>1</v>
      </c>
      <c r="F98">
        <v>17000</v>
      </c>
      <c r="G98">
        <v>9000</v>
      </c>
      <c r="H98">
        <v>8000</v>
      </c>
    </row>
    <row r="99" spans="1:8" x14ac:dyDescent="0.25">
      <c r="C99" t="s">
        <v>797</v>
      </c>
      <c r="D99" t="s">
        <v>13</v>
      </c>
      <c r="E99">
        <v>6</v>
      </c>
      <c r="F99">
        <f>E99*6500</f>
        <v>39000</v>
      </c>
      <c r="G99">
        <f>E99*4500</f>
        <v>27000</v>
      </c>
      <c r="H99">
        <f>E99*2000</f>
        <v>12000</v>
      </c>
    </row>
    <row r="100" spans="1:8" x14ac:dyDescent="0.25">
      <c r="C100" t="s">
        <v>797</v>
      </c>
      <c r="D100" t="s">
        <v>14</v>
      </c>
      <c r="E100">
        <v>2</v>
      </c>
      <c r="F100">
        <f>E100*10000</f>
        <v>20000</v>
      </c>
      <c r="G100">
        <f>E100*5500</f>
        <v>11000</v>
      </c>
      <c r="H100">
        <f>E100*4500</f>
        <v>9000</v>
      </c>
    </row>
    <row r="101" spans="1:8" x14ac:dyDescent="0.25">
      <c r="A101" s="112" t="s">
        <v>17</v>
      </c>
      <c r="B101" s="112"/>
      <c r="C101" s="112"/>
      <c r="D101" s="112"/>
      <c r="E101" s="78">
        <f>SUM(E95:E100)</f>
        <v>63</v>
      </c>
      <c r="F101" s="78">
        <f t="shared" ref="F101:H101" si="7">SUM(F95:F100)</f>
        <v>194300</v>
      </c>
      <c r="G101" s="78">
        <f t="shared" si="7"/>
        <v>99000</v>
      </c>
      <c r="H101" s="78">
        <f t="shared" si="7"/>
        <v>95300</v>
      </c>
    </row>
    <row r="102" spans="1:8" x14ac:dyDescent="0.25">
      <c r="A102" t="s">
        <v>22</v>
      </c>
      <c r="B102" s="3">
        <v>45940</v>
      </c>
      <c r="C102" t="s">
        <v>338</v>
      </c>
      <c r="D102" t="s">
        <v>11</v>
      </c>
      <c r="E102">
        <v>100</v>
      </c>
      <c r="F102">
        <f>E102*1500</f>
        <v>150000</v>
      </c>
      <c r="G102">
        <f>E102*500</f>
        <v>50000</v>
      </c>
      <c r="H102">
        <f>E102*1000</f>
        <v>100000</v>
      </c>
    </row>
    <row r="103" spans="1:8" x14ac:dyDescent="0.25">
      <c r="C103" t="s">
        <v>581</v>
      </c>
      <c r="D103" t="s">
        <v>11</v>
      </c>
      <c r="E103">
        <v>24</v>
      </c>
      <c r="F103">
        <f>E103*1600</f>
        <v>38400</v>
      </c>
      <c r="G103">
        <f>E103*500</f>
        <v>12000</v>
      </c>
      <c r="H103">
        <f>E103*1100</f>
        <v>26400</v>
      </c>
    </row>
    <row r="104" spans="1:8" x14ac:dyDescent="0.25">
      <c r="C104" t="s">
        <v>217</v>
      </c>
      <c r="D104" t="s">
        <v>11</v>
      </c>
      <c r="E104">
        <v>18</v>
      </c>
      <c r="F104">
        <f>E104*1500</f>
        <v>27000</v>
      </c>
      <c r="G104">
        <f>E104*500</f>
        <v>9000</v>
      </c>
      <c r="H104">
        <f>E104*1000</f>
        <v>18000</v>
      </c>
    </row>
    <row r="105" spans="1:8" x14ac:dyDescent="0.25">
      <c r="C105" t="s">
        <v>217</v>
      </c>
      <c r="D105" t="s">
        <v>13</v>
      </c>
      <c r="E105">
        <v>4</v>
      </c>
      <c r="F105">
        <f>E105*6500</f>
        <v>26000</v>
      </c>
      <c r="G105">
        <f>E105*4500</f>
        <v>18000</v>
      </c>
      <c r="H105">
        <f>E105*2000</f>
        <v>8000</v>
      </c>
    </row>
    <row r="106" spans="1:8" x14ac:dyDescent="0.25">
      <c r="C106" t="s">
        <v>217</v>
      </c>
      <c r="D106" t="s">
        <v>14</v>
      </c>
      <c r="E106">
        <v>1</v>
      </c>
      <c r="F106">
        <v>10000</v>
      </c>
      <c r="G106">
        <v>5500</v>
      </c>
      <c r="H106">
        <v>4500</v>
      </c>
    </row>
    <row r="107" spans="1:8" x14ac:dyDescent="0.25">
      <c r="C107" t="s">
        <v>797</v>
      </c>
      <c r="D107" t="s">
        <v>13</v>
      </c>
      <c r="E107">
        <v>21</v>
      </c>
      <c r="F107">
        <f>E107*6500</f>
        <v>136500</v>
      </c>
      <c r="G107">
        <f>E107*4500</f>
        <v>94500</v>
      </c>
      <c r="H107">
        <f>E107*2000</f>
        <v>42000</v>
      </c>
    </row>
    <row r="108" spans="1:8" x14ac:dyDescent="0.25">
      <c r="C108" t="s">
        <v>797</v>
      </c>
      <c r="D108" t="s">
        <v>14</v>
      </c>
      <c r="E108">
        <v>6</v>
      </c>
      <c r="F108">
        <f>E108*10000</f>
        <v>60000</v>
      </c>
      <c r="G108">
        <f>E108*5500</f>
        <v>33000</v>
      </c>
      <c r="H108">
        <f>E108*4500</f>
        <v>27000</v>
      </c>
    </row>
    <row r="109" spans="1:8" x14ac:dyDescent="0.25">
      <c r="C109" t="s">
        <v>797</v>
      </c>
      <c r="D109" t="s">
        <v>243</v>
      </c>
      <c r="E109">
        <v>1</v>
      </c>
      <c r="F109">
        <v>14000</v>
      </c>
      <c r="G109">
        <v>9000</v>
      </c>
      <c r="H109">
        <v>5000</v>
      </c>
    </row>
    <row r="110" spans="1:8" x14ac:dyDescent="0.25">
      <c r="C110" t="s">
        <v>954</v>
      </c>
      <c r="D110" t="s">
        <v>902</v>
      </c>
      <c r="E110">
        <v>6</v>
      </c>
      <c r="F110">
        <f>E110*8000</f>
        <v>48000</v>
      </c>
      <c r="G110">
        <f>E110*5500</f>
        <v>33000</v>
      </c>
      <c r="H110">
        <f>E110*2500</f>
        <v>15000</v>
      </c>
    </row>
    <row r="111" spans="1:8" x14ac:dyDescent="0.25">
      <c r="C111" t="s">
        <v>954</v>
      </c>
      <c r="D111" t="s">
        <v>13</v>
      </c>
      <c r="E111">
        <v>2</v>
      </c>
      <c r="F111">
        <v>16000</v>
      </c>
      <c r="G111">
        <v>9000</v>
      </c>
      <c r="H111">
        <v>7000</v>
      </c>
    </row>
    <row r="112" spans="1:8" x14ac:dyDescent="0.25">
      <c r="C112" t="s">
        <v>954</v>
      </c>
      <c r="D112" t="s">
        <v>14</v>
      </c>
      <c r="E112">
        <v>1</v>
      </c>
      <c r="F112">
        <v>12000</v>
      </c>
      <c r="G112">
        <v>5500</v>
      </c>
      <c r="H112">
        <v>6500</v>
      </c>
    </row>
    <row r="113" spans="1:8" x14ac:dyDescent="0.25">
      <c r="C113" t="s">
        <v>846</v>
      </c>
      <c r="D113" t="s">
        <v>902</v>
      </c>
      <c r="E113">
        <v>4</v>
      </c>
      <c r="F113">
        <f>E113*8000</f>
        <v>32000</v>
      </c>
      <c r="G113">
        <f>E113*5500</f>
        <v>22000</v>
      </c>
      <c r="H113">
        <f>E113*2500</f>
        <v>10000</v>
      </c>
    </row>
    <row r="114" spans="1:8" x14ac:dyDescent="0.25">
      <c r="C114" t="s">
        <v>846</v>
      </c>
      <c r="D114" t="s">
        <v>918</v>
      </c>
      <c r="E114">
        <v>3</v>
      </c>
      <c r="F114">
        <f>E114*15000</f>
        <v>45000</v>
      </c>
      <c r="G114">
        <f>E114*10000</f>
        <v>30000</v>
      </c>
      <c r="H114">
        <f>E114*5000</f>
        <v>15000</v>
      </c>
    </row>
    <row r="115" spans="1:8" x14ac:dyDescent="0.25">
      <c r="C115" t="s">
        <v>846</v>
      </c>
      <c r="D115" t="s">
        <v>243</v>
      </c>
      <c r="E115">
        <v>1</v>
      </c>
      <c r="F115">
        <v>17000</v>
      </c>
      <c r="G115">
        <v>9000</v>
      </c>
      <c r="H115">
        <v>8000</v>
      </c>
    </row>
    <row r="116" spans="1:8" x14ac:dyDescent="0.25">
      <c r="C116" t="s">
        <v>846</v>
      </c>
      <c r="D116" t="s">
        <v>958</v>
      </c>
      <c r="E116">
        <v>1</v>
      </c>
      <c r="F116">
        <v>10000</v>
      </c>
      <c r="G116">
        <v>5500</v>
      </c>
      <c r="H116">
        <v>4500</v>
      </c>
    </row>
    <row r="117" spans="1:8" x14ac:dyDescent="0.25">
      <c r="C117" t="s">
        <v>24</v>
      </c>
      <c r="D117" t="s">
        <v>243</v>
      </c>
      <c r="E117">
        <v>6</v>
      </c>
      <c r="F117">
        <f>E117*15000</f>
        <v>90000</v>
      </c>
      <c r="G117">
        <f>E117*9000</f>
        <v>54000</v>
      </c>
      <c r="H117">
        <f>E117*6000</f>
        <v>36000</v>
      </c>
    </row>
    <row r="118" spans="1:8" x14ac:dyDescent="0.25">
      <c r="C118" t="s">
        <v>1001</v>
      </c>
      <c r="D118" t="s">
        <v>243</v>
      </c>
      <c r="E118">
        <v>50</v>
      </c>
      <c r="F118">
        <f>E118*12000</f>
        <v>600000</v>
      </c>
      <c r="G118">
        <f>E118*9000</f>
        <v>450000</v>
      </c>
      <c r="H118">
        <f>E118*3000</f>
        <v>150000</v>
      </c>
    </row>
    <row r="119" spans="1:8" x14ac:dyDescent="0.25">
      <c r="A119" s="112" t="s">
        <v>17</v>
      </c>
      <c r="B119" s="112"/>
      <c r="C119" s="112"/>
      <c r="D119" s="112"/>
      <c r="E119" s="78">
        <f>SUM(E102:E118)</f>
        <v>249</v>
      </c>
      <c r="F119" s="78">
        <f t="shared" ref="F119:H119" si="8">SUM(F102:F118)</f>
        <v>1331900</v>
      </c>
      <c r="G119" s="78">
        <f t="shared" si="8"/>
        <v>849000</v>
      </c>
      <c r="H119" s="78">
        <f t="shared" si="8"/>
        <v>482900</v>
      </c>
    </row>
    <row r="120" spans="1:8" x14ac:dyDescent="0.25">
      <c r="A120" t="s">
        <v>26</v>
      </c>
      <c r="B120" s="3">
        <v>45941</v>
      </c>
      <c r="C120" t="s">
        <v>338</v>
      </c>
      <c r="D120" t="s">
        <v>11</v>
      </c>
      <c r="E120">
        <v>50</v>
      </c>
      <c r="F120">
        <f>E120*1500</f>
        <v>75000</v>
      </c>
      <c r="G120">
        <f>E120*500</f>
        <v>25000</v>
      </c>
      <c r="H120">
        <f>E120*1000</f>
        <v>50000</v>
      </c>
    </row>
    <row r="121" spans="1:8" x14ac:dyDescent="0.25">
      <c r="C121" t="s">
        <v>581</v>
      </c>
      <c r="D121" t="s">
        <v>11</v>
      </c>
      <c r="E121">
        <v>15</v>
      </c>
      <c r="F121">
        <f>E121*1600</f>
        <v>24000</v>
      </c>
      <c r="G121">
        <f>E121*500</f>
        <v>7500</v>
      </c>
      <c r="H121">
        <f>E121*1100</f>
        <v>16500</v>
      </c>
    </row>
    <row r="122" spans="1:8" x14ac:dyDescent="0.25">
      <c r="C122" t="s">
        <v>846</v>
      </c>
      <c r="D122" t="s">
        <v>243</v>
      </c>
      <c r="E122">
        <v>1</v>
      </c>
      <c r="F122">
        <v>17000</v>
      </c>
      <c r="G122">
        <v>9000</v>
      </c>
      <c r="H122">
        <v>8000</v>
      </c>
    </row>
    <row r="123" spans="1:8" x14ac:dyDescent="0.25">
      <c r="C123" t="s">
        <v>846</v>
      </c>
      <c r="D123" t="s">
        <v>13</v>
      </c>
      <c r="E123">
        <v>2</v>
      </c>
      <c r="F123">
        <v>16000</v>
      </c>
      <c r="G123">
        <v>9000</v>
      </c>
      <c r="H123">
        <v>7000</v>
      </c>
    </row>
    <row r="124" spans="1:8" x14ac:dyDescent="0.25">
      <c r="C124" t="s">
        <v>846</v>
      </c>
      <c r="D124" t="s">
        <v>14</v>
      </c>
      <c r="E124">
        <v>2</v>
      </c>
      <c r="F124">
        <v>24000</v>
      </c>
      <c r="G124">
        <v>11000</v>
      </c>
      <c r="H124">
        <v>13000</v>
      </c>
    </row>
    <row r="125" spans="1:8" x14ac:dyDescent="0.25">
      <c r="C125" t="s">
        <v>846</v>
      </c>
      <c r="D125" t="s">
        <v>958</v>
      </c>
      <c r="E125">
        <v>1</v>
      </c>
      <c r="F125">
        <v>10000</v>
      </c>
      <c r="G125">
        <v>5500</v>
      </c>
      <c r="H125">
        <v>4500</v>
      </c>
    </row>
    <row r="126" spans="1:8" x14ac:dyDescent="0.25">
      <c r="C126" t="s">
        <v>846</v>
      </c>
      <c r="D126" t="s">
        <v>918</v>
      </c>
      <c r="E126">
        <v>1</v>
      </c>
      <c r="F126">
        <v>15000</v>
      </c>
      <c r="G126">
        <v>10000</v>
      </c>
      <c r="H126">
        <v>5000</v>
      </c>
    </row>
    <row r="127" spans="1:8" x14ac:dyDescent="0.25">
      <c r="C127" t="s">
        <v>954</v>
      </c>
      <c r="D127" t="s">
        <v>902</v>
      </c>
      <c r="E127">
        <v>10</v>
      </c>
      <c r="F127">
        <f>E127*8000</f>
        <v>80000</v>
      </c>
      <c r="G127">
        <f>E127*5500</f>
        <v>55000</v>
      </c>
      <c r="H127">
        <f>E127*2500</f>
        <v>25000</v>
      </c>
    </row>
    <row r="128" spans="1:8" x14ac:dyDescent="0.25">
      <c r="C128" t="s">
        <v>797</v>
      </c>
      <c r="D128" t="s">
        <v>13</v>
      </c>
      <c r="E128">
        <v>24</v>
      </c>
      <c r="F128">
        <f>E128*6500</f>
        <v>156000</v>
      </c>
      <c r="G128">
        <f>E128*4500</f>
        <v>108000</v>
      </c>
      <c r="H128">
        <f>E128*2000</f>
        <v>48000</v>
      </c>
    </row>
    <row r="129" spans="1:8" x14ac:dyDescent="0.25">
      <c r="C129" t="s">
        <v>797</v>
      </c>
      <c r="D129" t="s">
        <v>14</v>
      </c>
      <c r="E129">
        <v>13</v>
      </c>
      <c r="F129">
        <f>E129*10000</f>
        <v>130000</v>
      </c>
      <c r="G129">
        <f>E129*5500</f>
        <v>71500</v>
      </c>
      <c r="H129">
        <f>E129*4500</f>
        <v>58500</v>
      </c>
    </row>
    <row r="130" spans="1:8" x14ac:dyDescent="0.25">
      <c r="C130" t="s">
        <v>797</v>
      </c>
      <c r="D130" t="s">
        <v>243</v>
      </c>
      <c r="E130">
        <v>3</v>
      </c>
      <c r="F130">
        <f>E130*14000</f>
        <v>42000</v>
      </c>
      <c r="G130">
        <f>E130*9000</f>
        <v>27000</v>
      </c>
      <c r="H130">
        <f>E130*5000</f>
        <v>15000</v>
      </c>
    </row>
    <row r="131" spans="1:8" x14ac:dyDescent="0.25">
      <c r="A131" s="112" t="s">
        <v>17</v>
      </c>
      <c r="B131" s="112"/>
      <c r="C131" s="112"/>
      <c r="D131" s="112"/>
      <c r="E131" s="78">
        <f>SUM(E120:E130)</f>
        <v>122</v>
      </c>
      <c r="F131" s="78">
        <f t="shared" ref="F131:H131" si="9">SUM(F120:F130)</f>
        <v>589000</v>
      </c>
      <c r="G131" s="78">
        <f t="shared" si="9"/>
        <v>338500</v>
      </c>
      <c r="H131" s="78">
        <f t="shared" si="9"/>
        <v>250500</v>
      </c>
    </row>
    <row r="132" spans="1:8" x14ac:dyDescent="0.25">
      <c r="A132" t="s">
        <v>28</v>
      </c>
      <c r="B132" s="3">
        <v>45942</v>
      </c>
      <c r="C132" t="s">
        <v>693</v>
      </c>
      <c r="D132" t="s">
        <v>11</v>
      </c>
      <c r="E132">
        <v>0</v>
      </c>
    </row>
    <row r="133" spans="1:8" x14ac:dyDescent="0.25">
      <c r="C133" t="s">
        <v>693</v>
      </c>
      <c r="D133" t="s">
        <v>13</v>
      </c>
      <c r="E133">
        <v>30</v>
      </c>
      <c r="F133">
        <f>E133*7000</f>
        <v>210000</v>
      </c>
      <c r="G133">
        <f>E133*4500</f>
        <v>135000</v>
      </c>
      <c r="H133">
        <f>E133*2500</f>
        <v>75000</v>
      </c>
    </row>
    <row r="134" spans="1:8" x14ac:dyDescent="0.25">
      <c r="C134" t="s">
        <v>693</v>
      </c>
      <c r="D134" t="s">
        <v>14</v>
      </c>
      <c r="E134">
        <v>12</v>
      </c>
      <c r="F134">
        <f>E134*10000</f>
        <v>120000</v>
      </c>
      <c r="G134">
        <f>E134*5500</f>
        <v>66000</v>
      </c>
      <c r="H134">
        <f>E134*4500</f>
        <v>54000</v>
      </c>
    </row>
    <row r="135" spans="1:8" x14ac:dyDescent="0.25">
      <c r="C135" t="s">
        <v>693</v>
      </c>
      <c r="D135" t="s">
        <v>918</v>
      </c>
      <c r="E135">
        <v>3</v>
      </c>
      <c r="F135">
        <f>E135*15000</f>
        <v>45000</v>
      </c>
      <c r="G135">
        <v>30000</v>
      </c>
      <c r="H135">
        <v>15000</v>
      </c>
    </row>
    <row r="136" spans="1:8" x14ac:dyDescent="0.25">
      <c r="C136" t="s">
        <v>217</v>
      </c>
      <c r="D136" t="s">
        <v>11</v>
      </c>
      <c r="E136">
        <v>15</v>
      </c>
      <c r="F136">
        <f>E136*1500</f>
        <v>22500</v>
      </c>
      <c r="G136">
        <f>E136*500</f>
        <v>7500</v>
      </c>
      <c r="H136">
        <f>E136*1000</f>
        <v>15000</v>
      </c>
    </row>
    <row r="137" spans="1:8" x14ac:dyDescent="0.25">
      <c r="C137" t="s">
        <v>217</v>
      </c>
      <c r="D137" t="s">
        <v>13</v>
      </c>
      <c r="E137">
        <v>8</v>
      </c>
      <c r="F137">
        <f>E137*6500</f>
        <v>52000</v>
      </c>
      <c r="G137">
        <f>E137*4500</f>
        <v>36000</v>
      </c>
      <c r="H137">
        <f>E137*2500</f>
        <v>20000</v>
      </c>
    </row>
    <row r="138" spans="1:8" x14ac:dyDescent="0.25">
      <c r="C138" t="s">
        <v>217</v>
      </c>
      <c r="D138" t="s">
        <v>14</v>
      </c>
      <c r="E138">
        <v>5</v>
      </c>
      <c r="F138">
        <f>E138*10000</f>
        <v>50000</v>
      </c>
      <c r="G138">
        <f>E138*5500</f>
        <v>27500</v>
      </c>
      <c r="H138">
        <f>E138*4500</f>
        <v>22500</v>
      </c>
    </row>
    <row r="139" spans="1:8" x14ac:dyDescent="0.25">
      <c r="C139" t="s">
        <v>797</v>
      </c>
      <c r="D139" t="s">
        <v>13</v>
      </c>
      <c r="E139">
        <v>11</v>
      </c>
      <c r="F139">
        <f>E139*6500</f>
        <v>71500</v>
      </c>
      <c r="G139">
        <f>E139*4500</f>
        <v>49500</v>
      </c>
      <c r="H139">
        <f>E139*2000</f>
        <v>22000</v>
      </c>
    </row>
    <row r="140" spans="1:8" x14ac:dyDescent="0.25">
      <c r="C140" t="s">
        <v>797</v>
      </c>
      <c r="D140" t="s">
        <v>14</v>
      </c>
      <c r="E140">
        <v>2</v>
      </c>
      <c r="F140">
        <f>E140*10000</f>
        <v>20000</v>
      </c>
      <c r="G140">
        <f>E140*5500</f>
        <v>11000</v>
      </c>
      <c r="H140">
        <f>E140*4500</f>
        <v>9000</v>
      </c>
    </row>
    <row r="141" spans="1:8" x14ac:dyDescent="0.25">
      <c r="C141" t="s">
        <v>797</v>
      </c>
      <c r="D141" t="s">
        <v>243</v>
      </c>
      <c r="E141">
        <v>5</v>
      </c>
      <c r="F141">
        <f>E141*14000</f>
        <v>70000</v>
      </c>
      <c r="G141">
        <f>E141*9000</f>
        <v>45000</v>
      </c>
      <c r="H141">
        <f>E141*5000</f>
        <v>25000</v>
      </c>
    </row>
    <row r="142" spans="1:8" x14ac:dyDescent="0.25">
      <c r="C142" t="s">
        <v>954</v>
      </c>
      <c r="D142" t="s">
        <v>902</v>
      </c>
      <c r="E142">
        <v>5</v>
      </c>
      <c r="F142">
        <f>E142*8000</f>
        <v>40000</v>
      </c>
      <c r="G142">
        <f>E142*5500</f>
        <v>27500</v>
      </c>
      <c r="H142">
        <f>E142*4500</f>
        <v>22500</v>
      </c>
    </row>
    <row r="143" spans="1:8" x14ac:dyDescent="0.25">
      <c r="C143" t="s">
        <v>846</v>
      </c>
      <c r="D143" t="s">
        <v>902</v>
      </c>
      <c r="E143">
        <v>5</v>
      </c>
      <c r="F143">
        <f>E143*8000</f>
        <v>40000</v>
      </c>
      <c r="G143">
        <f>E143*5500</f>
        <v>27500</v>
      </c>
      <c r="H143">
        <f>E143*4500</f>
        <v>22500</v>
      </c>
    </row>
    <row r="144" spans="1:8" x14ac:dyDescent="0.25">
      <c r="C144" t="s">
        <v>24</v>
      </c>
      <c r="D144" t="s">
        <v>243</v>
      </c>
      <c r="E144">
        <v>11</v>
      </c>
      <c r="F144">
        <f>E144*15000</f>
        <v>165000</v>
      </c>
      <c r="G144">
        <f>E144*9000</f>
        <v>99000</v>
      </c>
      <c r="H144">
        <f>E144*6000</f>
        <v>66000</v>
      </c>
    </row>
    <row r="145" spans="1:8" x14ac:dyDescent="0.25">
      <c r="A145" s="112" t="s">
        <v>17</v>
      </c>
      <c r="B145" s="112"/>
      <c r="C145" s="112"/>
      <c r="D145" s="112"/>
      <c r="E145" s="78">
        <f>SUM(E132:E144)</f>
        <v>112</v>
      </c>
      <c r="F145" s="78">
        <f t="shared" ref="F145:H145" si="10">SUM(F132:F144)</f>
        <v>906000</v>
      </c>
      <c r="G145" s="78">
        <f t="shared" si="10"/>
        <v>561500</v>
      </c>
      <c r="H145" s="78">
        <f t="shared" si="10"/>
        <v>368500</v>
      </c>
    </row>
    <row r="146" spans="1:8" x14ac:dyDescent="0.25">
      <c r="A146" t="s">
        <v>30</v>
      </c>
      <c r="B146" s="3">
        <v>45943</v>
      </c>
      <c r="C146" t="s">
        <v>338</v>
      </c>
      <c r="D146" t="s">
        <v>11</v>
      </c>
      <c r="E146">
        <v>50</v>
      </c>
      <c r="F146">
        <f>E146*1500</f>
        <v>75000</v>
      </c>
      <c r="G146">
        <f>E146*500</f>
        <v>25000</v>
      </c>
      <c r="H146">
        <f>E146*1000</f>
        <v>50000</v>
      </c>
    </row>
    <row r="147" spans="1:8" x14ac:dyDescent="0.25">
      <c r="C147" t="s">
        <v>581</v>
      </c>
      <c r="D147" t="s">
        <v>11</v>
      </c>
      <c r="E147">
        <v>15</v>
      </c>
      <c r="F147">
        <f>E147*1600</f>
        <v>24000</v>
      </c>
      <c r="G147">
        <f>E147*500</f>
        <v>7500</v>
      </c>
      <c r="H147">
        <f>E147*1100</f>
        <v>16500</v>
      </c>
    </row>
    <row r="148" spans="1:8" x14ac:dyDescent="0.25">
      <c r="C148" t="s">
        <v>217</v>
      </c>
      <c r="D148" t="s">
        <v>11</v>
      </c>
      <c r="E148">
        <v>12</v>
      </c>
      <c r="F148">
        <f>E148*1500</f>
        <v>18000</v>
      </c>
      <c r="G148">
        <f>E148*500</f>
        <v>6000</v>
      </c>
      <c r="H148">
        <f>E148*1000</f>
        <v>12000</v>
      </c>
    </row>
    <row r="149" spans="1:8" x14ac:dyDescent="0.25">
      <c r="C149" t="s">
        <v>217</v>
      </c>
      <c r="D149" t="s">
        <v>13</v>
      </c>
      <c r="E149">
        <v>5</v>
      </c>
      <c r="F149">
        <f>E149*6500</f>
        <v>32500</v>
      </c>
      <c r="G149">
        <f>E149*4500</f>
        <v>22500</v>
      </c>
      <c r="H149">
        <f>E149*2000</f>
        <v>10000</v>
      </c>
    </row>
    <row r="150" spans="1:8" x14ac:dyDescent="0.25">
      <c r="C150" t="s">
        <v>217</v>
      </c>
      <c r="D150" t="s">
        <v>14</v>
      </c>
      <c r="E150">
        <v>4</v>
      </c>
      <c r="F150">
        <f>E150*8000</f>
        <v>32000</v>
      </c>
      <c r="G150">
        <f>E150*5500</f>
        <v>22000</v>
      </c>
      <c r="H150">
        <f>E150*2500</f>
        <v>10000</v>
      </c>
    </row>
    <row r="151" spans="1:8" x14ac:dyDescent="0.25">
      <c r="C151" t="s">
        <v>797</v>
      </c>
      <c r="D151" t="s">
        <v>13</v>
      </c>
      <c r="E151">
        <v>11</v>
      </c>
      <c r="F151">
        <f>E151*6500</f>
        <v>71500</v>
      </c>
      <c r="G151">
        <f>E151*4500</f>
        <v>49500</v>
      </c>
      <c r="H151">
        <f>E151*2000</f>
        <v>22000</v>
      </c>
    </row>
    <row r="152" spans="1:8" x14ac:dyDescent="0.25">
      <c r="C152" t="s">
        <v>797</v>
      </c>
      <c r="D152" t="s">
        <v>14</v>
      </c>
      <c r="E152">
        <v>3</v>
      </c>
      <c r="F152">
        <v>30000</v>
      </c>
      <c r="G152">
        <f>E152*5500</f>
        <v>16500</v>
      </c>
      <c r="H152">
        <f>E152*4500</f>
        <v>13500</v>
      </c>
    </row>
    <row r="153" spans="1:8" x14ac:dyDescent="0.25">
      <c r="A153" s="112" t="s">
        <v>17</v>
      </c>
      <c r="B153" s="112"/>
      <c r="C153" s="112"/>
      <c r="D153" s="112"/>
      <c r="E153" s="78">
        <f>SUM(E146:E152)</f>
        <v>100</v>
      </c>
      <c r="F153" s="78">
        <f t="shared" ref="F153:H153" si="11">SUM(F146:F152)</f>
        <v>283000</v>
      </c>
      <c r="G153" s="78">
        <f t="shared" si="11"/>
        <v>149000</v>
      </c>
      <c r="H153" s="78">
        <f t="shared" si="11"/>
        <v>134000</v>
      </c>
    </row>
    <row r="154" spans="1:8" x14ac:dyDescent="0.25">
      <c r="A154" t="s">
        <v>32</v>
      </c>
      <c r="B154" s="3">
        <v>45944</v>
      </c>
      <c r="C154" t="s">
        <v>338</v>
      </c>
      <c r="D154" t="s">
        <v>11</v>
      </c>
      <c r="E154">
        <v>50</v>
      </c>
      <c r="F154">
        <f>E154*1500</f>
        <v>75000</v>
      </c>
      <c r="G154">
        <f>E154*500</f>
        <v>25000</v>
      </c>
      <c r="H154">
        <f>E154*1000</f>
        <v>50000</v>
      </c>
    </row>
    <row r="155" spans="1:8" x14ac:dyDescent="0.25">
      <c r="C155" t="s">
        <v>581</v>
      </c>
      <c r="D155" t="s">
        <v>11</v>
      </c>
      <c r="E155">
        <v>12</v>
      </c>
      <c r="F155">
        <f t="shared" ref="F155:F156" si="12">E155*1500</f>
        <v>18000</v>
      </c>
      <c r="G155">
        <f t="shared" ref="G155:G156" si="13">E155*500</f>
        <v>6000</v>
      </c>
      <c r="H155">
        <f t="shared" ref="H155:H156" si="14">E155*1000</f>
        <v>12000</v>
      </c>
    </row>
    <row r="156" spans="1:8" x14ac:dyDescent="0.25">
      <c r="C156" t="s">
        <v>217</v>
      </c>
      <c r="D156" t="s">
        <v>11</v>
      </c>
      <c r="E156">
        <v>2</v>
      </c>
      <c r="F156">
        <f t="shared" si="12"/>
        <v>3000</v>
      </c>
      <c r="G156">
        <f t="shared" si="13"/>
        <v>1000</v>
      </c>
      <c r="H156">
        <f t="shared" si="14"/>
        <v>2000</v>
      </c>
    </row>
    <row r="157" spans="1:8" x14ac:dyDescent="0.25">
      <c r="C157" t="s">
        <v>217</v>
      </c>
      <c r="D157" t="s">
        <v>13</v>
      </c>
      <c r="E157">
        <v>2</v>
      </c>
      <c r="F157">
        <f>E157*6500</f>
        <v>13000</v>
      </c>
      <c r="G157">
        <f>E157*4500</f>
        <v>9000</v>
      </c>
      <c r="H157">
        <f>E157*2000</f>
        <v>4000</v>
      </c>
    </row>
    <row r="158" spans="1:8" x14ac:dyDescent="0.25">
      <c r="C158" t="s">
        <v>217</v>
      </c>
      <c r="D158" t="s">
        <v>14</v>
      </c>
      <c r="E158">
        <v>6</v>
      </c>
      <c r="F158">
        <f>E158*8000</f>
        <v>48000</v>
      </c>
      <c r="G158">
        <f>E158*5500</f>
        <v>33000</v>
      </c>
      <c r="H158">
        <f>E158*2500</f>
        <v>15000</v>
      </c>
    </row>
    <row r="159" spans="1:8" x14ac:dyDescent="0.25">
      <c r="C159" t="s">
        <v>797</v>
      </c>
      <c r="D159" t="s">
        <v>13</v>
      </c>
      <c r="E159">
        <v>20</v>
      </c>
      <c r="F159">
        <f>E159*6500</f>
        <v>130000</v>
      </c>
      <c r="G159">
        <f>E159*4500</f>
        <v>90000</v>
      </c>
      <c r="H159">
        <f>E159*2000</f>
        <v>40000</v>
      </c>
    </row>
    <row r="160" spans="1:8" x14ac:dyDescent="0.25">
      <c r="C160" t="s">
        <v>797</v>
      </c>
      <c r="D160" t="s">
        <v>14</v>
      </c>
      <c r="E160">
        <v>12</v>
      </c>
      <c r="F160">
        <f>E160*10000</f>
        <v>120000</v>
      </c>
      <c r="G160">
        <f>E160*5500</f>
        <v>66000</v>
      </c>
      <c r="H160">
        <f>E160*4500</f>
        <v>54000</v>
      </c>
    </row>
    <row r="161" spans="1:8" x14ac:dyDescent="0.25">
      <c r="C161" t="s">
        <v>797</v>
      </c>
      <c r="D161" t="s">
        <v>243</v>
      </c>
      <c r="E161">
        <v>2</v>
      </c>
      <c r="F161">
        <f>E161*14000</f>
        <v>28000</v>
      </c>
      <c r="G161">
        <f>E161*9000</f>
        <v>18000</v>
      </c>
      <c r="H161">
        <f>E161*5000</f>
        <v>10000</v>
      </c>
    </row>
    <row r="162" spans="1:8" x14ac:dyDescent="0.25">
      <c r="C162" t="s">
        <v>846</v>
      </c>
      <c r="D162" t="s">
        <v>13</v>
      </c>
      <c r="E162">
        <v>2</v>
      </c>
      <c r="F162">
        <v>16000</v>
      </c>
      <c r="G162">
        <v>9000</v>
      </c>
      <c r="H162">
        <v>7000</v>
      </c>
    </row>
    <row r="163" spans="1:8" x14ac:dyDescent="0.25">
      <c r="C163" t="s">
        <v>846</v>
      </c>
      <c r="D163" t="s">
        <v>902</v>
      </c>
      <c r="E163">
        <v>3</v>
      </c>
      <c r="F163">
        <v>24000</v>
      </c>
      <c r="G163">
        <f>E163*5500</f>
        <v>16500</v>
      </c>
      <c r="H163">
        <f>E163*2500</f>
        <v>7500</v>
      </c>
    </row>
    <row r="164" spans="1:8" x14ac:dyDescent="0.25">
      <c r="B164" s="3"/>
      <c r="C164" t="s">
        <v>846</v>
      </c>
      <c r="D164" t="s">
        <v>958</v>
      </c>
      <c r="E164">
        <v>3</v>
      </c>
      <c r="F164">
        <v>30000</v>
      </c>
      <c r="G164">
        <f>E164*5500</f>
        <v>16500</v>
      </c>
      <c r="H164">
        <f>E164*4500</f>
        <v>13500</v>
      </c>
    </row>
    <row r="165" spans="1:8" x14ac:dyDescent="0.25">
      <c r="C165" t="s">
        <v>846</v>
      </c>
      <c r="D165" t="s">
        <v>14</v>
      </c>
      <c r="E165">
        <v>1</v>
      </c>
      <c r="F165">
        <v>12000</v>
      </c>
      <c r="G165">
        <v>5500</v>
      </c>
      <c r="H165">
        <v>6500</v>
      </c>
    </row>
    <row r="166" spans="1:8" x14ac:dyDescent="0.25">
      <c r="C166" t="s">
        <v>24</v>
      </c>
      <c r="D166" t="s">
        <v>243</v>
      </c>
      <c r="E166">
        <v>3</v>
      </c>
      <c r="F166">
        <v>45000</v>
      </c>
      <c r="G166">
        <v>30000</v>
      </c>
      <c r="H166">
        <v>15000</v>
      </c>
    </row>
    <row r="167" spans="1:8" x14ac:dyDescent="0.25">
      <c r="A167" s="112" t="s">
        <v>17</v>
      </c>
      <c r="B167" s="112"/>
      <c r="C167" s="112"/>
      <c r="D167" s="112"/>
      <c r="E167" s="78">
        <f>SUM(E154:E166)</f>
        <v>118</v>
      </c>
      <c r="F167" s="78">
        <f t="shared" ref="F167:H167" si="15">SUM(F154:F166)</f>
        <v>562000</v>
      </c>
      <c r="G167" s="78">
        <f t="shared" si="15"/>
        <v>325500</v>
      </c>
      <c r="H167" s="78">
        <f t="shared" si="15"/>
        <v>236500</v>
      </c>
    </row>
    <row r="168" spans="1:8" x14ac:dyDescent="0.25">
      <c r="A168" t="s">
        <v>8</v>
      </c>
      <c r="B168" s="3">
        <v>45945</v>
      </c>
      <c r="C168" t="s">
        <v>338</v>
      </c>
      <c r="D168" t="s">
        <v>11</v>
      </c>
      <c r="E168">
        <v>50</v>
      </c>
      <c r="F168">
        <f>E168*1500</f>
        <v>75000</v>
      </c>
      <c r="G168">
        <f>E168*500</f>
        <v>25000</v>
      </c>
      <c r="H168">
        <f>E168*1000</f>
        <v>50000</v>
      </c>
    </row>
    <row r="169" spans="1:8" x14ac:dyDescent="0.25">
      <c r="C169" t="s">
        <v>581</v>
      </c>
      <c r="D169" t="s">
        <v>11</v>
      </c>
      <c r="E169">
        <v>12</v>
      </c>
      <c r="F169">
        <f>E169*1600</f>
        <v>19200</v>
      </c>
      <c r="G169">
        <f>E169*500</f>
        <v>6000</v>
      </c>
      <c r="H169">
        <f>E169*1100</f>
        <v>13200</v>
      </c>
    </row>
    <row r="170" spans="1:8" x14ac:dyDescent="0.25">
      <c r="C170" t="s">
        <v>571</v>
      </c>
      <c r="D170" t="s">
        <v>11</v>
      </c>
      <c r="E170">
        <v>34</v>
      </c>
      <c r="F170">
        <f>E170*1700</f>
        <v>57800</v>
      </c>
      <c r="G170">
        <f>E170*500</f>
        <v>17000</v>
      </c>
      <c r="H170">
        <f>E170*13000</f>
        <v>442000</v>
      </c>
    </row>
    <row r="171" spans="1:8" x14ac:dyDescent="0.25">
      <c r="C171" t="s">
        <v>1001</v>
      </c>
      <c r="D171" t="s">
        <v>243</v>
      </c>
      <c r="E171">
        <v>50</v>
      </c>
      <c r="F171">
        <f>E171*12000</f>
        <v>600000</v>
      </c>
      <c r="G171">
        <f>E171*9000</f>
        <v>450000</v>
      </c>
      <c r="H171">
        <f>E171*3000</f>
        <v>150000</v>
      </c>
    </row>
    <row r="172" spans="1:8" x14ac:dyDescent="0.25">
      <c r="C172" t="s">
        <v>217</v>
      </c>
      <c r="D172" t="s">
        <v>11</v>
      </c>
      <c r="E172">
        <v>4</v>
      </c>
      <c r="F172">
        <f>E172*1500</f>
        <v>6000</v>
      </c>
      <c r="G172">
        <f>E172*500</f>
        <v>2000</v>
      </c>
      <c r="H172">
        <f>E172*1000</f>
        <v>4000</v>
      </c>
    </row>
    <row r="173" spans="1:8" x14ac:dyDescent="0.25">
      <c r="C173" t="s">
        <v>217</v>
      </c>
      <c r="D173" t="s">
        <v>13</v>
      </c>
      <c r="E173">
        <v>8</v>
      </c>
      <c r="F173">
        <f>E173*6500</f>
        <v>52000</v>
      </c>
      <c r="G173">
        <f>E173*4500</f>
        <v>36000</v>
      </c>
      <c r="H173">
        <f>E173*2000</f>
        <v>16000</v>
      </c>
    </row>
    <row r="174" spans="1:8" x14ac:dyDescent="0.25">
      <c r="C174" t="s">
        <v>217</v>
      </c>
      <c r="D174" t="s">
        <v>14</v>
      </c>
      <c r="E174">
        <v>6</v>
      </c>
      <c r="F174">
        <f>E174*10000</f>
        <v>60000</v>
      </c>
      <c r="G174">
        <f>E174*5500</f>
        <v>33000</v>
      </c>
      <c r="H174">
        <f>E174*4500</f>
        <v>27000</v>
      </c>
    </row>
    <row r="175" spans="1:8" x14ac:dyDescent="0.25">
      <c r="C175" t="s">
        <v>217</v>
      </c>
      <c r="D175" t="s">
        <v>243</v>
      </c>
      <c r="E175">
        <v>1</v>
      </c>
      <c r="F175">
        <v>15000</v>
      </c>
      <c r="G175">
        <v>9000</v>
      </c>
      <c r="H175">
        <v>6000</v>
      </c>
    </row>
    <row r="176" spans="1:8" x14ac:dyDescent="0.25">
      <c r="C176" t="s">
        <v>954</v>
      </c>
      <c r="D176" t="s">
        <v>927</v>
      </c>
      <c r="E176">
        <v>5</v>
      </c>
      <c r="F176">
        <f>E176*12000</f>
        <v>60000</v>
      </c>
      <c r="G176">
        <f>E176*5500</f>
        <v>27500</v>
      </c>
      <c r="H176">
        <f>E176*6500</f>
        <v>32500</v>
      </c>
    </row>
    <row r="177" spans="1:8" x14ac:dyDescent="0.25">
      <c r="C177" t="s">
        <v>954</v>
      </c>
      <c r="D177" t="s">
        <v>13</v>
      </c>
      <c r="E177">
        <v>6</v>
      </c>
      <c r="F177">
        <f>E177*8000</f>
        <v>48000</v>
      </c>
      <c r="G177">
        <f>E177*4500</f>
        <v>27000</v>
      </c>
      <c r="H177">
        <f>E177*3500</f>
        <v>21000</v>
      </c>
    </row>
    <row r="178" spans="1:8" x14ac:dyDescent="0.25">
      <c r="C178" t="s">
        <v>954</v>
      </c>
      <c r="D178" t="s">
        <v>14</v>
      </c>
      <c r="E178">
        <v>1</v>
      </c>
      <c r="F178">
        <v>12000</v>
      </c>
      <c r="G178">
        <v>5500</v>
      </c>
      <c r="H178">
        <v>6500</v>
      </c>
    </row>
    <row r="179" spans="1:8" x14ac:dyDescent="0.25">
      <c r="C179" t="s">
        <v>954</v>
      </c>
      <c r="D179" t="s">
        <v>902</v>
      </c>
      <c r="E179">
        <v>12</v>
      </c>
      <c r="F179">
        <f>E179*8000</f>
        <v>96000</v>
      </c>
      <c r="G179">
        <f>E179*5500</f>
        <v>66000</v>
      </c>
      <c r="H179">
        <f>E179*2500</f>
        <v>30000</v>
      </c>
    </row>
    <row r="180" spans="1:8" x14ac:dyDescent="0.25">
      <c r="C180" t="s">
        <v>846</v>
      </c>
      <c r="D180" t="s">
        <v>902</v>
      </c>
      <c r="E180">
        <v>7</v>
      </c>
      <c r="F180">
        <f>E180*8000</f>
        <v>56000</v>
      </c>
      <c r="G180">
        <f>E180*5500</f>
        <v>38500</v>
      </c>
      <c r="H180">
        <f>E180*2500</f>
        <v>17500</v>
      </c>
    </row>
    <row r="181" spans="1:8" x14ac:dyDescent="0.25">
      <c r="C181" t="s">
        <v>846</v>
      </c>
      <c r="D181" t="s">
        <v>14</v>
      </c>
      <c r="E181">
        <v>3</v>
      </c>
      <c r="F181">
        <f>E181*12000</f>
        <v>36000</v>
      </c>
      <c r="G181">
        <f>E181*5500</f>
        <v>16500</v>
      </c>
      <c r="H181">
        <f>E181*6500</f>
        <v>19500</v>
      </c>
    </row>
    <row r="182" spans="1:8" x14ac:dyDescent="0.25">
      <c r="C182" t="s">
        <v>846</v>
      </c>
      <c r="D182" t="s">
        <v>918</v>
      </c>
      <c r="E182">
        <v>1</v>
      </c>
      <c r="F182">
        <v>15000</v>
      </c>
      <c r="G182">
        <v>10000</v>
      </c>
      <c r="H182">
        <v>5000</v>
      </c>
    </row>
    <row r="183" spans="1:8" x14ac:dyDescent="0.25">
      <c r="C183" t="s">
        <v>846</v>
      </c>
      <c r="D183" t="s">
        <v>919</v>
      </c>
      <c r="E183">
        <v>1</v>
      </c>
      <c r="F183">
        <v>12000</v>
      </c>
      <c r="G183">
        <v>5500</v>
      </c>
      <c r="H183">
        <v>6500</v>
      </c>
    </row>
    <row r="184" spans="1:8" x14ac:dyDescent="0.25">
      <c r="A184" s="112" t="s">
        <v>17</v>
      </c>
      <c r="B184" s="112"/>
      <c r="C184" s="112"/>
      <c r="D184" s="112"/>
      <c r="E184" s="78">
        <f>SUM(E168:E183)</f>
        <v>201</v>
      </c>
      <c r="F184" s="78">
        <f t="shared" ref="F184:H184" si="16">SUM(F168:F183)</f>
        <v>1220000</v>
      </c>
      <c r="G184" s="78">
        <f t="shared" si="16"/>
        <v>774500</v>
      </c>
      <c r="H184" s="78">
        <f t="shared" si="16"/>
        <v>846700</v>
      </c>
    </row>
    <row r="185" spans="1:8" x14ac:dyDescent="0.25">
      <c r="A185" t="s">
        <v>18</v>
      </c>
      <c r="B185" s="3">
        <v>45946</v>
      </c>
      <c r="C185" t="s">
        <v>338</v>
      </c>
      <c r="D185" t="s">
        <v>11</v>
      </c>
      <c r="E185">
        <v>50</v>
      </c>
      <c r="F185">
        <f>E185*1500</f>
        <v>75000</v>
      </c>
      <c r="G185">
        <f>E185*500</f>
        <v>25000</v>
      </c>
      <c r="H185">
        <f>E185*1000</f>
        <v>50000</v>
      </c>
    </row>
    <row r="186" spans="1:8" x14ac:dyDescent="0.25">
      <c r="C186" t="s">
        <v>581</v>
      </c>
      <c r="D186" t="s">
        <v>11</v>
      </c>
      <c r="E186">
        <v>12</v>
      </c>
      <c r="F186">
        <f>E186*1500</f>
        <v>18000</v>
      </c>
      <c r="G186">
        <f>E186*500</f>
        <v>6000</v>
      </c>
      <c r="H186">
        <f>E186*1000</f>
        <v>12000</v>
      </c>
    </row>
    <row r="187" spans="1:8" x14ac:dyDescent="0.25">
      <c r="C187" t="s">
        <v>797</v>
      </c>
      <c r="D187" t="s">
        <v>11</v>
      </c>
      <c r="E187">
        <v>8</v>
      </c>
      <c r="F187">
        <f>E187*2000</f>
        <v>16000</v>
      </c>
      <c r="G187">
        <f>E187*500</f>
        <v>4000</v>
      </c>
      <c r="H187">
        <f>E187*1500</f>
        <v>12000</v>
      </c>
    </row>
    <row r="188" spans="1:8" x14ac:dyDescent="0.25">
      <c r="C188" t="s">
        <v>797</v>
      </c>
      <c r="D188" t="s">
        <v>13</v>
      </c>
      <c r="E188">
        <v>29</v>
      </c>
      <c r="F188">
        <f>E188*6500</f>
        <v>188500</v>
      </c>
      <c r="G188">
        <f>E188*4500</f>
        <v>130500</v>
      </c>
      <c r="H188">
        <f>E188*2000</f>
        <v>58000</v>
      </c>
    </row>
    <row r="189" spans="1:8" x14ac:dyDescent="0.25">
      <c r="C189" t="s">
        <v>797</v>
      </c>
      <c r="D189" t="s">
        <v>14</v>
      </c>
      <c r="E189">
        <v>14</v>
      </c>
      <c r="F189">
        <f>E189*10000</f>
        <v>140000</v>
      </c>
      <c r="G189">
        <f>E189*5500</f>
        <v>77000</v>
      </c>
      <c r="H189">
        <f>E189*4500</f>
        <v>63000</v>
      </c>
    </row>
    <row r="190" spans="1:8" x14ac:dyDescent="0.25">
      <c r="C190" t="s">
        <v>797</v>
      </c>
      <c r="D190" t="s">
        <v>243</v>
      </c>
      <c r="E190">
        <v>1</v>
      </c>
      <c r="F190">
        <v>14000</v>
      </c>
      <c r="G190">
        <v>9000</v>
      </c>
      <c r="H190">
        <v>5000</v>
      </c>
    </row>
    <row r="191" spans="1:8" x14ac:dyDescent="0.25">
      <c r="A191" s="112" t="s">
        <v>17</v>
      </c>
      <c r="B191" s="112"/>
      <c r="C191" s="112"/>
      <c r="D191" s="112"/>
      <c r="E191" s="78">
        <f>SUM(E185:E190)</f>
        <v>114</v>
      </c>
      <c r="F191" s="78">
        <f t="shared" ref="F191:H191" si="17">SUM(F185:F190)</f>
        <v>451500</v>
      </c>
      <c r="G191" s="78">
        <f t="shared" si="17"/>
        <v>251500</v>
      </c>
      <c r="H191" s="78">
        <f t="shared" si="17"/>
        <v>200000</v>
      </c>
    </row>
    <row r="192" spans="1:8" x14ac:dyDescent="0.25">
      <c r="A192" t="s">
        <v>22</v>
      </c>
      <c r="B192" s="3">
        <v>45947</v>
      </c>
      <c r="C192" t="s">
        <v>338</v>
      </c>
      <c r="D192" t="s">
        <v>11</v>
      </c>
      <c r="E192">
        <v>41</v>
      </c>
      <c r="F192" s="79">
        <f>E192*1500</f>
        <v>61500</v>
      </c>
      <c r="G192" s="79">
        <f>E192*500</f>
        <v>20500</v>
      </c>
      <c r="H192" s="79">
        <f>E192*100</f>
        <v>4100</v>
      </c>
    </row>
    <row r="193" spans="1:8" x14ac:dyDescent="0.25">
      <c r="C193" t="s">
        <v>581</v>
      </c>
      <c r="D193" t="s">
        <v>11</v>
      </c>
      <c r="E193">
        <v>20</v>
      </c>
      <c r="F193" s="79">
        <f>E193*1500</f>
        <v>30000</v>
      </c>
      <c r="G193" s="79">
        <f>E193*500</f>
        <v>10000</v>
      </c>
      <c r="H193" s="79">
        <f>E193*100</f>
        <v>2000</v>
      </c>
    </row>
    <row r="194" spans="1:8" x14ac:dyDescent="0.25">
      <c r="C194" t="s">
        <v>954</v>
      </c>
      <c r="D194" t="s">
        <v>902</v>
      </c>
      <c r="E194">
        <v>10</v>
      </c>
      <c r="F194" s="79">
        <f>E194*8000</f>
        <v>80000</v>
      </c>
      <c r="G194" s="79">
        <f>E194*5500</f>
        <v>55000</v>
      </c>
      <c r="H194" s="79">
        <f>E194*2500</f>
        <v>25000</v>
      </c>
    </row>
    <row r="195" spans="1:8" x14ac:dyDescent="0.25">
      <c r="C195" t="s">
        <v>846</v>
      </c>
      <c r="D195" t="s">
        <v>902</v>
      </c>
      <c r="E195">
        <v>7</v>
      </c>
      <c r="F195" s="79">
        <f>E195*8000</f>
        <v>56000</v>
      </c>
      <c r="G195" s="79">
        <f>E195*5500</f>
        <v>38500</v>
      </c>
      <c r="H195" s="79">
        <f>E195*2500</f>
        <v>17500</v>
      </c>
    </row>
    <row r="196" spans="1:8" x14ac:dyDescent="0.25">
      <c r="C196" t="s">
        <v>24</v>
      </c>
      <c r="D196" t="s">
        <v>243</v>
      </c>
      <c r="E196">
        <v>6</v>
      </c>
      <c r="F196" s="79">
        <f>E196*15000</f>
        <v>90000</v>
      </c>
      <c r="G196" s="79">
        <f>E196*9000</f>
        <v>54000</v>
      </c>
      <c r="H196" s="79">
        <f>E196*6000</f>
        <v>36000</v>
      </c>
    </row>
    <row r="197" spans="1:8" x14ac:dyDescent="0.25">
      <c r="A197" s="112" t="s">
        <v>17</v>
      </c>
      <c r="B197" s="112"/>
      <c r="C197" s="112"/>
      <c r="D197" s="112"/>
      <c r="E197" s="78">
        <f>SUM(E192:E196)</f>
        <v>84</v>
      </c>
      <c r="F197" s="78">
        <f t="shared" ref="F197:H197" si="18">SUM(F192:F196)</f>
        <v>317500</v>
      </c>
      <c r="G197" s="78">
        <f t="shared" si="18"/>
        <v>178000</v>
      </c>
      <c r="H197" s="78">
        <f t="shared" si="18"/>
        <v>84600</v>
      </c>
    </row>
    <row r="198" spans="1:8" x14ac:dyDescent="0.25">
      <c r="A198" t="s">
        <v>26</v>
      </c>
      <c r="B198" s="3">
        <v>45948</v>
      </c>
      <c r="C198" t="s">
        <v>797</v>
      </c>
      <c r="D198" t="s">
        <v>11</v>
      </c>
      <c r="E198">
        <v>7</v>
      </c>
      <c r="F198">
        <f>E198*2000</f>
        <v>14000</v>
      </c>
      <c r="G198">
        <f>E198*500</f>
        <v>3500</v>
      </c>
      <c r="H198">
        <f>E198*1500</f>
        <v>10500</v>
      </c>
    </row>
    <row r="199" spans="1:8" x14ac:dyDescent="0.25">
      <c r="C199" t="s">
        <v>797</v>
      </c>
      <c r="D199" t="s">
        <v>13</v>
      </c>
      <c r="E199">
        <v>7</v>
      </c>
      <c r="F199">
        <f>E199*6500</f>
        <v>45500</v>
      </c>
      <c r="G199">
        <f>E199*4500</f>
        <v>31500</v>
      </c>
      <c r="H199">
        <f>E199*2000</f>
        <v>14000</v>
      </c>
    </row>
    <row r="200" spans="1:8" x14ac:dyDescent="0.25">
      <c r="C200" t="s">
        <v>797</v>
      </c>
      <c r="D200" t="s">
        <v>14</v>
      </c>
      <c r="E200">
        <v>3</v>
      </c>
      <c r="F200">
        <f>E200*10000</f>
        <v>30000</v>
      </c>
      <c r="G200">
        <f>E200*5500</f>
        <v>16500</v>
      </c>
      <c r="H200">
        <f>E200*4500</f>
        <v>13500</v>
      </c>
    </row>
    <row r="201" spans="1:8" x14ac:dyDescent="0.25">
      <c r="C201" t="s">
        <v>797</v>
      </c>
      <c r="D201" t="s">
        <v>14</v>
      </c>
      <c r="E201">
        <v>3</v>
      </c>
      <c r="F201" t="s">
        <v>777</v>
      </c>
    </row>
    <row r="202" spans="1:8" x14ac:dyDescent="0.25">
      <c r="C202" t="s">
        <v>797</v>
      </c>
      <c r="D202" t="s">
        <v>243</v>
      </c>
      <c r="E202">
        <v>6</v>
      </c>
      <c r="F202" t="s">
        <v>777</v>
      </c>
    </row>
    <row r="203" spans="1:8" x14ac:dyDescent="0.25">
      <c r="C203" t="s">
        <v>954</v>
      </c>
      <c r="D203" t="s">
        <v>14</v>
      </c>
      <c r="E203">
        <v>1</v>
      </c>
      <c r="F203">
        <v>12000</v>
      </c>
      <c r="G203">
        <v>5500</v>
      </c>
      <c r="H203">
        <v>6500</v>
      </c>
    </row>
    <row r="204" spans="1:8" x14ac:dyDescent="0.25">
      <c r="C204" t="s">
        <v>954</v>
      </c>
      <c r="D204" t="s">
        <v>902</v>
      </c>
      <c r="E204">
        <v>2</v>
      </c>
      <c r="F204">
        <v>16000</v>
      </c>
      <c r="G204">
        <v>11000</v>
      </c>
      <c r="H204">
        <v>5000</v>
      </c>
    </row>
    <row r="205" spans="1:8" x14ac:dyDescent="0.25">
      <c r="C205" t="s">
        <v>20</v>
      </c>
      <c r="D205" t="s">
        <v>902</v>
      </c>
      <c r="E205">
        <v>7</v>
      </c>
      <c r="F205">
        <f>E205*8000</f>
        <v>56000</v>
      </c>
      <c r="G205">
        <f>E205*5500</f>
        <v>38500</v>
      </c>
      <c r="H205">
        <f>E205*2500</f>
        <v>17500</v>
      </c>
    </row>
    <row r="206" spans="1:8" x14ac:dyDescent="0.25">
      <c r="C206" t="s">
        <v>20</v>
      </c>
      <c r="D206" t="s">
        <v>959</v>
      </c>
      <c r="E206">
        <v>2</v>
      </c>
      <c r="F206">
        <f>E206*8000</f>
        <v>16000</v>
      </c>
      <c r="G206">
        <f>E206*5500</f>
        <v>11000</v>
      </c>
      <c r="H206">
        <f>E206*2500</f>
        <v>5000</v>
      </c>
    </row>
    <row r="207" spans="1:8" x14ac:dyDescent="0.25">
      <c r="C207" t="s">
        <v>20</v>
      </c>
      <c r="D207" t="s">
        <v>919</v>
      </c>
      <c r="E207">
        <v>2</v>
      </c>
      <c r="F207">
        <v>24000</v>
      </c>
      <c r="G207">
        <v>11000</v>
      </c>
      <c r="H207">
        <v>13000</v>
      </c>
    </row>
    <row r="208" spans="1:8" x14ac:dyDescent="0.25">
      <c r="C208" t="s">
        <v>24</v>
      </c>
      <c r="D208" t="s">
        <v>243</v>
      </c>
      <c r="E208">
        <v>3</v>
      </c>
      <c r="F208">
        <v>45000</v>
      </c>
      <c r="G208">
        <v>30000</v>
      </c>
      <c r="H208">
        <v>15000</v>
      </c>
    </row>
    <row r="209" spans="1:8" x14ac:dyDescent="0.25">
      <c r="A209" s="112" t="s">
        <v>17</v>
      </c>
      <c r="B209" s="112"/>
      <c r="C209" s="112"/>
      <c r="D209" s="112"/>
      <c r="E209" s="78">
        <f>SUM(E198:E208)</f>
        <v>43</v>
      </c>
      <c r="F209" s="78">
        <f t="shared" ref="F209:H209" si="19">SUM(F198:F208)</f>
        <v>258500</v>
      </c>
      <c r="G209" s="78">
        <f t="shared" si="19"/>
        <v>158500</v>
      </c>
      <c r="H209" s="78">
        <f t="shared" si="19"/>
        <v>100000</v>
      </c>
    </row>
    <row r="210" spans="1:8" x14ac:dyDescent="0.25">
      <c r="A210" s="79" t="s">
        <v>28</v>
      </c>
      <c r="B210" s="91">
        <v>45949</v>
      </c>
      <c r="C210" s="79" t="s">
        <v>693</v>
      </c>
      <c r="D210" s="79" t="s">
        <v>13</v>
      </c>
      <c r="E210" s="79">
        <v>38</v>
      </c>
      <c r="F210" s="79">
        <f>E210*7000</f>
        <v>266000</v>
      </c>
      <c r="G210" s="79">
        <f>E210*4500</f>
        <v>171000</v>
      </c>
      <c r="H210" s="79">
        <f>E210*2500</f>
        <v>95000</v>
      </c>
    </row>
    <row r="211" spans="1:8" x14ac:dyDescent="0.25">
      <c r="C211" s="79" t="s">
        <v>693</v>
      </c>
      <c r="D211" t="s">
        <v>14</v>
      </c>
      <c r="E211">
        <v>25</v>
      </c>
      <c r="F211" s="79">
        <f>E211*10000</f>
        <v>250000</v>
      </c>
      <c r="G211" s="79">
        <f>E211*5500</f>
        <v>137500</v>
      </c>
      <c r="H211" s="79">
        <f>E211*4500</f>
        <v>112500</v>
      </c>
    </row>
    <row r="212" spans="1:8" x14ac:dyDescent="0.25">
      <c r="C212" s="79" t="s">
        <v>693</v>
      </c>
      <c r="D212" t="s">
        <v>243</v>
      </c>
      <c r="E212">
        <v>2</v>
      </c>
      <c r="F212" s="79">
        <f>E212*15000</f>
        <v>30000</v>
      </c>
      <c r="G212" s="79">
        <f>E212*9000</f>
        <v>18000</v>
      </c>
      <c r="H212" s="79">
        <f>E212*6000</f>
        <v>12000</v>
      </c>
    </row>
    <row r="213" spans="1:8" x14ac:dyDescent="0.25">
      <c r="C213" t="s">
        <v>217</v>
      </c>
      <c r="D213" t="s">
        <v>11</v>
      </c>
      <c r="E213">
        <v>6</v>
      </c>
      <c r="F213" s="79">
        <f>E213*1500</f>
        <v>9000</v>
      </c>
      <c r="G213" s="79">
        <f>E213*500</f>
        <v>3000</v>
      </c>
      <c r="H213" s="79">
        <f>E213*1000</f>
        <v>6000</v>
      </c>
    </row>
    <row r="214" spans="1:8" x14ac:dyDescent="0.25">
      <c r="C214" t="s">
        <v>217</v>
      </c>
      <c r="D214" t="s">
        <v>13</v>
      </c>
      <c r="E214">
        <v>6</v>
      </c>
      <c r="F214" s="79">
        <f>E214*6500</f>
        <v>39000</v>
      </c>
      <c r="G214" s="79">
        <f>E214*4500</f>
        <v>27000</v>
      </c>
      <c r="H214" s="79">
        <f>E214*2000</f>
        <v>12000</v>
      </c>
    </row>
    <row r="215" spans="1:8" x14ac:dyDescent="0.25">
      <c r="C215" t="s">
        <v>217</v>
      </c>
      <c r="D215" t="s">
        <v>14</v>
      </c>
      <c r="E215">
        <v>2</v>
      </c>
      <c r="F215" s="79">
        <f>E215*10000</f>
        <v>20000</v>
      </c>
      <c r="G215" s="79">
        <f>E215*5500</f>
        <v>11000</v>
      </c>
      <c r="H215" s="79">
        <f>E215*4500</f>
        <v>9000</v>
      </c>
    </row>
    <row r="216" spans="1:8" x14ac:dyDescent="0.25">
      <c r="C216" t="s">
        <v>797</v>
      </c>
      <c r="D216" t="s">
        <v>13</v>
      </c>
      <c r="E216">
        <v>23</v>
      </c>
      <c r="F216" s="79">
        <f>E216*6500</f>
        <v>149500</v>
      </c>
      <c r="G216" s="79">
        <f>E216*4500</f>
        <v>103500</v>
      </c>
      <c r="H216" s="79">
        <f>E216*2000</f>
        <v>46000</v>
      </c>
    </row>
    <row r="217" spans="1:8" x14ac:dyDescent="0.25">
      <c r="C217" t="s">
        <v>797</v>
      </c>
      <c r="D217" t="s">
        <v>13</v>
      </c>
      <c r="E217">
        <v>15</v>
      </c>
      <c r="F217" s="79" t="s">
        <v>777</v>
      </c>
      <c r="G217" s="79"/>
      <c r="H217" s="79"/>
    </row>
    <row r="218" spans="1:8" x14ac:dyDescent="0.25">
      <c r="C218" t="s">
        <v>797</v>
      </c>
      <c r="D218" t="s">
        <v>14</v>
      </c>
      <c r="E218">
        <v>14</v>
      </c>
      <c r="F218" s="79">
        <f>E218*10000</f>
        <v>140000</v>
      </c>
      <c r="G218" s="79">
        <f>E218*5500</f>
        <v>77000</v>
      </c>
      <c r="H218" s="79">
        <f>E218*4500</f>
        <v>63000</v>
      </c>
    </row>
    <row r="219" spans="1:8" x14ac:dyDescent="0.25">
      <c r="C219" t="s">
        <v>797</v>
      </c>
      <c r="D219" t="s">
        <v>243</v>
      </c>
      <c r="E219">
        <v>5</v>
      </c>
      <c r="F219" s="79">
        <f>E219*14000</f>
        <v>70000</v>
      </c>
      <c r="G219" s="79">
        <f>E219*9000</f>
        <v>45000</v>
      </c>
      <c r="H219" s="79">
        <f>E219*5000</f>
        <v>25000</v>
      </c>
    </row>
    <row r="220" spans="1:8" x14ac:dyDescent="0.25">
      <c r="C220" t="s">
        <v>846</v>
      </c>
      <c r="D220" t="s">
        <v>902</v>
      </c>
      <c r="E220">
        <v>2</v>
      </c>
      <c r="F220" s="79">
        <f>E220*8000</f>
        <v>16000</v>
      </c>
      <c r="G220" s="79">
        <f>E220*5500</f>
        <v>11000</v>
      </c>
      <c r="H220" s="79">
        <f>E220*2500</f>
        <v>5000</v>
      </c>
    </row>
    <row r="221" spans="1:8" x14ac:dyDescent="0.25">
      <c r="C221" t="s">
        <v>846</v>
      </c>
      <c r="D221" t="s">
        <v>919</v>
      </c>
      <c r="E221">
        <v>1</v>
      </c>
      <c r="F221" s="79">
        <v>12000</v>
      </c>
      <c r="G221" s="79">
        <v>5500</v>
      </c>
      <c r="H221" s="79">
        <v>6500</v>
      </c>
    </row>
    <row r="222" spans="1:8" x14ac:dyDescent="0.25">
      <c r="C222" t="s">
        <v>846</v>
      </c>
      <c r="D222" t="s">
        <v>14</v>
      </c>
      <c r="E222">
        <v>1</v>
      </c>
      <c r="F222" s="79">
        <v>12000</v>
      </c>
      <c r="G222" s="79">
        <v>5500</v>
      </c>
      <c r="H222" s="79">
        <v>6500</v>
      </c>
    </row>
    <row r="223" spans="1:8" x14ac:dyDescent="0.25">
      <c r="C223" t="s">
        <v>960</v>
      </c>
      <c r="D223" t="s">
        <v>243</v>
      </c>
      <c r="E223">
        <v>100</v>
      </c>
      <c r="F223" s="79"/>
      <c r="G223" s="79"/>
      <c r="H223" s="79"/>
    </row>
    <row r="224" spans="1:8" x14ac:dyDescent="0.25">
      <c r="A224" s="112" t="s">
        <v>17</v>
      </c>
      <c r="B224" s="112"/>
      <c r="C224" s="112"/>
      <c r="D224" s="112"/>
      <c r="E224" s="78">
        <f>SUM(E210:E223)</f>
        <v>240</v>
      </c>
      <c r="F224" s="78">
        <f t="shared" ref="F224:H224" si="20">SUM(F210:F223)</f>
        <v>1013500</v>
      </c>
      <c r="G224" s="78">
        <f t="shared" si="20"/>
        <v>615000</v>
      </c>
      <c r="H224" s="78">
        <f t="shared" si="20"/>
        <v>398500</v>
      </c>
    </row>
    <row r="225" spans="1:8" x14ac:dyDescent="0.25">
      <c r="A225" t="s">
        <v>30</v>
      </c>
      <c r="B225" s="3">
        <v>45950</v>
      </c>
      <c r="C225" t="s">
        <v>338</v>
      </c>
      <c r="D225" t="s">
        <v>11</v>
      </c>
      <c r="E225">
        <v>35</v>
      </c>
      <c r="F225">
        <f>E225*1500</f>
        <v>52500</v>
      </c>
      <c r="G225">
        <f>E225*500</f>
        <v>17500</v>
      </c>
      <c r="H225">
        <f>E225*1000</f>
        <v>35000</v>
      </c>
    </row>
    <row r="226" spans="1:8" x14ac:dyDescent="0.25">
      <c r="C226" t="s">
        <v>581</v>
      </c>
      <c r="D226" t="s">
        <v>11</v>
      </c>
      <c r="E226">
        <v>15</v>
      </c>
      <c r="F226">
        <f>E226*1500</f>
        <v>22500</v>
      </c>
      <c r="G226">
        <f>E226*500</f>
        <v>7500</v>
      </c>
      <c r="H226">
        <f>E226*1000</f>
        <v>15000</v>
      </c>
    </row>
    <row r="227" spans="1:8" x14ac:dyDescent="0.25">
      <c r="C227" t="s">
        <v>571</v>
      </c>
      <c r="D227" t="s">
        <v>11</v>
      </c>
      <c r="E227">
        <v>25</v>
      </c>
      <c r="F227">
        <f>E227*1500</f>
        <v>37500</v>
      </c>
      <c r="G227">
        <f>E227*500</f>
        <v>12500</v>
      </c>
      <c r="H227">
        <f>E227*1000</f>
        <v>25000</v>
      </c>
    </row>
    <row r="228" spans="1:8" x14ac:dyDescent="0.25">
      <c r="C228" t="s">
        <v>954</v>
      </c>
      <c r="D228" t="s">
        <v>902</v>
      </c>
      <c r="E228">
        <v>6</v>
      </c>
      <c r="F228">
        <f>E228*8000</f>
        <v>48000</v>
      </c>
      <c r="G228">
        <f>E228*5500</f>
        <v>33000</v>
      </c>
      <c r="H228">
        <f>E228*2500</f>
        <v>15000</v>
      </c>
    </row>
    <row r="229" spans="1:8" x14ac:dyDescent="0.25">
      <c r="C229" t="s">
        <v>954</v>
      </c>
      <c r="D229" t="s">
        <v>14</v>
      </c>
      <c r="E229">
        <v>2</v>
      </c>
      <c r="F229">
        <f>E229*10000</f>
        <v>20000</v>
      </c>
      <c r="G229">
        <f>E229*5500</f>
        <v>11000</v>
      </c>
      <c r="H229">
        <f>E229*4500</f>
        <v>9000</v>
      </c>
    </row>
    <row r="230" spans="1:8" x14ac:dyDescent="0.25">
      <c r="C230" t="s">
        <v>797</v>
      </c>
      <c r="D230" t="s">
        <v>13</v>
      </c>
      <c r="E230">
        <v>17</v>
      </c>
      <c r="F230">
        <f>E230*6500</f>
        <v>110500</v>
      </c>
      <c r="G230">
        <f>E230*4500</f>
        <v>76500</v>
      </c>
      <c r="H230">
        <f>E230*2000</f>
        <v>34000</v>
      </c>
    </row>
    <row r="231" spans="1:8" x14ac:dyDescent="0.25">
      <c r="C231" t="s">
        <v>797</v>
      </c>
      <c r="D231" t="s">
        <v>14</v>
      </c>
      <c r="E231">
        <v>5</v>
      </c>
      <c r="F231">
        <f>E231*10000</f>
        <v>50000</v>
      </c>
      <c r="G231">
        <f>E231*5500</f>
        <v>27500</v>
      </c>
      <c r="H231">
        <f>E231*4500</f>
        <v>22500</v>
      </c>
    </row>
    <row r="232" spans="1:8" x14ac:dyDescent="0.25">
      <c r="C232" t="s">
        <v>797</v>
      </c>
      <c r="D232" t="s">
        <v>243</v>
      </c>
      <c r="E232">
        <v>1</v>
      </c>
      <c r="F232">
        <f>E232*14000</f>
        <v>14000</v>
      </c>
      <c r="G232">
        <f>E232*9000</f>
        <v>9000</v>
      </c>
      <c r="H232">
        <f>E232*5000</f>
        <v>5000</v>
      </c>
    </row>
    <row r="233" spans="1:8" x14ac:dyDescent="0.25">
      <c r="C233" t="s">
        <v>1001</v>
      </c>
      <c r="D233" t="s">
        <v>243</v>
      </c>
      <c r="E233">
        <v>50</v>
      </c>
      <c r="F233">
        <f>E233*12000</f>
        <v>600000</v>
      </c>
      <c r="G233">
        <f>E233*9000</f>
        <v>450000</v>
      </c>
      <c r="H233">
        <f>E233*3000</f>
        <v>150000</v>
      </c>
    </row>
    <row r="234" spans="1:8" x14ac:dyDescent="0.25">
      <c r="C234" t="s">
        <v>846</v>
      </c>
      <c r="D234" t="s">
        <v>927</v>
      </c>
      <c r="E234">
        <v>1</v>
      </c>
      <c r="F234">
        <v>12000</v>
      </c>
      <c r="G234">
        <v>5500</v>
      </c>
      <c r="H234">
        <v>6500</v>
      </c>
    </row>
    <row r="235" spans="1:8" x14ac:dyDescent="0.25">
      <c r="C235" t="s">
        <v>846</v>
      </c>
      <c r="D235" t="s">
        <v>958</v>
      </c>
      <c r="E235">
        <v>1</v>
      </c>
      <c r="F235">
        <v>10000</v>
      </c>
      <c r="G235">
        <v>5500</v>
      </c>
      <c r="H235">
        <v>4500</v>
      </c>
    </row>
    <row r="236" spans="1:8" x14ac:dyDescent="0.25">
      <c r="C236" t="s">
        <v>846</v>
      </c>
      <c r="D236" t="s">
        <v>902</v>
      </c>
      <c r="E236">
        <v>2</v>
      </c>
      <c r="F236">
        <v>16000</v>
      </c>
      <c r="G236">
        <v>11000</v>
      </c>
      <c r="H236">
        <v>5000</v>
      </c>
    </row>
    <row r="237" spans="1:8" x14ac:dyDescent="0.25">
      <c r="A237" s="112" t="s">
        <v>17</v>
      </c>
      <c r="B237" s="112"/>
      <c r="C237" s="112"/>
      <c r="D237" s="112"/>
      <c r="E237" s="78">
        <f>SUM(E225:E236)</f>
        <v>160</v>
      </c>
      <c r="F237" s="78">
        <f t="shared" ref="F237:H237" si="21">SUM(F225:F236)</f>
        <v>993000</v>
      </c>
      <c r="G237" s="78">
        <f t="shared" si="21"/>
        <v>666500</v>
      </c>
      <c r="H237" s="78">
        <f t="shared" si="21"/>
        <v>326500</v>
      </c>
    </row>
    <row r="238" spans="1:8" x14ac:dyDescent="0.25">
      <c r="A238" t="s">
        <v>32</v>
      </c>
      <c r="B238" s="3">
        <v>45951</v>
      </c>
      <c r="C238" t="s">
        <v>338</v>
      </c>
      <c r="D238" t="s">
        <v>11</v>
      </c>
      <c r="E238">
        <v>50</v>
      </c>
      <c r="F238" s="79">
        <f>E238*1500</f>
        <v>75000</v>
      </c>
      <c r="G238" s="79">
        <f>E238*500</f>
        <v>25000</v>
      </c>
      <c r="H238" s="79">
        <f>E238*1000</f>
        <v>50000</v>
      </c>
    </row>
    <row r="239" spans="1:8" x14ac:dyDescent="0.25">
      <c r="C239" t="s">
        <v>581</v>
      </c>
      <c r="D239" t="s">
        <v>11</v>
      </c>
      <c r="E239">
        <v>10</v>
      </c>
      <c r="F239" s="79">
        <f>E239*1500</f>
        <v>15000</v>
      </c>
      <c r="G239" s="79">
        <f>E239*500</f>
        <v>5000</v>
      </c>
      <c r="H239" s="79">
        <f>E239*1000</f>
        <v>10000</v>
      </c>
    </row>
    <row r="240" spans="1:8" x14ac:dyDescent="0.25">
      <c r="C240" t="s">
        <v>954</v>
      </c>
      <c r="D240" t="s">
        <v>902</v>
      </c>
      <c r="E240">
        <v>6</v>
      </c>
      <c r="F240" s="79">
        <f>E240*8000</f>
        <v>48000</v>
      </c>
      <c r="G240" s="79">
        <f>E240*5500</f>
        <v>33000</v>
      </c>
      <c r="H240" s="79">
        <f>E240*2500</f>
        <v>15000</v>
      </c>
    </row>
    <row r="241" spans="1:8" x14ac:dyDescent="0.25">
      <c r="C241" t="s">
        <v>954</v>
      </c>
      <c r="D241" t="s">
        <v>927</v>
      </c>
      <c r="E241">
        <v>1</v>
      </c>
      <c r="F241" s="79">
        <v>12000</v>
      </c>
      <c r="G241" s="79">
        <v>5500</v>
      </c>
      <c r="H241" s="79">
        <v>6500</v>
      </c>
    </row>
    <row r="242" spans="1:8" x14ac:dyDescent="0.25">
      <c r="C242" t="s">
        <v>797</v>
      </c>
      <c r="D242" t="s">
        <v>13</v>
      </c>
      <c r="E242">
        <v>20</v>
      </c>
      <c r="F242" s="79">
        <f>E242*6500</f>
        <v>130000</v>
      </c>
      <c r="G242" s="79">
        <f>E242*4500</f>
        <v>90000</v>
      </c>
      <c r="H242" s="79">
        <f>E242*2000</f>
        <v>40000</v>
      </c>
    </row>
    <row r="243" spans="1:8" x14ac:dyDescent="0.25">
      <c r="C243" t="s">
        <v>797</v>
      </c>
      <c r="D243" t="s">
        <v>14</v>
      </c>
      <c r="E243">
        <v>7</v>
      </c>
      <c r="F243" s="79">
        <f>E243*10000</f>
        <v>70000</v>
      </c>
      <c r="G243" s="79">
        <f>E243*5500</f>
        <v>38500</v>
      </c>
      <c r="H243" s="79">
        <f>E243*4500</f>
        <v>31500</v>
      </c>
    </row>
    <row r="244" spans="1:8" x14ac:dyDescent="0.25">
      <c r="C244" t="s">
        <v>797</v>
      </c>
      <c r="D244" t="s">
        <v>243</v>
      </c>
      <c r="E244">
        <v>1</v>
      </c>
      <c r="F244" s="79">
        <v>14000</v>
      </c>
      <c r="G244" s="79">
        <v>9000</v>
      </c>
      <c r="H244" s="79">
        <v>5000</v>
      </c>
    </row>
    <row r="245" spans="1:8" x14ac:dyDescent="0.25">
      <c r="C245" t="s">
        <v>797</v>
      </c>
      <c r="D245" t="s">
        <v>14</v>
      </c>
      <c r="E245">
        <v>11</v>
      </c>
      <c r="F245" s="79">
        <f>E245*10000</f>
        <v>110000</v>
      </c>
      <c r="G245" s="79">
        <f>E245*5500</f>
        <v>60500</v>
      </c>
      <c r="H245" s="79">
        <f>E245*4500</f>
        <v>49500</v>
      </c>
    </row>
    <row r="246" spans="1:8" x14ac:dyDescent="0.25">
      <c r="C246" t="s">
        <v>797</v>
      </c>
      <c r="D246" t="s">
        <v>243</v>
      </c>
      <c r="E246">
        <v>1</v>
      </c>
      <c r="F246" s="79">
        <v>14000</v>
      </c>
      <c r="G246" s="79">
        <v>9000</v>
      </c>
      <c r="H246" s="79">
        <v>5000</v>
      </c>
    </row>
    <row r="247" spans="1:8" x14ac:dyDescent="0.25">
      <c r="C247" t="s">
        <v>846</v>
      </c>
      <c r="D247" t="s">
        <v>13</v>
      </c>
      <c r="E247">
        <v>1</v>
      </c>
      <c r="F247" s="79">
        <v>8000</v>
      </c>
      <c r="G247" s="79">
        <v>4500</v>
      </c>
      <c r="H247" s="79">
        <v>3500</v>
      </c>
    </row>
    <row r="248" spans="1:8" x14ac:dyDescent="0.25">
      <c r="C248" t="s">
        <v>846</v>
      </c>
      <c r="D248" t="s">
        <v>902</v>
      </c>
      <c r="E248">
        <v>1</v>
      </c>
      <c r="F248" s="79">
        <v>8000</v>
      </c>
      <c r="G248" s="79">
        <v>5500</v>
      </c>
      <c r="H248" s="79">
        <v>2500</v>
      </c>
    </row>
    <row r="249" spans="1:8" x14ac:dyDescent="0.25">
      <c r="C249" t="s">
        <v>846</v>
      </c>
      <c r="D249" t="s">
        <v>918</v>
      </c>
      <c r="E249">
        <v>1</v>
      </c>
      <c r="F249" s="79">
        <v>12000</v>
      </c>
      <c r="G249" s="79">
        <v>5500</v>
      </c>
      <c r="H249" s="79">
        <v>6500</v>
      </c>
    </row>
    <row r="250" spans="1:8" x14ac:dyDescent="0.25">
      <c r="C250" t="s">
        <v>846</v>
      </c>
      <c r="D250" t="s">
        <v>243</v>
      </c>
      <c r="E250">
        <v>1</v>
      </c>
      <c r="F250" s="79">
        <v>17000</v>
      </c>
      <c r="G250" s="79">
        <v>9000</v>
      </c>
      <c r="H250" s="79">
        <v>8000</v>
      </c>
    </row>
    <row r="251" spans="1:8" x14ac:dyDescent="0.25">
      <c r="A251" s="112" t="s">
        <v>17</v>
      </c>
      <c r="B251" s="112"/>
      <c r="C251" s="112"/>
      <c r="D251" s="112"/>
      <c r="E251" s="78">
        <f>SUM(E238:E250)</f>
        <v>111</v>
      </c>
      <c r="F251" s="78">
        <f t="shared" ref="F251:H251" si="22">SUM(F238:F250)</f>
        <v>533000</v>
      </c>
      <c r="G251" s="78">
        <f t="shared" si="22"/>
        <v>300000</v>
      </c>
      <c r="H251" s="78">
        <f t="shared" si="22"/>
        <v>233000</v>
      </c>
    </row>
    <row r="252" spans="1:8" x14ac:dyDescent="0.25">
      <c r="A252" t="s">
        <v>8</v>
      </c>
      <c r="B252" s="3">
        <v>45952</v>
      </c>
      <c r="C252" t="s">
        <v>338</v>
      </c>
      <c r="D252" t="s">
        <v>11</v>
      </c>
      <c r="E252">
        <v>50</v>
      </c>
      <c r="F252" s="79">
        <f>E252*1500</f>
        <v>75000</v>
      </c>
      <c r="G252" s="79">
        <f>E252*500</f>
        <v>25000</v>
      </c>
      <c r="H252" s="79">
        <f>E252*1000</f>
        <v>50000</v>
      </c>
    </row>
    <row r="253" spans="1:8" x14ac:dyDescent="0.25">
      <c r="C253" t="s">
        <v>306</v>
      </c>
      <c r="D253" t="s">
        <v>11</v>
      </c>
      <c r="E253">
        <v>10</v>
      </c>
      <c r="F253" s="79">
        <f t="shared" ref="F253:F255" si="23">E253*1500</f>
        <v>15000</v>
      </c>
      <c r="G253" s="79">
        <f t="shared" ref="G253:G255" si="24">E253*500</f>
        <v>5000</v>
      </c>
      <c r="H253" s="79">
        <f t="shared" ref="H253:H255" si="25">E253*1000</f>
        <v>10000</v>
      </c>
    </row>
    <row r="254" spans="1:8" x14ac:dyDescent="0.25">
      <c r="C254" t="s">
        <v>581</v>
      </c>
      <c r="D254" t="s">
        <v>11</v>
      </c>
      <c r="E254">
        <v>12</v>
      </c>
      <c r="F254" s="79">
        <f t="shared" si="23"/>
        <v>18000</v>
      </c>
      <c r="G254" s="79">
        <f t="shared" si="24"/>
        <v>6000</v>
      </c>
      <c r="H254" s="79">
        <f t="shared" si="25"/>
        <v>12000</v>
      </c>
    </row>
    <row r="255" spans="1:8" x14ac:dyDescent="0.25">
      <c r="C255" t="s">
        <v>571</v>
      </c>
      <c r="D255" t="s">
        <v>11</v>
      </c>
      <c r="E255">
        <v>16</v>
      </c>
      <c r="F255" s="79">
        <f t="shared" si="23"/>
        <v>24000</v>
      </c>
      <c r="G255" s="79">
        <f t="shared" si="24"/>
        <v>8000</v>
      </c>
      <c r="H255" s="79">
        <f t="shared" si="25"/>
        <v>16000</v>
      </c>
    </row>
    <row r="256" spans="1:8" x14ac:dyDescent="0.25">
      <c r="C256" t="s">
        <v>954</v>
      </c>
      <c r="D256" t="s">
        <v>902</v>
      </c>
      <c r="E256">
        <v>1</v>
      </c>
      <c r="F256" s="79">
        <v>8000</v>
      </c>
      <c r="G256" s="79">
        <v>5500</v>
      </c>
      <c r="H256" s="79">
        <v>2500</v>
      </c>
    </row>
    <row r="257" spans="1:8" x14ac:dyDescent="0.25">
      <c r="C257" t="s">
        <v>954</v>
      </c>
      <c r="D257" t="s">
        <v>919</v>
      </c>
      <c r="E257">
        <v>2</v>
      </c>
      <c r="F257" s="79">
        <v>24000</v>
      </c>
      <c r="G257" s="79">
        <v>11000</v>
      </c>
      <c r="H257" s="79">
        <v>13000</v>
      </c>
    </row>
    <row r="258" spans="1:8" x14ac:dyDescent="0.25">
      <c r="C258" t="s">
        <v>797</v>
      </c>
      <c r="D258" t="s">
        <v>11</v>
      </c>
      <c r="E258">
        <v>5</v>
      </c>
      <c r="F258" s="79">
        <v>10000</v>
      </c>
      <c r="G258" s="79">
        <f>E258*500</f>
        <v>2500</v>
      </c>
      <c r="H258" s="79">
        <f>E258*1500</f>
        <v>7500</v>
      </c>
    </row>
    <row r="259" spans="1:8" x14ac:dyDescent="0.25">
      <c r="C259" t="s">
        <v>797</v>
      </c>
      <c r="D259" t="s">
        <v>13</v>
      </c>
      <c r="E259">
        <v>10</v>
      </c>
      <c r="F259" s="79" t="s">
        <v>777</v>
      </c>
      <c r="G259" s="79" t="s">
        <v>777</v>
      </c>
      <c r="H259" s="79" t="s">
        <v>777</v>
      </c>
    </row>
    <row r="260" spans="1:8" x14ac:dyDescent="0.25">
      <c r="C260" t="s">
        <v>797</v>
      </c>
      <c r="D260" t="s">
        <v>13</v>
      </c>
      <c r="E260">
        <v>3</v>
      </c>
      <c r="F260" s="79">
        <f>E260*6500</f>
        <v>19500</v>
      </c>
      <c r="G260" s="79">
        <f>E260*4500</f>
        <v>13500</v>
      </c>
      <c r="H260" s="79">
        <f>E260*2000</f>
        <v>6000</v>
      </c>
    </row>
    <row r="261" spans="1:8" x14ac:dyDescent="0.25">
      <c r="C261" t="s">
        <v>797</v>
      </c>
      <c r="D261" t="s">
        <v>14</v>
      </c>
      <c r="E261">
        <v>2</v>
      </c>
      <c r="F261" s="79" t="s">
        <v>777</v>
      </c>
      <c r="G261" s="79" t="s">
        <v>777</v>
      </c>
      <c r="H261" s="79" t="s">
        <v>777</v>
      </c>
    </row>
    <row r="262" spans="1:8" x14ac:dyDescent="0.25">
      <c r="C262" t="s">
        <v>797</v>
      </c>
      <c r="D262" t="s">
        <v>14</v>
      </c>
      <c r="E262">
        <v>10</v>
      </c>
      <c r="F262" s="79">
        <f>E262*10000</f>
        <v>100000</v>
      </c>
      <c r="G262" s="79">
        <f>E262*5500</f>
        <v>55000</v>
      </c>
      <c r="H262" s="79">
        <f>E262*4500</f>
        <v>45000</v>
      </c>
    </row>
    <row r="263" spans="1:8" x14ac:dyDescent="0.25">
      <c r="C263" t="s">
        <v>797</v>
      </c>
      <c r="D263" t="s">
        <v>243</v>
      </c>
      <c r="E263">
        <v>2</v>
      </c>
      <c r="F263" s="79">
        <f>E263*14000</f>
        <v>28000</v>
      </c>
      <c r="G263" s="79">
        <f>E263*9000</f>
        <v>18000</v>
      </c>
      <c r="H263" s="79">
        <f>E263*5000</f>
        <v>10000</v>
      </c>
    </row>
    <row r="264" spans="1:8" x14ac:dyDescent="0.25">
      <c r="C264" t="s">
        <v>846</v>
      </c>
      <c r="D264" t="s">
        <v>902</v>
      </c>
      <c r="E264">
        <v>5</v>
      </c>
      <c r="F264" s="79">
        <f>E264*8000</f>
        <v>40000</v>
      </c>
      <c r="G264" s="79">
        <f>E264*5500</f>
        <v>27500</v>
      </c>
      <c r="H264" s="79">
        <f>E264*2500</f>
        <v>12500</v>
      </c>
    </row>
    <row r="265" spans="1:8" x14ac:dyDescent="0.25">
      <c r="C265" t="s">
        <v>846</v>
      </c>
      <c r="D265" t="s">
        <v>14</v>
      </c>
      <c r="E265">
        <v>3</v>
      </c>
      <c r="F265" s="79">
        <f>E265*12000</f>
        <v>36000</v>
      </c>
      <c r="G265" s="79">
        <f>E265*5500</f>
        <v>16500</v>
      </c>
      <c r="H265" s="79">
        <f>E265*6500</f>
        <v>19500</v>
      </c>
    </row>
    <row r="266" spans="1:8" x14ac:dyDescent="0.25">
      <c r="C266" t="s">
        <v>846</v>
      </c>
      <c r="D266" t="s">
        <v>919</v>
      </c>
      <c r="E266">
        <v>2</v>
      </c>
      <c r="F266" s="79">
        <v>24000</v>
      </c>
      <c r="G266" s="79">
        <v>11000</v>
      </c>
      <c r="H266" s="79">
        <v>13000</v>
      </c>
    </row>
    <row r="267" spans="1:8" x14ac:dyDescent="0.25">
      <c r="C267" t="s">
        <v>960</v>
      </c>
      <c r="D267" t="s">
        <v>243</v>
      </c>
      <c r="E267">
        <v>50</v>
      </c>
      <c r="F267" s="79"/>
      <c r="G267" s="79"/>
      <c r="H267" s="79"/>
    </row>
    <row r="268" spans="1:8" x14ac:dyDescent="0.25">
      <c r="A268" s="112" t="s">
        <v>17</v>
      </c>
      <c r="B268" s="112"/>
      <c r="C268" s="112"/>
      <c r="D268" s="112"/>
      <c r="E268" s="78">
        <f>SUM(E252:E267)</f>
        <v>183</v>
      </c>
      <c r="F268" s="78">
        <f t="shared" ref="F268:H268" si="26">SUM(F252:F267)</f>
        <v>421500</v>
      </c>
      <c r="G268" s="78">
        <f t="shared" si="26"/>
        <v>204500</v>
      </c>
      <c r="H268" s="78">
        <f t="shared" si="26"/>
        <v>217000</v>
      </c>
    </row>
    <row r="269" spans="1:8" x14ac:dyDescent="0.25">
      <c r="A269" t="s">
        <v>18</v>
      </c>
      <c r="B269" s="3">
        <v>45953</v>
      </c>
      <c r="C269" t="s">
        <v>338</v>
      </c>
      <c r="D269" t="s">
        <v>11</v>
      </c>
      <c r="E269">
        <v>50</v>
      </c>
      <c r="F269">
        <f>E269*1500</f>
        <v>75000</v>
      </c>
      <c r="G269">
        <f>E269*500</f>
        <v>25000</v>
      </c>
      <c r="H269">
        <f>E269*1000</f>
        <v>50000</v>
      </c>
    </row>
    <row r="270" spans="1:8" x14ac:dyDescent="0.25">
      <c r="C270" t="s">
        <v>581</v>
      </c>
      <c r="D270" t="s">
        <v>11</v>
      </c>
      <c r="E270">
        <v>25</v>
      </c>
      <c r="F270">
        <f>E270*1600</f>
        <v>40000</v>
      </c>
      <c r="G270">
        <f>E270*500</f>
        <v>12500</v>
      </c>
      <c r="H270">
        <f>E270*1100</f>
        <v>27500</v>
      </c>
    </row>
    <row r="271" spans="1:8" x14ac:dyDescent="0.25">
      <c r="C271" t="s">
        <v>797</v>
      </c>
      <c r="D271" t="s">
        <v>13</v>
      </c>
      <c r="E271">
        <v>9</v>
      </c>
      <c r="F271">
        <f>E271*6500</f>
        <v>58500</v>
      </c>
      <c r="G271">
        <f>E271*4500</f>
        <v>40500</v>
      </c>
      <c r="H271">
        <f>E271*2000</f>
        <v>18000</v>
      </c>
    </row>
    <row r="272" spans="1:8" x14ac:dyDescent="0.25">
      <c r="C272" t="s">
        <v>797</v>
      </c>
      <c r="D272" t="s">
        <v>13</v>
      </c>
      <c r="E272">
        <v>5</v>
      </c>
      <c r="F272" t="s">
        <v>777</v>
      </c>
    </row>
    <row r="273" spans="1:8" x14ac:dyDescent="0.25">
      <c r="C273" t="s">
        <v>797</v>
      </c>
      <c r="D273" t="s">
        <v>14</v>
      </c>
      <c r="E273">
        <v>2</v>
      </c>
      <c r="F273">
        <v>20000</v>
      </c>
      <c r="G273">
        <v>11000</v>
      </c>
      <c r="H273">
        <v>9000</v>
      </c>
    </row>
    <row r="274" spans="1:8" x14ac:dyDescent="0.25">
      <c r="C274" t="s">
        <v>797</v>
      </c>
      <c r="D274" t="s">
        <v>243</v>
      </c>
      <c r="E274">
        <v>3</v>
      </c>
      <c r="F274">
        <f>E274*14000</f>
        <v>42000</v>
      </c>
      <c r="G274">
        <f>E274*9000</f>
        <v>27000</v>
      </c>
      <c r="H274">
        <f>E274*5000</f>
        <v>15000</v>
      </c>
    </row>
    <row r="275" spans="1:8" x14ac:dyDescent="0.25">
      <c r="A275" s="112" t="s">
        <v>17</v>
      </c>
      <c r="B275" s="112"/>
      <c r="C275" s="112"/>
      <c r="D275" s="112"/>
      <c r="E275" s="78">
        <f>SUM(E269:E274)</f>
        <v>94</v>
      </c>
      <c r="F275" s="78">
        <f t="shared" ref="F275:H275" si="27">SUM(F269:F274)</f>
        <v>235500</v>
      </c>
      <c r="G275" s="78">
        <f t="shared" si="27"/>
        <v>116000</v>
      </c>
      <c r="H275" s="78">
        <f t="shared" si="27"/>
        <v>119500</v>
      </c>
    </row>
    <row r="276" spans="1:8" x14ac:dyDescent="0.25">
      <c r="A276" t="s">
        <v>22</v>
      </c>
      <c r="B276" s="3">
        <v>45954</v>
      </c>
      <c r="C276" t="s">
        <v>338</v>
      </c>
      <c r="D276" t="s">
        <v>11</v>
      </c>
      <c r="E276">
        <v>35</v>
      </c>
      <c r="F276">
        <f>E276*1500</f>
        <v>52500</v>
      </c>
      <c r="G276">
        <f>E276*500</f>
        <v>17500</v>
      </c>
      <c r="H276">
        <f>E276*1000</f>
        <v>35000</v>
      </c>
    </row>
    <row r="277" spans="1:8" x14ac:dyDescent="0.25">
      <c r="C277" t="s">
        <v>581</v>
      </c>
      <c r="D277" t="s">
        <v>11</v>
      </c>
      <c r="E277">
        <v>12</v>
      </c>
      <c r="F277">
        <f>E277*1500</f>
        <v>18000</v>
      </c>
      <c r="G277">
        <f>E277*500</f>
        <v>6000</v>
      </c>
      <c r="H277">
        <f>E277*1000</f>
        <v>12000</v>
      </c>
    </row>
    <row r="278" spans="1:8" x14ac:dyDescent="0.25">
      <c r="C278" t="s">
        <v>797</v>
      </c>
      <c r="D278" t="s">
        <v>13</v>
      </c>
      <c r="E278">
        <v>23</v>
      </c>
      <c r="F278">
        <f>E278*6500</f>
        <v>149500</v>
      </c>
      <c r="G278">
        <f>E278*4500</f>
        <v>103500</v>
      </c>
      <c r="H278">
        <f>E278*2000</f>
        <v>46000</v>
      </c>
    </row>
    <row r="279" spans="1:8" x14ac:dyDescent="0.25">
      <c r="D279" t="s">
        <v>13</v>
      </c>
      <c r="E279">
        <v>10</v>
      </c>
      <c r="F279" t="s">
        <v>777</v>
      </c>
    </row>
    <row r="280" spans="1:8" x14ac:dyDescent="0.25">
      <c r="A280" s="112" t="s">
        <v>17</v>
      </c>
      <c r="B280" s="112"/>
      <c r="C280" s="112"/>
      <c r="D280" s="112"/>
      <c r="E280" s="78">
        <f>SUM(E276:E279)</f>
        <v>80</v>
      </c>
      <c r="F280" s="78">
        <f t="shared" ref="F280:H280" si="28">SUM(F276:F279)</f>
        <v>220000</v>
      </c>
      <c r="G280" s="78">
        <f t="shared" si="28"/>
        <v>127000</v>
      </c>
      <c r="H280" s="78">
        <f t="shared" si="28"/>
        <v>93000</v>
      </c>
    </row>
    <row r="281" spans="1:8" x14ac:dyDescent="0.25">
      <c r="A281" t="s">
        <v>26</v>
      </c>
      <c r="B281" s="3">
        <v>45955</v>
      </c>
      <c r="C281" t="s">
        <v>338</v>
      </c>
      <c r="D281" t="s">
        <v>11</v>
      </c>
      <c r="E281">
        <v>40</v>
      </c>
      <c r="F281">
        <f>E281*1500</f>
        <v>60000</v>
      </c>
      <c r="G281">
        <f>E281*500</f>
        <v>20000</v>
      </c>
      <c r="H281">
        <f>E281*1000</f>
        <v>40000</v>
      </c>
    </row>
    <row r="282" spans="1:8" x14ac:dyDescent="0.25">
      <c r="C282" t="s">
        <v>217</v>
      </c>
      <c r="D282" t="s">
        <v>11</v>
      </c>
      <c r="E282">
        <v>6</v>
      </c>
      <c r="F282">
        <f>E282*1500</f>
        <v>9000</v>
      </c>
      <c r="G282">
        <f>E282*500</f>
        <v>3000</v>
      </c>
      <c r="H282">
        <f>E282*1000</f>
        <v>6000</v>
      </c>
    </row>
    <row r="283" spans="1:8" x14ac:dyDescent="0.25">
      <c r="C283" t="s">
        <v>217</v>
      </c>
      <c r="D283" t="s">
        <v>13</v>
      </c>
      <c r="E283">
        <v>15</v>
      </c>
      <c r="F283">
        <f>E283*6500</f>
        <v>97500</v>
      </c>
      <c r="G283">
        <f>E283*4500</f>
        <v>67500</v>
      </c>
      <c r="H283">
        <f>E283*2000</f>
        <v>30000</v>
      </c>
    </row>
    <row r="284" spans="1:8" x14ac:dyDescent="0.25">
      <c r="C284" t="s">
        <v>954</v>
      </c>
      <c r="D284" t="s">
        <v>902</v>
      </c>
      <c r="E284">
        <v>8</v>
      </c>
      <c r="F284">
        <f>E284*8000</f>
        <v>64000</v>
      </c>
      <c r="G284">
        <f>E284*5500</f>
        <v>44000</v>
      </c>
      <c r="H284">
        <f>E284*2500</f>
        <v>20000</v>
      </c>
    </row>
    <row r="285" spans="1:8" x14ac:dyDescent="0.25">
      <c r="C285" t="s">
        <v>954</v>
      </c>
      <c r="D285" t="s">
        <v>13</v>
      </c>
      <c r="E285">
        <v>1</v>
      </c>
      <c r="F285">
        <v>8000</v>
      </c>
      <c r="G285">
        <v>4500</v>
      </c>
      <c r="H285">
        <v>3500</v>
      </c>
    </row>
    <row r="286" spans="1:8" x14ac:dyDescent="0.25">
      <c r="C286" t="s">
        <v>846</v>
      </c>
      <c r="D286" t="s">
        <v>902</v>
      </c>
      <c r="E286">
        <v>6</v>
      </c>
      <c r="F286">
        <f>E286*8000</f>
        <v>48000</v>
      </c>
      <c r="G286">
        <f>E286*5500</f>
        <v>33000</v>
      </c>
      <c r="H286">
        <f>E286*2500</f>
        <v>15000</v>
      </c>
    </row>
    <row r="287" spans="1:8" x14ac:dyDescent="0.25">
      <c r="C287" t="s">
        <v>846</v>
      </c>
      <c r="D287" t="s">
        <v>14</v>
      </c>
      <c r="E287">
        <v>1</v>
      </c>
      <c r="F287">
        <v>12000</v>
      </c>
      <c r="G287">
        <v>5500</v>
      </c>
      <c r="H287">
        <v>6500</v>
      </c>
    </row>
    <row r="288" spans="1:8" x14ac:dyDescent="0.25">
      <c r="C288" t="s">
        <v>797</v>
      </c>
      <c r="D288" t="s">
        <v>13</v>
      </c>
      <c r="E288">
        <v>24</v>
      </c>
      <c r="F288">
        <f>E288*6500</f>
        <v>156000</v>
      </c>
      <c r="G288">
        <f>E288*4500</f>
        <v>108000</v>
      </c>
      <c r="H288">
        <f>E288*2000</f>
        <v>48000</v>
      </c>
    </row>
    <row r="289" spans="1:8" x14ac:dyDescent="0.25">
      <c r="C289" t="s">
        <v>797</v>
      </c>
      <c r="D289" t="s">
        <v>14</v>
      </c>
      <c r="E289">
        <v>3</v>
      </c>
      <c r="F289">
        <f>E289*10000</f>
        <v>30000</v>
      </c>
      <c r="G289">
        <f>E289*5500</f>
        <v>16500</v>
      </c>
      <c r="H289">
        <f>E289*4500</f>
        <v>13500</v>
      </c>
    </row>
    <row r="290" spans="1:8" x14ac:dyDescent="0.25">
      <c r="C290" t="s">
        <v>797</v>
      </c>
      <c r="D290" t="s">
        <v>243</v>
      </c>
      <c r="E290">
        <v>3</v>
      </c>
      <c r="F290">
        <f>E290*14000</f>
        <v>42000</v>
      </c>
      <c r="G290">
        <f>E290*9000</f>
        <v>27000</v>
      </c>
      <c r="H290">
        <f>E290*5000</f>
        <v>15000</v>
      </c>
    </row>
    <row r="291" spans="1:8" x14ac:dyDescent="0.25">
      <c r="A291" s="112" t="s">
        <v>17</v>
      </c>
      <c r="B291" s="112"/>
      <c r="C291" s="112"/>
      <c r="D291" s="112"/>
      <c r="E291" s="78">
        <f>SUM(E281:E290)</f>
        <v>107</v>
      </c>
      <c r="F291" s="78">
        <f t="shared" ref="F291:H291" si="29">SUM(F281:F290)</f>
        <v>526500</v>
      </c>
      <c r="G291" s="78">
        <f t="shared" si="29"/>
        <v>329000</v>
      </c>
      <c r="H291" s="78">
        <f t="shared" si="29"/>
        <v>197500</v>
      </c>
    </row>
    <row r="292" spans="1:8" x14ac:dyDescent="0.25">
      <c r="A292" t="s">
        <v>28</v>
      </c>
      <c r="B292" s="3">
        <v>45956</v>
      </c>
      <c r="C292" t="s">
        <v>693</v>
      </c>
      <c r="D292" t="s">
        <v>13</v>
      </c>
      <c r="E292">
        <v>27</v>
      </c>
      <c r="F292">
        <f>E292*7000</f>
        <v>189000</v>
      </c>
      <c r="G292">
        <f>E292*4500</f>
        <v>121500</v>
      </c>
      <c r="H292">
        <f>E292*2500</f>
        <v>67500</v>
      </c>
    </row>
    <row r="293" spans="1:8" x14ac:dyDescent="0.25">
      <c r="C293" t="s">
        <v>693</v>
      </c>
      <c r="D293" t="s">
        <v>14</v>
      </c>
      <c r="E293">
        <v>13</v>
      </c>
      <c r="F293">
        <f>E293*10000</f>
        <v>130000</v>
      </c>
      <c r="G293">
        <f>E293*5500</f>
        <v>71500</v>
      </c>
      <c r="H293">
        <f>E293*4500</f>
        <v>58500</v>
      </c>
    </row>
    <row r="294" spans="1:8" x14ac:dyDescent="0.25">
      <c r="C294" t="s">
        <v>217</v>
      </c>
      <c r="D294" t="s">
        <v>11</v>
      </c>
      <c r="E294">
        <v>10</v>
      </c>
      <c r="F294">
        <f>E294*1500</f>
        <v>15000</v>
      </c>
      <c r="G294">
        <f>E294*500</f>
        <v>5000</v>
      </c>
      <c r="H294">
        <f>E294*1000</f>
        <v>10000</v>
      </c>
    </row>
    <row r="295" spans="1:8" x14ac:dyDescent="0.25">
      <c r="C295" t="s">
        <v>217</v>
      </c>
      <c r="D295" t="s">
        <v>13</v>
      </c>
      <c r="E295">
        <v>11</v>
      </c>
      <c r="F295">
        <f>E295*6500</f>
        <v>71500</v>
      </c>
      <c r="G295">
        <f>E295*4500</f>
        <v>49500</v>
      </c>
      <c r="H295">
        <f>E295*2000</f>
        <v>22000</v>
      </c>
    </row>
    <row r="296" spans="1:8" x14ac:dyDescent="0.25">
      <c r="C296" t="s">
        <v>217</v>
      </c>
      <c r="D296" t="s">
        <v>14</v>
      </c>
      <c r="E296">
        <v>2</v>
      </c>
      <c r="F296">
        <v>20000</v>
      </c>
      <c r="G296">
        <v>11000</v>
      </c>
      <c r="H296">
        <v>9000</v>
      </c>
    </row>
    <row r="297" spans="1:8" x14ac:dyDescent="0.25">
      <c r="C297" t="s">
        <v>797</v>
      </c>
      <c r="D297" t="s">
        <v>13</v>
      </c>
      <c r="E297">
        <v>26</v>
      </c>
      <c r="F297">
        <f>E297*6500</f>
        <v>169000</v>
      </c>
      <c r="G297">
        <f>E297*4500</f>
        <v>117000</v>
      </c>
      <c r="H297">
        <f>E297*2000</f>
        <v>52000</v>
      </c>
    </row>
    <row r="298" spans="1:8" x14ac:dyDescent="0.25">
      <c r="C298" t="s">
        <v>797</v>
      </c>
      <c r="D298" t="s">
        <v>14</v>
      </c>
      <c r="E298">
        <v>5</v>
      </c>
      <c r="F298">
        <f>E298*10000</f>
        <v>50000</v>
      </c>
      <c r="G298">
        <f>E298*5500</f>
        <v>27500</v>
      </c>
      <c r="H298">
        <f>E298*4500</f>
        <v>22500</v>
      </c>
    </row>
    <row r="299" spans="1:8" x14ac:dyDescent="0.25">
      <c r="C299" t="s">
        <v>797</v>
      </c>
      <c r="D299" t="s">
        <v>243</v>
      </c>
      <c r="E299">
        <v>1</v>
      </c>
      <c r="F299">
        <v>14000</v>
      </c>
      <c r="G299">
        <v>9000</v>
      </c>
      <c r="H299">
        <v>5000</v>
      </c>
    </row>
    <row r="300" spans="1:8" x14ac:dyDescent="0.25">
      <c r="C300" t="s">
        <v>993</v>
      </c>
      <c r="D300" t="s">
        <v>11</v>
      </c>
      <c r="E300">
        <v>21</v>
      </c>
      <c r="F300">
        <f>E300*2000</f>
        <v>42000</v>
      </c>
      <c r="G300">
        <f>E300*500</f>
        <v>10500</v>
      </c>
      <c r="H300">
        <f>E300*1500</f>
        <v>31500</v>
      </c>
    </row>
    <row r="301" spans="1:8" x14ac:dyDescent="0.25">
      <c r="C301" t="s">
        <v>993</v>
      </c>
      <c r="D301" t="s">
        <v>13</v>
      </c>
      <c r="E301">
        <v>80</v>
      </c>
      <c r="F301">
        <f>E301*7000</f>
        <v>560000</v>
      </c>
      <c r="G301">
        <f>E301*4500</f>
        <v>360000</v>
      </c>
      <c r="H301">
        <f>E301*2000</f>
        <v>160000</v>
      </c>
    </row>
    <row r="302" spans="1:8" x14ac:dyDescent="0.25">
      <c r="C302" t="s">
        <v>993</v>
      </c>
      <c r="D302" t="s">
        <v>14</v>
      </c>
      <c r="E302">
        <v>30</v>
      </c>
      <c r="F302">
        <f>E302*10000</f>
        <v>300000</v>
      </c>
      <c r="G302">
        <f>E302*5500</f>
        <v>165000</v>
      </c>
      <c r="H302">
        <f>E302*4500</f>
        <v>135000</v>
      </c>
    </row>
    <row r="303" spans="1:8" x14ac:dyDescent="0.25">
      <c r="C303" t="s">
        <v>24</v>
      </c>
      <c r="D303" t="s">
        <v>243</v>
      </c>
      <c r="E303">
        <v>4</v>
      </c>
      <c r="F303">
        <f>E303*15000</f>
        <v>60000</v>
      </c>
      <c r="G303">
        <f>E303*9000</f>
        <v>36000</v>
      </c>
      <c r="H303">
        <f>E303*6000</f>
        <v>24000</v>
      </c>
    </row>
    <row r="304" spans="1:8" x14ac:dyDescent="0.25">
      <c r="A304" s="112" t="s">
        <v>17</v>
      </c>
      <c r="B304" s="112"/>
      <c r="C304" s="112"/>
      <c r="D304" s="112"/>
      <c r="E304" s="78">
        <f>SUM(E292:E303)</f>
        <v>230</v>
      </c>
      <c r="F304" s="78">
        <f t="shared" ref="F304:H304" si="30">SUM(F292:F303)</f>
        <v>1620500</v>
      </c>
      <c r="G304" s="78">
        <f t="shared" si="30"/>
        <v>983500</v>
      </c>
      <c r="H304" s="78">
        <f t="shared" si="30"/>
        <v>597000</v>
      </c>
    </row>
    <row r="305" spans="1:8" x14ac:dyDescent="0.25">
      <c r="A305" t="s">
        <v>30</v>
      </c>
      <c r="B305" s="3">
        <v>45957</v>
      </c>
      <c r="C305" t="s">
        <v>338</v>
      </c>
      <c r="D305" t="s">
        <v>11</v>
      </c>
      <c r="E305">
        <v>50</v>
      </c>
      <c r="F305">
        <f>E305*1500</f>
        <v>75000</v>
      </c>
      <c r="G305">
        <f>E305*500</f>
        <v>25000</v>
      </c>
      <c r="H305">
        <f>E305*1000</f>
        <v>50000</v>
      </c>
    </row>
    <row r="306" spans="1:8" x14ac:dyDescent="0.25">
      <c r="C306" t="s">
        <v>581</v>
      </c>
      <c r="D306" t="s">
        <v>11</v>
      </c>
      <c r="E306">
        <v>15</v>
      </c>
      <c r="F306">
        <f>E306*1600</f>
        <v>24000</v>
      </c>
      <c r="G306">
        <f>E306*500</f>
        <v>7500</v>
      </c>
      <c r="H306">
        <f>E306*1100</f>
        <v>16500</v>
      </c>
    </row>
    <row r="307" spans="1:8" x14ac:dyDescent="0.25">
      <c r="C307" t="s">
        <v>571</v>
      </c>
      <c r="D307" t="s">
        <v>11</v>
      </c>
      <c r="E307">
        <v>20</v>
      </c>
      <c r="F307">
        <f>E307*1700</f>
        <v>34000</v>
      </c>
      <c r="G307">
        <f>E307*500</f>
        <v>10000</v>
      </c>
      <c r="H307">
        <f>E307*1200</f>
        <v>24000</v>
      </c>
    </row>
    <row r="308" spans="1:8" x14ac:dyDescent="0.25">
      <c r="C308" t="s">
        <v>954</v>
      </c>
      <c r="D308" t="s">
        <v>902</v>
      </c>
      <c r="E308">
        <v>13</v>
      </c>
      <c r="F308">
        <f>E308*8000</f>
        <v>104000</v>
      </c>
      <c r="G308">
        <f>E308*5500</f>
        <v>71500</v>
      </c>
      <c r="H308">
        <f>E308*2500</f>
        <v>32500</v>
      </c>
    </row>
    <row r="309" spans="1:8" x14ac:dyDescent="0.25">
      <c r="D309" t="s">
        <v>14</v>
      </c>
      <c r="E309">
        <v>2</v>
      </c>
      <c r="F309">
        <f>E309*12000</f>
        <v>24000</v>
      </c>
      <c r="G309">
        <f>E309*5500</f>
        <v>11000</v>
      </c>
      <c r="H309">
        <f>E309*6500</f>
        <v>13000</v>
      </c>
    </row>
    <row r="310" spans="1:8" x14ac:dyDescent="0.25">
      <c r="C310" t="s">
        <v>797</v>
      </c>
      <c r="D310" t="s">
        <v>13</v>
      </c>
      <c r="E310">
        <v>21</v>
      </c>
      <c r="F310" t="s">
        <v>777</v>
      </c>
      <c r="G310" t="s">
        <v>777</v>
      </c>
      <c r="H310" t="s">
        <v>777</v>
      </c>
    </row>
    <row r="311" spans="1:8" x14ac:dyDescent="0.25">
      <c r="D311" t="s">
        <v>14</v>
      </c>
      <c r="E311">
        <v>20</v>
      </c>
      <c r="F311" t="s">
        <v>777</v>
      </c>
      <c r="G311" t="s">
        <v>777</v>
      </c>
      <c r="H311" t="s">
        <v>777</v>
      </c>
    </row>
    <row r="312" spans="1:8" x14ac:dyDescent="0.25">
      <c r="D312" t="s">
        <v>243</v>
      </c>
      <c r="E312">
        <v>3</v>
      </c>
      <c r="F312">
        <f>E312*14000</f>
        <v>42000</v>
      </c>
      <c r="G312">
        <f>E312*10000</f>
        <v>30000</v>
      </c>
      <c r="H312">
        <f>E312*4000</f>
        <v>12000</v>
      </c>
    </row>
    <row r="313" spans="1:8" x14ac:dyDescent="0.25">
      <c r="C313" t="s">
        <v>1002</v>
      </c>
      <c r="D313" t="s">
        <v>13</v>
      </c>
      <c r="E313">
        <v>20</v>
      </c>
      <c r="F313">
        <f>E313*7000</f>
        <v>140000</v>
      </c>
      <c r="G313">
        <f>E313*4500</f>
        <v>90000</v>
      </c>
      <c r="H313">
        <f>E313*2500</f>
        <v>50000</v>
      </c>
    </row>
    <row r="314" spans="1:8" x14ac:dyDescent="0.25">
      <c r="C314" t="s">
        <v>24</v>
      </c>
      <c r="D314" t="s">
        <v>243</v>
      </c>
      <c r="E314">
        <v>2</v>
      </c>
      <c r="F314">
        <v>30000</v>
      </c>
      <c r="G314">
        <v>20000</v>
      </c>
      <c r="H314">
        <v>10000</v>
      </c>
    </row>
    <row r="315" spans="1:8" x14ac:dyDescent="0.25">
      <c r="A315" s="112" t="s">
        <v>17</v>
      </c>
      <c r="B315" s="112"/>
      <c r="C315" s="112"/>
      <c r="D315" s="112"/>
      <c r="E315" s="78">
        <f>SUM(E305:E314)</f>
        <v>166</v>
      </c>
      <c r="F315" s="78">
        <f t="shared" ref="F315:H315" si="31">SUM(F305:F314)</f>
        <v>473000</v>
      </c>
      <c r="G315" s="78">
        <f t="shared" si="31"/>
        <v>265000</v>
      </c>
      <c r="H315" s="78">
        <f t="shared" si="31"/>
        <v>208000</v>
      </c>
    </row>
    <row r="316" spans="1:8" x14ac:dyDescent="0.25">
      <c r="A316" t="s">
        <v>32</v>
      </c>
      <c r="B316" s="3">
        <v>45958</v>
      </c>
      <c r="C316" t="s">
        <v>338</v>
      </c>
      <c r="D316" t="s">
        <v>11</v>
      </c>
      <c r="E316">
        <v>35</v>
      </c>
      <c r="F316">
        <f>E316*1500</f>
        <v>52500</v>
      </c>
      <c r="G316">
        <f>E316*500</f>
        <v>17500</v>
      </c>
      <c r="H316">
        <f>E316*1000</f>
        <v>35000</v>
      </c>
    </row>
    <row r="317" spans="1:8" x14ac:dyDescent="0.25">
      <c r="C317" t="s">
        <v>581</v>
      </c>
      <c r="D317" t="s">
        <v>11</v>
      </c>
      <c r="E317">
        <v>16</v>
      </c>
      <c r="F317">
        <f>E317*1600</f>
        <v>25600</v>
      </c>
      <c r="G317">
        <f>E317*500</f>
        <v>8000</v>
      </c>
      <c r="H317">
        <f>E317*1100</f>
        <v>17600</v>
      </c>
    </row>
    <row r="318" spans="1:8" x14ac:dyDescent="0.25">
      <c r="C318" t="s">
        <v>797</v>
      </c>
      <c r="D318" t="s">
        <v>13</v>
      </c>
      <c r="E318">
        <v>20</v>
      </c>
      <c r="F318">
        <f>E318*6500</f>
        <v>130000</v>
      </c>
      <c r="G318">
        <f>E318*4500</f>
        <v>90000</v>
      </c>
      <c r="H318">
        <f>E318*2000</f>
        <v>40000</v>
      </c>
    </row>
    <row r="319" spans="1:8" x14ac:dyDescent="0.25">
      <c r="C319" t="s">
        <v>797</v>
      </c>
      <c r="D319" t="s">
        <v>14</v>
      </c>
      <c r="E319">
        <v>11</v>
      </c>
      <c r="F319">
        <f>E319*10000</f>
        <v>110000</v>
      </c>
      <c r="G319">
        <f>E319*5500</f>
        <v>60500</v>
      </c>
      <c r="H319">
        <f>E319*4500</f>
        <v>49500</v>
      </c>
    </row>
    <row r="320" spans="1:8" x14ac:dyDescent="0.25">
      <c r="C320" t="s">
        <v>797</v>
      </c>
      <c r="D320" t="s">
        <v>243</v>
      </c>
      <c r="E320">
        <v>1</v>
      </c>
      <c r="F320">
        <v>14000</v>
      </c>
      <c r="G320">
        <v>9000</v>
      </c>
      <c r="H320">
        <v>5000</v>
      </c>
    </row>
    <row r="321" spans="1:8" x14ac:dyDescent="0.25">
      <c r="C321" t="s">
        <v>797</v>
      </c>
      <c r="D321" t="s">
        <v>11</v>
      </c>
      <c r="E321">
        <v>1</v>
      </c>
      <c r="F321">
        <v>1500</v>
      </c>
      <c r="G321">
        <v>500</v>
      </c>
      <c r="H321">
        <v>1000</v>
      </c>
    </row>
    <row r="322" spans="1:8" x14ac:dyDescent="0.25">
      <c r="A322" s="112" t="s">
        <v>17</v>
      </c>
      <c r="B322" s="112"/>
      <c r="C322" s="112"/>
      <c r="D322" s="112"/>
      <c r="E322" s="78">
        <f>SUM(E316:E321)</f>
        <v>84</v>
      </c>
      <c r="F322" s="78">
        <f t="shared" ref="F322:H322" si="32">SUM(F316:F321)</f>
        <v>333600</v>
      </c>
      <c r="G322" s="78">
        <f t="shared" si="32"/>
        <v>185500</v>
      </c>
      <c r="H322" s="78">
        <f t="shared" si="32"/>
        <v>148100</v>
      </c>
    </row>
    <row r="323" spans="1:8" x14ac:dyDescent="0.25">
      <c r="A323" t="s">
        <v>8</v>
      </c>
      <c r="B323" s="3">
        <v>45959</v>
      </c>
      <c r="C323" t="s">
        <v>338</v>
      </c>
      <c r="D323" t="s">
        <v>11</v>
      </c>
      <c r="E323">
        <v>45</v>
      </c>
      <c r="F323" s="79">
        <f>E323*1500</f>
        <v>67500</v>
      </c>
      <c r="G323" s="79">
        <f>E323*500</f>
        <v>22500</v>
      </c>
      <c r="H323" s="79">
        <f>E323*1000</f>
        <v>45000</v>
      </c>
    </row>
    <row r="324" spans="1:8" x14ac:dyDescent="0.25">
      <c r="C324" t="s">
        <v>581</v>
      </c>
      <c r="D324" t="s">
        <v>11</v>
      </c>
      <c r="E324">
        <v>22</v>
      </c>
      <c r="F324" s="79">
        <f>E324*1600</f>
        <v>35200</v>
      </c>
      <c r="G324" s="79">
        <f>E324*500</f>
        <v>11000</v>
      </c>
      <c r="H324" s="79">
        <f>E324*1100</f>
        <v>24200</v>
      </c>
    </row>
    <row r="325" spans="1:8" x14ac:dyDescent="0.25">
      <c r="C325" t="s">
        <v>797</v>
      </c>
      <c r="D325" t="s">
        <v>11</v>
      </c>
      <c r="E325">
        <v>8</v>
      </c>
      <c r="F325" s="79">
        <f>E325*1500</f>
        <v>12000</v>
      </c>
      <c r="G325" s="79">
        <f>E325*500</f>
        <v>4000</v>
      </c>
      <c r="H325" s="79">
        <f>E325*1000</f>
        <v>8000</v>
      </c>
    </row>
    <row r="326" spans="1:8" x14ac:dyDescent="0.25">
      <c r="C326" t="s">
        <v>797</v>
      </c>
      <c r="D326" t="s">
        <v>13</v>
      </c>
      <c r="E326">
        <v>10</v>
      </c>
      <c r="F326" s="79">
        <f>E326*6500</f>
        <v>65000</v>
      </c>
      <c r="G326" s="79">
        <f>E326*4500</f>
        <v>45000</v>
      </c>
      <c r="H326" s="79">
        <f>E326*2000</f>
        <v>20000</v>
      </c>
    </row>
    <row r="327" spans="1:8" x14ac:dyDescent="0.25">
      <c r="C327" t="s">
        <v>797</v>
      </c>
      <c r="D327" t="s">
        <v>14</v>
      </c>
      <c r="E327">
        <v>1</v>
      </c>
      <c r="F327" s="79">
        <v>10000</v>
      </c>
      <c r="G327" s="79">
        <v>5500</v>
      </c>
      <c r="H327" s="79">
        <v>4500</v>
      </c>
    </row>
    <row r="328" spans="1:8" x14ac:dyDescent="0.25">
      <c r="C328" t="s">
        <v>937</v>
      </c>
      <c r="D328" t="s">
        <v>243</v>
      </c>
      <c r="E328">
        <v>55</v>
      </c>
      <c r="F328" s="79">
        <f>E328*17000</f>
        <v>935000</v>
      </c>
      <c r="G328" s="79">
        <f>E328*10000</f>
        <v>550000</v>
      </c>
      <c r="H328" s="79">
        <f>E328*7000</f>
        <v>385000</v>
      </c>
    </row>
    <row r="329" spans="1:8" x14ac:dyDescent="0.25">
      <c r="A329" s="112" t="s">
        <v>17</v>
      </c>
      <c r="B329" s="112"/>
      <c r="C329" s="112"/>
      <c r="D329" s="112"/>
      <c r="E329" s="78">
        <f>SUM(E323:E328)</f>
        <v>141</v>
      </c>
      <c r="F329" s="78">
        <f t="shared" ref="F329:H329" si="33">SUM(F323:F328)</f>
        <v>1124700</v>
      </c>
      <c r="G329" s="78">
        <f t="shared" si="33"/>
        <v>638000</v>
      </c>
      <c r="H329" s="78">
        <f t="shared" si="33"/>
        <v>486700</v>
      </c>
    </row>
    <row r="330" spans="1:8" x14ac:dyDescent="0.25">
      <c r="A330" t="s">
        <v>18</v>
      </c>
      <c r="B330" s="3">
        <v>45960</v>
      </c>
      <c r="C330" t="s">
        <v>1003</v>
      </c>
      <c r="D330" t="s">
        <v>243</v>
      </c>
      <c r="E330">
        <v>50</v>
      </c>
      <c r="F330">
        <f>E330*12000</f>
        <v>600000</v>
      </c>
      <c r="G330">
        <f>E330*10000</f>
        <v>500000</v>
      </c>
      <c r="H330">
        <f>E330*2000</f>
        <v>100000</v>
      </c>
    </row>
    <row r="331" spans="1:8" x14ac:dyDescent="0.25">
      <c r="C331" t="s">
        <v>954</v>
      </c>
      <c r="D331" t="s">
        <v>902</v>
      </c>
      <c r="E331">
        <v>6</v>
      </c>
      <c r="F331">
        <f>E331*8000</f>
        <v>48000</v>
      </c>
      <c r="G331">
        <f>E331*5500</f>
        <v>33000</v>
      </c>
      <c r="H331">
        <f>E331*2500</f>
        <v>15000</v>
      </c>
    </row>
    <row r="332" spans="1:8" x14ac:dyDescent="0.25">
      <c r="C332" t="s">
        <v>954</v>
      </c>
      <c r="D332" t="s">
        <v>927</v>
      </c>
      <c r="E332">
        <v>1</v>
      </c>
      <c r="F332">
        <v>10000</v>
      </c>
      <c r="G332">
        <v>5500</v>
      </c>
      <c r="H332">
        <v>4500</v>
      </c>
    </row>
    <row r="333" spans="1:8" x14ac:dyDescent="0.25">
      <c r="C333" t="s">
        <v>846</v>
      </c>
      <c r="D333" t="s">
        <v>933</v>
      </c>
      <c r="E333">
        <v>1</v>
      </c>
      <c r="F333" t="s">
        <v>777</v>
      </c>
    </row>
    <row r="334" spans="1:8" x14ac:dyDescent="0.25">
      <c r="C334" t="s">
        <v>846</v>
      </c>
      <c r="D334" t="s">
        <v>919</v>
      </c>
      <c r="E334">
        <v>1</v>
      </c>
      <c r="F334" t="s">
        <v>777</v>
      </c>
    </row>
    <row r="335" spans="1:8" x14ac:dyDescent="0.25">
      <c r="C335" t="s">
        <v>846</v>
      </c>
      <c r="D335" t="s">
        <v>958</v>
      </c>
      <c r="E335">
        <v>1</v>
      </c>
      <c r="F335">
        <v>10000</v>
      </c>
      <c r="G335">
        <v>5500</v>
      </c>
      <c r="H335">
        <v>4500</v>
      </c>
    </row>
    <row r="336" spans="1:8" x14ac:dyDescent="0.25">
      <c r="C336" t="s">
        <v>846</v>
      </c>
      <c r="D336" t="s">
        <v>13</v>
      </c>
      <c r="E336">
        <v>2</v>
      </c>
      <c r="F336" t="s">
        <v>777</v>
      </c>
    </row>
    <row r="337" spans="1:8" x14ac:dyDescent="0.25">
      <c r="C337" t="s">
        <v>846</v>
      </c>
      <c r="D337" t="s">
        <v>902</v>
      </c>
      <c r="E337">
        <v>3</v>
      </c>
      <c r="F337">
        <f>E337*8000</f>
        <v>24000</v>
      </c>
      <c r="G337">
        <f>E337*5500</f>
        <v>16500</v>
      </c>
      <c r="H337">
        <f>E337*2500</f>
        <v>7500</v>
      </c>
    </row>
    <row r="338" spans="1:8" x14ac:dyDescent="0.25">
      <c r="A338" s="112" t="s">
        <v>17</v>
      </c>
      <c r="B338" s="112"/>
      <c r="C338" s="112"/>
      <c r="D338" s="112"/>
      <c r="E338" s="78">
        <f>SUM(E330:E337)</f>
        <v>65</v>
      </c>
      <c r="F338" s="78">
        <f t="shared" ref="F338:H338" si="34">SUM(F330:F337)</f>
        <v>692000</v>
      </c>
      <c r="G338" s="78">
        <f t="shared" si="34"/>
        <v>560500</v>
      </c>
      <c r="H338" s="78">
        <f t="shared" si="34"/>
        <v>131500</v>
      </c>
    </row>
    <row r="339" spans="1:8" x14ac:dyDescent="0.25">
      <c r="A339" t="s">
        <v>22</v>
      </c>
      <c r="B339" s="3">
        <v>45961</v>
      </c>
      <c r="C339" t="s">
        <v>338</v>
      </c>
      <c r="D339" t="s">
        <v>11</v>
      </c>
      <c r="E339">
        <v>45</v>
      </c>
      <c r="F339" s="79">
        <f>E339*1500</f>
        <v>67500</v>
      </c>
      <c r="G339" s="79">
        <f>E339*500</f>
        <v>22500</v>
      </c>
      <c r="H339" s="79">
        <f>E339*1000</f>
        <v>45000</v>
      </c>
    </row>
    <row r="340" spans="1:8" x14ac:dyDescent="0.25">
      <c r="C340" t="s">
        <v>581</v>
      </c>
      <c r="D340" t="s">
        <v>11</v>
      </c>
      <c r="E340">
        <v>12</v>
      </c>
      <c r="F340" s="79">
        <f>E340*1500</f>
        <v>18000</v>
      </c>
      <c r="G340" s="79">
        <f>E340*500</f>
        <v>6000</v>
      </c>
      <c r="H340" s="79">
        <f>E340*1000</f>
        <v>12000</v>
      </c>
    </row>
    <row r="341" spans="1:8" x14ac:dyDescent="0.25">
      <c r="C341" t="s">
        <v>954</v>
      </c>
      <c r="D341" t="s">
        <v>902</v>
      </c>
      <c r="E341">
        <v>4</v>
      </c>
      <c r="F341" s="79">
        <f>E341*8000</f>
        <v>32000</v>
      </c>
      <c r="G341" s="79">
        <f>E341*5500</f>
        <v>22000</v>
      </c>
      <c r="H341" s="79">
        <f>E341*2500</f>
        <v>10000</v>
      </c>
    </row>
    <row r="342" spans="1:8" x14ac:dyDescent="0.25">
      <c r="C342" t="s">
        <v>954</v>
      </c>
      <c r="D342" t="s">
        <v>13</v>
      </c>
      <c r="E342">
        <v>2</v>
      </c>
      <c r="F342" s="79">
        <v>24000</v>
      </c>
      <c r="G342" s="79">
        <v>11000</v>
      </c>
      <c r="H342" s="79">
        <v>13000</v>
      </c>
    </row>
    <row r="343" spans="1:8" x14ac:dyDescent="0.25">
      <c r="C343" t="s">
        <v>846</v>
      </c>
      <c r="D343" t="s">
        <v>902</v>
      </c>
      <c r="E343">
        <v>6</v>
      </c>
      <c r="F343" s="79">
        <f>E343*8000</f>
        <v>48000</v>
      </c>
      <c r="G343" s="79">
        <f>E343*5500</f>
        <v>33000</v>
      </c>
      <c r="H343" s="79">
        <f>E343*2500</f>
        <v>15000</v>
      </c>
    </row>
    <row r="344" spans="1:8" x14ac:dyDescent="0.25">
      <c r="C344" t="s">
        <v>846</v>
      </c>
      <c r="D344" t="s">
        <v>958</v>
      </c>
      <c r="E344">
        <v>1</v>
      </c>
      <c r="F344" s="79">
        <v>10000</v>
      </c>
      <c r="G344" s="79">
        <v>5500</v>
      </c>
      <c r="H344" s="79">
        <v>4500</v>
      </c>
    </row>
    <row r="345" spans="1:8" x14ac:dyDescent="0.25">
      <c r="C345" t="s">
        <v>846</v>
      </c>
      <c r="D345" t="s">
        <v>13</v>
      </c>
      <c r="E345">
        <v>1</v>
      </c>
      <c r="F345" s="79">
        <v>8000</v>
      </c>
      <c r="G345" s="79">
        <v>4500</v>
      </c>
      <c r="H345" s="79">
        <v>3500</v>
      </c>
    </row>
    <row r="346" spans="1:8" x14ac:dyDescent="0.25">
      <c r="C346" t="s">
        <v>846</v>
      </c>
      <c r="D346" t="s">
        <v>919</v>
      </c>
      <c r="E346">
        <v>1</v>
      </c>
      <c r="F346" s="79">
        <v>12000</v>
      </c>
      <c r="G346" s="79">
        <v>5500</v>
      </c>
      <c r="H346" s="79">
        <v>6500</v>
      </c>
    </row>
    <row r="347" spans="1:8" x14ac:dyDescent="0.25">
      <c r="C347" t="s">
        <v>797</v>
      </c>
      <c r="D347" t="s">
        <v>13</v>
      </c>
      <c r="E347">
        <v>20</v>
      </c>
      <c r="F347" s="79">
        <f>E347*6500</f>
        <v>130000</v>
      </c>
      <c r="G347" s="79">
        <f>E347*4500</f>
        <v>90000</v>
      </c>
      <c r="H347" s="79">
        <f>E347*2000</f>
        <v>40000</v>
      </c>
    </row>
    <row r="348" spans="1:8" x14ac:dyDescent="0.25">
      <c r="D348" t="s">
        <v>14</v>
      </c>
      <c r="E348">
        <v>10</v>
      </c>
      <c r="F348" s="79">
        <f>E348*10000</f>
        <v>100000</v>
      </c>
      <c r="G348" s="79">
        <f>E348*5500</f>
        <v>55000</v>
      </c>
      <c r="H348" s="79">
        <f>E348*4500</f>
        <v>45000</v>
      </c>
    </row>
    <row r="349" spans="1:8" x14ac:dyDescent="0.25">
      <c r="D349" t="s">
        <v>243</v>
      </c>
      <c r="E349">
        <v>4</v>
      </c>
      <c r="F349" s="79">
        <f>E349*14000</f>
        <v>56000</v>
      </c>
      <c r="G349" s="79">
        <f>E349*9000</f>
        <v>36000</v>
      </c>
      <c r="H349" s="79">
        <f>E349*5000</f>
        <v>20000</v>
      </c>
    </row>
    <row r="350" spans="1:8" x14ac:dyDescent="0.25">
      <c r="A350" s="112" t="s">
        <v>17</v>
      </c>
      <c r="B350" s="112"/>
      <c r="C350" s="112"/>
      <c r="D350" s="112"/>
      <c r="E350" s="78">
        <f>SUM(E339:E349)</f>
        <v>106</v>
      </c>
      <c r="F350" s="78">
        <f t="shared" ref="F350:H350" si="35">SUM(F339:F349)</f>
        <v>505500</v>
      </c>
      <c r="G350" s="78">
        <f t="shared" si="35"/>
        <v>291000</v>
      </c>
      <c r="H350" s="78">
        <f t="shared" si="35"/>
        <v>214500</v>
      </c>
    </row>
  </sheetData>
  <mergeCells count="31">
    <mergeCell ref="A184:D184"/>
    <mergeCell ref="A131:D131"/>
    <mergeCell ref="A145:D145"/>
    <mergeCell ref="A237:D237"/>
    <mergeCell ref="A350:D350"/>
    <mergeCell ref="A209:D209"/>
    <mergeCell ref="A224:D224"/>
    <mergeCell ref="A191:D191"/>
    <mergeCell ref="A197:D197"/>
    <mergeCell ref="A153:D153"/>
    <mergeCell ref="A167:D167"/>
    <mergeCell ref="A315:D315"/>
    <mergeCell ref="A322:D322"/>
    <mergeCell ref="A329:D329"/>
    <mergeCell ref="A338:D338"/>
    <mergeCell ref="A251:D251"/>
    <mergeCell ref="A10:D10"/>
    <mergeCell ref="A19:D19"/>
    <mergeCell ref="A28:D28"/>
    <mergeCell ref="A34:D34"/>
    <mergeCell ref="A45:D45"/>
    <mergeCell ref="A73:D73"/>
    <mergeCell ref="A59:D59"/>
    <mergeCell ref="A101:D101"/>
    <mergeCell ref="A119:D119"/>
    <mergeCell ref="A94:D94"/>
    <mergeCell ref="A280:D280"/>
    <mergeCell ref="A291:D291"/>
    <mergeCell ref="A304:D304"/>
    <mergeCell ref="A275:D275"/>
    <mergeCell ref="A268:D268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D35F-643A-4F07-AC6D-9B8989959A14}">
  <dimension ref="A1:I270"/>
  <sheetViews>
    <sheetView topLeftCell="A244" workbookViewId="0">
      <selection sqref="A1:H1"/>
    </sheetView>
  </sheetViews>
  <sheetFormatPr defaultRowHeight="15" x14ac:dyDescent="0.25"/>
  <cols>
    <col min="2" max="2" width="10.7109375" bestFit="1" customWidth="1"/>
    <col min="5" max="5" width="9.28515625" bestFit="1" customWidth="1"/>
    <col min="6" max="6" width="10.7109375" bestFit="1" customWidth="1"/>
    <col min="7" max="7" width="10.5703125" bestFit="1" customWidth="1"/>
    <col min="8" max="8" width="9.425781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26</v>
      </c>
      <c r="B2" s="3">
        <v>45962</v>
      </c>
      <c r="C2" t="s">
        <v>338</v>
      </c>
      <c r="D2" t="s">
        <v>11</v>
      </c>
      <c r="E2">
        <v>45</v>
      </c>
      <c r="F2" s="79">
        <f>E2*1500</f>
        <v>67500</v>
      </c>
      <c r="G2" s="79">
        <f>E2*500</f>
        <v>22500</v>
      </c>
      <c r="H2" s="79">
        <f>E2*1000</f>
        <v>45000</v>
      </c>
    </row>
    <row r="3" spans="1:8" x14ac:dyDescent="0.25">
      <c r="C3" t="s">
        <v>581</v>
      </c>
      <c r="D3" t="s">
        <v>11</v>
      </c>
      <c r="E3">
        <v>12</v>
      </c>
      <c r="F3" s="79">
        <f>E3*1500</f>
        <v>18000</v>
      </c>
      <c r="G3" s="79">
        <f>E3*500</f>
        <v>6000</v>
      </c>
      <c r="H3" s="79">
        <f>E3*1000</f>
        <v>12000</v>
      </c>
    </row>
    <row r="4" spans="1:8" x14ac:dyDescent="0.25">
      <c r="C4" t="s">
        <v>846</v>
      </c>
      <c r="D4" t="s">
        <v>902</v>
      </c>
      <c r="E4">
        <v>9</v>
      </c>
      <c r="F4" s="79">
        <f>E4*8000</f>
        <v>72000</v>
      </c>
      <c r="G4" s="79">
        <f>E4*5500</f>
        <v>49500</v>
      </c>
      <c r="H4" s="79">
        <f>E4*2500</f>
        <v>22500</v>
      </c>
    </row>
    <row r="5" spans="1:8" x14ac:dyDescent="0.25">
      <c r="D5" t="s">
        <v>13</v>
      </c>
      <c r="E5">
        <v>3</v>
      </c>
      <c r="F5" s="79">
        <f>E5*8000</f>
        <v>24000</v>
      </c>
      <c r="G5" s="79">
        <f>E5*4500</f>
        <v>13500</v>
      </c>
      <c r="H5" s="79">
        <f>E5*3500</f>
        <v>10500</v>
      </c>
    </row>
    <row r="6" spans="1:8" x14ac:dyDescent="0.25">
      <c r="C6" t="s">
        <v>954</v>
      </c>
      <c r="D6" t="s">
        <v>902</v>
      </c>
      <c r="E6">
        <v>4</v>
      </c>
      <c r="F6" s="79">
        <f>E6*8000</f>
        <v>32000</v>
      </c>
      <c r="G6" s="79">
        <f>E6*5500</f>
        <v>22000</v>
      </c>
      <c r="H6" s="79">
        <f>E6*2500</f>
        <v>10000</v>
      </c>
    </row>
    <row r="7" spans="1:8" x14ac:dyDescent="0.25">
      <c r="D7" t="s">
        <v>13</v>
      </c>
      <c r="E7">
        <v>4</v>
      </c>
      <c r="F7" s="79">
        <f>E7*8000</f>
        <v>32000</v>
      </c>
      <c r="G7" s="79">
        <f>E7*4500</f>
        <v>18000</v>
      </c>
      <c r="H7" s="79">
        <f>E7*3500</f>
        <v>14000</v>
      </c>
    </row>
    <row r="8" spans="1:8" x14ac:dyDescent="0.25">
      <c r="C8" t="s">
        <v>797</v>
      </c>
      <c r="D8" t="s">
        <v>11</v>
      </c>
      <c r="E8">
        <v>5</v>
      </c>
      <c r="F8" s="79">
        <f>E8*2000</f>
        <v>10000</v>
      </c>
      <c r="G8" s="79">
        <f>E8*500</f>
        <v>2500</v>
      </c>
      <c r="H8" s="79">
        <f>E8*1500</f>
        <v>7500</v>
      </c>
    </row>
    <row r="9" spans="1:8" x14ac:dyDescent="0.25">
      <c r="D9" t="s">
        <v>13</v>
      </c>
      <c r="E9">
        <v>18</v>
      </c>
      <c r="F9" s="79">
        <f>E9*6500</f>
        <v>117000</v>
      </c>
      <c r="G9" s="79">
        <f>E9*4500</f>
        <v>81000</v>
      </c>
      <c r="H9" s="79">
        <f>E9*2000</f>
        <v>36000</v>
      </c>
    </row>
    <row r="10" spans="1:8" x14ac:dyDescent="0.25">
      <c r="C10" t="s">
        <v>952</v>
      </c>
      <c r="D10" t="s">
        <v>243</v>
      </c>
      <c r="E10">
        <v>4</v>
      </c>
      <c r="F10" s="79">
        <f>E10*14000</f>
        <v>56000</v>
      </c>
      <c r="G10" s="79">
        <f>E10*9000</f>
        <v>36000</v>
      </c>
      <c r="H10" s="79">
        <f>E10*5000</f>
        <v>20000</v>
      </c>
    </row>
    <row r="11" spans="1:8" x14ac:dyDescent="0.25">
      <c r="A11" s="112" t="s">
        <v>17</v>
      </c>
      <c r="B11" s="112"/>
      <c r="C11" s="112"/>
      <c r="D11" s="112"/>
      <c r="E11" s="78">
        <f>SUM(E2:E10)</f>
        <v>104</v>
      </c>
      <c r="F11" s="78">
        <f t="shared" ref="F11:G11" si="0">SUM(F2:F10)</f>
        <v>428500</v>
      </c>
      <c r="G11" s="78">
        <f t="shared" si="0"/>
        <v>251000</v>
      </c>
      <c r="H11" s="78">
        <f>SUM(H2:H10)</f>
        <v>177500</v>
      </c>
    </row>
    <row r="12" spans="1:8" x14ac:dyDescent="0.25">
      <c r="A12" t="s">
        <v>28</v>
      </c>
      <c r="B12" s="3">
        <v>45963</v>
      </c>
      <c r="C12" t="s">
        <v>693</v>
      </c>
      <c r="D12" t="s">
        <v>13</v>
      </c>
      <c r="E12">
        <v>31</v>
      </c>
      <c r="F12" s="79">
        <f>E12*7000</f>
        <v>217000</v>
      </c>
      <c r="G12" s="79">
        <f>E12*4500</f>
        <v>139500</v>
      </c>
      <c r="H12" s="79">
        <f>E12*2500</f>
        <v>77500</v>
      </c>
    </row>
    <row r="13" spans="1:8" x14ac:dyDescent="0.25">
      <c r="D13" t="s">
        <v>14</v>
      </c>
      <c r="E13">
        <v>26</v>
      </c>
      <c r="F13" s="79">
        <f>E13*10000</f>
        <v>260000</v>
      </c>
      <c r="G13" s="79">
        <f>E13*5500</f>
        <v>143000</v>
      </c>
      <c r="H13" s="79">
        <f>E13*4500</f>
        <v>117000</v>
      </c>
    </row>
    <row r="14" spans="1:8" x14ac:dyDescent="0.25">
      <c r="C14" t="s">
        <v>217</v>
      </c>
      <c r="D14" t="s">
        <v>11</v>
      </c>
      <c r="E14">
        <v>16</v>
      </c>
      <c r="F14" s="79">
        <f>E14*1500</f>
        <v>24000</v>
      </c>
      <c r="G14" s="79">
        <f>E14*500</f>
        <v>8000</v>
      </c>
      <c r="H14" s="79">
        <f>E14*1000</f>
        <v>16000</v>
      </c>
    </row>
    <row r="15" spans="1:8" x14ac:dyDescent="0.25">
      <c r="D15" t="s">
        <v>13</v>
      </c>
      <c r="E15">
        <v>13</v>
      </c>
      <c r="F15" s="79">
        <f>E15*6500</f>
        <v>84500</v>
      </c>
      <c r="G15" s="79">
        <f>E15*4500</f>
        <v>58500</v>
      </c>
      <c r="H15" s="79">
        <f>E15*2000</f>
        <v>26000</v>
      </c>
    </row>
    <row r="16" spans="1:8" x14ac:dyDescent="0.25">
      <c r="D16" t="s">
        <v>14</v>
      </c>
      <c r="E16">
        <v>12</v>
      </c>
      <c r="F16" s="79">
        <f>E16*10000</f>
        <v>120000</v>
      </c>
      <c r="G16" s="79">
        <f>E16*5500</f>
        <v>66000</v>
      </c>
      <c r="H16" s="79">
        <f>E16*4500</f>
        <v>54000</v>
      </c>
    </row>
    <row r="17" spans="1:8" x14ac:dyDescent="0.25">
      <c r="C17" t="s">
        <v>846</v>
      </c>
      <c r="D17" t="s">
        <v>918</v>
      </c>
      <c r="E17">
        <v>1</v>
      </c>
      <c r="F17" s="79">
        <v>12000</v>
      </c>
      <c r="G17" s="79">
        <v>5500</v>
      </c>
      <c r="H17" s="79">
        <v>6500</v>
      </c>
    </row>
    <row r="18" spans="1:8" x14ac:dyDescent="0.25">
      <c r="D18" t="s">
        <v>919</v>
      </c>
      <c r="E18">
        <v>2</v>
      </c>
      <c r="F18" s="79">
        <f>E18*12000</f>
        <v>24000</v>
      </c>
      <c r="G18" s="79">
        <f>E18*5500</f>
        <v>11000</v>
      </c>
      <c r="H18" s="79">
        <f>E18*6500</f>
        <v>13000</v>
      </c>
    </row>
    <row r="19" spans="1:8" x14ac:dyDescent="0.25">
      <c r="D19" t="s">
        <v>14</v>
      </c>
      <c r="E19">
        <v>1</v>
      </c>
      <c r="F19" s="79">
        <v>12000</v>
      </c>
      <c r="G19" s="79">
        <v>5500</v>
      </c>
      <c r="H19" s="79">
        <v>6500</v>
      </c>
    </row>
    <row r="20" spans="1:8" x14ac:dyDescent="0.25">
      <c r="D20" t="s">
        <v>902</v>
      </c>
      <c r="E20">
        <v>5</v>
      </c>
      <c r="F20" s="79">
        <f>E20*8000</f>
        <v>40000</v>
      </c>
      <c r="G20" s="79">
        <f>E20*5500</f>
        <v>27500</v>
      </c>
      <c r="H20" s="79">
        <f>E20*2500</f>
        <v>12500</v>
      </c>
    </row>
    <row r="21" spans="1:8" x14ac:dyDescent="0.25">
      <c r="D21" t="s">
        <v>927</v>
      </c>
      <c r="E21">
        <v>1</v>
      </c>
      <c r="F21" s="79">
        <v>12000</v>
      </c>
      <c r="G21" s="79">
        <v>5500</v>
      </c>
      <c r="H21" s="79">
        <v>6500</v>
      </c>
    </row>
    <row r="22" spans="1:8" x14ac:dyDescent="0.25">
      <c r="C22" t="s">
        <v>1002</v>
      </c>
      <c r="D22" t="s">
        <v>13</v>
      </c>
      <c r="E22">
        <v>20</v>
      </c>
      <c r="F22" s="79">
        <f>E22*7000</f>
        <v>140000</v>
      </c>
      <c r="G22" s="79">
        <f>E22*4500</f>
        <v>90000</v>
      </c>
      <c r="H22" s="79">
        <f>E22*2500</f>
        <v>50000</v>
      </c>
    </row>
    <row r="23" spans="1:8" x14ac:dyDescent="0.25">
      <c r="A23" s="112" t="s">
        <v>17</v>
      </c>
      <c r="B23" s="112"/>
      <c r="C23" s="112"/>
      <c r="D23" s="112"/>
      <c r="E23" s="78">
        <f>SUM(E12:E22)</f>
        <v>128</v>
      </c>
      <c r="F23" s="78">
        <f t="shared" ref="F23:H23" si="1">SUM(F12:F22)</f>
        <v>945500</v>
      </c>
      <c r="G23" s="78">
        <f t="shared" si="1"/>
        <v>560000</v>
      </c>
      <c r="H23" s="78">
        <f t="shared" si="1"/>
        <v>385500</v>
      </c>
    </row>
    <row r="24" spans="1:8" x14ac:dyDescent="0.25">
      <c r="A24" t="s">
        <v>30</v>
      </c>
      <c r="B24" s="3">
        <v>45964</v>
      </c>
      <c r="C24" t="s">
        <v>338</v>
      </c>
      <c r="D24" t="s">
        <v>11</v>
      </c>
      <c r="E24">
        <v>50</v>
      </c>
      <c r="F24" s="79">
        <f>E24*1500</f>
        <v>75000</v>
      </c>
      <c r="G24" s="79">
        <f>E24*500</f>
        <v>25000</v>
      </c>
      <c r="H24" s="79">
        <f>E24*1000</f>
        <v>50000</v>
      </c>
    </row>
    <row r="25" spans="1:8" x14ac:dyDescent="0.25">
      <c r="C25" t="s">
        <v>581</v>
      </c>
      <c r="D25" t="s">
        <v>11</v>
      </c>
      <c r="E25">
        <v>10</v>
      </c>
      <c r="F25" s="79">
        <f>E25*1500</f>
        <v>15000</v>
      </c>
      <c r="G25" s="79">
        <f>E25*500</f>
        <v>5000</v>
      </c>
      <c r="H25" s="79">
        <f>E25*1000</f>
        <v>10000</v>
      </c>
    </row>
    <row r="26" spans="1:8" x14ac:dyDescent="0.25">
      <c r="C26" t="s">
        <v>846</v>
      </c>
      <c r="D26" t="s">
        <v>902</v>
      </c>
      <c r="E26">
        <v>2</v>
      </c>
      <c r="F26" s="79">
        <v>16000</v>
      </c>
      <c r="G26" s="79">
        <v>11000</v>
      </c>
      <c r="H26" s="79">
        <v>5000</v>
      </c>
    </row>
    <row r="27" spans="1:8" x14ac:dyDescent="0.25">
      <c r="D27" t="s">
        <v>13</v>
      </c>
      <c r="E27">
        <v>5</v>
      </c>
      <c r="F27" s="79">
        <f>E27*8000</f>
        <v>40000</v>
      </c>
      <c r="G27" s="79">
        <f>E27*5500</f>
        <v>27500</v>
      </c>
      <c r="H27" s="79">
        <f>E27*2500</f>
        <v>12500</v>
      </c>
    </row>
    <row r="28" spans="1:8" x14ac:dyDescent="0.25">
      <c r="D28" t="s">
        <v>14</v>
      </c>
      <c r="E28">
        <v>1</v>
      </c>
      <c r="F28" s="79">
        <v>12000</v>
      </c>
      <c r="G28" s="79">
        <v>5500</v>
      </c>
      <c r="H28" s="79">
        <v>6500</v>
      </c>
    </row>
    <row r="29" spans="1:8" x14ac:dyDescent="0.25">
      <c r="D29" t="s">
        <v>919</v>
      </c>
      <c r="E29">
        <v>1</v>
      </c>
      <c r="F29" s="79">
        <v>12000</v>
      </c>
      <c r="G29" s="79">
        <v>5500</v>
      </c>
      <c r="H29" s="79">
        <v>6500</v>
      </c>
    </row>
    <row r="30" spans="1:8" x14ac:dyDescent="0.25">
      <c r="C30" t="s">
        <v>954</v>
      </c>
      <c r="D30" t="s">
        <v>902</v>
      </c>
      <c r="E30">
        <v>1</v>
      </c>
      <c r="F30" s="79">
        <v>8000</v>
      </c>
      <c r="G30" s="79">
        <v>5500</v>
      </c>
      <c r="H30" s="79">
        <v>2500</v>
      </c>
    </row>
    <row r="31" spans="1:8" x14ac:dyDescent="0.25">
      <c r="D31" t="s">
        <v>1004</v>
      </c>
      <c r="E31">
        <v>2</v>
      </c>
      <c r="F31" s="79">
        <v>30000</v>
      </c>
      <c r="G31" s="79">
        <v>20000</v>
      </c>
      <c r="H31" s="79">
        <v>10000</v>
      </c>
    </row>
    <row r="32" spans="1:8" x14ac:dyDescent="0.25">
      <c r="D32" t="s">
        <v>13</v>
      </c>
      <c r="E32">
        <v>1</v>
      </c>
      <c r="F32" s="79">
        <v>8000</v>
      </c>
      <c r="G32" s="79">
        <v>4500</v>
      </c>
      <c r="H32" s="79">
        <v>3500</v>
      </c>
    </row>
    <row r="33" spans="1:8" x14ac:dyDescent="0.25">
      <c r="C33" t="s">
        <v>797</v>
      </c>
      <c r="D33" t="s">
        <v>13</v>
      </c>
      <c r="E33">
        <v>9</v>
      </c>
      <c r="F33" s="79">
        <f>E33*6500</f>
        <v>58500</v>
      </c>
      <c r="G33" s="79">
        <f>E33*4500</f>
        <v>40500</v>
      </c>
      <c r="H33" s="79">
        <f>E33*2000</f>
        <v>18000</v>
      </c>
    </row>
    <row r="34" spans="1:8" x14ac:dyDescent="0.25">
      <c r="D34" t="s">
        <v>14</v>
      </c>
      <c r="E34">
        <v>7</v>
      </c>
      <c r="F34" s="79">
        <f>E34*10000</f>
        <v>70000</v>
      </c>
      <c r="G34" s="79">
        <f>E34*5500</f>
        <v>38500</v>
      </c>
      <c r="H34" s="79">
        <f>E34*4500</f>
        <v>31500</v>
      </c>
    </row>
    <row r="35" spans="1:8" x14ac:dyDescent="0.25">
      <c r="D35" t="s">
        <v>243</v>
      </c>
      <c r="E35">
        <v>1</v>
      </c>
      <c r="F35" s="79">
        <v>14000</v>
      </c>
      <c r="G35" s="79">
        <v>9000</v>
      </c>
      <c r="H35" s="79">
        <v>5000</v>
      </c>
    </row>
    <row r="36" spans="1:8" x14ac:dyDescent="0.25">
      <c r="A36" s="112" t="s">
        <v>17</v>
      </c>
      <c r="B36" s="112"/>
      <c r="C36" s="112"/>
      <c r="D36" s="112"/>
      <c r="E36" s="78">
        <f>SUM(E24:E35)</f>
        <v>90</v>
      </c>
      <c r="F36" s="78">
        <f t="shared" ref="F36:H36" si="2">SUM(F24:F35)</f>
        <v>358500</v>
      </c>
      <c r="G36" s="78">
        <f t="shared" si="2"/>
        <v>197500</v>
      </c>
      <c r="H36" s="78">
        <f t="shared" si="2"/>
        <v>161000</v>
      </c>
    </row>
    <row r="37" spans="1:8" x14ac:dyDescent="0.25">
      <c r="A37" t="s">
        <v>32</v>
      </c>
      <c r="B37" s="3">
        <v>45965</v>
      </c>
      <c r="C37" t="s">
        <v>846</v>
      </c>
      <c r="D37" t="s">
        <v>902</v>
      </c>
      <c r="E37">
        <v>5</v>
      </c>
      <c r="F37" s="79">
        <f>E37*8000</f>
        <v>40000</v>
      </c>
      <c r="G37" s="79">
        <f>E37*5500</f>
        <v>27500</v>
      </c>
      <c r="H37" s="79">
        <f>E37*2500</f>
        <v>12500</v>
      </c>
    </row>
    <row r="38" spans="1:8" x14ac:dyDescent="0.25">
      <c r="D38" t="s">
        <v>13</v>
      </c>
      <c r="E38">
        <v>2</v>
      </c>
      <c r="F38" s="79">
        <v>16000</v>
      </c>
      <c r="G38" s="79">
        <v>9000</v>
      </c>
      <c r="H38" s="79">
        <v>7000</v>
      </c>
    </row>
    <row r="39" spans="1:8" x14ac:dyDescent="0.25">
      <c r="C39" t="s">
        <v>954</v>
      </c>
      <c r="D39" t="s">
        <v>902</v>
      </c>
      <c r="E39">
        <v>5</v>
      </c>
      <c r="F39" s="79">
        <f>E39*8000</f>
        <v>40000</v>
      </c>
      <c r="G39" s="79">
        <f>E39*5500</f>
        <v>27500</v>
      </c>
      <c r="H39" s="79">
        <f>E39*2500</f>
        <v>12500</v>
      </c>
    </row>
    <row r="40" spans="1:8" x14ac:dyDescent="0.25">
      <c r="C40" t="s">
        <v>960</v>
      </c>
      <c r="D40" t="s">
        <v>243</v>
      </c>
      <c r="E40">
        <v>100</v>
      </c>
      <c r="F40" s="79"/>
      <c r="G40" s="79"/>
      <c r="H40" s="79"/>
    </row>
    <row r="41" spans="1:8" x14ac:dyDescent="0.25">
      <c r="A41" s="112" t="s">
        <v>17</v>
      </c>
      <c r="B41" s="112"/>
      <c r="C41" s="112"/>
      <c r="D41" s="112"/>
      <c r="E41" s="78">
        <f>SUM(E37:E40)</f>
        <v>112</v>
      </c>
      <c r="F41" s="78">
        <f t="shared" ref="F41:H41" si="3">SUM(F37:F40)</f>
        <v>96000</v>
      </c>
      <c r="G41" s="78">
        <f t="shared" si="3"/>
        <v>64000</v>
      </c>
      <c r="H41" s="78">
        <f t="shared" si="3"/>
        <v>32000</v>
      </c>
    </row>
    <row r="42" spans="1:8" x14ac:dyDescent="0.25">
      <c r="A42" t="s">
        <v>8</v>
      </c>
      <c r="B42" s="3">
        <v>45966</v>
      </c>
      <c r="C42" t="s">
        <v>338</v>
      </c>
      <c r="D42" t="s">
        <v>11</v>
      </c>
      <c r="E42">
        <v>47</v>
      </c>
      <c r="F42">
        <f>E42*1500</f>
        <v>70500</v>
      </c>
      <c r="G42">
        <f>E42*500</f>
        <v>23500</v>
      </c>
      <c r="H42">
        <f>E42*1000</f>
        <v>47000</v>
      </c>
    </row>
    <row r="43" spans="1:8" x14ac:dyDescent="0.25">
      <c r="C43" t="s">
        <v>581</v>
      </c>
      <c r="D43" t="s">
        <v>11</v>
      </c>
      <c r="E43">
        <v>6</v>
      </c>
      <c r="F43">
        <f>E43*1500</f>
        <v>9000</v>
      </c>
      <c r="G43">
        <f>E43*500</f>
        <v>3000</v>
      </c>
      <c r="H43">
        <v>6000</v>
      </c>
    </row>
    <row r="44" spans="1:8" x14ac:dyDescent="0.25">
      <c r="C44" t="s">
        <v>954</v>
      </c>
      <c r="D44" t="s">
        <v>902</v>
      </c>
      <c r="E44">
        <v>9</v>
      </c>
      <c r="F44">
        <f>E44*8000</f>
        <v>72000</v>
      </c>
      <c r="G44">
        <f>E44*5500</f>
        <v>49500</v>
      </c>
      <c r="H44">
        <f>E44*2500</f>
        <v>22500</v>
      </c>
    </row>
    <row r="45" spans="1:8" x14ac:dyDescent="0.25">
      <c r="C45" t="s">
        <v>846</v>
      </c>
      <c r="D45" t="s">
        <v>14</v>
      </c>
      <c r="E45">
        <v>2</v>
      </c>
      <c r="F45">
        <v>12000</v>
      </c>
      <c r="G45">
        <v>5500</v>
      </c>
      <c r="H45">
        <v>6500</v>
      </c>
    </row>
    <row r="46" spans="1:8" x14ac:dyDescent="0.25">
      <c r="D46" t="s">
        <v>919</v>
      </c>
      <c r="E46" t="s">
        <v>777</v>
      </c>
    </row>
    <row r="47" spans="1:8" x14ac:dyDescent="0.25">
      <c r="C47" t="s">
        <v>797</v>
      </c>
      <c r="D47" t="s">
        <v>11</v>
      </c>
      <c r="E47">
        <v>4</v>
      </c>
      <c r="F47">
        <f>E47*1500</f>
        <v>6000</v>
      </c>
      <c r="G47">
        <f>E47*500</f>
        <v>2000</v>
      </c>
      <c r="H47">
        <f>E47*1000</f>
        <v>4000</v>
      </c>
    </row>
    <row r="48" spans="1:8" x14ac:dyDescent="0.25">
      <c r="D48" t="s">
        <v>13</v>
      </c>
      <c r="E48">
        <v>19</v>
      </c>
      <c r="F48">
        <f>E48*6500</f>
        <v>123500</v>
      </c>
      <c r="G48">
        <f>E48*4500</f>
        <v>85500</v>
      </c>
      <c r="H48">
        <f>E48*2000</f>
        <v>38000</v>
      </c>
    </row>
    <row r="49" spans="1:9" x14ac:dyDescent="0.25">
      <c r="D49" t="s">
        <v>14</v>
      </c>
      <c r="E49">
        <v>9</v>
      </c>
      <c r="F49">
        <f>E49*10000</f>
        <v>90000</v>
      </c>
      <c r="G49">
        <f>E49*5500</f>
        <v>49500</v>
      </c>
      <c r="H49">
        <f>E49*4500</f>
        <v>40500</v>
      </c>
    </row>
    <row r="50" spans="1:9" x14ac:dyDescent="0.25">
      <c r="D50" t="s">
        <v>243</v>
      </c>
      <c r="E50">
        <v>3</v>
      </c>
      <c r="F50">
        <f>E50*14000</f>
        <v>42000</v>
      </c>
      <c r="G50">
        <f>E50*9000</f>
        <v>27000</v>
      </c>
      <c r="H50">
        <f>E50*5000</f>
        <v>15000</v>
      </c>
    </row>
    <row r="51" spans="1:9" x14ac:dyDescent="0.25">
      <c r="A51" s="112" t="s">
        <v>17</v>
      </c>
      <c r="B51" s="112"/>
      <c r="C51" s="112"/>
      <c r="D51" s="112"/>
      <c r="E51" s="78">
        <f>SUM(E42:E50)</f>
        <v>99</v>
      </c>
      <c r="F51" s="78">
        <f t="shared" ref="F51:H51" si="4">SUM(F42:F50)</f>
        <v>425000</v>
      </c>
      <c r="G51" s="78">
        <f t="shared" si="4"/>
        <v>245500</v>
      </c>
      <c r="H51" s="78">
        <f t="shared" si="4"/>
        <v>179500</v>
      </c>
    </row>
    <row r="52" spans="1:9" x14ac:dyDescent="0.25">
      <c r="A52" t="s">
        <v>18</v>
      </c>
      <c r="B52" s="3">
        <v>45967</v>
      </c>
      <c r="C52" t="s">
        <v>338</v>
      </c>
      <c r="D52" t="s">
        <v>11</v>
      </c>
      <c r="E52">
        <v>87</v>
      </c>
      <c r="F52" s="79">
        <f>E52*1500</f>
        <v>130500</v>
      </c>
      <c r="G52" s="79">
        <f>E52*500</f>
        <v>43500</v>
      </c>
      <c r="H52" s="79">
        <f>E52*1000</f>
        <v>87000</v>
      </c>
    </row>
    <row r="53" spans="1:9" x14ac:dyDescent="0.25">
      <c r="C53" t="s">
        <v>581</v>
      </c>
      <c r="D53" t="s">
        <v>11</v>
      </c>
      <c r="E53">
        <v>7</v>
      </c>
      <c r="F53" s="79">
        <f>E53*1500</f>
        <v>10500</v>
      </c>
      <c r="G53" s="79">
        <f>E53*500</f>
        <v>3500</v>
      </c>
      <c r="H53" s="79">
        <f>E53*1000</f>
        <v>7000</v>
      </c>
    </row>
    <row r="54" spans="1:9" x14ac:dyDescent="0.25">
      <c r="C54" t="s">
        <v>797</v>
      </c>
      <c r="D54" t="s">
        <v>11</v>
      </c>
      <c r="E54">
        <v>7</v>
      </c>
      <c r="F54" s="79">
        <f>E54*2000</f>
        <v>14000</v>
      </c>
      <c r="G54" s="79">
        <f>E54*500</f>
        <v>3500</v>
      </c>
      <c r="H54" s="79">
        <f>E54*1500</f>
        <v>10500</v>
      </c>
    </row>
    <row r="55" spans="1:9" x14ac:dyDescent="0.25">
      <c r="C55" t="s">
        <v>797</v>
      </c>
      <c r="D55" t="s">
        <v>13</v>
      </c>
      <c r="E55">
        <v>11</v>
      </c>
      <c r="F55" s="79">
        <f>E55*6500</f>
        <v>71500</v>
      </c>
      <c r="G55" s="79">
        <f>E55*4500</f>
        <v>49500</v>
      </c>
      <c r="H55" s="79">
        <f>E55*2000</f>
        <v>22000</v>
      </c>
    </row>
    <row r="56" spans="1:9" x14ac:dyDescent="0.25">
      <c r="C56" t="s">
        <v>797</v>
      </c>
      <c r="D56" t="s">
        <v>14</v>
      </c>
      <c r="E56">
        <v>6</v>
      </c>
      <c r="F56" s="79">
        <f>E56*10000</f>
        <v>60000</v>
      </c>
      <c r="G56" s="79">
        <f>E56*5500</f>
        <v>33000</v>
      </c>
      <c r="H56" s="79">
        <f>E56*4500</f>
        <v>27000</v>
      </c>
    </row>
    <row r="57" spans="1:9" x14ac:dyDescent="0.25">
      <c r="C57" t="s">
        <v>797</v>
      </c>
      <c r="D57" t="s">
        <v>243</v>
      </c>
      <c r="E57">
        <v>1</v>
      </c>
      <c r="F57" s="79">
        <v>14000</v>
      </c>
      <c r="G57" s="79">
        <v>9000</v>
      </c>
      <c r="H57" s="79">
        <v>5000</v>
      </c>
    </row>
    <row r="58" spans="1:9" x14ac:dyDescent="0.25">
      <c r="C58" t="s">
        <v>1001</v>
      </c>
      <c r="D58" t="s">
        <v>243</v>
      </c>
      <c r="E58">
        <v>50</v>
      </c>
      <c r="F58" s="79">
        <f>E58*12000</f>
        <v>600000</v>
      </c>
      <c r="G58" s="79">
        <f>E58*10000</f>
        <v>500000</v>
      </c>
      <c r="H58" s="79">
        <f>E58*2000</f>
        <v>100000</v>
      </c>
    </row>
    <row r="59" spans="1:9" x14ac:dyDescent="0.25">
      <c r="C59" t="s">
        <v>217</v>
      </c>
      <c r="D59" t="s">
        <v>14</v>
      </c>
      <c r="E59">
        <v>10</v>
      </c>
      <c r="F59" s="79">
        <f>E59*10000</f>
        <v>100000</v>
      </c>
      <c r="G59" s="79">
        <f>E59*5500</f>
        <v>55000</v>
      </c>
      <c r="H59" s="79">
        <f>E59*4500</f>
        <v>45000</v>
      </c>
    </row>
    <row r="60" spans="1:9" x14ac:dyDescent="0.25">
      <c r="C60" t="s">
        <v>846</v>
      </c>
      <c r="D60" t="s">
        <v>902</v>
      </c>
      <c r="E60">
        <v>6</v>
      </c>
      <c r="F60" s="79">
        <f>E60*8000</f>
        <v>48000</v>
      </c>
      <c r="G60" s="79">
        <f>E60*5500</f>
        <v>33000</v>
      </c>
      <c r="H60" s="79">
        <f>E60*2500</f>
        <v>15000</v>
      </c>
    </row>
    <row r="61" spans="1:9" x14ac:dyDescent="0.25">
      <c r="C61" t="s">
        <v>846</v>
      </c>
      <c r="D61" t="s">
        <v>14</v>
      </c>
      <c r="E61">
        <v>2</v>
      </c>
      <c r="F61" s="79">
        <v>12000</v>
      </c>
      <c r="G61" s="79">
        <v>5500</v>
      </c>
      <c r="H61" s="79">
        <v>6500</v>
      </c>
      <c r="I61" t="s">
        <v>1005</v>
      </c>
    </row>
    <row r="62" spans="1:9" x14ac:dyDescent="0.25">
      <c r="C62" t="s">
        <v>846</v>
      </c>
      <c r="D62" t="s">
        <v>592</v>
      </c>
      <c r="E62">
        <v>2</v>
      </c>
      <c r="F62" s="79">
        <v>40000</v>
      </c>
      <c r="G62" s="79">
        <v>24000</v>
      </c>
      <c r="H62" s="79">
        <v>16000</v>
      </c>
    </row>
    <row r="63" spans="1:9" x14ac:dyDescent="0.25">
      <c r="C63" t="s">
        <v>846</v>
      </c>
      <c r="D63" t="s">
        <v>918</v>
      </c>
      <c r="E63">
        <v>2</v>
      </c>
      <c r="F63" s="79">
        <v>30000</v>
      </c>
      <c r="G63" s="79">
        <v>20000</v>
      </c>
      <c r="H63" s="79">
        <v>10000</v>
      </c>
    </row>
    <row r="64" spans="1:9" x14ac:dyDescent="0.25">
      <c r="A64" s="112" t="s">
        <v>17</v>
      </c>
      <c r="B64" s="112"/>
      <c r="C64" s="112"/>
      <c r="D64" s="112"/>
      <c r="E64" s="78">
        <f>SUM(E52:E63)</f>
        <v>191</v>
      </c>
      <c r="F64" s="78">
        <f t="shared" ref="F64:H64" si="5">SUM(F52:F63)</f>
        <v>1130500</v>
      </c>
      <c r="G64" s="78">
        <f t="shared" si="5"/>
        <v>779500</v>
      </c>
      <c r="H64" s="78">
        <f t="shared" si="5"/>
        <v>351000</v>
      </c>
    </row>
    <row r="65" spans="1:9" x14ac:dyDescent="0.25">
      <c r="A65" t="s">
        <v>22</v>
      </c>
      <c r="B65" s="3">
        <v>45968</v>
      </c>
      <c r="C65" t="s">
        <v>581</v>
      </c>
      <c r="D65" t="s">
        <v>11</v>
      </c>
      <c r="E65">
        <v>9</v>
      </c>
      <c r="F65">
        <f>E65*1500</f>
        <v>13500</v>
      </c>
      <c r="G65">
        <f>E65*500</f>
        <v>4500</v>
      </c>
      <c r="H65">
        <f>E65*1000</f>
        <v>9000</v>
      </c>
    </row>
    <row r="66" spans="1:9" x14ac:dyDescent="0.25">
      <c r="C66" t="s">
        <v>954</v>
      </c>
      <c r="D66" t="s">
        <v>902</v>
      </c>
      <c r="E66">
        <v>5</v>
      </c>
      <c r="F66">
        <f>E66*8000</f>
        <v>40000</v>
      </c>
      <c r="G66">
        <f>E66*5500</f>
        <v>27500</v>
      </c>
      <c r="H66">
        <f>E66*2500</f>
        <v>12500</v>
      </c>
    </row>
    <row r="67" spans="1:9" x14ac:dyDescent="0.25">
      <c r="C67" t="s">
        <v>846</v>
      </c>
      <c r="D67" t="s">
        <v>919</v>
      </c>
      <c r="E67">
        <v>1</v>
      </c>
      <c r="F67">
        <v>12000</v>
      </c>
      <c r="G67">
        <v>5500</v>
      </c>
      <c r="H67">
        <v>6500</v>
      </c>
    </row>
    <row r="68" spans="1:9" x14ac:dyDescent="0.25">
      <c r="C68" t="s">
        <v>846</v>
      </c>
      <c r="D68" t="s">
        <v>1006</v>
      </c>
      <c r="E68">
        <v>2</v>
      </c>
      <c r="F68">
        <v>16000</v>
      </c>
      <c r="G68">
        <v>9000</v>
      </c>
      <c r="H68">
        <v>7000</v>
      </c>
    </row>
    <row r="69" spans="1:9" x14ac:dyDescent="0.25">
      <c r="C69" t="s">
        <v>1007</v>
      </c>
      <c r="D69" t="s">
        <v>243</v>
      </c>
      <c r="E69">
        <v>53</v>
      </c>
      <c r="F69">
        <f>E69*16000</f>
        <v>848000</v>
      </c>
      <c r="G69">
        <f>E69*10000</f>
        <v>530000</v>
      </c>
      <c r="H69">
        <f>E69*8000</f>
        <v>424000</v>
      </c>
    </row>
    <row r="70" spans="1:9" x14ac:dyDescent="0.25">
      <c r="C70" t="s">
        <v>1008</v>
      </c>
      <c r="D70" t="s">
        <v>243</v>
      </c>
      <c r="E70">
        <v>60</v>
      </c>
      <c r="F70">
        <f>E70*17000</f>
        <v>1020000</v>
      </c>
      <c r="G70">
        <f>E70*10000</f>
        <v>600000</v>
      </c>
      <c r="H70">
        <f>E70*7000</f>
        <v>420000</v>
      </c>
    </row>
    <row r="71" spans="1:9" x14ac:dyDescent="0.25">
      <c r="A71" s="111" t="s">
        <v>17</v>
      </c>
      <c r="B71" s="111"/>
      <c r="C71" s="111"/>
      <c r="D71" s="111"/>
      <c r="E71" s="1">
        <f>SUM(E65:E70)</f>
        <v>130</v>
      </c>
      <c r="F71" s="78">
        <f t="shared" ref="F71:H71" si="6">SUM(F65:F70)</f>
        <v>1949500</v>
      </c>
      <c r="G71" s="78">
        <f t="shared" si="6"/>
        <v>1176500</v>
      </c>
      <c r="H71" s="78">
        <f t="shared" si="6"/>
        <v>879000</v>
      </c>
    </row>
    <row r="72" spans="1:9" x14ac:dyDescent="0.25">
      <c r="A72" t="s">
        <v>26</v>
      </c>
      <c r="B72" s="3">
        <v>45969</v>
      </c>
      <c r="C72" t="s">
        <v>338</v>
      </c>
      <c r="D72" t="s">
        <v>11</v>
      </c>
      <c r="E72">
        <v>30</v>
      </c>
      <c r="F72">
        <f>E72*1500</f>
        <v>45000</v>
      </c>
      <c r="G72">
        <f>E72*500</f>
        <v>15000</v>
      </c>
      <c r="H72">
        <v>30000</v>
      </c>
    </row>
    <row r="73" spans="1:9" x14ac:dyDescent="0.25">
      <c r="C73" t="s">
        <v>581</v>
      </c>
      <c r="D73" t="s">
        <v>11</v>
      </c>
      <c r="E73">
        <v>12</v>
      </c>
      <c r="F73">
        <f>E73*1500</f>
        <v>18000</v>
      </c>
      <c r="G73">
        <f>E73*500</f>
        <v>6000</v>
      </c>
      <c r="H73">
        <f>E73*1000</f>
        <v>12000</v>
      </c>
    </row>
    <row r="74" spans="1:9" x14ac:dyDescent="0.25">
      <c r="C74" t="s">
        <v>954</v>
      </c>
      <c r="D74" t="s">
        <v>902</v>
      </c>
      <c r="E74">
        <v>2</v>
      </c>
      <c r="F74" t="s">
        <v>777</v>
      </c>
    </row>
    <row r="75" spans="1:9" x14ac:dyDescent="0.25">
      <c r="D75" t="s">
        <v>902</v>
      </c>
      <c r="E75">
        <v>4</v>
      </c>
      <c r="F75">
        <f>E75*8000</f>
        <v>32000</v>
      </c>
      <c r="G75">
        <f>E75*550</f>
        <v>2200</v>
      </c>
      <c r="H75">
        <f>E75*2500</f>
        <v>10000</v>
      </c>
    </row>
    <row r="76" spans="1:9" x14ac:dyDescent="0.25">
      <c r="C76" t="s">
        <v>846</v>
      </c>
      <c r="D76" t="s">
        <v>902</v>
      </c>
      <c r="E76">
        <v>5</v>
      </c>
      <c r="F76">
        <f>E76*8000</f>
        <v>40000</v>
      </c>
      <c r="G76">
        <f>E76*550</f>
        <v>2750</v>
      </c>
      <c r="H76">
        <f>E76*2500</f>
        <v>12500</v>
      </c>
    </row>
    <row r="77" spans="1:9" x14ac:dyDescent="0.25">
      <c r="A77" s="112" t="s">
        <v>17</v>
      </c>
      <c r="B77" s="112"/>
      <c r="C77" s="112"/>
      <c r="D77" s="112"/>
      <c r="E77" s="78">
        <f>SUM(E72:E76)</f>
        <v>53</v>
      </c>
      <c r="F77" s="78">
        <f t="shared" ref="F77:H77" si="7">SUM(F72:F76)</f>
        <v>135000</v>
      </c>
      <c r="G77" s="78">
        <f t="shared" si="7"/>
        <v>25950</v>
      </c>
      <c r="H77" s="78">
        <f t="shared" si="7"/>
        <v>64500</v>
      </c>
    </row>
    <row r="78" spans="1:9" x14ac:dyDescent="0.25">
      <c r="A78" t="s">
        <v>28</v>
      </c>
      <c r="B78" s="3">
        <v>45970</v>
      </c>
      <c r="C78" t="s">
        <v>693</v>
      </c>
      <c r="D78" t="s">
        <v>11</v>
      </c>
      <c r="E78">
        <v>3</v>
      </c>
      <c r="F78" s="79">
        <f>E78*1500</f>
        <v>4500</v>
      </c>
      <c r="G78" s="79">
        <f>E78*500</f>
        <v>1500</v>
      </c>
      <c r="H78" s="79">
        <f>E78*1000</f>
        <v>3000</v>
      </c>
      <c r="I78" s="79"/>
    </row>
    <row r="79" spans="1:9" x14ac:dyDescent="0.25">
      <c r="D79" t="s">
        <v>13</v>
      </c>
      <c r="E79">
        <v>38</v>
      </c>
      <c r="F79" s="79">
        <f>E79*6500</f>
        <v>247000</v>
      </c>
      <c r="G79" s="79">
        <f>E79*450</f>
        <v>17100</v>
      </c>
      <c r="H79" s="79">
        <f>E79*2000</f>
        <v>76000</v>
      </c>
      <c r="I79" s="79"/>
    </row>
    <row r="80" spans="1:9" x14ac:dyDescent="0.25">
      <c r="D80" t="s">
        <v>14</v>
      </c>
      <c r="E80">
        <v>20</v>
      </c>
      <c r="F80" s="79">
        <f>E80*10000</f>
        <v>200000</v>
      </c>
      <c r="G80" s="79">
        <f>E80*5500</f>
        <v>110000</v>
      </c>
      <c r="H80" s="79">
        <f>E80*4500</f>
        <v>90000</v>
      </c>
      <c r="I80" s="79"/>
    </row>
    <row r="81" spans="1:9" x14ac:dyDescent="0.25">
      <c r="D81" t="s">
        <v>919</v>
      </c>
      <c r="E81">
        <v>1</v>
      </c>
      <c r="F81" s="79">
        <v>12000</v>
      </c>
      <c r="G81" s="79">
        <v>5500</v>
      </c>
      <c r="H81" s="79">
        <v>6500</v>
      </c>
      <c r="I81" s="79"/>
    </row>
    <row r="82" spans="1:9" x14ac:dyDescent="0.25">
      <c r="D82" t="s">
        <v>995</v>
      </c>
      <c r="E82">
        <v>2</v>
      </c>
      <c r="F82" s="79">
        <f>E82*26000</f>
        <v>52000</v>
      </c>
      <c r="G82" s="79">
        <f>E82*15000</f>
        <v>30000</v>
      </c>
      <c r="H82" s="79">
        <f>E82*11000</f>
        <v>22000</v>
      </c>
      <c r="I82" s="79"/>
    </row>
    <row r="83" spans="1:9" x14ac:dyDescent="0.25">
      <c r="C83" t="s">
        <v>217</v>
      </c>
      <c r="D83" t="s">
        <v>11</v>
      </c>
      <c r="E83">
        <v>9</v>
      </c>
      <c r="F83" s="79">
        <f>E83*1500</f>
        <v>13500</v>
      </c>
      <c r="G83" s="79">
        <f>E83*500</f>
        <v>4500</v>
      </c>
      <c r="H83" s="79">
        <f>E83*1000</f>
        <v>9000</v>
      </c>
      <c r="I83" s="79"/>
    </row>
    <row r="84" spans="1:9" x14ac:dyDescent="0.25">
      <c r="D84" t="s">
        <v>13</v>
      </c>
      <c r="E84">
        <v>10</v>
      </c>
      <c r="F84" s="79">
        <f>E84*6500</f>
        <v>65000</v>
      </c>
      <c r="G84" s="79">
        <f>E84*4500</f>
        <v>45000</v>
      </c>
      <c r="H84" s="79">
        <f>E84*2000</f>
        <v>20000</v>
      </c>
      <c r="I84" s="79"/>
    </row>
    <row r="85" spans="1:9" x14ac:dyDescent="0.25">
      <c r="D85" t="s">
        <v>14</v>
      </c>
      <c r="E85">
        <v>11</v>
      </c>
      <c r="F85" s="79">
        <f>10000</f>
        <v>10000</v>
      </c>
      <c r="G85" s="79">
        <f>E85*5500</f>
        <v>60500</v>
      </c>
      <c r="H85" s="79">
        <f>E85*4500</f>
        <v>49500</v>
      </c>
      <c r="I85" s="79"/>
    </row>
    <row r="86" spans="1:9" x14ac:dyDescent="0.25">
      <c r="C86" t="s">
        <v>797</v>
      </c>
      <c r="D86" t="s">
        <v>11</v>
      </c>
      <c r="E86">
        <v>1</v>
      </c>
      <c r="F86" s="79">
        <v>2000</v>
      </c>
      <c r="G86" s="79">
        <v>500</v>
      </c>
      <c r="H86" s="79">
        <v>1500</v>
      </c>
      <c r="I86" s="79"/>
    </row>
    <row r="87" spans="1:9" x14ac:dyDescent="0.25">
      <c r="D87" t="s">
        <v>13</v>
      </c>
      <c r="E87">
        <v>10</v>
      </c>
      <c r="F87" s="79">
        <f>E87*6500</f>
        <v>65000</v>
      </c>
      <c r="G87" s="79">
        <f>E87*4500</f>
        <v>45000</v>
      </c>
      <c r="H87" s="79">
        <f>E87*2000</f>
        <v>20000</v>
      </c>
      <c r="I87" s="79"/>
    </row>
    <row r="88" spans="1:9" x14ac:dyDescent="0.25">
      <c r="D88" t="s">
        <v>14</v>
      </c>
      <c r="E88">
        <v>9</v>
      </c>
      <c r="F88" s="79">
        <f>E88*10000</f>
        <v>90000</v>
      </c>
      <c r="G88" s="79">
        <f>E88*5500</f>
        <v>49500</v>
      </c>
      <c r="H88" s="79">
        <f>E88*4500</f>
        <v>40500</v>
      </c>
      <c r="I88" s="79"/>
    </row>
    <row r="89" spans="1:9" x14ac:dyDescent="0.25">
      <c r="D89" t="s">
        <v>243</v>
      </c>
      <c r="E89">
        <v>2</v>
      </c>
      <c r="F89" s="79">
        <f>E89*14000</f>
        <v>28000</v>
      </c>
      <c r="G89" s="79">
        <f>E89*10000</f>
        <v>20000</v>
      </c>
      <c r="H89" s="79">
        <f>E89*4000</f>
        <v>8000</v>
      </c>
      <c r="I89" s="79"/>
    </row>
    <row r="90" spans="1:9" x14ac:dyDescent="0.25">
      <c r="A90" s="112" t="s">
        <v>17</v>
      </c>
      <c r="B90" s="112"/>
      <c r="C90" s="112"/>
      <c r="D90" s="112"/>
      <c r="E90" s="78">
        <f>SUM(E78:E89)</f>
        <v>116</v>
      </c>
      <c r="F90" s="78">
        <f t="shared" ref="F90:H90" si="8">SUM(F78:F89)</f>
        <v>789000</v>
      </c>
      <c r="G90" s="78">
        <f t="shared" si="8"/>
        <v>389100</v>
      </c>
      <c r="H90" s="78">
        <f t="shared" si="8"/>
        <v>346000</v>
      </c>
    </row>
    <row r="91" spans="1:9" x14ac:dyDescent="0.25">
      <c r="A91" t="s">
        <v>30</v>
      </c>
      <c r="B91" s="3">
        <v>45971</v>
      </c>
      <c r="C91" t="s">
        <v>338</v>
      </c>
      <c r="D91" t="s">
        <v>11</v>
      </c>
      <c r="E91">
        <v>45</v>
      </c>
      <c r="F91" s="79">
        <f>E91*1500</f>
        <v>67500</v>
      </c>
      <c r="G91" s="79">
        <f>E91*500</f>
        <v>22500</v>
      </c>
      <c r="H91" s="79">
        <f>E91*1000</f>
        <v>45000</v>
      </c>
    </row>
    <row r="92" spans="1:9" x14ac:dyDescent="0.25">
      <c r="C92" t="s">
        <v>581</v>
      </c>
      <c r="D92" t="s">
        <v>11</v>
      </c>
      <c r="E92">
        <v>15</v>
      </c>
      <c r="F92" s="79">
        <f>E92*1500</f>
        <v>22500</v>
      </c>
      <c r="G92" s="79">
        <f>E92*500</f>
        <v>7500</v>
      </c>
      <c r="H92" s="79">
        <v>15000</v>
      </c>
    </row>
    <row r="93" spans="1:9" x14ac:dyDescent="0.25">
      <c r="C93" t="s">
        <v>571</v>
      </c>
      <c r="D93" t="s">
        <v>11</v>
      </c>
      <c r="E93">
        <v>20</v>
      </c>
      <c r="F93" s="79">
        <f>E93*1500</f>
        <v>30000</v>
      </c>
      <c r="G93" s="79">
        <f>E93*500</f>
        <v>10000</v>
      </c>
      <c r="H93" s="79">
        <v>15000</v>
      </c>
    </row>
    <row r="94" spans="1:9" x14ac:dyDescent="0.25">
      <c r="C94" t="s">
        <v>1001</v>
      </c>
      <c r="D94" t="s">
        <v>243</v>
      </c>
      <c r="E94">
        <v>50</v>
      </c>
      <c r="F94" s="79">
        <f>E94*12000</f>
        <v>600000</v>
      </c>
      <c r="G94" s="79">
        <f>E94*9000</f>
        <v>450000</v>
      </c>
      <c r="H94" s="79">
        <f>E94*3000</f>
        <v>150000</v>
      </c>
    </row>
    <row r="95" spans="1:9" x14ac:dyDescent="0.25">
      <c r="C95" t="s">
        <v>960</v>
      </c>
      <c r="D95" t="s">
        <v>243</v>
      </c>
      <c r="E95">
        <v>50</v>
      </c>
      <c r="F95" s="79">
        <f>E95*15000</f>
        <v>750000</v>
      </c>
      <c r="G95" s="79">
        <f>E95*9000</f>
        <v>450000</v>
      </c>
      <c r="H95" s="79">
        <f>E95*6000</f>
        <v>300000</v>
      </c>
    </row>
    <row r="96" spans="1:9" x14ac:dyDescent="0.25">
      <c r="C96" t="s">
        <v>797</v>
      </c>
      <c r="D96" t="s">
        <v>11</v>
      </c>
      <c r="E96">
        <v>2</v>
      </c>
      <c r="F96" s="79">
        <f>E96*2000</f>
        <v>4000</v>
      </c>
      <c r="G96" s="79">
        <f>E96*500</f>
        <v>1000</v>
      </c>
      <c r="H96" s="79">
        <f>E96*1000</f>
        <v>2000</v>
      </c>
    </row>
    <row r="97" spans="1:9" x14ac:dyDescent="0.25">
      <c r="D97" t="s">
        <v>13</v>
      </c>
      <c r="E97">
        <v>8</v>
      </c>
      <c r="F97" s="79">
        <f>E97*6500</f>
        <v>52000</v>
      </c>
      <c r="G97" s="79">
        <f>E97*4500</f>
        <v>36000</v>
      </c>
      <c r="H97" s="79">
        <f>E97*2000</f>
        <v>16000</v>
      </c>
    </row>
    <row r="98" spans="1:9" x14ac:dyDescent="0.25">
      <c r="D98" t="s">
        <v>14</v>
      </c>
      <c r="E98">
        <v>5</v>
      </c>
      <c r="F98" s="79">
        <f>E98*10000</f>
        <v>50000</v>
      </c>
      <c r="G98" s="79">
        <f>E98*5500</f>
        <v>27500</v>
      </c>
      <c r="H98" s="79">
        <f>E98*4500</f>
        <v>22500</v>
      </c>
    </row>
    <row r="99" spans="1:9" x14ac:dyDescent="0.25">
      <c r="D99" t="s">
        <v>243</v>
      </c>
      <c r="E99">
        <v>2</v>
      </c>
      <c r="F99" s="79">
        <f>E99*14000</f>
        <v>28000</v>
      </c>
      <c r="G99" s="79">
        <f>E99*9000</f>
        <v>18000</v>
      </c>
      <c r="H99" s="79">
        <f>E99*5000</f>
        <v>10000</v>
      </c>
    </row>
    <row r="100" spans="1:9" x14ac:dyDescent="0.25">
      <c r="A100" s="112" t="s">
        <v>17</v>
      </c>
      <c r="B100" s="112"/>
      <c r="C100" s="112"/>
      <c r="D100" s="112"/>
      <c r="E100" s="78">
        <f>SUM(E91:E99)</f>
        <v>197</v>
      </c>
      <c r="F100" s="78">
        <f t="shared" ref="F100:H100" si="9">SUM(F91:F99)</f>
        <v>1604000</v>
      </c>
      <c r="G100" s="78">
        <f t="shared" si="9"/>
        <v>1022500</v>
      </c>
      <c r="H100" s="78">
        <f t="shared" si="9"/>
        <v>575500</v>
      </c>
      <c r="I100" s="78">
        <f t="shared" ref="I100" si="10">SUM(I91:I99)</f>
        <v>0</v>
      </c>
    </row>
    <row r="101" spans="1:9" x14ac:dyDescent="0.25">
      <c r="A101" t="s">
        <v>32</v>
      </c>
      <c r="B101" s="3">
        <v>45972</v>
      </c>
      <c r="C101" t="s">
        <v>338</v>
      </c>
      <c r="D101" t="s">
        <v>11</v>
      </c>
      <c r="E101">
        <v>50</v>
      </c>
      <c r="F101" s="79">
        <f>E101*1500</f>
        <v>75000</v>
      </c>
      <c r="G101" s="79">
        <f>E101*500</f>
        <v>25000</v>
      </c>
      <c r="H101" s="79">
        <f>E101*1000</f>
        <v>50000</v>
      </c>
    </row>
    <row r="102" spans="1:9" x14ac:dyDescent="0.25">
      <c r="C102" t="s">
        <v>581</v>
      </c>
      <c r="D102" t="s">
        <v>11</v>
      </c>
      <c r="E102">
        <v>25</v>
      </c>
      <c r="F102" s="79">
        <f>E102*1500</f>
        <v>37500</v>
      </c>
      <c r="G102" s="79">
        <f>E102*500</f>
        <v>12500</v>
      </c>
      <c r="H102" s="79">
        <f>E102*1000</f>
        <v>25000</v>
      </c>
    </row>
    <row r="103" spans="1:9" x14ac:dyDescent="0.25">
      <c r="C103" t="s">
        <v>954</v>
      </c>
      <c r="D103" t="s">
        <v>243</v>
      </c>
      <c r="E103">
        <v>2</v>
      </c>
      <c r="F103" s="79">
        <f>E103*15000</f>
        <v>30000</v>
      </c>
      <c r="G103" s="79">
        <v>20000</v>
      </c>
      <c r="H103" s="79">
        <v>10000</v>
      </c>
    </row>
    <row r="104" spans="1:9" x14ac:dyDescent="0.25">
      <c r="C104" t="s">
        <v>20</v>
      </c>
      <c r="D104" t="s">
        <v>902</v>
      </c>
      <c r="E104">
        <v>5</v>
      </c>
      <c r="F104" s="79">
        <f>E104*8000</f>
        <v>40000</v>
      </c>
      <c r="G104" s="79">
        <f>E104*5500</f>
        <v>27500</v>
      </c>
      <c r="H104" s="79">
        <f>E104*2500</f>
        <v>12500</v>
      </c>
    </row>
    <row r="105" spans="1:9" x14ac:dyDescent="0.25">
      <c r="C105" t="s">
        <v>797</v>
      </c>
      <c r="D105" t="s">
        <v>11</v>
      </c>
      <c r="E105">
        <v>10</v>
      </c>
      <c r="F105" s="79">
        <f>E105*2000</f>
        <v>20000</v>
      </c>
      <c r="G105" s="79">
        <f>E105*500</f>
        <v>5000</v>
      </c>
      <c r="H105" s="79">
        <f>E105*1500</f>
        <v>15000</v>
      </c>
    </row>
    <row r="106" spans="1:9" x14ac:dyDescent="0.25">
      <c r="D106" t="s">
        <v>13</v>
      </c>
      <c r="E106">
        <v>10</v>
      </c>
      <c r="F106" s="79">
        <f>E106*6500</f>
        <v>65000</v>
      </c>
      <c r="G106" s="79">
        <f>E106*4500</f>
        <v>45000</v>
      </c>
      <c r="H106" s="79">
        <f>E106*2000</f>
        <v>20000</v>
      </c>
    </row>
    <row r="107" spans="1:9" x14ac:dyDescent="0.25">
      <c r="D107" t="s">
        <v>14</v>
      </c>
      <c r="E107">
        <v>6</v>
      </c>
      <c r="F107" s="79">
        <f>E107*10000</f>
        <v>60000</v>
      </c>
      <c r="G107" s="79">
        <f>E107*5500</f>
        <v>33000</v>
      </c>
      <c r="H107" s="79">
        <f>E107*4500</f>
        <v>27000</v>
      </c>
    </row>
    <row r="108" spans="1:9" x14ac:dyDescent="0.25">
      <c r="D108" t="s">
        <v>243</v>
      </c>
      <c r="E108">
        <v>1</v>
      </c>
      <c r="F108" s="79">
        <v>14000</v>
      </c>
      <c r="G108" s="79">
        <v>9000</v>
      </c>
      <c r="H108" s="79">
        <v>5000</v>
      </c>
    </row>
    <row r="109" spans="1:9" x14ac:dyDescent="0.25">
      <c r="A109" s="112" t="s">
        <v>17</v>
      </c>
      <c r="B109" s="112"/>
      <c r="C109" s="112"/>
      <c r="D109" s="112"/>
      <c r="E109" s="78">
        <f>SUM(E101:E108)</f>
        <v>109</v>
      </c>
      <c r="F109" s="78">
        <f t="shared" ref="F109:H109" si="11">SUM(F101:F108)</f>
        <v>341500</v>
      </c>
      <c r="G109" s="78">
        <f t="shared" si="11"/>
        <v>177000</v>
      </c>
      <c r="H109" s="78">
        <f t="shared" si="11"/>
        <v>164500</v>
      </c>
    </row>
    <row r="110" spans="1:9" x14ac:dyDescent="0.25">
      <c r="A110" t="s">
        <v>8</v>
      </c>
      <c r="B110" s="3">
        <v>45973</v>
      </c>
      <c r="C110" t="s">
        <v>338</v>
      </c>
      <c r="D110" t="s">
        <v>11</v>
      </c>
      <c r="E110">
        <v>50</v>
      </c>
      <c r="F110">
        <f>E110*1500</f>
        <v>75000</v>
      </c>
      <c r="G110">
        <f>E110*500</f>
        <v>25000</v>
      </c>
      <c r="H110">
        <f>E110*1000</f>
        <v>50000</v>
      </c>
    </row>
    <row r="111" spans="1:9" x14ac:dyDescent="0.25">
      <c r="C111" t="s">
        <v>581</v>
      </c>
      <c r="D111" t="s">
        <v>11</v>
      </c>
      <c r="E111">
        <v>45</v>
      </c>
      <c r="F111">
        <f>E111*1500</f>
        <v>67500</v>
      </c>
      <c r="G111">
        <f>E111*500</f>
        <v>22500</v>
      </c>
      <c r="H111">
        <f>E111*1000</f>
        <v>45000</v>
      </c>
    </row>
    <row r="112" spans="1:9" x14ac:dyDescent="0.25">
      <c r="C112" t="s">
        <v>571</v>
      </c>
      <c r="D112" t="s">
        <v>11</v>
      </c>
      <c r="E112">
        <v>20</v>
      </c>
      <c r="F112">
        <f>E112*1500</f>
        <v>30000</v>
      </c>
      <c r="G112">
        <f>E112*500</f>
        <v>10000</v>
      </c>
      <c r="H112">
        <f>E112*1000</f>
        <v>20000</v>
      </c>
    </row>
    <row r="113" spans="1:8" x14ac:dyDescent="0.25">
      <c r="C113" t="s">
        <v>954</v>
      </c>
      <c r="D113" t="s">
        <v>902</v>
      </c>
      <c r="E113">
        <v>2</v>
      </c>
      <c r="F113">
        <f>E113*8000</f>
        <v>16000</v>
      </c>
      <c r="G113">
        <v>11000</v>
      </c>
      <c r="H113">
        <v>5000</v>
      </c>
    </row>
    <row r="114" spans="1:8" x14ac:dyDescent="0.25">
      <c r="D114" t="s">
        <v>14</v>
      </c>
      <c r="E114">
        <v>1</v>
      </c>
      <c r="F114">
        <v>12000</v>
      </c>
      <c r="G114">
        <v>5500</v>
      </c>
      <c r="H114">
        <v>6500</v>
      </c>
    </row>
    <row r="115" spans="1:8" x14ac:dyDescent="0.25">
      <c r="D115" t="s">
        <v>919</v>
      </c>
      <c r="E115">
        <v>1</v>
      </c>
      <c r="F115">
        <v>12000</v>
      </c>
      <c r="G115">
        <v>5500</v>
      </c>
      <c r="H115">
        <v>6500</v>
      </c>
    </row>
    <row r="116" spans="1:8" x14ac:dyDescent="0.25">
      <c r="C116" t="s">
        <v>846</v>
      </c>
      <c r="D116" t="s">
        <v>902</v>
      </c>
      <c r="E116">
        <v>4</v>
      </c>
      <c r="F116">
        <f>E116*8000</f>
        <v>32000</v>
      </c>
      <c r="G116">
        <f>E116*5500</f>
        <v>22000</v>
      </c>
      <c r="H116">
        <f>E116*2500</f>
        <v>10000</v>
      </c>
    </row>
    <row r="117" spans="1:8" x14ac:dyDescent="0.25">
      <c r="D117" t="s">
        <v>14</v>
      </c>
      <c r="E117">
        <v>1</v>
      </c>
      <c r="F117">
        <v>12000</v>
      </c>
      <c r="G117">
        <v>5500</v>
      </c>
      <c r="H117">
        <v>6500</v>
      </c>
    </row>
    <row r="118" spans="1:8" x14ac:dyDescent="0.25">
      <c r="D118" t="s">
        <v>958</v>
      </c>
      <c r="E118">
        <v>2</v>
      </c>
      <c r="F118">
        <v>20000</v>
      </c>
      <c r="G118">
        <v>10000</v>
      </c>
      <c r="H118">
        <v>10000</v>
      </c>
    </row>
    <row r="119" spans="1:8" x14ac:dyDescent="0.25">
      <c r="C119" t="s">
        <v>797</v>
      </c>
      <c r="D119" t="s">
        <v>11</v>
      </c>
      <c r="E119">
        <v>10</v>
      </c>
      <c r="F119">
        <f>E119*2000</f>
        <v>20000</v>
      </c>
      <c r="G119">
        <f>E119*500</f>
        <v>5000</v>
      </c>
      <c r="H119">
        <f>E119*1500</f>
        <v>15000</v>
      </c>
    </row>
    <row r="120" spans="1:8" x14ac:dyDescent="0.25">
      <c r="D120" t="s">
        <v>13</v>
      </c>
      <c r="E120">
        <v>8</v>
      </c>
      <c r="F120">
        <f>E120*6500</f>
        <v>52000</v>
      </c>
      <c r="G120">
        <f>E120*4500</f>
        <v>36000</v>
      </c>
      <c r="H120">
        <f>E120*2000</f>
        <v>16000</v>
      </c>
    </row>
    <row r="121" spans="1:8" x14ac:dyDescent="0.25">
      <c r="D121" t="s">
        <v>14</v>
      </c>
      <c r="E121">
        <v>9</v>
      </c>
      <c r="F121">
        <f>E121*10000</f>
        <v>90000</v>
      </c>
      <c r="G121">
        <f>E121*5500</f>
        <v>49500</v>
      </c>
      <c r="H121">
        <f>E121*4500</f>
        <v>40500</v>
      </c>
    </row>
    <row r="122" spans="1:8" x14ac:dyDescent="0.25">
      <c r="D122" t="s">
        <v>243</v>
      </c>
      <c r="E122">
        <v>2</v>
      </c>
      <c r="F122">
        <v>28000</v>
      </c>
      <c r="G122">
        <v>18000</v>
      </c>
      <c r="H122">
        <v>10000</v>
      </c>
    </row>
    <row r="123" spans="1:8" x14ac:dyDescent="0.25">
      <c r="C123" t="s">
        <v>952</v>
      </c>
      <c r="D123" t="s">
        <v>243</v>
      </c>
      <c r="E123">
        <v>1</v>
      </c>
      <c r="F123">
        <v>15000</v>
      </c>
      <c r="G123">
        <v>9000</v>
      </c>
      <c r="H123">
        <v>6000</v>
      </c>
    </row>
    <row r="124" spans="1:8" x14ac:dyDescent="0.25">
      <c r="A124" s="112" t="s">
        <v>17</v>
      </c>
      <c r="B124" s="112"/>
      <c r="C124" s="112"/>
      <c r="D124" s="112"/>
      <c r="E124" s="78">
        <f>SUM(E110:E123)</f>
        <v>156</v>
      </c>
      <c r="F124" s="78">
        <f t="shared" ref="F124:H124" si="12">SUM(F110:F123)</f>
        <v>481500</v>
      </c>
      <c r="G124" s="78">
        <f t="shared" si="12"/>
        <v>234500</v>
      </c>
      <c r="H124" s="78">
        <f t="shared" si="12"/>
        <v>247000</v>
      </c>
    </row>
    <row r="125" spans="1:8" x14ac:dyDescent="0.25">
      <c r="A125" t="s">
        <v>18</v>
      </c>
      <c r="B125" s="3">
        <v>45974</v>
      </c>
      <c r="C125" t="s">
        <v>954</v>
      </c>
      <c r="D125" t="s">
        <v>902</v>
      </c>
      <c r="E125">
        <v>6</v>
      </c>
      <c r="F125" s="79">
        <f>E125*8000</f>
        <v>48000</v>
      </c>
      <c r="G125" s="79">
        <f>E125*5500</f>
        <v>33000</v>
      </c>
      <c r="H125" s="79">
        <f>E125*2500</f>
        <v>15000</v>
      </c>
    </row>
    <row r="126" spans="1:8" x14ac:dyDescent="0.25">
      <c r="C126" t="s">
        <v>846</v>
      </c>
      <c r="D126" t="s">
        <v>918</v>
      </c>
      <c r="E126">
        <v>2</v>
      </c>
      <c r="F126" s="79">
        <f>E126*15000</f>
        <v>30000</v>
      </c>
      <c r="G126" s="79">
        <f>E126*10000</f>
        <v>20000</v>
      </c>
      <c r="H126" s="79">
        <f>E126*5000</f>
        <v>10000</v>
      </c>
    </row>
    <row r="127" spans="1:8" x14ac:dyDescent="0.25">
      <c r="D127" t="s">
        <v>927</v>
      </c>
      <c r="E127">
        <v>1</v>
      </c>
      <c r="F127" s="79">
        <v>12000</v>
      </c>
      <c r="G127" s="79">
        <v>5500</v>
      </c>
      <c r="H127" s="79">
        <v>6500</v>
      </c>
    </row>
    <row r="128" spans="1:8" x14ac:dyDescent="0.25">
      <c r="D128" t="s">
        <v>13</v>
      </c>
      <c r="E128">
        <v>1</v>
      </c>
      <c r="F128" s="79">
        <v>8000</v>
      </c>
      <c r="G128" s="79">
        <v>4500</v>
      </c>
      <c r="H128" s="79">
        <v>3500</v>
      </c>
    </row>
    <row r="129" spans="1:8" x14ac:dyDescent="0.25">
      <c r="C129" t="s">
        <v>797</v>
      </c>
      <c r="D129" t="s">
        <v>13</v>
      </c>
      <c r="E129">
        <v>13</v>
      </c>
      <c r="F129" s="79">
        <f>E129*8000</f>
        <v>104000</v>
      </c>
      <c r="G129" s="79">
        <f>E129*4500</f>
        <v>58500</v>
      </c>
      <c r="H129" s="79">
        <f>E129*3500</f>
        <v>45500</v>
      </c>
    </row>
    <row r="130" spans="1:8" x14ac:dyDescent="0.25">
      <c r="D130" t="s">
        <v>14</v>
      </c>
      <c r="E130">
        <v>6</v>
      </c>
      <c r="F130" s="79">
        <f>E130*10000</f>
        <v>60000</v>
      </c>
      <c r="G130" s="79">
        <f>E130*5500</f>
        <v>33000</v>
      </c>
      <c r="H130" s="79">
        <f>E130*4500</f>
        <v>27000</v>
      </c>
    </row>
    <row r="131" spans="1:8" x14ac:dyDescent="0.25">
      <c r="A131" s="112" t="s">
        <v>17</v>
      </c>
      <c r="B131" s="112"/>
      <c r="C131" s="112"/>
      <c r="D131" s="112"/>
      <c r="E131" s="78">
        <f>SUM(E125:E130)</f>
        <v>29</v>
      </c>
      <c r="F131" s="78">
        <f t="shared" ref="F131:H131" si="13">SUM(F125:F130)</f>
        <v>262000</v>
      </c>
      <c r="G131" s="78">
        <f t="shared" si="13"/>
        <v>154500</v>
      </c>
      <c r="H131" s="78">
        <f t="shared" si="13"/>
        <v>107500</v>
      </c>
    </row>
    <row r="132" spans="1:8" x14ac:dyDescent="0.25">
      <c r="A132" t="s">
        <v>22</v>
      </c>
      <c r="B132" s="3">
        <v>45975</v>
      </c>
      <c r="C132" t="s">
        <v>338</v>
      </c>
      <c r="D132" t="s">
        <v>11</v>
      </c>
      <c r="E132">
        <v>36</v>
      </c>
      <c r="F132" s="79">
        <f>E132*1500</f>
        <v>54000</v>
      </c>
      <c r="G132" s="79">
        <f>E132*500</f>
        <v>18000</v>
      </c>
      <c r="H132" s="79">
        <f>E132*1000</f>
        <v>36000</v>
      </c>
    </row>
    <row r="133" spans="1:8" x14ac:dyDescent="0.25">
      <c r="C133" t="s">
        <v>581</v>
      </c>
      <c r="D133" t="s">
        <v>11</v>
      </c>
      <c r="E133">
        <v>25</v>
      </c>
      <c r="F133" s="79">
        <f>E133*1600</f>
        <v>40000</v>
      </c>
      <c r="G133" s="79">
        <f>E133*500</f>
        <v>12500</v>
      </c>
      <c r="H133" s="79">
        <f>E133*1100</f>
        <v>27500</v>
      </c>
    </row>
    <row r="134" spans="1:8" x14ac:dyDescent="0.25">
      <c r="C134" t="s">
        <v>797</v>
      </c>
      <c r="D134" t="s">
        <v>11</v>
      </c>
      <c r="E134">
        <v>5</v>
      </c>
      <c r="F134" s="79">
        <f>E134*2000</f>
        <v>10000</v>
      </c>
      <c r="G134" s="79">
        <f>E134*500</f>
        <v>2500</v>
      </c>
      <c r="H134" s="79">
        <f>E134*1500</f>
        <v>7500</v>
      </c>
    </row>
    <row r="135" spans="1:8" x14ac:dyDescent="0.25">
      <c r="D135" t="s">
        <v>13</v>
      </c>
      <c r="E135">
        <v>16</v>
      </c>
      <c r="F135" s="79">
        <f>E135*6500</f>
        <v>104000</v>
      </c>
      <c r="G135" s="79">
        <f>E135*4500</f>
        <v>72000</v>
      </c>
      <c r="H135" s="79">
        <f>E135*2000</f>
        <v>32000</v>
      </c>
    </row>
    <row r="136" spans="1:8" x14ac:dyDescent="0.25">
      <c r="D136" t="s">
        <v>14</v>
      </c>
      <c r="E136">
        <v>5</v>
      </c>
      <c r="F136" s="79">
        <f>E136*10000</f>
        <v>50000</v>
      </c>
      <c r="G136" s="79">
        <f>E136*5500</f>
        <v>27500</v>
      </c>
      <c r="H136" s="79">
        <f>E136*4500</f>
        <v>22500</v>
      </c>
    </row>
    <row r="137" spans="1:8" x14ac:dyDescent="0.25">
      <c r="D137" t="s">
        <v>243</v>
      </c>
      <c r="E137">
        <v>3</v>
      </c>
      <c r="F137" s="79">
        <f>E137*14000</f>
        <v>42000</v>
      </c>
      <c r="G137" s="79">
        <f>E137*9000</f>
        <v>27000</v>
      </c>
      <c r="H137" s="79">
        <f>E137*5000</f>
        <v>15000</v>
      </c>
    </row>
    <row r="138" spans="1:8" x14ac:dyDescent="0.25">
      <c r="C138" t="s">
        <v>952</v>
      </c>
      <c r="D138" t="s">
        <v>243</v>
      </c>
      <c r="E138">
        <v>2</v>
      </c>
      <c r="F138" s="79">
        <v>30000</v>
      </c>
      <c r="G138" s="79">
        <v>20000</v>
      </c>
      <c r="H138" s="79">
        <v>10000</v>
      </c>
    </row>
    <row r="139" spans="1:8" x14ac:dyDescent="0.25">
      <c r="A139" s="112" t="s">
        <v>17</v>
      </c>
      <c r="B139" s="112"/>
      <c r="C139" s="112"/>
      <c r="D139" s="112"/>
      <c r="E139" s="78">
        <f>SUM(E132:E138)</f>
        <v>92</v>
      </c>
      <c r="F139" s="78">
        <f t="shared" ref="F139:H139" si="14">SUM(F132:F138)</f>
        <v>330000</v>
      </c>
      <c r="G139" s="78">
        <f t="shared" si="14"/>
        <v>179500</v>
      </c>
      <c r="H139" s="78">
        <f t="shared" si="14"/>
        <v>150500</v>
      </c>
    </row>
    <row r="140" spans="1:8" x14ac:dyDescent="0.25">
      <c r="A140" t="s">
        <v>26</v>
      </c>
      <c r="B140" s="3">
        <v>45976</v>
      </c>
      <c r="C140" t="s">
        <v>338</v>
      </c>
      <c r="D140" t="s">
        <v>11</v>
      </c>
      <c r="E140">
        <v>35</v>
      </c>
      <c r="F140">
        <f>E140*1500</f>
        <v>52500</v>
      </c>
      <c r="G140">
        <f>E140*500</f>
        <v>17500</v>
      </c>
      <c r="H140">
        <f>E140*1000</f>
        <v>35000</v>
      </c>
    </row>
    <row r="141" spans="1:8" x14ac:dyDescent="0.25">
      <c r="C141" t="s">
        <v>581</v>
      </c>
      <c r="D141" t="s">
        <v>11</v>
      </c>
      <c r="E141">
        <v>25</v>
      </c>
      <c r="F141">
        <f>E141*1500</f>
        <v>37500</v>
      </c>
      <c r="G141">
        <f>E141*500</f>
        <v>12500</v>
      </c>
      <c r="H141">
        <f>E141*1000</f>
        <v>25000</v>
      </c>
    </row>
    <row r="142" spans="1:8" x14ac:dyDescent="0.25">
      <c r="C142" t="s">
        <v>952</v>
      </c>
      <c r="D142" t="s">
        <v>21</v>
      </c>
      <c r="E142">
        <v>4</v>
      </c>
      <c r="F142">
        <f>E142*17000</f>
        <v>68000</v>
      </c>
      <c r="G142">
        <f>E142*10000</f>
        <v>40000</v>
      </c>
      <c r="H142">
        <f>E142*7000</f>
        <v>28000</v>
      </c>
    </row>
    <row r="143" spans="1:8" x14ac:dyDescent="0.25">
      <c r="C143" t="s">
        <v>952</v>
      </c>
      <c r="D143" t="s">
        <v>243</v>
      </c>
      <c r="E143">
        <v>2</v>
      </c>
      <c r="F143">
        <v>30000</v>
      </c>
      <c r="G143">
        <v>20000</v>
      </c>
      <c r="H143">
        <v>10000</v>
      </c>
    </row>
    <row r="144" spans="1:8" x14ac:dyDescent="0.25">
      <c r="A144" s="112" t="s">
        <v>17</v>
      </c>
      <c r="B144" s="112"/>
      <c r="C144" s="112"/>
      <c r="D144" s="112"/>
      <c r="E144" s="78">
        <f>SUM(E140:E143)</f>
        <v>66</v>
      </c>
      <c r="F144" s="78">
        <f t="shared" ref="F144:H144" si="15">SUM(F140:F143)</f>
        <v>188000</v>
      </c>
      <c r="G144" s="78">
        <f t="shared" si="15"/>
        <v>90000</v>
      </c>
      <c r="H144" s="78">
        <f t="shared" si="15"/>
        <v>98000</v>
      </c>
    </row>
    <row r="145" spans="1:8" x14ac:dyDescent="0.25">
      <c r="A145" t="s">
        <v>28</v>
      </c>
      <c r="B145" s="3">
        <v>45977</v>
      </c>
      <c r="C145" t="s">
        <v>693</v>
      </c>
      <c r="D145" t="s">
        <v>13</v>
      </c>
      <c r="E145">
        <v>30</v>
      </c>
      <c r="F145" s="79">
        <f>E145*7000</f>
        <v>210000</v>
      </c>
      <c r="G145" s="79">
        <f>E145*4500</f>
        <v>135000</v>
      </c>
      <c r="H145" s="79">
        <f>E145*2500</f>
        <v>75000</v>
      </c>
    </row>
    <row r="146" spans="1:8" x14ac:dyDescent="0.25">
      <c r="D146" t="s">
        <v>14</v>
      </c>
      <c r="E146">
        <v>17</v>
      </c>
      <c r="F146" s="79">
        <f>E146*10000</f>
        <v>170000</v>
      </c>
      <c r="G146" s="79">
        <f>E146*5500</f>
        <v>93500</v>
      </c>
      <c r="H146" s="79">
        <f>E146*4500</f>
        <v>76500</v>
      </c>
    </row>
    <row r="147" spans="1:8" x14ac:dyDescent="0.25">
      <c r="D147" t="s">
        <v>243</v>
      </c>
      <c r="E147">
        <v>1</v>
      </c>
      <c r="F147" s="79">
        <v>14000</v>
      </c>
      <c r="G147" s="79">
        <v>9000</v>
      </c>
      <c r="H147" s="79">
        <v>5000</v>
      </c>
    </row>
    <row r="148" spans="1:8" x14ac:dyDescent="0.25">
      <c r="D148" t="s">
        <v>995</v>
      </c>
      <c r="E148">
        <v>1</v>
      </c>
      <c r="F148" s="79">
        <v>26000</v>
      </c>
      <c r="G148" s="79">
        <v>15000</v>
      </c>
      <c r="H148" s="79">
        <v>11000</v>
      </c>
    </row>
    <row r="149" spans="1:8" x14ac:dyDescent="0.25">
      <c r="D149" t="s">
        <v>919</v>
      </c>
      <c r="E149">
        <v>4</v>
      </c>
      <c r="F149" s="79">
        <f>E149*10000</f>
        <v>40000</v>
      </c>
      <c r="G149" s="79">
        <f>E149*5500</f>
        <v>22000</v>
      </c>
      <c r="H149" s="79">
        <f>E149*4500</f>
        <v>18000</v>
      </c>
    </row>
    <row r="150" spans="1:8" x14ac:dyDescent="0.25">
      <c r="C150" t="s">
        <v>217</v>
      </c>
      <c r="D150" t="s">
        <v>11</v>
      </c>
      <c r="E150">
        <v>13</v>
      </c>
      <c r="F150" s="79">
        <f>E150*1500</f>
        <v>19500</v>
      </c>
      <c r="G150" s="79">
        <f>E150*500</f>
        <v>6500</v>
      </c>
      <c r="H150" s="79">
        <f>E150*1500</f>
        <v>19500</v>
      </c>
    </row>
    <row r="151" spans="1:8" x14ac:dyDescent="0.25">
      <c r="D151" t="s">
        <v>13</v>
      </c>
      <c r="E151">
        <v>15</v>
      </c>
      <c r="F151" s="79">
        <f>E151*6500</f>
        <v>97500</v>
      </c>
      <c r="G151" s="79">
        <f>E151*4500</f>
        <v>67500</v>
      </c>
      <c r="H151" s="79">
        <f>E151*2000</f>
        <v>30000</v>
      </c>
    </row>
    <row r="152" spans="1:8" x14ac:dyDescent="0.25">
      <c r="D152" t="s">
        <v>14</v>
      </c>
      <c r="E152">
        <v>9</v>
      </c>
      <c r="F152" s="79">
        <f>E152*10000</f>
        <v>90000</v>
      </c>
      <c r="G152" s="79">
        <f>E152*5500</f>
        <v>49500</v>
      </c>
      <c r="H152" s="79">
        <f>E152*4500</f>
        <v>40500</v>
      </c>
    </row>
    <row r="153" spans="1:8" x14ac:dyDescent="0.25">
      <c r="C153" t="s">
        <v>797</v>
      </c>
      <c r="D153" t="s">
        <v>11</v>
      </c>
      <c r="E153">
        <v>2</v>
      </c>
      <c r="F153" s="79">
        <f>E153*2000</f>
        <v>4000</v>
      </c>
      <c r="G153" s="79">
        <f>E153*500</f>
        <v>1000</v>
      </c>
      <c r="H153" s="79">
        <f>E153*1500</f>
        <v>3000</v>
      </c>
    </row>
    <row r="154" spans="1:8" x14ac:dyDescent="0.25">
      <c r="D154" t="s">
        <v>13</v>
      </c>
      <c r="E154">
        <v>30</v>
      </c>
      <c r="F154" s="79">
        <f>E154*6500</f>
        <v>195000</v>
      </c>
      <c r="G154" s="79">
        <f>E154*4500</f>
        <v>135000</v>
      </c>
      <c r="H154" s="79">
        <f>E154*2000</f>
        <v>60000</v>
      </c>
    </row>
    <row r="155" spans="1:8" x14ac:dyDescent="0.25">
      <c r="D155" t="s">
        <v>243</v>
      </c>
      <c r="E155">
        <v>1</v>
      </c>
      <c r="F155" s="79">
        <v>14000</v>
      </c>
      <c r="G155" s="79">
        <v>9000</v>
      </c>
      <c r="H155" s="79">
        <v>5000</v>
      </c>
    </row>
    <row r="156" spans="1:8" x14ac:dyDescent="0.25">
      <c r="A156" s="112" t="s">
        <v>17</v>
      </c>
      <c r="B156" s="112"/>
      <c r="C156" s="112"/>
      <c r="D156" s="112"/>
      <c r="E156" s="78">
        <f>SUM(E145:E155)</f>
        <v>123</v>
      </c>
      <c r="F156" s="78">
        <f t="shared" ref="F156:H156" si="16">SUM(F145:F155)</f>
        <v>880000</v>
      </c>
      <c r="G156" s="78">
        <f t="shared" si="16"/>
        <v>543000</v>
      </c>
      <c r="H156" s="78">
        <f t="shared" si="16"/>
        <v>343500</v>
      </c>
    </row>
    <row r="157" spans="1:8" x14ac:dyDescent="0.25">
      <c r="A157" t="s">
        <v>30</v>
      </c>
      <c r="B157" s="3">
        <v>45978</v>
      </c>
      <c r="C157" t="s">
        <v>338</v>
      </c>
      <c r="D157" t="s">
        <v>11</v>
      </c>
      <c r="E157">
        <v>40</v>
      </c>
      <c r="F157">
        <f>E157*1500</f>
        <v>60000</v>
      </c>
      <c r="G157">
        <f>E157*500</f>
        <v>20000</v>
      </c>
      <c r="H157">
        <f>E157*1000</f>
        <v>40000</v>
      </c>
    </row>
    <row r="158" spans="1:8" x14ac:dyDescent="0.25">
      <c r="C158" t="s">
        <v>581</v>
      </c>
      <c r="D158" t="s">
        <v>11</v>
      </c>
      <c r="E158">
        <v>6</v>
      </c>
      <c r="F158">
        <f>E158*1500</f>
        <v>9000</v>
      </c>
      <c r="G158">
        <f>E158*500</f>
        <v>3000</v>
      </c>
      <c r="H158">
        <f>E158*1000</f>
        <v>6000</v>
      </c>
    </row>
    <row r="159" spans="1:8" x14ac:dyDescent="0.25">
      <c r="C159" t="s">
        <v>954</v>
      </c>
      <c r="D159" t="s">
        <v>902</v>
      </c>
      <c r="E159">
        <v>2</v>
      </c>
      <c r="F159">
        <f>E159*8000</f>
        <v>16000</v>
      </c>
      <c r="G159">
        <f>E159*5500</f>
        <v>11000</v>
      </c>
      <c r="H159">
        <f>E159*2500</f>
        <v>5000</v>
      </c>
    </row>
    <row r="160" spans="1:8" x14ac:dyDescent="0.25">
      <c r="C160" t="s">
        <v>20</v>
      </c>
      <c r="D160" t="s">
        <v>918</v>
      </c>
      <c r="E160">
        <v>1</v>
      </c>
      <c r="F160">
        <v>15000</v>
      </c>
      <c r="G160">
        <v>10000</v>
      </c>
      <c r="H160">
        <v>5000</v>
      </c>
    </row>
    <row r="161" spans="1:8" x14ac:dyDescent="0.25">
      <c r="C161" t="s">
        <v>20</v>
      </c>
      <c r="D161" t="s">
        <v>902</v>
      </c>
      <c r="E161">
        <v>2</v>
      </c>
      <c r="F161">
        <v>16000</v>
      </c>
      <c r="G161">
        <v>11000</v>
      </c>
      <c r="H161">
        <v>5000</v>
      </c>
    </row>
    <row r="162" spans="1:8" x14ac:dyDescent="0.25">
      <c r="C162" t="s">
        <v>20</v>
      </c>
      <c r="D162" t="s">
        <v>919</v>
      </c>
      <c r="E162">
        <v>2</v>
      </c>
      <c r="F162">
        <v>24000</v>
      </c>
      <c r="G162">
        <v>11000</v>
      </c>
      <c r="H162">
        <v>13000</v>
      </c>
    </row>
    <row r="163" spans="1:8" x14ac:dyDescent="0.25">
      <c r="C163" t="s">
        <v>20</v>
      </c>
      <c r="D163" t="s">
        <v>13</v>
      </c>
      <c r="E163">
        <v>3</v>
      </c>
      <c r="F163">
        <f>E163*8000</f>
        <v>24000</v>
      </c>
      <c r="G163">
        <f>E163*4500</f>
        <v>13500</v>
      </c>
      <c r="H163">
        <f>E163*3500</f>
        <v>10500</v>
      </c>
    </row>
    <row r="164" spans="1:8" x14ac:dyDescent="0.25">
      <c r="C164" t="s">
        <v>797</v>
      </c>
      <c r="D164" t="s">
        <v>11</v>
      </c>
      <c r="E164">
        <v>7</v>
      </c>
      <c r="F164">
        <f>E164*2000</f>
        <v>14000</v>
      </c>
      <c r="G164">
        <f>E164*500</f>
        <v>3500</v>
      </c>
      <c r="H164">
        <f>E164*1500</f>
        <v>10500</v>
      </c>
    </row>
    <row r="165" spans="1:8" x14ac:dyDescent="0.25">
      <c r="C165" t="s">
        <v>797</v>
      </c>
      <c r="D165" t="s">
        <v>13</v>
      </c>
      <c r="E165">
        <v>30</v>
      </c>
      <c r="F165">
        <f>E165*6500</f>
        <v>195000</v>
      </c>
      <c r="G165">
        <f>E165*4500</f>
        <v>135000</v>
      </c>
      <c r="H165">
        <f>E165*2000</f>
        <v>60000</v>
      </c>
    </row>
    <row r="166" spans="1:8" x14ac:dyDescent="0.25">
      <c r="C166" t="s">
        <v>797</v>
      </c>
      <c r="D166" t="s">
        <v>14</v>
      </c>
      <c r="E166">
        <v>18</v>
      </c>
      <c r="F166">
        <f>E166*10000</f>
        <v>180000</v>
      </c>
      <c r="G166">
        <f>E166*5500</f>
        <v>99000</v>
      </c>
      <c r="H166">
        <f>E166*4500</f>
        <v>81000</v>
      </c>
    </row>
    <row r="167" spans="1:8" x14ac:dyDescent="0.25">
      <c r="C167" t="s">
        <v>797</v>
      </c>
      <c r="D167" t="s">
        <v>243</v>
      </c>
      <c r="E167">
        <v>1</v>
      </c>
      <c r="F167">
        <v>14000</v>
      </c>
      <c r="G167">
        <v>9000</v>
      </c>
      <c r="H167">
        <v>5000</v>
      </c>
    </row>
    <row r="168" spans="1:8" x14ac:dyDescent="0.25">
      <c r="C168" t="s">
        <v>952</v>
      </c>
      <c r="D168" t="s">
        <v>243</v>
      </c>
      <c r="E168">
        <v>2</v>
      </c>
      <c r="F168">
        <v>30000</v>
      </c>
      <c r="G168">
        <v>20000</v>
      </c>
      <c r="H168">
        <v>10000</v>
      </c>
    </row>
    <row r="169" spans="1:8" x14ac:dyDescent="0.25">
      <c r="A169" s="112" t="s">
        <v>17</v>
      </c>
      <c r="B169" s="112"/>
      <c r="C169" s="112"/>
      <c r="D169" s="112"/>
      <c r="E169" s="78">
        <f>SUM(E157:E168)</f>
        <v>114</v>
      </c>
      <c r="F169" s="78">
        <f t="shared" ref="F169:H169" si="17">SUM(F157:F168)</f>
        <v>597000</v>
      </c>
      <c r="G169" s="78">
        <f t="shared" si="17"/>
        <v>346000</v>
      </c>
      <c r="H169" s="78">
        <f t="shared" si="17"/>
        <v>251000</v>
      </c>
    </row>
    <row r="170" spans="1:8" x14ac:dyDescent="0.25">
      <c r="A170" t="s">
        <v>32</v>
      </c>
      <c r="B170" s="3">
        <v>45979</v>
      </c>
      <c r="C170" t="s">
        <v>338</v>
      </c>
      <c r="D170" t="s">
        <v>11</v>
      </c>
      <c r="E170">
        <v>50</v>
      </c>
      <c r="F170" s="79">
        <f>E170*1500</f>
        <v>75000</v>
      </c>
      <c r="G170" s="79">
        <f>E170*500</f>
        <v>25000</v>
      </c>
      <c r="H170" s="79">
        <f>E170*1000</f>
        <v>50000</v>
      </c>
    </row>
    <row r="171" spans="1:8" x14ac:dyDescent="0.25">
      <c r="C171" t="s">
        <v>581</v>
      </c>
      <c r="D171" t="s">
        <v>11</v>
      </c>
      <c r="E171">
        <v>10</v>
      </c>
      <c r="F171" s="79">
        <f t="shared" ref="F171:F173" si="18">E171*1500</f>
        <v>15000</v>
      </c>
      <c r="G171" s="79">
        <f t="shared" ref="G171:G173" si="19">E171*500</f>
        <v>5000</v>
      </c>
      <c r="H171" s="79">
        <f t="shared" ref="H171:H173" si="20">E171*1000</f>
        <v>10000</v>
      </c>
    </row>
    <row r="172" spans="1:8" x14ac:dyDescent="0.25">
      <c r="C172" t="s">
        <v>306</v>
      </c>
      <c r="D172" t="s">
        <v>11</v>
      </c>
      <c r="E172">
        <v>10</v>
      </c>
      <c r="F172" s="79">
        <f t="shared" si="18"/>
        <v>15000</v>
      </c>
      <c r="G172" s="79">
        <f t="shared" si="19"/>
        <v>5000</v>
      </c>
      <c r="H172" s="79">
        <f t="shared" si="20"/>
        <v>10000</v>
      </c>
    </row>
    <row r="173" spans="1:8" x14ac:dyDescent="0.25">
      <c r="C173" t="s">
        <v>571</v>
      </c>
      <c r="D173" t="s">
        <v>11</v>
      </c>
      <c r="E173">
        <v>29</v>
      </c>
      <c r="F173" s="79">
        <f t="shared" si="18"/>
        <v>43500</v>
      </c>
      <c r="G173" s="79">
        <f t="shared" si="19"/>
        <v>14500</v>
      </c>
      <c r="H173" s="79">
        <f t="shared" si="20"/>
        <v>29000</v>
      </c>
    </row>
    <row r="174" spans="1:8" x14ac:dyDescent="0.25">
      <c r="C174" t="s">
        <v>1001</v>
      </c>
      <c r="D174" t="s">
        <v>243</v>
      </c>
      <c r="E174">
        <v>50</v>
      </c>
      <c r="F174" s="79">
        <f>E174*12000</f>
        <v>600000</v>
      </c>
      <c r="G174" s="79">
        <f>E174*9000</f>
        <v>450000</v>
      </c>
      <c r="H174" s="79">
        <f>E174*3000</f>
        <v>150000</v>
      </c>
    </row>
    <row r="175" spans="1:8" x14ac:dyDescent="0.25">
      <c r="C175" t="s">
        <v>952</v>
      </c>
      <c r="D175" t="s">
        <v>243</v>
      </c>
      <c r="E175">
        <v>2</v>
      </c>
      <c r="F175" s="79">
        <f>E175*15000</f>
        <v>30000</v>
      </c>
      <c r="G175" s="79">
        <v>20000</v>
      </c>
      <c r="H175" s="79">
        <v>10000</v>
      </c>
    </row>
    <row r="176" spans="1:8" x14ac:dyDescent="0.25">
      <c r="A176" s="112" t="s">
        <v>17</v>
      </c>
      <c r="B176" s="112"/>
      <c r="C176" s="112"/>
      <c r="D176" s="112"/>
      <c r="E176" s="78">
        <f>SUM(E170:E175)</f>
        <v>151</v>
      </c>
      <c r="F176" s="78">
        <f t="shared" ref="F176:H176" si="21">SUM(F170:F175)</f>
        <v>778500</v>
      </c>
      <c r="G176" s="78">
        <f t="shared" si="21"/>
        <v>519500</v>
      </c>
      <c r="H176" s="78">
        <f t="shared" si="21"/>
        <v>259000</v>
      </c>
    </row>
    <row r="177" spans="1:8" x14ac:dyDescent="0.25">
      <c r="A177" t="s">
        <v>1009</v>
      </c>
      <c r="B177" s="3">
        <v>45980</v>
      </c>
      <c r="C177" t="s">
        <v>338</v>
      </c>
      <c r="D177" t="s">
        <v>11</v>
      </c>
      <c r="E177">
        <v>44</v>
      </c>
      <c r="F177" s="79">
        <f>E177*1500</f>
        <v>66000</v>
      </c>
      <c r="G177" s="79">
        <f>E177*500</f>
        <v>22000</v>
      </c>
      <c r="H177" s="79">
        <f>E177*1000</f>
        <v>44000</v>
      </c>
    </row>
    <row r="178" spans="1:8" x14ac:dyDescent="0.25">
      <c r="C178" t="s">
        <v>581</v>
      </c>
      <c r="D178" t="s">
        <v>11</v>
      </c>
      <c r="E178">
        <v>14</v>
      </c>
      <c r="F178" s="79">
        <f>E178*1600</f>
        <v>22400</v>
      </c>
      <c r="G178" s="79">
        <f>E178*500</f>
        <v>7000</v>
      </c>
      <c r="H178" s="79">
        <f>E178*1100</f>
        <v>15400</v>
      </c>
    </row>
    <row r="179" spans="1:8" x14ac:dyDescent="0.25">
      <c r="C179" t="s">
        <v>217</v>
      </c>
      <c r="D179" t="s">
        <v>13</v>
      </c>
      <c r="E179">
        <v>18</v>
      </c>
      <c r="F179" s="79">
        <f>E179*6500</f>
        <v>117000</v>
      </c>
      <c r="G179" s="79">
        <f>E179*4500</f>
        <v>81000</v>
      </c>
      <c r="H179" s="79">
        <f>E179*2000</f>
        <v>36000</v>
      </c>
    </row>
    <row r="180" spans="1:8" x14ac:dyDescent="0.25">
      <c r="C180" t="s">
        <v>217</v>
      </c>
      <c r="D180" t="s">
        <v>14</v>
      </c>
      <c r="E180">
        <v>4</v>
      </c>
      <c r="F180" s="79">
        <f>E180*8000</f>
        <v>32000</v>
      </c>
      <c r="G180" s="79">
        <f>E180*5500</f>
        <v>22000</v>
      </c>
      <c r="H180" s="79">
        <f>E180*3500</f>
        <v>14000</v>
      </c>
    </row>
    <row r="181" spans="1:8" x14ac:dyDescent="0.25">
      <c r="A181" s="112" t="s">
        <v>17</v>
      </c>
      <c r="B181" s="112"/>
      <c r="C181" s="112"/>
      <c r="D181" s="112"/>
      <c r="E181" s="78">
        <f>SUM(E177:E180)</f>
        <v>80</v>
      </c>
      <c r="F181" s="78">
        <f t="shared" ref="F181:H181" si="22">SUM(F177:F180)</f>
        <v>237400</v>
      </c>
      <c r="G181" s="78">
        <f t="shared" si="22"/>
        <v>132000</v>
      </c>
      <c r="H181" s="78">
        <f t="shared" si="22"/>
        <v>109400</v>
      </c>
    </row>
    <row r="182" spans="1:8" x14ac:dyDescent="0.25">
      <c r="A182" t="s">
        <v>18</v>
      </c>
      <c r="B182" s="3">
        <v>45981</v>
      </c>
      <c r="C182" t="s">
        <v>338</v>
      </c>
      <c r="D182" t="s">
        <v>11</v>
      </c>
      <c r="E182">
        <v>50</v>
      </c>
      <c r="F182" s="79">
        <f>E182*1500</f>
        <v>75000</v>
      </c>
      <c r="G182" s="79">
        <f>E182*500</f>
        <v>25000</v>
      </c>
      <c r="H182" s="79">
        <f>E182*1000</f>
        <v>50000</v>
      </c>
    </row>
    <row r="183" spans="1:8" x14ac:dyDescent="0.25">
      <c r="C183" t="s">
        <v>581</v>
      </c>
      <c r="D183" t="s">
        <v>11</v>
      </c>
      <c r="E183">
        <v>12</v>
      </c>
      <c r="F183" s="79">
        <f>E183*1500</f>
        <v>18000</v>
      </c>
      <c r="G183" s="79">
        <f>E183*500</f>
        <v>6000</v>
      </c>
      <c r="H183" s="79">
        <f>E183*1000</f>
        <v>12000</v>
      </c>
    </row>
    <row r="184" spans="1:8" x14ac:dyDescent="0.25">
      <c r="C184" t="s">
        <v>797</v>
      </c>
      <c r="D184" t="s">
        <v>11</v>
      </c>
      <c r="E184">
        <v>3</v>
      </c>
      <c r="F184" s="79">
        <v>6000</v>
      </c>
      <c r="G184" s="79">
        <f>E184*500</f>
        <v>1500</v>
      </c>
      <c r="H184" s="79">
        <f>E184*1000</f>
        <v>3000</v>
      </c>
    </row>
    <row r="185" spans="1:8" x14ac:dyDescent="0.25">
      <c r="C185" t="s">
        <v>797</v>
      </c>
      <c r="D185" t="s">
        <v>13</v>
      </c>
      <c r="E185">
        <v>25</v>
      </c>
      <c r="F185" s="79">
        <f>E185*6500</f>
        <v>162500</v>
      </c>
      <c r="G185" s="79">
        <f>E185*4500</f>
        <v>112500</v>
      </c>
      <c r="H185" s="79">
        <f>E185*2000</f>
        <v>50000</v>
      </c>
    </row>
    <row r="186" spans="1:8" x14ac:dyDescent="0.25">
      <c r="C186" t="s">
        <v>797</v>
      </c>
      <c r="D186" t="s">
        <v>14</v>
      </c>
      <c r="E186">
        <v>7</v>
      </c>
      <c r="F186" s="79">
        <f>E186*10000</f>
        <v>70000</v>
      </c>
      <c r="G186" s="79">
        <f>E186*5500</f>
        <v>38500</v>
      </c>
      <c r="H186" s="79">
        <f>E186*4500</f>
        <v>31500</v>
      </c>
    </row>
    <row r="187" spans="1:8" x14ac:dyDescent="0.25">
      <c r="C187" t="s">
        <v>797</v>
      </c>
      <c r="D187" t="s">
        <v>243</v>
      </c>
      <c r="E187">
        <v>3</v>
      </c>
      <c r="F187" s="79">
        <f>E187*14000</f>
        <v>42000</v>
      </c>
      <c r="G187" s="79">
        <f>E187*9000</f>
        <v>27000</v>
      </c>
      <c r="H187" s="79">
        <f>E187*5000</f>
        <v>15000</v>
      </c>
    </row>
    <row r="188" spans="1:8" x14ac:dyDescent="0.25">
      <c r="A188" s="112" t="s">
        <v>17</v>
      </c>
      <c r="B188" s="112"/>
      <c r="C188" s="112"/>
      <c r="D188" s="112"/>
      <c r="E188" s="78">
        <f>SUM(E182:E187)</f>
        <v>100</v>
      </c>
      <c r="F188" s="78">
        <f t="shared" ref="F188:H188" si="23">SUM(F182:F187)</f>
        <v>373500</v>
      </c>
      <c r="G188" s="78">
        <f t="shared" si="23"/>
        <v>210500</v>
      </c>
      <c r="H188" s="78">
        <f t="shared" si="23"/>
        <v>161500</v>
      </c>
    </row>
    <row r="189" spans="1:8" x14ac:dyDescent="0.25">
      <c r="A189" t="s">
        <v>22</v>
      </c>
      <c r="B189" s="3">
        <v>45982</v>
      </c>
      <c r="C189" t="s">
        <v>960</v>
      </c>
      <c r="D189" t="s">
        <v>243</v>
      </c>
      <c r="E189">
        <v>100</v>
      </c>
    </row>
    <row r="190" spans="1:8" x14ac:dyDescent="0.25">
      <c r="C190" t="s">
        <v>20</v>
      </c>
      <c r="D190" t="s">
        <v>902</v>
      </c>
      <c r="E190">
        <v>4</v>
      </c>
      <c r="F190">
        <f>E190*8000</f>
        <v>32000</v>
      </c>
      <c r="G190">
        <f>E190*5500</f>
        <v>22000</v>
      </c>
      <c r="H190">
        <f>E190*2500</f>
        <v>10000</v>
      </c>
    </row>
    <row r="191" spans="1:8" x14ac:dyDescent="0.25">
      <c r="D191" t="s">
        <v>918</v>
      </c>
      <c r="E191">
        <v>1</v>
      </c>
      <c r="F191">
        <v>15000</v>
      </c>
      <c r="G191">
        <v>10000</v>
      </c>
      <c r="H191">
        <v>5000</v>
      </c>
    </row>
    <row r="192" spans="1:8" x14ac:dyDescent="0.25">
      <c r="A192" s="112" t="s">
        <v>17</v>
      </c>
      <c r="B192" s="112"/>
      <c r="C192" s="112"/>
      <c r="D192" s="112"/>
      <c r="E192" s="78">
        <f>SUM(E189:E191)</f>
        <v>105</v>
      </c>
      <c r="F192" s="78">
        <f t="shared" ref="F192:H192" si="24">SUM(F189:F191)</f>
        <v>47000</v>
      </c>
      <c r="G192" s="78">
        <f t="shared" si="24"/>
        <v>32000</v>
      </c>
      <c r="H192" s="78">
        <f t="shared" si="24"/>
        <v>15000</v>
      </c>
    </row>
    <row r="193" spans="1:8" x14ac:dyDescent="0.25">
      <c r="A193" t="s">
        <v>26</v>
      </c>
      <c r="B193" s="3">
        <v>45983</v>
      </c>
      <c r="C193" t="s">
        <v>338</v>
      </c>
      <c r="D193" t="s">
        <v>11</v>
      </c>
      <c r="E193">
        <v>42</v>
      </c>
      <c r="F193" s="79">
        <f>E193*1500</f>
        <v>63000</v>
      </c>
      <c r="G193" s="79">
        <f>E193*500</f>
        <v>21000</v>
      </c>
      <c r="H193" s="79">
        <f>E193*1000</f>
        <v>42000</v>
      </c>
    </row>
    <row r="194" spans="1:8" x14ac:dyDescent="0.25">
      <c r="C194" t="s">
        <v>581</v>
      </c>
      <c r="D194" t="s">
        <v>11</v>
      </c>
      <c r="E194">
        <v>15</v>
      </c>
      <c r="F194" s="79">
        <f>E194*1500</f>
        <v>22500</v>
      </c>
      <c r="G194" s="79">
        <f>E194*500</f>
        <v>7500</v>
      </c>
      <c r="H194" s="79">
        <f>E194*1000</f>
        <v>15000</v>
      </c>
    </row>
    <row r="195" spans="1:8" x14ac:dyDescent="0.25">
      <c r="C195" t="s">
        <v>846</v>
      </c>
      <c r="D195" t="s">
        <v>11</v>
      </c>
      <c r="E195">
        <v>2</v>
      </c>
      <c r="F195" s="79">
        <v>4000</v>
      </c>
      <c r="G195" s="79">
        <v>1000</v>
      </c>
      <c r="H195" s="79">
        <v>3000</v>
      </c>
    </row>
    <row r="196" spans="1:8" x14ac:dyDescent="0.25">
      <c r="D196" t="s">
        <v>902</v>
      </c>
      <c r="E196">
        <v>4</v>
      </c>
      <c r="F196" s="79">
        <v>32000</v>
      </c>
      <c r="G196" s="79">
        <f>E196*5500</f>
        <v>22000</v>
      </c>
      <c r="H196" s="79">
        <f>E196*250</f>
        <v>1000</v>
      </c>
    </row>
    <row r="197" spans="1:8" x14ac:dyDescent="0.25">
      <c r="D197" t="s">
        <v>927</v>
      </c>
      <c r="E197">
        <v>1</v>
      </c>
      <c r="F197" s="79">
        <v>12000</v>
      </c>
      <c r="G197" s="79">
        <v>5500</v>
      </c>
      <c r="H197" s="79">
        <v>6500</v>
      </c>
    </row>
    <row r="198" spans="1:8" x14ac:dyDescent="0.25">
      <c r="D198" t="s">
        <v>13</v>
      </c>
      <c r="E198">
        <v>1</v>
      </c>
      <c r="F198" s="79">
        <v>8000</v>
      </c>
      <c r="G198" s="79">
        <v>4500</v>
      </c>
      <c r="H198" s="79">
        <v>3500</v>
      </c>
    </row>
    <row r="199" spans="1:8" x14ac:dyDescent="0.25">
      <c r="A199" s="112" t="s">
        <v>17</v>
      </c>
      <c r="B199" s="112"/>
      <c r="C199" s="112"/>
      <c r="D199" s="112"/>
      <c r="E199" s="78">
        <f ca="1">SUM(E193:E210)</f>
        <v>93</v>
      </c>
      <c r="F199" s="78">
        <f ca="1">SUM(F193:F210)</f>
        <v>257200</v>
      </c>
      <c r="G199" s="78">
        <f ca="1">SUM(G193:G210)</f>
        <v>201000</v>
      </c>
      <c r="H199" s="78">
        <f ca="1">SUM(H193:H210)</f>
        <v>152500</v>
      </c>
    </row>
    <row r="200" spans="1:8" x14ac:dyDescent="0.25">
      <c r="A200" t="s">
        <v>28</v>
      </c>
      <c r="B200" s="3">
        <v>45984</v>
      </c>
      <c r="C200" t="s">
        <v>693</v>
      </c>
      <c r="D200" t="s">
        <v>13</v>
      </c>
      <c r="E200">
        <v>37</v>
      </c>
      <c r="F200" s="79">
        <f>E200*7000</f>
        <v>259000</v>
      </c>
      <c r="G200" s="79">
        <f>E200*4500</f>
        <v>166500</v>
      </c>
      <c r="H200" s="79">
        <f>E200*2500</f>
        <v>92500</v>
      </c>
    </row>
    <row r="201" spans="1:8" x14ac:dyDescent="0.25">
      <c r="D201" t="s">
        <v>14</v>
      </c>
      <c r="E201">
        <v>21</v>
      </c>
      <c r="F201" s="79">
        <f>E201*10000</f>
        <v>210000</v>
      </c>
      <c r="G201" s="79">
        <f>E201*5500</f>
        <v>115500</v>
      </c>
      <c r="H201" s="79">
        <f>E201*4500</f>
        <v>94500</v>
      </c>
    </row>
    <row r="202" spans="1:8" x14ac:dyDescent="0.25">
      <c r="D202" t="s">
        <v>243</v>
      </c>
      <c r="E202">
        <v>3</v>
      </c>
      <c r="F202" s="79">
        <f>E202*15000</f>
        <v>45000</v>
      </c>
      <c r="G202" s="79">
        <f>E202*10000</f>
        <v>30000</v>
      </c>
      <c r="H202" s="79">
        <f>E202*5000</f>
        <v>15000</v>
      </c>
    </row>
    <row r="203" spans="1:8" x14ac:dyDescent="0.25">
      <c r="D203" t="s">
        <v>927</v>
      </c>
      <c r="E203">
        <v>3</v>
      </c>
      <c r="F203" s="79">
        <f>E203*10500</f>
        <v>31500</v>
      </c>
      <c r="G203" s="79">
        <f>E203*5500</f>
        <v>16500</v>
      </c>
      <c r="H203" s="79">
        <f>E203*3500</f>
        <v>10500</v>
      </c>
    </row>
    <row r="204" spans="1:8" x14ac:dyDescent="0.25">
      <c r="D204" t="s">
        <v>995</v>
      </c>
      <c r="E204">
        <v>3</v>
      </c>
      <c r="F204" s="79">
        <f>E204*25000</f>
        <v>75000</v>
      </c>
      <c r="G204" s="79">
        <f>E204*15000</f>
        <v>45000</v>
      </c>
      <c r="H204" s="79">
        <f>E204*10000</f>
        <v>30000</v>
      </c>
    </row>
    <row r="205" spans="1:8" x14ac:dyDescent="0.25">
      <c r="C205" t="s">
        <v>217</v>
      </c>
      <c r="D205" t="s">
        <v>11</v>
      </c>
      <c r="E205">
        <v>3</v>
      </c>
      <c r="F205" s="79">
        <f>E205*1500</f>
        <v>4500</v>
      </c>
      <c r="G205" s="79">
        <f>E205*500</f>
        <v>1500</v>
      </c>
      <c r="H205" s="79">
        <f>E205*1000</f>
        <v>3000</v>
      </c>
    </row>
    <row r="206" spans="1:8" x14ac:dyDescent="0.25">
      <c r="D206" t="s">
        <v>13</v>
      </c>
      <c r="E206">
        <v>14</v>
      </c>
      <c r="F206" s="79">
        <f>E206*6500</f>
        <v>91000</v>
      </c>
      <c r="G206" s="79">
        <f>E206*4500</f>
        <v>63000</v>
      </c>
      <c r="H206" s="79">
        <f>E206*2000</f>
        <v>28000</v>
      </c>
    </row>
    <row r="207" spans="1:8" x14ac:dyDescent="0.25">
      <c r="D207" t="s">
        <v>14</v>
      </c>
      <c r="E207">
        <v>12</v>
      </c>
      <c r="F207" s="79">
        <f>E207*10000</f>
        <v>120000</v>
      </c>
      <c r="G207" s="79">
        <f>E207*5500</f>
        <v>66000</v>
      </c>
      <c r="H207" s="79">
        <f>E207*4500</f>
        <v>54000</v>
      </c>
    </row>
    <row r="208" spans="1:8" x14ac:dyDescent="0.25">
      <c r="C208" t="s">
        <v>797</v>
      </c>
      <c r="D208" t="s">
        <v>13</v>
      </c>
      <c r="E208">
        <v>18</v>
      </c>
      <c r="F208" s="79">
        <f>E208*650</f>
        <v>11700</v>
      </c>
      <c r="G208" s="79">
        <f>E208*4500</f>
        <v>81000</v>
      </c>
      <c r="H208" s="79">
        <f>E208*2000</f>
        <v>36000</v>
      </c>
    </row>
    <row r="209" spans="1:8" x14ac:dyDescent="0.25">
      <c r="D209" t="s">
        <v>14</v>
      </c>
      <c r="E209">
        <v>9</v>
      </c>
      <c r="F209" s="79">
        <f>E209*10000</f>
        <v>90000</v>
      </c>
      <c r="G209" s="79">
        <f>E209*5500</f>
        <v>49500</v>
      </c>
      <c r="H209" s="79">
        <f>E209*4500</f>
        <v>40500</v>
      </c>
    </row>
    <row r="210" spans="1:8" x14ac:dyDescent="0.25">
      <c r="D210" t="s">
        <v>243</v>
      </c>
      <c r="E210">
        <v>1</v>
      </c>
      <c r="F210" s="79">
        <v>14000</v>
      </c>
      <c r="G210" s="79">
        <v>9000</v>
      </c>
      <c r="H210" s="79">
        <v>5000</v>
      </c>
    </row>
    <row r="211" spans="1:8" x14ac:dyDescent="0.25">
      <c r="A211" s="112" t="s">
        <v>1010</v>
      </c>
      <c r="B211" s="112"/>
      <c r="C211" s="112"/>
      <c r="D211" s="112"/>
      <c r="E211" s="78">
        <f>SUM(E200:E210)</f>
        <v>124</v>
      </c>
      <c r="F211" s="78">
        <f t="shared" ref="F211:H211" si="25">SUM(F200:F210)</f>
        <v>951700</v>
      </c>
      <c r="G211" s="78">
        <f t="shared" si="25"/>
        <v>643500</v>
      </c>
      <c r="H211" s="78">
        <f t="shared" si="25"/>
        <v>409000</v>
      </c>
    </row>
    <row r="212" spans="1:8" x14ac:dyDescent="0.25">
      <c r="A212" t="s">
        <v>30</v>
      </c>
      <c r="B212" s="3">
        <v>45985</v>
      </c>
      <c r="C212" t="s">
        <v>338</v>
      </c>
      <c r="D212" t="s">
        <v>11</v>
      </c>
      <c r="E212">
        <v>50</v>
      </c>
      <c r="F212" s="79">
        <f>E212*1500</f>
        <v>75000</v>
      </c>
      <c r="G212" s="79">
        <f>E212*500</f>
        <v>25000</v>
      </c>
      <c r="H212" s="79">
        <f>E212*1000</f>
        <v>50000</v>
      </c>
    </row>
    <row r="213" spans="1:8" x14ac:dyDescent="0.25">
      <c r="C213" t="s">
        <v>581</v>
      </c>
      <c r="D213" t="s">
        <v>11</v>
      </c>
      <c r="E213">
        <v>15</v>
      </c>
      <c r="F213" s="79">
        <f t="shared" ref="F213:F214" si="26">E213*1500</f>
        <v>22500</v>
      </c>
      <c r="G213" s="79">
        <f t="shared" ref="G213:G214" si="27">E213*500</f>
        <v>7500</v>
      </c>
      <c r="H213" s="79">
        <f t="shared" ref="H213:H214" si="28">E213*1000</f>
        <v>15000</v>
      </c>
    </row>
    <row r="214" spans="1:8" x14ac:dyDescent="0.25">
      <c r="C214" t="s">
        <v>571</v>
      </c>
      <c r="D214" t="s">
        <v>11</v>
      </c>
      <c r="E214">
        <v>42</v>
      </c>
      <c r="F214" s="79">
        <f t="shared" si="26"/>
        <v>63000</v>
      </c>
      <c r="G214" s="79">
        <f t="shared" si="27"/>
        <v>21000</v>
      </c>
      <c r="H214" s="79">
        <f t="shared" si="28"/>
        <v>42000</v>
      </c>
    </row>
    <row r="215" spans="1:8" x14ac:dyDescent="0.25">
      <c r="C215" t="s">
        <v>797</v>
      </c>
      <c r="D215" t="s">
        <v>13</v>
      </c>
      <c r="E215">
        <v>31</v>
      </c>
      <c r="F215" s="79">
        <f>E215*6500</f>
        <v>201500</v>
      </c>
      <c r="G215" s="79">
        <f>E215*4500</f>
        <v>139500</v>
      </c>
      <c r="H215" s="79">
        <f>E215*2000</f>
        <v>62000</v>
      </c>
    </row>
    <row r="216" spans="1:8" x14ac:dyDescent="0.25">
      <c r="D216" t="s">
        <v>14</v>
      </c>
      <c r="E216">
        <v>11</v>
      </c>
      <c r="F216" s="79">
        <f>E216*10000</f>
        <v>110000</v>
      </c>
      <c r="G216" s="79">
        <f>E216*5500</f>
        <v>60500</v>
      </c>
      <c r="H216" s="79">
        <f>E216*4500</f>
        <v>49500</v>
      </c>
    </row>
    <row r="217" spans="1:8" x14ac:dyDescent="0.25">
      <c r="D217" t="s">
        <v>11</v>
      </c>
      <c r="E217">
        <v>4</v>
      </c>
      <c r="F217" s="79">
        <f>E217*2000</f>
        <v>8000</v>
      </c>
      <c r="G217" s="79">
        <f>E217*500</f>
        <v>2000</v>
      </c>
      <c r="H217" s="79">
        <f>E217*1500</f>
        <v>6000</v>
      </c>
    </row>
    <row r="218" spans="1:8" x14ac:dyDescent="0.25">
      <c r="D218" t="s">
        <v>243</v>
      </c>
      <c r="E218">
        <v>2</v>
      </c>
      <c r="F218" s="79">
        <f>E218*14000</f>
        <v>28000</v>
      </c>
      <c r="G218" s="79">
        <f>E218*9000</f>
        <v>18000</v>
      </c>
      <c r="H218" s="79">
        <f>E218*5000</f>
        <v>10000</v>
      </c>
    </row>
    <row r="219" spans="1:8" x14ac:dyDescent="0.25">
      <c r="C219" t="s">
        <v>960</v>
      </c>
      <c r="D219" t="s">
        <v>243</v>
      </c>
      <c r="E219">
        <v>100</v>
      </c>
      <c r="F219" s="79"/>
      <c r="G219" s="79"/>
      <c r="H219" s="79"/>
    </row>
    <row r="220" spans="1:8" x14ac:dyDescent="0.25">
      <c r="C220" t="s">
        <v>960</v>
      </c>
      <c r="D220" t="s">
        <v>243</v>
      </c>
      <c r="E220">
        <v>50</v>
      </c>
      <c r="F220" s="79"/>
      <c r="G220" s="79"/>
      <c r="H220" s="79"/>
    </row>
    <row r="221" spans="1:8" x14ac:dyDescent="0.25">
      <c r="C221" t="s">
        <v>952</v>
      </c>
      <c r="D221" t="s">
        <v>243</v>
      </c>
      <c r="E221">
        <v>1</v>
      </c>
      <c r="F221" s="79">
        <v>17000</v>
      </c>
      <c r="G221" s="79">
        <v>9000</v>
      </c>
      <c r="H221" s="79">
        <v>8000</v>
      </c>
    </row>
    <row r="222" spans="1:8" x14ac:dyDescent="0.25">
      <c r="A222" s="112" t="s">
        <v>17</v>
      </c>
      <c r="B222" s="112"/>
      <c r="C222" s="112"/>
      <c r="D222" s="112"/>
      <c r="E222" s="78">
        <f>SUM(E212:E221)</f>
        <v>306</v>
      </c>
      <c r="F222" s="78">
        <f t="shared" ref="F222:H222" si="29">SUM(F212:F221)</f>
        <v>525000</v>
      </c>
      <c r="G222" s="78">
        <f t="shared" si="29"/>
        <v>282500</v>
      </c>
      <c r="H222" s="78">
        <f t="shared" si="29"/>
        <v>242500</v>
      </c>
    </row>
    <row r="223" spans="1:8" x14ac:dyDescent="0.25">
      <c r="A223" t="s">
        <v>32</v>
      </c>
      <c r="B223" s="3">
        <v>45986</v>
      </c>
      <c r="C223" t="s">
        <v>338</v>
      </c>
      <c r="D223" t="s">
        <v>11</v>
      </c>
      <c r="E223">
        <v>45</v>
      </c>
      <c r="F223" s="79">
        <f>E223*1500</f>
        <v>67500</v>
      </c>
      <c r="G223" s="79">
        <f>E223*500</f>
        <v>22500</v>
      </c>
      <c r="H223" s="79">
        <f>E223*1000</f>
        <v>45000</v>
      </c>
    </row>
    <row r="224" spans="1:8" x14ac:dyDescent="0.25">
      <c r="C224" t="s">
        <v>581</v>
      </c>
      <c r="D224" t="s">
        <v>11</v>
      </c>
      <c r="E224">
        <v>15</v>
      </c>
      <c r="F224" s="79">
        <f>E224*1500</f>
        <v>22500</v>
      </c>
      <c r="G224" s="79">
        <f>E224*500</f>
        <v>7500</v>
      </c>
      <c r="H224" s="79">
        <f>E224*1000</f>
        <v>15000</v>
      </c>
    </row>
    <row r="225" spans="1:8" x14ac:dyDescent="0.25">
      <c r="C225" t="s">
        <v>797</v>
      </c>
      <c r="D225" t="s">
        <v>11</v>
      </c>
      <c r="E225">
        <v>9</v>
      </c>
      <c r="F225" s="79">
        <f>E225*2000</f>
        <v>18000</v>
      </c>
      <c r="G225" s="79">
        <f>E225*500</f>
        <v>4500</v>
      </c>
      <c r="H225" s="79">
        <f>E225*1000</f>
        <v>9000</v>
      </c>
    </row>
    <row r="226" spans="1:8" x14ac:dyDescent="0.25">
      <c r="D226" t="s">
        <v>13</v>
      </c>
      <c r="E226">
        <v>31</v>
      </c>
      <c r="F226" s="79">
        <f>E226*6500</f>
        <v>201500</v>
      </c>
      <c r="G226" s="79">
        <f>E226*4500</f>
        <v>139500</v>
      </c>
      <c r="H226" s="79">
        <f>E226*2000</f>
        <v>62000</v>
      </c>
    </row>
    <row r="227" spans="1:8" x14ac:dyDescent="0.25">
      <c r="D227" t="s">
        <v>14</v>
      </c>
      <c r="E227">
        <v>21</v>
      </c>
      <c r="F227" s="79">
        <f>E227*10000</f>
        <v>210000</v>
      </c>
      <c r="G227" s="79">
        <f>E227*5500</f>
        <v>115500</v>
      </c>
      <c r="H227" s="79">
        <f>E227*4500</f>
        <v>94500</v>
      </c>
    </row>
    <row r="228" spans="1:8" x14ac:dyDescent="0.25">
      <c r="D228" t="s">
        <v>243</v>
      </c>
      <c r="E228">
        <v>2</v>
      </c>
      <c r="F228" s="79">
        <f>E228*14000</f>
        <v>28000</v>
      </c>
      <c r="G228" s="79">
        <f>E228*10000</f>
        <v>20000</v>
      </c>
      <c r="H228" s="79">
        <f>E228*4000</f>
        <v>8000</v>
      </c>
    </row>
    <row r="229" spans="1:8" x14ac:dyDescent="0.25">
      <c r="A229" s="112" t="s">
        <v>17</v>
      </c>
      <c r="B229" s="112"/>
      <c r="C229" s="112"/>
      <c r="D229" s="112"/>
      <c r="E229" s="78">
        <f>SUM(E223:E228)</f>
        <v>123</v>
      </c>
      <c r="F229" s="78">
        <f t="shared" ref="F229:H229" si="30">SUM(F223:F228)</f>
        <v>547500</v>
      </c>
      <c r="G229" s="78">
        <f t="shared" si="30"/>
        <v>309500</v>
      </c>
      <c r="H229" s="78">
        <f t="shared" si="30"/>
        <v>233500</v>
      </c>
    </row>
    <row r="230" spans="1:8" x14ac:dyDescent="0.25">
      <c r="A230" t="s">
        <v>8</v>
      </c>
      <c r="B230" s="3">
        <v>45987</v>
      </c>
      <c r="C230" t="s">
        <v>338</v>
      </c>
      <c r="D230" t="s">
        <v>11</v>
      </c>
      <c r="E230">
        <v>50</v>
      </c>
      <c r="F230" s="79">
        <f>E230*1500</f>
        <v>75000</v>
      </c>
      <c r="G230" s="79">
        <f>E230*500</f>
        <v>25000</v>
      </c>
      <c r="H230" s="79">
        <f>E230*1000</f>
        <v>50000</v>
      </c>
    </row>
    <row r="231" spans="1:8" x14ac:dyDescent="0.25">
      <c r="C231" t="s">
        <v>581</v>
      </c>
      <c r="D231" t="s">
        <v>11</v>
      </c>
      <c r="E231">
        <v>15</v>
      </c>
      <c r="F231" s="79">
        <f>E231*1500</f>
        <v>22500</v>
      </c>
      <c r="G231" s="79">
        <f>E231*500</f>
        <v>7500</v>
      </c>
      <c r="H231" s="79">
        <f>E231*1000</f>
        <v>15000</v>
      </c>
    </row>
    <row r="232" spans="1:8" x14ac:dyDescent="0.25">
      <c r="C232" t="s">
        <v>1001</v>
      </c>
      <c r="D232" t="s">
        <v>243</v>
      </c>
      <c r="E232">
        <v>50</v>
      </c>
      <c r="F232" s="79">
        <f>E232*12000</f>
        <v>600000</v>
      </c>
      <c r="G232" s="79">
        <f>E232*9000</f>
        <v>450000</v>
      </c>
      <c r="H232" s="79">
        <f>E232*3000</f>
        <v>150000</v>
      </c>
    </row>
    <row r="233" spans="1:8" x14ac:dyDescent="0.25">
      <c r="A233" s="112" t="s">
        <v>17</v>
      </c>
      <c r="B233" s="112"/>
      <c r="C233" s="112"/>
      <c r="D233" s="112"/>
      <c r="E233" s="78">
        <f>SUM(E230:E232)</f>
        <v>115</v>
      </c>
      <c r="F233" s="78">
        <f t="shared" ref="F233:H233" si="31">SUM(F230:F232)</f>
        <v>697500</v>
      </c>
      <c r="G233" s="78">
        <f t="shared" si="31"/>
        <v>482500</v>
      </c>
      <c r="H233" s="78">
        <f t="shared" si="31"/>
        <v>215000</v>
      </c>
    </row>
    <row r="234" spans="1:8" x14ac:dyDescent="0.25">
      <c r="A234" t="s">
        <v>18</v>
      </c>
      <c r="B234" s="3">
        <v>45988</v>
      </c>
      <c r="C234" t="s">
        <v>338</v>
      </c>
      <c r="E234">
        <v>40</v>
      </c>
      <c r="F234">
        <f>E234*1500</f>
        <v>60000</v>
      </c>
      <c r="G234">
        <f>E234*500</f>
        <v>20000</v>
      </c>
      <c r="H234">
        <f>E234*1000</f>
        <v>40000</v>
      </c>
    </row>
    <row r="235" spans="1:8" x14ac:dyDescent="0.25">
      <c r="C235" t="s">
        <v>581</v>
      </c>
      <c r="E235">
        <v>10</v>
      </c>
      <c r="F235">
        <f t="shared" ref="F235:F236" si="32">E235*1500</f>
        <v>15000</v>
      </c>
      <c r="G235">
        <f t="shared" ref="G235:G236" si="33">E235*500</f>
        <v>5000</v>
      </c>
      <c r="H235">
        <f t="shared" ref="H235:H236" si="34">E235*1000</f>
        <v>10000</v>
      </c>
    </row>
    <row r="236" spans="1:8" x14ac:dyDescent="0.25">
      <c r="C236" t="s">
        <v>571</v>
      </c>
      <c r="E236">
        <v>25</v>
      </c>
      <c r="F236">
        <f t="shared" si="32"/>
        <v>37500</v>
      </c>
      <c r="G236">
        <f t="shared" si="33"/>
        <v>12500</v>
      </c>
      <c r="H236">
        <f t="shared" si="34"/>
        <v>25000</v>
      </c>
    </row>
    <row r="237" spans="1:8" x14ac:dyDescent="0.25">
      <c r="C237" t="s">
        <v>797</v>
      </c>
      <c r="D237" t="s">
        <v>11</v>
      </c>
      <c r="E237">
        <v>1</v>
      </c>
      <c r="F237">
        <v>2000</v>
      </c>
      <c r="G237">
        <v>500</v>
      </c>
      <c r="H237">
        <v>1500</v>
      </c>
    </row>
    <row r="238" spans="1:8" x14ac:dyDescent="0.25">
      <c r="D238" t="s">
        <v>13</v>
      </c>
      <c r="E238">
        <v>21</v>
      </c>
      <c r="F238">
        <f>E238*6500</f>
        <v>136500</v>
      </c>
      <c r="G238">
        <f>E238*4500</f>
        <v>94500</v>
      </c>
      <c r="H238">
        <f>E238*2000</f>
        <v>42000</v>
      </c>
    </row>
    <row r="239" spans="1:8" x14ac:dyDescent="0.25">
      <c r="D239" t="s">
        <v>14</v>
      </c>
      <c r="E239">
        <v>6</v>
      </c>
      <c r="F239">
        <f>E239*10000</f>
        <v>60000</v>
      </c>
      <c r="G239">
        <f>E239*4500</f>
        <v>27000</v>
      </c>
      <c r="H239">
        <f>E239*4500</f>
        <v>27000</v>
      </c>
    </row>
    <row r="240" spans="1:8" x14ac:dyDescent="0.25">
      <c r="D240" t="s">
        <v>243</v>
      </c>
      <c r="E240">
        <v>4</v>
      </c>
      <c r="F240">
        <f>E240*14000</f>
        <v>56000</v>
      </c>
      <c r="G240">
        <f>E240*9000</f>
        <v>36000</v>
      </c>
      <c r="H240">
        <f>E240*5000</f>
        <v>20000</v>
      </c>
    </row>
    <row r="241" spans="1:8" x14ac:dyDescent="0.25">
      <c r="A241" s="112" t="s">
        <v>17</v>
      </c>
      <c r="B241" s="112"/>
      <c r="C241" s="112"/>
      <c r="D241" s="112"/>
      <c r="E241" s="78">
        <f>SUM(E234:E240)</f>
        <v>107</v>
      </c>
      <c r="F241" s="78">
        <f t="shared" ref="F241:H241" si="35">SUM(F234:F240)</f>
        <v>367000</v>
      </c>
      <c r="G241" s="78">
        <f t="shared" si="35"/>
        <v>195500</v>
      </c>
      <c r="H241" s="78">
        <f t="shared" si="35"/>
        <v>165500</v>
      </c>
    </row>
    <row r="242" spans="1:8" x14ac:dyDescent="0.25">
      <c r="A242" t="s">
        <v>22</v>
      </c>
      <c r="B242" s="3">
        <v>45989</v>
      </c>
      <c r="C242" t="s">
        <v>1011</v>
      </c>
      <c r="D242" t="s">
        <v>902</v>
      </c>
      <c r="E242">
        <v>10</v>
      </c>
      <c r="F242">
        <f>E242*8000</f>
        <v>80000</v>
      </c>
      <c r="G242">
        <f>E242*5500</f>
        <v>55000</v>
      </c>
      <c r="H242">
        <f>E242*2500</f>
        <v>25000</v>
      </c>
    </row>
    <row r="243" spans="1:8" x14ac:dyDescent="0.25">
      <c r="D243" t="s">
        <v>918</v>
      </c>
      <c r="E243">
        <v>1</v>
      </c>
      <c r="F243">
        <v>15000</v>
      </c>
      <c r="G243">
        <v>10000</v>
      </c>
      <c r="H243">
        <v>5000</v>
      </c>
    </row>
    <row r="244" spans="1:8" x14ac:dyDescent="0.25">
      <c r="C244" t="s">
        <v>797</v>
      </c>
      <c r="D244" t="s">
        <v>13</v>
      </c>
      <c r="E244">
        <v>35</v>
      </c>
      <c r="F244">
        <f>E244*6500</f>
        <v>227500</v>
      </c>
      <c r="G244">
        <f>E244*4500</f>
        <v>157500</v>
      </c>
      <c r="H244">
        <f>E244*2000</f>
        <v>70000</v>
      </c>
    </row>
    <row r="245" spans="1:8" x14ac:dyDescent="0.25">
      <c r="D245" t="s">
        <v>14</v>
      </c>
      <c r="E245">
        <v>6</v>
      </c>
      <c r="F245">
        <f>E245*10000</f>
        <v>60000</v>
      </c>
      <c r="G245">
        <f>E245*5500</f>
        <v>33000</v>
      </c>
      <c r="H245">
        <f>E245*4500</f>
        <v>27000</v>
      </c>
    </row>
    <row r="246" spans="1:8" x14ac:dyDescent="0.25">
      <c r="D246" t="s">
        <v>243</v>
      </c>
      <c r="E246">
        <v>1</v>
      </c>
      <c r="F246">
        <v>14000</v>
      </c>
      <c r="G246">
        <v>9000</v>
      </c>
      <c r="H246">
        <v>5000</v>
      </c>
    </row>
    <row r="247" spans="1:8" x14ac:dyDescent="0.25">
      <c r="A247" s="111" t="s">
        <v>17</v>
      </c>
      <c r="B247" s="111"/>
      <c r="C247" s="111"/>
      <c r="D247" s="111"/>
      <c r="E247" s="1">
        <f>SUM(E242:E246)</f>
        <v>53</v>
      </c>
      <c r="F247" s="78">
        <f t="shared" ref="F247:H247" si="36">SUM(F242:F246)</f>
        <v>396500</v>
      </c>
      <c r="G247" s="78">
        <f t="shared" si="36"/>
        <v>264500</v>
      </c>
      <c r="H247" s="78">
        <f t="shared" si="36"/>
        <v>132000</v>
      </c>
    </row>
    <row r="248" spans="1:8" x14ac:dyDescent="0.25">
      <c r="A248" t="s">
        <v>26</v>
      </c>
      <c r="B248" s="3">
        <v>45990</v>
      </c>
      <c r="C248" t="s">
        <v>338</v>
      </c>
      <c r="D248" t="s">
        <v>11</v>
      </c>
      <c r="E248">
        <v>82</v>
      </c>
      <c r="F248" s="79">
        <f>E248*1500</f>
        <v>123000</v>
      </c>
      <c r="G248" s="79">
        <f>E248*500</f>
        <v>41000</v>
      </c>
      <c r="H248" s="79">
        <f>E248*1000</f>
        <v>82000</v>
      </c>
    </row>
    <row r="249" spans="1:8" x14ac:dyDescent="0.25">
      <c r="C249" t="s">
        <v>581</v>
      </c>
      <c r="D249" t="s">
        <v>11</v>
      </c>
      <c r="E249">
        <v>15</v>
      </c>
      <c r="F249" s="79">
        <f>E249*1500</f>
        <v>22500</v>
      </c>
      <c r="G249" s="79">
        <f>E249*500</f>
        <v>7500</v>
      </c>
      <c r="H249" s="79">
        <f>E249*1000</f>
        <v>15000</v>
      </c>
    </row>
    <row r="250" spans="1:8" x14ac:dyDescent="0.25">
      <c r="C250" t="s">
        <v>1011</v>
      </c>
      <c r="D250" t="s">
        <v>902</v>
      </c>
      <c r="E250">
        <v>8</v>
      </c>
      <c r="F250" s="79">
        <f>E250*8000</f>
        <v>64000</v>
      </c>
      <c r="G250" s="79">
        <f>E250*5500</f>
        <v>44000</v>
      </c>
      <c r="H250" s="79">
        <f>E250*2500</f>
        <v>20000</v>
      </c>
    </row>
    <row r="251" spans="1:8" x14ac:dyDescent="0.25">
      <c r="D251" t="s">
        <v>958</v>
      </c>
      <c r="E251">
        <v>2</v>
      </c>
      <c r="F251" s="79">
        <v>20000</v>
      </c>
      <c r="G251" s="79">
        <v>11000</v>
      </c>
      <c r="H251" s="79">
        <v>9000</v>
      </c>
    </row>
    <row r="252" spans="1:8" x14ac:dyDescent="0.25">
      <c r="D252" t="s">
        <v>919</v>
      </c>
      <c r="E252">
        <v>1</v>
      </c>
      <c r="F252" s="79">
        <v>12000</v>
      </c>
      <c r="G252" s="79">
        <v>5500</v>
      </c>
      <c r="H252" s="79">
        <v>6500</v>
      </c>
    </row>
    <row r="253" spans="1:8" x14ac:dyDescent="0.25">
      <c r="D253" t="s">
        <v>13</v>
      </c>
      <c r="E253">
        <v>2</v>
      </c>
      <c r="F253" s="79">
        <v>16000</v>
      </c>
      <c r="G253" s="79">
        <v>9000</v>
      </c>
      <c r="H253" s="79">
        <v>7000</v>
      </c>
    </row>
    <row r="254" spans="1:8" x14ac:dyDescent="0.25">
      <c r="D254" t="s">
        <v>14</v>
      </c>
      <c r="E254">
        <v>1</v>
      </c>
      <c r="F254" s="79">
        <v>12000</v>
      </c>
      <c r="G254" s="79">
        <v>5500</v>
      </c>
      <c r="H254" s="79">
        <v>6500</v>
      </c>
    </row>
    <row r="255" spans="1:8" x14ac:dyDescent="0.25">
      <c r="D255" t="s">
        <v>933</v>
      </c>
      <c r="E255">
        <v>1</v>
      </c>
      <c r="F255" s="79">
        <v>10000</v>
      </c>
      <c r="G255" s="79">
        <v>5500</v>
      </c>
      <c r="H255" s="79">
        <v>4500</v>
      </c>
    </row>
    <row r="256" spans="1:8" x14ac:dyDescent="0.25">
      <c r="C256" t="s">
        <v>554</v>
      </c>
      <c r="D256" t="s">
        <v>243</v>
      </c>
      <c r="E256">
        <v>5</v>
      </c>
      <c r="F256" s="79"/>
      <c r="G256" s="79"/>
      <c r="H256" s="79"/>
    </row>
    <row r="257" spans="1:8" x14ac:dyDescent="0.25">
      <c r="A257" s="112" t="s">
        <v>17</v>
      </c>
      <c r="B257" s="112"/>
      <c r="C257" s="112"/>
      <c r="D257" s="112"/>
      <c r="E257" s="78">
        <f>SUM(E248:E256)</f>
        <v>117</v>
      </c>
      <c r="F257" s="78">
        <f t="shared" ref="F257:H257" si="37">SUM(F248:F256)</f>
        <v>279500</v>
      </c>
      <c r="G257" s="78">
        <f t="shared" si="37"/>
        <v>129000</v>
      </c>
      <c r="H257" s="78">
        <f t="shared" si="37"/>
        <v>150500</v>
      </c>
    </row>
    <row r="258" spans="1:8" x14ac:dyDescent="0.25">
      <c r="A258" t="s">
        <v>28</v>
      </c>
      <c r="B258" t="s">
        <v>1012</v>
      </c>
      <c r="C258" t="s">
        <v>693</v>
      </c>
      <c r="D258" t="s">
        <v>13</v>
      </c>
      <c r="E258">
        <v>46</v>
      </c>
      <c r="F258" s="79">
        <f>E258*7000</f>
        <v>322000</v>
      </c>
      <c r="G258" s="79">
        <f>E258*4500</f>
        <v>207000</v>
      </c>
      <c r="H258" s="79">
        <f>E258*2500</f>
        <v>115000</v>
      </c>
    </row>
    <row r="259" spans="1:8" x14ac:dyDescent="0.25">
      <c r="D259" t="s">
        <v>14</v>
      </c>
      <c r="E259">
        <v>27</v>
      </c>
      <c r="F259" s="79">
        <f>E259*10000</f>
        <v>270000</v>
      </c>
      <c r="G259" s="79">
        <f>E259*5500</f>
        <v>148500</v>
      </c>
      <c r="H259" s="79">
        <f>E259*4500</f>
        <v>121500</v>
      </c>
    </row>
    <row r="260" spans="1:8" x14ac:dyDescent="0.25">
      <c r="D260" t="s">
        <v>958</v>
      </c>
      <c r="E260">
        <v>1</v>
      </c>
      <c r="F260" s="79">
        <v>10000</v>
      </c>
      <c r="G260" s="79">
        <v>5500</v>
      </c>
      <c r="H260" s="79">
        <v>4500</v>
      </c>
    </row>
    <row r="261" spans="1:8" x14ac:dyDescent="0.25">
      <c r="D261" t="s">
        <v>243</v>
      </c>
      <c r="E261">
        <v>1</v>
      </c>
      <c r="F261" s="79">
        <v>15000</v>
      </c>
      <c r="G261" s="79">
        <v>10000</v>
      </c>
      <c r="H261" s="79">
        <v>5000</v>
      </c>
    </row>
    <row r="262" spans="1:8" x14ac:dyDescent="0.25">
      <c r="D262" t="s">
        <v>995</v>
      </c>
      <c r="E262">
        <v>1</v>
      </c>
      <c r="F262" s="79">
        <v>25000</v>
      </c>
      <c r="G262" s="79">
        <v>15000</v>
      </c>
      <c r="H262" s="79">
        <v>10000</v>
      </c>
    </row>
    <row r="263" spans="1:8" x14ac:dyDescent="0.25">
      <c r="C263" t="s">
        <v>1011</v>
      </c>
      <c r="D263" t="s">
        <v>13</v>
      </c>
      <c r="E263">
        <v>16</v>
      </c>
      <c r="F263" s="79">
        <f>E263*8000</f>
        <v>128000</v>
      </c>
      <c r="G263" s="79">
        <f>E263*4500</f>
        <v>72000</v>
      </c>
      <c r="H263" s="79">
        <f>E263*3500</f>
        <v>56000</v>
      </c>
    </row>
    <row r="264" spans="1:8" x14ac:dyDescent="0.25">
      <c r="D264" t="s">
        <v>14</v>
      </c>
      <c r="E264">
        <v>5</v>
      </c>
      <c r="F264" s="79">
        <f>E264*12000</f>
        <v>60000</v>
      </c>
      <c r="G264" s="79">
        <f>E264*5500</f>
        <v>27500</v>
      </c>
      <c r="H264" s="79">
        <f>E264*6500</f>
        <v>32500</v>
      </c>
    </row>
    <row r="265" spans="1:8" x14ac:dyDescent="0.25">
      <c r="D265" t="s">
        <v>11</v>
      </c>
      <c r="E265">
        <v>4</v>
      </c>
      <c r="F265" s="79">
        <f>E265*3000</f>
        <v>12000</v>
      </c>
      <c r="G265" s="79">
        <f>E265*500</f>
        <v>2000</v>
      </c>
      <c r="H265" s="79">
        <f>E265*2500</f>
        <v>10000</v>
      </c>
    </row>
    <row r="266" spans="1:8" x14ac:dyDescent="0.25">
      <c r="C266" t="s">
        <v>797</v>
      </c>
      <c r="D266" t="s">
        <v>13</v>
      </c>
      <c r="E266">
        <v>21</v>
      </c>
      <c r="F266" s="79">
        <f>E266*6500</f>
        <v>136500</v>
      </c>
      <c r="G266" s="79">
        <f>E266*4500</f>
        <v>94500</v>
      </c>
      <c r="H266" s="79">
        <f>E266*2000</f>
        <v>42000</v>
      </c>
    </row>
    <row r="267" spans="1:8" x14ac:dyDescent="0.25">
      <c r="D267" t="s">
        <v>14</v>
      </c>
      <c r="E267">
        <v>10</v>
      </c>
      <c r="F267" s="79">
        <f>E267*10000</f>
        <v>100000</v>
      </c>
      <c r="G267" s="79">
        <f>E267*5500</f>
        <v>55000</v>
      </c>
      <c r="H267" s="79">
        <f>E267*4500</f>
        <v>45000</v>
      </c>
    </row>
    <row r="268" spans="1:8" x14ac:dyDescent="0.25">
      <c r="D268" t="s">
        <v>243</v>
      </c>
      <c r="E268">
        <v>3</v>
      </c>
      <c r="F268" s="79">
        <f>E268*14000</f>
        <v>42000</v>
      </c>
      <c r="G268" s="79">
        <f>E268*9000</f>
        <v>27000</v>
      </c>
      <c r="H268" s="79">
        <f>E268*5000</f>
        <v>15000</v>
      </c>
    </row>
    <row r="269" spans="1:8" x14ac:dyDescent="0.25">
      <c r="C269" t="s">
        <v>952</v>
      </c>
      <c r="D269" t="s">
        <v>243</v>
      </c>
      <c r="E269">
        <v>2</v>
      </c>
      <c r="F269" s="79">
        <v>30000</v>
      </c>
      <c r="G269" s="79">
        <v>20000</v>
      </c>
      <c r="H269" s="79">
        <v>10000</v>
      </c>
    </row>
    <row r="270" spans="1:8" x14ac:dyDescent="0.25">
      <c r="A270" s="112" t="s">
        <v>17</v>
      </c>
      <c r="B270" s="112"/>
      <c r="C270" s="112"/>
      <c r="D270" s="112"/>
      <c r="E270" s="78">
        <f>SUM(E258:E269)</f>
        <v>137</v>
      </c>
      <c r="F270" s="78">
        <f t="shared" ref="F270:H270" si="38">SUM(F258:F269)</f>
        <v>1150500</v>
      </c>
      <c r="G270" s="78">
        <f t="shared" si="38"/>
        <v>684000</v>
      </c>
      <c r="H270" s="78">
        <f t="shared" si="38"/>
        <v>466500</v>
      </c>
    </row>
  </sheetData>
  <mergeCells count="30">
    <mergeCell ref="A211:D211"/>
    <mergeCell ref="A64:D64"/>
    <mergeCell ref="A11:D11"/>
    <mergeCell ref="A23:D23"/>
    <mergeCell ref="A36:D36"/>
    <mergeCell ref="A41:D41"/>
    <mergeCell ref="A51:D51"/>
    <mergeCell ref="A77:D77"/>
    <mergeCell ref="A90:D90"/>
    <mergeCell ref="A144:D144"/>
    <mergeCell ref="A139:D139"/>
    <mergeCell ref="A71:D71"/>
    <mergeCell ref="A131:D131"/>
    <mergeCell ref="A124:D124"/>
    <mergeCell ref="A247:D247"/>
    <mergeCell ref="A257:D257"/>
    <mergeCell ref="A270:D270"/>
    <mergeCell ref="A100:D100"/>
    <mergeCell ref="A109:D109"/>
    <mergeCell ref="A229:D229"/>
    <mergeCell ref="A233:D233"/>
    <mergeCell ref="A241:D241"/>
    <mergeCell ref="A188:D188"/>
    <mergeCell ref="A192:D192"/>
    <mergeCell ref="A181:D181"/>
    <mergeCell ref="A169:D169"/>
    <mergeCell ref="A176:D176"/>
    <mergeCell ref="A156:D156"/>
    <mergeCell ref="A222:D222"/>
    <mergeCell ref="A199:D199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0D55-9F36-4F6C-B188-85A465CD60FF}">
  <dimension ref="A1:H218"/>
  <sheetViews>
    <sheetView topLeftCell="A25" workbookViewId="0"/>
  </sheetViews>
  <sheetFormatPr defaultRowHeight="15" x14ac:dyDescent="0.25"/>
  <cols>
    <col min="2" max="2" width="10.7109375" bestFit="1" customWidth="1"/>
    <col min="5" max="5" width="9.42578125" bestFit="1" customWidth="1"/>
    <col min="6" max="6" width="10.7109375" bestFit="1" customWidth="1"/>
    <col min="7" max="7" width="10.5703125" bestFit="1" customWidth="1"/>
    <col min="8" max="8" width="9.425781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30</v>
      </c>
      <c r="B2" s="3">
        <v>45992</v>
      </c>
      <c r="C2" t="s">
        <v>338</v>
      </c>
      <c r="D2" t="s">
        <v>11</v>
      </c>
      <c r="E2">
        <v>50</v>
      </c>
      <c r="F2" s="79">
        <f>E2*1500</f>
        <v>75000</v>
      </c>
      <c r="G2" s="79">
        <f>E2*500</f>
        <v>25000</v>
      </c>
      <c r="H2" s="79">
        <f>E2*1000</f>
        <v>50000</v>
      </c>
    </row>
    <row r="3" spans="1:8" x14ac:dyDescent="0.25">
      <c r="C3" t="s">
        <v>581</v>
      </c>
      <c r="D3" t="s">
        <v>11</v>
      </c>
      <c r="E3">
        <v>18</v>
      </c>
      <c r="F3" s="79">
        <f>E3*1500</f>
        <v>27000</v>
      </c>
      <c r="G3" s="79">
        <f>E3*500</f>
        <v>9000</v>
      </c>
      <c r="H3" s="79">
        <f>E3*1000</f>
        <v>18000</v>
      </c>
    </row>
    <row r="4" spans="1:8" x14ac:dyDescent="0.25">
      <c r="C4" t="s">
        <v>571</v>
      </c>
      <c r="D4" t="s">
        <v>11</v>
      </c>
      <c r="E4">
        <v>10</v>
      </c>
      <c r="F4" s="79">
        <f>E4*1500</f>
        <v>15000</v>
      </c>
      <c r="G4" s="79">
        <f>E4*500</f>
        <v>5000</v>
      </c>
      <c r="H4" s="79">
        <f>E4*1000</f>
        <v>10000</v>
      </c>
    </row>
    <row r="5" spans="1:8" x14ac:dyDescent="0.25">
      <c r="C5" t="s">
        <v>1003</v>
      </c>
      <c r="D5" t="s">
        <v>243</v>
      </c>
      <c r="E5">
        <v>90</v>
      </c>
      <c r="F5" s="79">
        <f>E5*12000</f>
        <v>1080000</v>
      </c>
      <c r="G5" s="79">
        <f>E5*9000</f>
        <v>810000</v>
      </c>
      <c r="H5" s="79">
        <f>E5*3000</f>
        <v>270000</v>
      </c>
    </row>
    <row r="6" spans="1:8" x14ac:dyDescent="0.25">
      <c r="A6" s="112" t="s">
        <v>17</v>
      </c>
      <c r="B6" s="112"/>
      <c r="C6" s="112"/>
      <c r="D6" s="112"/>
      <c r="E6" s="78">
        <f>SUM(E2:E5)</f>
        <v>168</v>
      </c>
      <c r="F6" s="78">
        <f t="shared" ref="F6:H6" si="0">SUM(F2:F5)</f>
        <v>1197000</v>
      </c>
      <c r="G6" s="78">
        <f t="shared" si="0"/>
        <v>849000</v>
      </c>
      <c r="H6" s="78">
        <f t="shared" si="0"/>
        <v>348000</v>
      </c>
    </row>
    <row r="7" spans="1:8" x14ac:dyDescent="0.25">
      <c r="A7" t="s">
        <v>32</v>
      </c>
      <c r="B7" s="3">
        <v>45993</v>
      </c>
      <c r="C7" t="s">
        <v>338</v>
      </c>
      <c r="D7" t="s">
        <v>11</v>
      </c>
      <c r="E7">
        <v>44</v>
      </c>
      <c r="F7">
        <f>E7*1500</f>
        <v>66000</v>
      </c>
      <c r="G7">
        <f>E7*500</f>
        <v>22000</v>
      </c>
      <c r="H7">
        <f>E7*1000</f>
        <v>44000</v>
      </c>
    </row>
    <row r="8" spans="1:8" x14ac:dyDescent="0.25">
      <c r="C8" t="s">
        <v>581</v>
      </c>
      <c r="D8" t="s">
        <v>11</v>
      </c>
      <c r="E8">
        <v>18</v>
      </c>
      <c r="F8">
        <f>E8*1500</f>
        <v>27000</v>
      </c>
      <c r="G8">
        <f>E8*500</f>
        <v>9000</v>
      </c>
      <c r="H8">
        <f>E8*1000</f>
        <v>18000</v>
      </c>
    </row>
    <row r="9" spans="1:8" x14ac:dyDescent="0.25">
      <c r="C9" t="s">
        <v>797</v>
      </c>
      <c r="D9" t="s">
        <v>11</v>
      </c>
      <c r="E9">
        <v>10</v>
      </c>
      <c r="F9">
        <f>E9*1500</f>
        <v>15000</v>
      </c>
      <c r="G9">
        <f>E9*500</f>
        <v>5000</v>
      </c>
      <c r="H9">
        <f>E9*1000</f>
        <v>10000</v>
      </c>
    </row>
    <row r="10" spans="1:8" x14ac:dyDescent="0.25">
      <c r="D10" t="s">
        <v>13</v>
      </c>
      <c r="E10">
        <v>12</v>
      </c>
      <c r="F10">
        <f>E10*6500</f>
        <v>78000</v>
      </c>
      <c r="G10">
        <f>E10*4500</f>
        <v>54000</v>
      </c>
      <c r="H10">
        <f>E10*2000</f>
        <v>24000</v>
      </c>
    </row>
    <row r="11" spans="1:8" x14ac:dyDescent="0.25">
      <c r="D11" t="s">
        <v>14</v>
      </c>
      <c r="E11">
        <v>9</v>
      </c>
      <c r="F11">
        <f>E11*10000</f>
        <v>90000</v>
      </c>
      <c r="G11">
        <f>E11*5500</f>
        <v>49500</v>
      </c>
      <c r="H11">
        <f>E11*4500</f>
        <v>40500</v>
      </c>
    </row>
    <row r="12" spans="1:8" x14ac:dyDescent="0.25">
      <c r="D12" t="s">
        <v>13</v>
      </c>
      <c r="E12">
        <v>5</v>
      </c>
      <c r="F12" t="s">
        <v>777</v>
      </c>
    </row>
    <row r="13" spans="1:8" x14ac:dyDescent="0.25">
      <c r="D13" t="s">
        <v>14</v>
      </c>
      <c r="E13">
        <v>3</v>
      </c>
      <c r="F13" t="s">
        <v>777</v>
      </c>
    </row>
    <row r="14" spans="1:8" x14ac:dyDescent="0.25">
      <c r="D14" t="s">
        <v>243</v>
      </c>
      <c r="E14">
        <v>5</v>
      </c>
      <c r="F14">
        <f>E14*14000</f>
        <v>70000</v>
      </c>
      <c r="G14">
        <f>E14*9000</f>
        <v>45000</v>
      </c>
      <c r="H14">
        <f>E14*5000</f>
        <v>25000</v>
      </c>
    </row>
    <row r="15" spans="1:8" x14ac:dyDescent="0.25">
      <c r="A15" s="112" t="s">
        <v>17</v>
      </c>
      <c r="B15" s="112"/>
      <c r="C15" s="112"/>
      <c r="D15" s="112"/>
      <c r="E15" s="78">
        <f>SUM(E7:E14)</f>
        <v>106</v>
      </c>
      <c r="F15" s="78">
        <f t="shared" ref="F15:H15" si="1">SUM(F7:F14)</f>
        <v>346000</v>
      </c>
      <c r="G15" s="78">
        <f t="shared" si="1"/>
        <v>184500</v>
      </c>
      <c r="H15" s="78">
        <f t="shared" si="1"/>
        <v>161500</v>
      </c>
    </row>
    <row r="16" spans="1:8" x14ac:dyDescent="0.25">
      <c r="A16" t="s">
        <v>8</v>
      </c>
      <c r="B16" s="3">
        <v>45994</v>
      </c>
      <c r="C16" t="s">
        <v>338</v>
      </c>
      <c r="D16" t="s">
        <v>11</v>
      </c>
      <c r="E16">
        <v>45</v>
      </c>
      <c r="F16">
        <f>E16*1500</f>
        <v>67500</v>
      </c>
      <c r="G16">
        <f>E16*500</f>
        <v>22500</v>
      </c>
      <c r="H16">
        <f>E16*1000</f>
        <v>45000</v>
      </c>
    </row>
    <row r="17" spans="1:8" x14ac:dyDescent="0.25">
      <c r="C17" t="s">
        <v>571</v>
      </c>
      <c r="D17" t="s">
        <v>11</v>
      </c>
      <c r="E17">
        <v>24</v>
      </c>
      <c r="F17">
        <f>E17*1500</f>
        <v>36000</v>
      </c>
      <c r="G17">
        <f>E17*500</f>
        <v>12000</v>
      </c>
      <c r="H17">
        <f>E17*1000</f>
        <v>24000</v>
      </c>
    </row>
    <row r="18" spans="1:8" x14ac:dyDescent="0.25">
      <c r="C18" t="s">
        <v>67</v>
      </c>
      <c r="D18" t="s">
        <v>243</v>
      </c>
      <c r="E18">
        <v>1</v>
      </c>
    </row>
    <row r="19" spans="1:8" x14ac:dyDescent="0.25">
      <c r="A19" s="111" t="s">
        <v>17</v>
      </c>
      <c r="B19" s="111"/>
      <c r="C19" s="111"/>
      <c r="D19" s="111"/>
      <c r="E19" s="1">
        <f>SUM(E16:E18)</f>
        <v>70</v>
      </c>
      <c r="F19" s="78">
        <f t="shared" ref="F19:H19" si="2">SUM(F16:F17)</f>
        <v>103500</v>
      </c>
      <c r="G19" s="78">
        <f t="shared" si="2"/>
        <v>34500</v>
      </c>
      <c r="H19" s="78">
        <f t="shared" si="2"/>
        <v>69000</v>
      </c>
    </row>
    <row r="20" spans="1:8" x14ac:dyDescent="0.25">
      <c r="A20" t="s">
        <v>18</v>
      </c>
      <c r="B20" s="3">
        <v>45995</v>
      </c>
      <c r="C20" t="s">
        <v>581</v>
      </c>
      <c r="D20" t="s">
        <v>11</v>
      </c>
      <c r="E20">
        <v>15</v>
      </c>
      <c r="F20" s="79">
        <f>E20*1500</f>
        <v>22500</v>
      </c>
      <c r="G20" s="79">
        <f>E20*500</f>
        <v>7500</v>
      </c>
      <c r="H20" s="79">
        <f>E20*1000</f>
        <v>15000</v>
      </c>
    </row>
    <row r="21" spans="1:8" x14ac:dyDescent="0.25">
      <c r="C21" t="s">
        <v>797</v>
      </c>
      <c r="D21" t="s">
        <v>11</v>
      </c>
      <c r="E21">
        <v>2</v>
      </c>
      <c r="F21" s="79">
        <v>6000</v>
      </c>
      <c r="G21" s="79">
        <v>1000</v>
      </c>
      <c r="H21" s="79">
        <v>5000</v>
      </c>
    </row>
    <row r="22" spans="1:8" x14ac:dyDescent="0.25">
      <c r="D22" t="s">
        <v>13</v>
      </c>
      <c r="E22">
        <v>24</v>
      </c>
      <c r="F22" s="79">
        <f>E22*6500</f>
        <v>156000</v>
      </c>
      <c r="G22" s="79">
        <f>E22*4500</f>
        <v>108000</v>
      </c>
      <c r="H22" s="79">
        <f>E22*2000</f>
        <v>48000</v>
      </c>
    </row>
    <row r="23" spans="1:8" x14ac:dyDescent="0.25">
      <c r="D23" t="s">
        <v>13</v>
      </c>
      <c r="E23">
        <v>6</v>
      </c>
      <c r="F23" s="79" t="s">
        <v>777</v>
      </c>
      <c r="G23" s="79"/>
      <c r="H23" s="79"/>
    </row>
    <row r="24" spans="1:8" x14ac:dyDescent="0.25">
      <c r="D24" t="s">
        <v>14</v>
      </c>
      <c r="E24">
        <v>13</v>
      </c>
      <c r="F24" s="79">
        <f>E24*10000</f>
        <v>130000</v>
      </c>
      <c r="G24" s="79">
        <f>E24*5500</f>
        <v>71500</v>
      </c>
      <c r="H24" s="79">
        <f>E24*4500</f>
        <v>58500</v>
      </c>
    </row>
    <row r="25" spans="1:8" x14ac:dyDescent="0.25">
      <c r="D25" t="s">
        <v>14</v>
      </c>
      <c r="E25">
        <v>2</v>
      </c>
      <c r="F25" s="79" t="s">
        <v>777</v>
      </c>
      <c r="G25" s="79"/>
      <c r="H25" s="79"/>
    </row>
    <row r="26" spans="1:8" x14ac:dyDescent="0.25">
      <c r="D26" t="s">
        <v>243</v>
      </c>
      <c r="E26">
        <v>5</v>
      </c>
      <c r="F26" s="79">
        <f>E26*14000</f>
        <v>70000</v>
      </c>
      <c r="G26" s="79">
        <f>E26*9000</f>
        <v>45000</v>
      </c>
      <c r="H26" s="79">
        <f>E26*5000</f>
        <v>25000</v>
      </c>
    </row>
    <row r="27" spans="1:8" x14ac:dyDescent="0.25">
      <c r="A27" s="111" t="s">
        <v>17</v>
      </c>
      <c r="B27" s="111"/>
      <c r="C27" s="111"/>
      <c r="D27" s="111"/>
      <c r="E27" s="1">
        <f>SUM(E20:E26)</f>
        <v>67</v>
      </c>
      <c r="F27" s="78">
        <f t="shared" ref="F27:H27" si="3">SUM(F20:F26)</f>
        <v>384500</v>
      </c>
      <c r="G27" s="78">
        <f t="shared" si="3"/>
        <v>233000</v>
      </c>
      <c r="H27" s="78">
        <f t="shared" si="3"/>
        <v>151500</v>
      </c>
    </row>
    <row r="28" spans="1:8" x14ac:dyDescent="0.25">
      <c r="A28" t="s">
        <v>22</v>
      </c>
      <c r="B28" s="3">
        <v>45996</v>
      </c>
      <c r="C28" t="s">
        <v>338</v>
      </c>
      <c r="D28" t="s">
        <v>11</v>
      </c>
      <c r="E28">
        <v>40</v>
      </c>
      <c r="F28">
        <f>E28*1500</f>
        <v>60000</v>
      </c>
      <c r="G28">
        <f>E28*500</f>
        <v>20000</v>
      </c>
      <c r="H28">
        <f>E28*1000</f>
        <v>40000</v>
      </c>
    </row>
    <row r="29" spans="1:8" x14ac:dyDescent="0.25">
      <c r="C29" t="s">
        <v>581</v>
      </c>
      <c r="D29" t="s">
        <v>11</v>
      </c>
      <c r="E29">
        <v>15</v>
      </c>
      <c r="F29">
        <f>E29*1500</f>
        <v>22500</v>
      </c>
      <c r="G29">
        <f>E29*500</f>
        <v>7500</v>
      </c>
      <c r="H29">
        <f>E29*1000</f>
        <v>15000</v>
      </c>
    </row>
    <row r="30" spans="1:8" x14ac:dyDescent="0.25">
      <c r="C30" t="s">
        <v>1003</v>
      </c>
      <c r="D30" t="s">
        <v>243</v>
      </c>
      <c r="E30">
        <v>50</v>
      </c>
      <c r="F30">
        <f>E30*12000</f>
        <v>600000</v>
      </c>
      <c r="G30">
        <f>E30*9000</f>
        <v>450000</v>
      </c>
      <c r="H30">
        <f>E30*3000</f>
        <v>150000</v>
      </c>
    </row>
    <row r="31" spans="1:8" x14ac:dyDescent="0.25">
      <c r="A31" s="112" t="s">
        <v>17</v>
      </c>
      <c r="B31" s="112"/>
      <c r="C31" s="112"/>
      <c r="D31" s="112"/>
      <c r="E31" s="78">
        <f>SUM(E28:E30)</f>
        <v>105</v>
      </c>
      <c r="F31" s="78">
        <f t="shared" ref="F31:H31" si="4">SUM(F28:F30)</f>
        <v>682500</v>
      </c>
      <c r="G31" s="78">
        <f t="shared" si="4"/>
        <v>477500</v>
      </c>
      <c r="H31" s="78">
        <f t="shared" si="4"/>
        <v>205000</v>
      </c>
    </row>
    <row r="32" spans="1:8" x14ac:dyDescent="0.25">
      <c r="A32" t="s">
        <v>26</v>
      </c>
      <c r="B32" s="3">
        <v>45997</v>
      </c>
      <c r="C32" t="s">
        <v>338</v>
      </c>
      <c r="D32" t="s">
        <v>11</v>
      </c>
      <c r="E32">
        <v>45</v>
      </c>
      <c r="F32" s="79">
        <f>E32*1500</f>
        <v>67500</v>
      </c>
      <c r="G32" s="79">
        <f>E32*500</f>
        <v>22500</v>
      </c>
      <c r="H32" s="79">
        <f>E32*1000</f>
        <v>45000</v>
      </c>
    </row>
    <row r="33" spans="1:8" x14ac:dyDescent="0.25">
      <c r="C33" t="s">
        <v>581</v>
      </c>
      <c r="D33" t="s">
        <v>11</v>
      </c>
      <c r="E33">
        <v>12</v>
      </c>
      <c r="F33" s="79">
        <f>E33*1500</f>
        <v>18000</v>
      </c>
      <c r="G33" s="79">
        <f>E33*500</f>
        <v>6000</v>
      </c>
      <c r="H33" s="79">
        <f>E33*1000</f>
        <v>12000</v>
      </c>
    </row>
    <row r="34" spans="1:8" x14ac:dyDescent="0.25">
      <c r="C34" t="s">
        <v>797</v>
      </c>
      <c r="D34" t="s">
        <v>11</v>
      </c>
      <c r="E34">
        <v>3</v>
      </c>
      <c r="F34" s="79">
        <f>E34*1500</f>
        <v>4500</v>
      </c>
      <c r="G34" s="79">
        <f>E34*500</f>
        <v>1500</v>
      </c>
      <c r="H34" s="79">
        <f>E34*1000</f>
        <v>3000</v>
      </c>
    </row>
    <row r="35" spans="1:8" x14ac:dyDescent="0.25">
      <c r="D35" t="s">
        <v>13</v>
      </c>
      <c r="E35">
        <v>19</v>
      </c>
      <c r="F35" s="79">
        <f>E35*6500</f>
        <v>123500</v>
      </c>
      <c r="G35" s="79">
        <f>E35*4500</f>
        <v>85500</v>
      </c>
      <c r="H35" s="79">
        <f>E35*2000</f>
        <v>38000</v>
      </c>
    </row>
    <row r="36" spans="1:8" x14ac:dyDescent="0.25">
      <c r="A36" s="112" t="s">
        <v>17</v>
      </c>
      <c r="B36" s="112"/>
      <c r="C36" s="112"/>
      <c r="D36" s="112"/>
      <c r="E36" s="78">
        <f>SUM(E32:E35)</f>
        <v>79</v>
      </c>
      <c r="F36" s="78">
        <f t="shared" ref="F36:H36" si="5">SUM(F32:F35)</f>
        <v>213500</v>
      </c>
      <c r="G36" s="78">
        <f t="shared" si="5"/>
        <v>115500</v>
      </c>
      <c r="H36" s="78">
        <f t="shared" si="5"/>
        <v>98000</v>
      </c>
    </row>
    <row r="37" spans="1:8" x14ac:dyDescent="0.25">
      <c r="A37" t="s">
        <v>28</v>
      </c>
      <c r="B37" s="3">
        <v>45998</v>
      </c>
      <c r="C37" t="s">
        <v>693</v>
      </c>
      <c r="D37" t="s">
        <v>11</v>
      </c>
      <c r="E37">
        <v>10</v>
      </c>
      <c r="F37" s="79">
        <f>E37*2000</f>
        <v>20000</v>
      </c>
      <c r="G37" s="79">
        <f>E37*500</f>
        <v>5000</v>
      </c>
      <c r="H37" s="79">
        <f>E37*1500</f>
        <v>15000</v>
      </c>
    </row>
    <row r="38" spans="1:8" x14ac:dyDescent="0.25">
      <c r="D38" t="s">
        <v>13</v>
      </c>
      <c r="E38">
        <v>30</v>
      </c>
      <c r="F38" s="79">
        <f>E38*6500</f>
        <v>195000</v>
      </c>
      <c r="G38" s="79">
        <f>E38*4500</f>
        <v>135000</v>
      </c>
      <c r="H38" s="79">
        <f>E38*2000</f>
        <v>60000</v>
      </c>
    </row>
    <row r="39" spans="1:8" x14ac:dyDescent="0.25">
      <c r="D39" t="s">
        <v>14</v>
      </c>
      <c r="E39">
        <v>22</v>
      </c>
      <c r="F39" s="79">
        <f>E39*10000</f>
        <v>220000</v>
      </c>
      <c r="G39" s="79">
        <f>E39*5500</f>
        <v>121000</v>
      </c>
      <c r="H39" s="79">
        <f>E39*4500</f>
        <v>99000</v>
      </c>
    </row>
    <row r="40" spans="1:8" x14ac:dyDescent="0.25">
      <c r="D40" t="s">
        <v>243</v>
      </c>
      <c r="E40">
        <v>2</v>
      </c>
      <c r="F40" s="79">
        <v>30000</v>
      </c>
      <c r="G40" s="79">
        <v>20000</v>
      </c>
      <c r="H40" s="79">
        <v>10000</v>
      </c>
    </row>
    <row r="41" spans="1:8" x14ac:dyDescent="0.25">
      <c r="D41" t="s">
        <v>995</v>
      </c>
      <c r="E41">
        <v>14</v>
      </c>
      <c r="F41" s="79">
        <f>E41*2500</f>
        <v>35000</v>
      </c>
      <c r="G41" s="79">
        <f>E41*1500</f>
        <v>21000</v>
      </c>
      <c r="H41" s="79">
        <f>E41*1000</f>
        <v>14000</v>
      </c>
    </row>
    <row r="42" spans="1:8" x14ac:dyDescent="0.25">
      <c r="C42" t="s">
        <v>217</v>
      </c>
      <c r="D42" t="s">
        <v>11</v>
      </c>
      <c r="E42">
        <v>4</v>
      </c>
      <c r="F42" s="79">
        <f>E42*1500</f>
        <v>6000</v>
      </c>
      <c r="G42" s="79">
        <f>E42*500</f>
        <v>2000</v>
      </c>
      <c r="H42" s="79">
        <f>E42*1000</f>
        <v>4000</v>
      </c>
    </row>
    <row r="43" spans="1:8" x14ac:dyDescent="0.25">
      <c r="D43" t="s">
        <v>13</v>
      </c>
      <c r="E43">
        <v>17</v>
      </c>
      <c r="F43" s="79">
        <f>E43*6500</f>
        <v>110500</v>
      </c>
      <c r="G43" s="79">
        <f>E43*4500</f>
        <v>76500</v>
      </c>
      <c r="H43" s="79">
        <f>E43*2000</f>
        <v>34000</v>
      </c>
    </row>
    <row r="44" spans="1:8" x14ac:dyDescent="0.25">
      <c r="D44" t="s">
        <v>14</v>
      </c>
      <c r="E44">
        <v>19</v>
      </c>
      <c r="F44" s="79">
        <f>E44*10000</f>
        <v>190000</v>
      </c>
      <c r="G44" s="79">
        <f>E44*5500</f>
        <v>104500</v>
      </c>
      <c r="H44" s="79">
        <f>E44*4500</f>
        <v>85500</v>
      </c>
    </row>
    <row r="45" spans="1:8" x14ac:dyDescent="0.25">
      <c r="A45" s="112" t="s">
        <v>17</v>
      </c>
      <c r="B45" s="112"/>
      <c r="C45" s="112"/>
      <c r="D45" s="112"/>
      <c r="E45" s="78">
        <f>SUM(E32:E44)</f>
        <v>276</v>
      </c>
      <c r="F45" s="78">
        <f t="shared" ref="F45:H45" si="6">SUM(F32:F44)</f>
        <v>1233500</v>
      </c>
      <c r="G45" s="78">
        <f t="shared" si="6"/>
        <v>716000</v>
      </c>
      <c r="H45" s="78">
        <f t="shared" si="6"/>
        <v>517500</v>
      </c>
    </row>
    <row r="46" spans="1:8" x14ac:dyDescent="0.25">
      <c r="A46" t="s">
        <v>30</v>
      </c>
      <c r="B46" s="3">
        <v>45999</v>
      </c>
      <c r="C46" t="s">
        <v>338</v>
      </c>
      <c r="D46" t="s">
        <v>11</v>
      </c>
      <c r="E46">
        <v>40</v>
      </c>
      <c r="F46" s="79">
        <f>E46*1500</f>
        <v>60000</v>
      </c>
      <c r="G46" s="79">
        <f>E46*500</f>
        <v>20000</v>
      </c>
      <c r="H46" s="79">
        <f>E46*1000</f>
        <v>40000</v>
      </c>
    </row>
    <row r="47" spans="1:8" x14ac:dyDescent="0.25">
      <c r="C47" t="s">
        <v>581</v>
      </c>
      <c r="D47" t="s">
        <v>11</v>
      </c>
      <c r="E47">
        <v>15</v>
      </c>
      <c r="F47" s="79">
        <f t="shared" ref="F47:F48" si="7">E47*1500</f>
        <v>22500</v>
      </c>
      <c r="G47" s="79">
        <f t="shared" ref="G47:G48" si="8">E47*500</f>
        <v>7500</v>
      </c>
      <c r="H47" s="79">
        <f t="shared" ref="H47:H48" si="9">E47*1000</f>
        <v>15000</v>
      </c>
    </row>
    <row r="48" spans="1:8" x14ac:dyDescent="0.25">
      <c r="C48" t="s">
        <v>571</v>
      </c>
      <c r="D48" t="s">
        <v>11</v>
      </c>
      <c r="E48">
        <v>24</v>
      </c>
      <c r="F48" s="79">
        <f t="shared" si="7"/>
        <v>36000</v>
      </c>
      <c r="G48" s="79">
        <f t="shared" si="8"/>
        <v>12000</v>
      </c>
      <c r="H48" s="79">
        <f t="shared" si="9"/>
        <v>24000</v>
      </c>
    </row>
    <row r="49" spans="1:8" x14ac:dyDescent="0.25">
      <c r="C49" t="s">
        <v>797</v>
      </c>
      <c r="D49" t="s">
        <v>13</v>
      </c>
      <c r="E49">
        <v>9</v>
      </c>
      <c r="F49" s="79">
        <f>E49*6500</f>
        <v>58500</v>
      </c>
      <c r="G49" s="79">
        <f>E49*4500</f>
        <v>40500</v>
      </c>
      <c r="H49" s="79">
        <f>E49*2000</f>
        <v>18000</v>
      </c>
    </row>
    <row r="50" spans="1:8" x14ac:dyDescent="0.25">
      <c r="D50" t="s">
        <v>14</v>
      </c>
      <c r="E50">
        <v>4</v>
      </c>
      <c r="F50" s="79">
        <f>E50*10000</f>
        <v>40000</v>
      </c>
      <c r="G50" s="79">
        <f>E50*5500</f>
        <v>22000</v>
      </c>
      <c r="H50" s="79">
        <f>E50*4500</f>
        <v>18000</v>
      </c>
    </row>
    <row r="51" spans="1:8" x14ac:dyDescent="0.25">
      <c r="A51" s="112" t="s">
        <v>17</v>
      </c>
      <c r="B51" s="112"/>
      <c r="C51" s="112"/>
      <c r="D51" s="112"/>
      <c r="E51" s="78">
        <f>SUM(E46:E50)</f>
        <v>92</v>
      </c>
      <c r="F51" s="78">
        <f t="shared" ref="F51:H51" si="10">SUM(F46:F50)</f>
        <v>217000</v>
      </c>
      <c r="G51" s="78">
        <f t="shared" si="10"/>
        <v>102000</v>
      </c>
      <c r="H51" s="78">
        <f t="shared" si="10"/>
        <v>115000</v>
      </c>
    </row>
    <row r="52" spans="1:8" x14ac:dyDescent="0.25">
      <c r="A52" t="s">
        <v>32</v>
      </c>
      <c r="B52" s="3">
        <v>46000</v>
      </c>
      <c r="C52" t="s">
        <v>338</v>
      </c>
      <c r="D52" t="s">
        <v>11</v>
      </c>
      <c r="E52">
        <v>45</v>
      </c>
      <c r="F52">
        <f>E52*1500</f>
        <v>67500</v>
      </c>
      <c r="G52">
        <f>E52*500</f>
        <v>22500</v>
      </c>
      <c r="H52">
        <f>E52*1000</f>
        <v>45000</v>
      </c>
    </row>
    <row r="53" spans="1:8" x14ac:dyDescent="0.25">
      <c r="C53" t="s">
        <v>581</v>
      </c>
      <c r="D53" t="s">
        <v>11</v>
      </c>
      <c r="E53">
        <v>12</v>
      </c>
      <c r="F53">
        <f t="shared" ref="F53:F54" si="11">E53*1500</f>
        <v>18000</v>
      </c>
      <c r="G53">
        <f t="shared" ref="G53:G54" si="12">E53*500</f>
        <v>6000</v>
      </c>
      <c r="H53">
        <f t="shared" ref="H53:H54" si="13">E53*1000</f>
        <v>12000</v>
      </c>
    </row>
    <row r="54" spans="1:8" x14ac:dyDescent="0.25">
      <c r="C54" t="s">
        <v>306</v>
      </c>
      <c r="D54" t="s">
        <v>11</v>
      </c>
      <c r="E54">
        <v>13</v>
      </c>
      <c r="F54">
        <f t="shared" si="11"/>
        <v>19500</v>
      </c>
      <c r="G54">
        <f t="shared" si="12"/>
        <v>6500</v>
      </c>
      <c r="H54">
        <f t="shared" si="13"/>
        <v>13000</v>
      </c>
    </row>
    <row r="55" spans="1:8" x14ac:dyDescent="0.25">
      <c r="C55" t="s">
        <v>797</v>
      </c>
      <c r="D55" t="s">
        <v>13</v>
      </c>
      <c r="E55">
        <v>4</v>
      </c>
      <c r="F55">
        <f>E55*6500</f>
        <v>26000</v>
      </c>
      <c r="G55">
        <f>E55*4500</f>
        <v>18000</v>
      </c>
      <c r="H55">
        <f>E55*2000</f>
        <v>8000</v>
      </c>
    </row>
    <row r="56" spans="1:8" x14ac:dyDescent="0.25">
      <c r="D56" t="s">
        <v>14</v>
      </c>
      <c r="E56">
        <v>3</v>
      </c>
      <c r="F56">
        <f>E56*10000</f>
        <v>30000</v>
      </c>
      <c r="G56">
        <f>E56*5500</f>
        <v>16500</v>
      </c>
      <c r="H56">
        <f>E56*4500</f>
        <v>13500</v>
      </c>
    </row>
    <row r="57" spans="1:8" x14ac:dyDescent="0.25">
      <c r="C57" t="s">
        <v>1003</v>
      </c>
      <c r="D57" t="s">
        <v>243</v>
      </c>
      <c r="E57">
        <v>100</v>
      </c>
      <c r="F57">
        <f>E57*11500</f>
        <v>1150000</v>
      </c>
      <c r="G57">
        <f>E57*8500</f>
        <v>850000</v>
      </c>
      <c r="H57">
        <f>E57*3000</f>
        <v>300000</v>
      </c>
    </row>
    <row r="58" spans="1:8" x14ac:dyDescent="0.25">
      <c r="C58" t="s">
        <v>1011</v>
      </c>
      <c r="D58" t="s">
        <v>902</v>
      </c>
      <c r="E58">
        <v>8</v>
      </c>
      <c r="F58">
        <f>E58*8000</f>
        <v>64000</v>
      </c>
      <c r="G58">
        <f>E58*5500</f>
        <v>44000</v>
      </c>
      <c r="H58">
        <f>E58*2500</f>
        <v>20000</v>
      </c>
    </row>
    <row r="59" spans="1:8" x14ac:dyDescent="0.25">
      <c r="D59" t="s">
        <v>919</v>
      </c>
      <c r="E59">
        <v>1</v>
      </c>
      <c r="F59">
        <v>12000</v>
      </c>
      <c r="G59">
        <v>5500</v>
      </c>
      <c r="H59">
        <v>6500</v>
      </c>
    </row>
    <row r="60" spans="1:8" x14ac:dyDescent="0.25">
      <c r="D60" t="s">
        <v>13</v>
      </c>
      <c r="E60">
        <v>1</v>
      </c>
      <c r="F60">
        <v>8000</v>
      </c>
      <c r="G60">
        <v>4500</v>
      </c>
      <c r="H60">
        <v>3500</v>
      </c>
    </row>
    <row r="61" spans="1:8" x14ac:dyDescent="0.25">
      <c r="D61" t="s">
        <v>14</v>
      </c>
      <c r="E61">
        <v>3</v>
      </c>
      <c r="F61">
        <v>30000</v>
      </c>
      <c r="G61">
        <f>E61*5500</f>
        <v>16500</v>
      </c>
      <c r="H61">
        <f>E61*4500</f>
        <v>13500</v>
      </c>
    </row>
    <row r="62" spans="1:8" x14ac:dyDescent="0.25">
      <c r="A62" s="112" t="s">
        <v>17</v>
      </c>
      <c r="B62" s="112"/>
      <c r="C62" s="112"/>
      <c r="D62" s="112"/>
      <c r="E62" s="78">
        <f>SUM(E52:E61)</f>
        <v>190</v>
      </c>
      <c r="F62" s="78">
        <f t="shared" ref="F62:H62" si="14">SUM(F52:F61)</f>
        <v>1425000</v>
      </c>
      <c r="G62" s="78">
        <f t="shared" si="14"/>
        <v>990000</v>
      </c>
      <c r="H62" s="78">
        <f t="shared" si="14"/>
        <v>435000</v>
      </c>
    </row>
    <row r="63" spans="1:8" x14ac:dyDescent="0.25">
      <c r="A63" t="s">
        <v>8</v>
      </c>
      <c r="B63" s="3">
        <v>46001</v>
      </c>
      <c r="C63" t="s">
        <v>338</v>
      </c>
      <c r="D63" t="s">
        <v>11</v>
      </c>
      <c r="E63">
        <v>49</v>
      </c>
      <c r="F63" s="79">
        <f>E63*1500</f>
        <v>73500</v>
      </c>
      <c r="G63" s="79">
        <f>E63*500</f>
        <v>24500</v>
      </c>
      <c r="H63" s="79">
        <f>E63*1000</f>
        <v>49000</v>
      </c>
    </row>
    <row r="64" spans="1:8" x14ac:dyDescent="0.25">
      <c r="C64" t="s">
        <v>581</v>
      </c>
      <c r="D64" t="s">
        <v>11</v>
      </c>
      <c r="E64">
        <v>10</v>
      </c>
      <c r="F64" s="79">
        <f>E64*1500</f>
        <v>15000</v>
      </c>
      <c r="G64" s="79">
        <f>E64*500</f>
        <v>5000</v>
      </c>
      <c r="H64" s="79">
        <f>E64*1000</f>
        <v>10000</v>
      </c>
    </row>
    <row r="65" spans="1:8" x14ac:dyDescent="0.25">
      <c r="C65" t="s">
        <v>571</v>
      </c>
      <c r="D65" t="s">
        <v>11</v>
      </c>
      <c r="E65">
        <v>10</v>
      </c>
      <c r="F65" s="79">
        <f>E65*1500</f>
        <v>15000</v>
      </c>
      <c r="G65" s="79">
        <f>E65*500</f>
        <v>5000</v>
      </c>
      <c r="H65" s="79">
        <f>E65*1000</f>
        <v>10000</v>
      </c>
    </row>
    <row r="66" spans="1:8" x14ac:dyDescent="0.25">
      <c r="C66" t="s">
        <v>797</v>
      </c>
      <c r="D66" t="s">
        <v>11</v>
      </c>
      <c r="E66">
        <v>10</v>
      </c>
      <c r="F66" s="79">
        <f>E66*2000</f>
        <v>20000</v>
      </c>
      <c r="G66" s="79">
        <f>E66*500</f>
        <v>5000</v>
      </c>
      <c r="H66" s="79">
        <f>E66*1000</f>
        <v>10000</v>
      </c>
    </row>
    <row r="67" spans="1:8" x14ac:dyDescent="0.25">
      <c r="D67" t="s">
        <v>13</v>
      </c>
      <c r="E67">
        <v>19</v>
      </c>
      <c r="F67" s="79">
        <f>E67*6500</f>
        <v>123500</v>
      </c>
      <c r="G67" s="79">
        <f>E67*4500</f>
        <v>85500</v>
      </c>
      <c r="H67" s="79">
        <f>E67*2000</f>
        <v>38000</v>
      </c>
    </row>
    <row r="68" spans="1:8" x14ac:dyDescent="0.25">
      <c r="D68" t="s">
        <v>14</v>
      </c>
      <c r="E68">
        <v>13</v>
      </c>
      <c r="F68" s="79">
        <f>E68*10000</f>
        <v>130000</v>
      </c>
      <c r="G68" s="79">
        <f>E68*5500</f>
        <v>71500</v>
      </c>
      <c r="H68" s="79">
        <f>E68*4500</f>
        <v>58500</v>
      </c>
    </row>
    <row r="69" spans="1:8" x14ac:dyDescent="0.25">
      <c r="D69" t="s">
        <v>243</v>
      </c>
      <c r="E69">
        <v>5</v>
      </c>
      <c r="F69" s="79">
        <f>E69*14000</f>
        <v>70000</v>
      </c>
      <c r="G69" s="79">
        <f>E69*9000</f>
        <v>45000</v>
      </c>
      <c r="H69" s="79">
        <f>E69*5000</f>
        <v>25000</v>
      </c>
    </row>
    <row r="70" spans="1:8" x14ac:dyDescent="0.25">
      <c r="A70" s="112" t="s">
        <v>17</v>
      </c>
      <c r="B70" s="112"/>
      <c r="C70" s="112"/>
      <c r="D70" s="112"/>
      <c r="E70" s="78">
        <f>SUM(E63:E69)</f>
        <v>116</v>
      </c>
      <c r="F70" s="78">
        <f t="shared" ref="F70:H70" si="15">SUM(F63:F69)</f>
        <v>447000</v>
      </c>
      <c r="G70" s="78">
        <f t="shared" si="15"/>
        <v>241500</v>
      </c>
      <c r="H70" s="78">
        <f t="shared" si="15"/>
        <v>200500</v>
      </c>
    </row>
    <row r="71" spans="1:8" x14ac:dyDescent="0.25">
      <c r="A71" t="s">
        <v>18</v>
      </c>
      <c r="B71" s="3">
        <v>46002</v>
      </c>
      <c r="C71" t="s">
        <v>338</v>
      </c>
      <c r="D71" t="s">
        <v>11</v>
      </c>
      <c r="E71">
        <v>45</v>
      </c>
      <c r="F71">
        <f>E71*1500</f>
        <v>67500</v>
      </c>
      <c r="G71">
        <f>E71*500</f>
        <v>22500</v>
      </c>
      <c r="H71">
        <f>E71*1000</f>
        <v>45000</v>
      </c>
    </row>
    <row r="72" spans="1:8" x14ac:dyDescent="0.25">
      <c r="C72" t="s">
        <v>581</v>
      </c>
      <c r="D72" t="s">
        <v>11</v>
      </c>
      <c r="E72">
        <v>10</v>
      </c>
      <c r="F72">
        <f>E72*1500</f>
        <v>15000</v>
      </c>
      <c r="G72">
        <f>E72*500</f>
        <v>5000</v>
      </c>
      <c r="H72">
        <f>E72*1000</f>
        <v>10000</v>
      </c>
    </row>
    <row r="73" spans="1:8" x14ac:dyDescent="0.25">
      <c r="C73" t="s">
        <v>24</v>
      </c>
      <c r="D73" t="s">
        <v>243</v>
      </c>
      <c r="E73">
        <v>2</v>
      </c>
      <c r="F73">
        <v>30000</v>
      </c>
      <c r="G73">
        <v>20000</v>
      </c>
      <c r="H73">
        <v>10000</v>
      </c>
    </row>
    <row r="74" spans="1:8" x14ac:dyDescent="0.25">
      <c r="A74" s="112" t="s">
        <v>17</v>
      </c>
      <c r="B74" s="112"/>
      <c r="C74" s="112"/>
      <c r="D74" s="112"/>
      <c r="E74" s="78">
        <f>SUM(E71:E73)</f>
        <v>57</v>
      </c>
      <c r="F74" s="78">
        <f t="shared" ref="F74:H74" si="16">SUM(F71:F73)</f>
        <v>112500</v>
      </c>
      <c r="G74" s="78">
        <f t="shared" si="16"/>
        <v>47500</v>
      </c>
      <c r="H74" s="78">
        <f t="shared" si="16"/>
        <v>65000</v>
      </c>
    </row>
    <row r="75" spans="1:8" x14ac:dyDescent="0.25">
      <c r="A75" t="s">
        <v>22</v>
      </c>
      <c r="B75" s="3">
        <v>46003</v>
      </c>
      <c r="C75" t="s">
        <v>338</v>
      </c>
      <c r="D75" t="s">
        <v>11</v>
      </c>
      <c r="E75">
        <v>40</v>
      </c>
      <c r="F75" s="79">
        <f>E75*1500</f>
        <v>60000</v>
      </c>
      <c r="G75" s="79">
        <f>E75*500</f>
        <v>20000</v>
      </c>
      <c r="H75" s="79">
        <f>E75*1000</f>
        <v>40000</v>
      </c>
    </row>
    <row r="76" spans="1:8" x14ac:dyDescent="0.25">
      <c r="C76" t="s">
        <v>581</v>
      </c>
      <c r="D76" t="s">
        <v>11</v>
      </c>
      <c r="E76">
        <v>7</v>
      </c>
      <c r="F76" s="79">
        <f>E76*1500</f>
        <v>10500</v>
      </c>
      <c r="G76" s="79">
        <f>E76*500</f>
        <v>3500</v>
      </c>
      <c r="H76" s="79">
        <f>E76*1000</f>
        <v>7000</v>
      </c>
    </row>
    <row r="77" spans="1:8" x14ac:dyDescent="0.25">
      <c r="C77" t="s">
        <v>1003</v>
      </c>
      <c r="D77" t="s">
        <v>243</v>
      </c>
      <c r="E77">
        <v>100</v>
      </c>
      <c r="F77" s="79">
        <f>E77*11500</f>
        <v>1150000</v>
      </c>
      <c r="G77" s="79">
        <f>E77*9000</f>
        <v>900000</v>
      </c>
      <c r="H77" s="79">
        <f>E77*3000</f>
        <v>300000</v>
      </c>
    </row>
    <row r="78" spans="1:8" x14ac:dyDescent="0.25">
      <c r="C78" t="s">
        <v>797</v>
      </c>
      <c r="D78" t="s">
        <v>11</v>
      </c>
      <c r="E78">
        <v>2</v>
      </c>
      <c r="F78" s="79">
        <f>E78*2000</f>
        <v>4000</v>
      </c>
      <c r="G78" s="79">
        <f>E78*500</f>
        <v>1000</v>
      </c>
      <c r="H78" s="79">
        <f>E78*1500</f>
        <v>3000</v>
      </c>
    </row>
    <row r="79" spans="1:8" x14ac:dyDescent="0.25">
      <c r="D79" t="s">
        <v>13</v>
      </c>
      <c r="E79">
        <v>21</v>
      </c>
      <c r="F79" s="79">
        <f>E79*6500</f>
        <v>136500</v>
      </c>
      <c r="G79" s="79">
        <f>E79*4500</f>
        <v>94500</v>
      </c>
      <c r="H79" s="79">
        <f>E79*2000</f>
        <v>42000</v>
      </c>
    </row>
    <row r="80" spans="1:8" x14ac:dyDescent="0.25">
      <c r="A80" s="112" t="s">
        <v>17</v>
      </c>
      <c r="B80" s="112"/>
      <c r="C80" s="112"/>
      <c r="D80" s="112"/>
      <c r="E80" s="78">
        <f>SUM(E75:E79)</f>
        <v>170</v>
      </c>
      <c r="F80" s="78">
        <f t="shared" ref="F80:H80" si="17">SUM(F75:F79)</f>
        <v>1361000</v>
      </c>
      <c r="G80" s="78">
        <f t="shared" si="17"/>
        <v>1019000</v>
      </c>
      <c r="H80" s="78">
        <f t="shared" si="17"/>
        <v>392000</v>
      </c>
    </row>
    <row r="81" spans="1:8" x14ac:dyDescent="0.25">
      <c r="A81" t="s">
        <v>26</v>
      </c>
      <c r="B81" s="3">
        <v>46004</v>
      </c>
      <c r="C81" t="s">
        <v>911</v>
      </c>
    </row>
    <row r="82" spans="1:8" x14ac:dyDescent="0.25">
      <c r="A82" t="s">
        <v>28</v>
      </c>
      <c r="B82" s="3">
        <v>46005</v>
      </c>
      <c r="C82" t="s">
        <v>693</v>
      </c>
      <c r="D82" t="s">
        <v>11</v>
      </c>
      <c r="E82">
        <v>3</v>
      </c>
      <c r="F82" s="79">
        <f>E82*2000</f>
        <v>6000</v>
      </c>
      <c r="G82" s="79">
        <f>E82*500</f>
        <v>1500</v>
      </c>
      <c r="H82" s="79">
        <f>E82*1500</f>
        <v>4500</v>
      </c>
    </row>
    <row r="83" spans="1:8" x14ac:dyDescent="0.25">
      <c r="D83" t="s">
        <v>13</v>
      </c>
      <c r="E83">
        <v>32</v>
      </c>
      <c r="F83" s="79">
        <f>E83*7000</f>
        <v>224000</v>
      </c>
      <c r="G83" s="79">
        <f>E83*4500</f>
        <v>144000</v>
      </c>
      <c r="H83" s="79">
        <f>E83*2500</f>
        <v>80000</v>
      </c>
    </row>
    <row r="84" spans="1:8" x14ac:dyDescent="0.25">
      <c r="D84" t="s">
        <v>14</v>
      </c>
      <c r="E84">
        <v>19</v>
      </c>
      <c r="F84" s="79">
        <f>E84*10000</f>
        <v>190000</v>
      </c>
      <c r="G84" s="79">
        <f>E84*5500</f>
        <v>104500</v>
      </c>
      <c r="H84" s="79">
        <f>E84*4500</f>
        <v>85500</v>
      </c>
    </row>
    <row r="85" spans="1:8" x14ac:dyDescent="0.25">
      <c r="C85" t="s">
        <v>217</v>
      </c>
      <c r="D85" t="s">
        <v>11</v>
      </c>
      <c r="E85">
        <v>7</v>
      </c>
      <c r="F85" s="79">
        <f>E85*1500</f>
        <v>10500</v>
      </c>
      <c r="G85" s="79">
        <f>E85*500</f>
        <v>3500</v>
      </c>
      <c r="H85" s="79">
        <f>E85*1000</f>
        <v>7000</v>
      </c>
    </row>
    <row r="86" spans="1:8" x14ac:dyDescent="0.25">
      <c r="D86" t="s">
        <v>13</v>
      </c>
      <c r="E86">
        <v>20</v>
      </c>
      <c r="F86" s="79">
        <f>E86*6500</f>
        <v>130000</v>
      </c>
      <c r="G86" s="79">
        <f>E86*4500</f>
        <v>90000</v>
      </c>
      <c r="H86" s="79">
        <f>E86*2000</f>
        <v>40000</v>
      </c>
    </row>
    <row r="87" spans="1:8" x14ac:dyDescent="0.25">
      <c r="D87" t="s">
        <v>14</v>
      </c>
      <c r="E87">
        <v>8</v>
      </c>
      <c r="F87" s="79">
        <f>E87*10000</f>
        <v>80000</v>
      </c>
      <c r="G87" s="79">
        <f>E87*5500</f>
        <v>44000</v>
      </c>
      <c r="H87" s="79">
        <f>E87*4500</f>
        <v>36000</v>
      </c>
    </row>
    <row r="88" spans="1:8" x14ac:dyDescent="0.25">
      <c r="C88" t="s">
        <v>24</v>
      </c>
      <c r="D88" t="s">
        <v>1013</v>
      </c>
      <c r="E88">
        <v>2</v>
      </c>
      <c r="F88" s="79"/>
      <c r="G88" s="79"/>
      <c r="H88" s="79"/>
    </row>
    <row r="89" spans="1:8" x14ac:dyDescent="0.25">
      <c r="A89" s="112" t="s">
        <v>17</v>
      </c>
      <c r="B89" s="112"/>
      <c r="C89" s="112"/>
      <c r="D89" s="112"/>
      <c r="E89" s="78">
        <f>SUM(E82:E88)</f>
        <v>91</v>
      </c>
      <c r="F89" s="78">
        <f t="shared" ref="F89:H89" si="18">SUM(F82:F88)</f>
        <v>640500</v>
      </c>
      <c r="G89" s="78">
        <f t="shared" si="18"/>
        <v>387500</v>
      </c>
      <c r="H89" s="78">
        <f t="shared" si="18"/>
        <v>253000</v>
      </c>
    </row>
    <row r="90" spans="1:8" x14ac:dyDescent="0.25">
      <c r="A90" t="s">
        <v>30</v>
      </c>
      <c r="B90" s="3">
        <v>46006</v>
      </c>
      <c r="C90" t="s">
        <v>338</v>
      </c>
      <c r="D90" t="s">
        <v>11</v>
      </c>
      <c r="E90">
        <v>35</v>
      </c>
      <c r="F90" s="79">
        <f>E90*1500</f>
        <v>52500</v>
      </c>
      <c r="G90" s="79">
        <f>E90*500</f>
        <v>17500</v>
      </c>
      <c r="H90" s="79">
        <f>E90*1000</f>
        <v>35000</v>
      </c>
    </row>
    <row r="91" spans="1:8" x14ac:dyDescent="0.25">
      <c r="C91" t="s">
        <v>581</v>
      </c>
      <c r="D91" t="s">
        <v>11</v>
      </c>
      <c r="E91">
        <v>15</v>
      </c>
      <c r="F91" s="79">
        <f>E91*1500</f>
        <v>22500</v>
      </c>
      <c r="G91" s="79">
        <f>E91*500</f>
        <v>7500</v>
      </c>
      <c r="H91" s="79">
        <f>E91*1000</f>
        <v>15000</v>
      </c>
    </row>
    <row r="92" spans="1:8" x14ac:dyDescent="0.25">
      <c r="C92" t="s">
        <v>960</v>
      </c>
      <c r="D92" t="s">
        <v>243</v>
      </c>
      <c r="E92">
        <v>50</v>
      </c>
      <c r="F92" s="79">
        <f>E92*15000</f>
        <v>750000</v>
      </c>
      <c r="G92" s="79">
        <f>E92*8500</f>
        <v>425000</v>
      </c>
      <c r="H92" s="79">
        <f>E92*6500</f>
        <v>325000</v>
      </c>
    </row>
    <row r="93" spans="1:8" x14ac:dyDescent="0.25">
      <c r="A93" s="112" t="s">
        <v>17</v>
      </c>
      <c r="B93" s="112"/>
      <c r="C93" s="112"/>
      <c r="D93" s="112"/>
      <c r="E93" s="78">
        <f>SUM(E90:E92)</f>
        <v>100</v>
      </c>
      <c r="F93" s="78">
        <f t="shared" ref="F93:H93" si="19">SUM(F90:F92)</f>
        <v>825000</v>
      </c>
      <c r="G93" s="78">
        <f t="shared" si="19"/>
        <v>450000</v>
      </c>
      <c r="H93" s="78">
        <f t="shared" si="19"/>
        <v>375000</v>
      </c>
    </row>
    <row r="94" spans="1:8" x14ac:dyDescent="0.25">
      <c r="A94" t="s">
        <v>32</v>
      </c>
      <c r="B94" s="3">
        <v>46007</v>
      </c>
      <c r="C94" t="s">
        <v>338</v>
      </c>
      <c r="D94" t="s">
        <v>11</v>
      </c>
      <c r="E94">
        <v>35</v>
      </c>
      <c r="F94" s="79">
        <f>E94*1500</f>
        <v>52500</v>
      </c>
      <c r="G94" s="79">
        <f>E94*500</f>
        <v>17500</v>
      </c>
      <c r="H94" s="79">
        <f>E94*1000</f>
        <v>35000</v>
      </c>
    </row>
    <row r="95" spans="1:8" x14ac:dyDescent="0.25">
      <c r="C95" t="s">
        <v>581</v>
      </c>
      <c r="D95" t="s">
        <v>11</v>
      </c>
      <c r="E95">
        <v>10</v>
      </c>
      <c r="F95" s="79">
        <f>E95*1500</f>
        <v>15000</v>
      </c>
      <c r="G95" s="79">
        <f>E95*500</f>
        <v>5000</v>
      </c>
      <c r="H95" s="79">
        <f>E95*1000</f>
        <v>10000</v>
      </c>
    </row>
    <row r="96" spans="1:8" x14ac:dyDescent="0.25">
      <c r="C96" t="s">
        <v>797</v>
      </c>
      <c r="D96" t="s">
        <v>11</v>
      </c>
      <c r="E96">
        <v>2</v>
      </c>
      <c r="F96" s="79">
        <f>E96*2000</f>
        <v>4000</v>
      </c>
      <c r="G96" s="79">
        <f>E96*500</f>
        <v>1000</v>
      </c>
      <c r="H96" s="79">
        <v>3000</v>
      </c>
    </row>
    <row r="97" spans="1:8" x14ac:dyDescent="0.25">
      <c r="D97" t="s">
        <v>13</v>
      </c>
      <c r="E97">
        <v>39</v>
      </c>
      <c r="F97" s="79">
        <f>E97*6500</f>
        <v>253500</v>
      </c>
      <c r="G97" s="79">
        <f>E97*4500</f>
        <v>175500</v>
      </c>
      <c r="H97" s="79">
        <f>E97*2000</f>
        <v>78000</v>
      </c>
    </row>
    <row r="98" spans="1:8" x14ac:dyDescent="0.25">
      <c r="D98" t="s">
        <v>13</v>
      </c>
      <c r="E98">
        <v>12</v>
      </c>
      <c r="F98" s="79" t="s">
        <v>1014</v>
      </c>
      <c r="G98" s="79"/>
      <c r="H98" s="79"/>
    </row>
    <row r="99" spans="1:8" x14ac:dyDescent="0.25">
      <c r="D99" t="s">
        <v>14</v>
      </c>
      <c r="E99">
        <v>13</v>
      </c>
      <c r="F99" s="79">
        <f>E99*10000</f>
        <v>130000</v>
      </c>
      <c r="G99" s="79">
        <f>E99*5500</f>
        <v>71500</v>
      </c>
      <c r="H99" s="79">
        <f>E99*4500</f>
        <v>58500</v>
      </c>
    </row>
    <row r="100" spans="1:8" x14ac:dyDescent="0.25">
      <c r="D100" t="s">
        <v>243</v>
      </c>
      <c r="E100">
        <v>3</v>
      </c>
      <c r="F100" s="79">
        <f>E100*14000</f>
        <v>42000</v>
      </c>
      <c r="G100" s="79">
        <f>E100*9000</f>
        <v>27000</v>
      </c>
      <c r="H100" s="79">
        <f>E100*5000</f>
        <v>15000</v>
      </c>
    </row>
    <row r="101" spans="1:8" x14ac:dyDescent="0.25">
      <c r="C101" t="s">
        <v>1003</v>
      </c>
      <c r="D101" t="s">
        <v>243</v>
      </c>
      <c r="E101">
        <v>100</v>
      </c>
      <c r="F101" s="79">
        <f>E101*11500</f>
        <v>1150000</v>
      </c>
      <c r="G101" s="79">
        <f>E101*8500</f>
        <v>850000</v>
      </c>
      <c r="H101" s="79">
        <f>E101*3000</f>
        <v>300000</v>
      </c>
    </row>
    <row r="102" spans="1:8" x14ac:dyDescent="0.25">
      <c r="C102" t="s">
        <v>24</v>
      </c>
      <c r="D102" t="s">
        <v>243</v>
      </c>
      <c r="E102">
        <v>1</v>
      </c>
      <c r="F102" s="79">
        <v>17000</v>
      </c>
      <c r="G102" s="79">
        <v>9000</v>
      </c>
      <c r="H102" s="79">
        <v>8000</v>
      </c>
    </row>
    <row r="103" spans="1:8" x14ac:dyDescent="0.25">
      <c r="C103" t="s">
        <v>1011</v>
      </c>
      <c r="D103" t="s">
        <v>902</v>
      </c>
      <c r="E103">
        <v>8</v>
      </c>
      <c r="F103" s="79">
        <f>E103*8000</f>
        <v>64000</v>
      </c>
      <c r="G103" s="79">
        <f>E103*5500</f>
        <v>44000</v>
      </c>
      <c r="H103" s="79">
        <f>E103*2500</f>
        <v>20000</v>
      </c>
    </row>
    <row r="104" spans="1:8" x14ac:dyDescent="0.25">
      <c r="A104" s="112" t="s">
        <v>17</v>
      </c>
      <c r="B104" s="112"/>
      <c r="C104" s="112"/>
      <c r="D104" s="112"/>
      <c r="E104" s="78">
        <f>SUM(E94:E103)</f>
        <v>223</v>
      </c>
      <c r="F104" s="78">
        <f t="shared" ref="F104:H104" si="20">SUM(F94:F103)</f>
        <v>1728000</v>
      </c>
      <c r="G104" s="78">
        <f t="shared" si="20"/>
        <v>1200500</v>
      </c>
      <c r="H104" s="78">
        <f t="shared" si="20"/>
        <v>527500</v>
      </c>
    </row>
    <row r="105" spans="1:8" x14ac:dyDescent="0.25">
      <c r="A105" t="s">
        <v>8</v>
      </c>
      <c r="B105" s="3">
        <v>46008</v>
      </c>
      <c r="C105" t="s">
        <v>338</v>
      </c>
      <c r="D105" t="s">
        <v>11</v>
      </c>
      <c r="E105">
        <v>50</v>
      </c>
      <c r="F105" s="79">
        <f>E105*1500</f>
        <v>75000</v>
      </c>
      <c r="G105" s="79">
        <f>E105*500</f>
        <v>25000</v>
      </c>
      <c r="H105" s="79">
        <f>E105*1000</f>
        <v>50000</v>
      </c>
    </row>
    <row r="106" spans="1:8" x14ac:dyDescent="0.25">
      <c r="C106" t="s">
        <v>581</v>
      </c>
      <c r="D106" t="s">
        <v>11</v>
      </c>
      <c r="E106">
        <v>15</v>
      </c>
      <c r="F106" s="79">
        <f>E106*1500</f>
        <v>22500</v>
      </c>
      <c r="G106" s="79">
        <f>E106*500</f>
        <v>7500</v>
      </c>
      <c r="H106" s="79">
        <f>E106*1000</f>
        <v>15000</v>
      </c>
    </row>
    <row r="107" spans="1:8" x14ac:dyDescent="0.25">
      <c r="C107" t="s">
        <v>1011</v>
      </c>
      <c r="D107" t="s">
        <v>902</v>
      </c>
      <c r="E107">
        <v>3</v>
      </c>
      <c r="F107" s="79">
        <f>E107*8000</f>
        <v>24000</v>
      </c>
      <c r="G107" s="79">
        <f>E107*5500</f>
        <v>16500</v>
      </c>
      <c r="H107" s="79">
        <f>E107*2500</f>
        <v>7500</v>
      </c>
    </row>
    <row r="108" spans="1:8" x14ac:dyDescent="0.25">
      <c r="D108" t="s">
        <v>918</v>
      </c>
      <c r="E108">
        <v>1</v>
      </c>
      <c r="F108" s="79">
        <v>15000</v>
      </c>
      <c r="G108" s="79">
        <v>10000</v>
      </c>
      <c r="H108" s="79">
        <v>5000</v>
      </c>
    </row>
    <row r="109" spans="1:8" x14ac:dyDescent="0.25">
      <c r="D109" t="s">
        <v>919</v>
      </c>
      <c r="E109">
        <v>2</v>
      </c>
      <c r="F109" s="79">
        <v>24000</v>
      </c>
      <c r="G109" s="79">
        <v>11000</v>
      </c>
      <c r="H109" s="79">
        <v>13000</v>
      </c>
    </row>
    <row r="110" spans="1:8" x14ac:dyDescent="0.25">
      <c r="D110" t="s">
        <v>958</v>
      </c>
      <c r="E110">
        <v>2</v>
      </c>
      <c r="F110" s="79">
        <v>20000</v>
      </c>
      <c r="G110" s="79">
        <v>10000</v>
      </c>
      <c r="H110" s="79">
        <v>10000</v>
      </c>
    </row>
    <row r="111" spans="1:8" x14ac:dyDescent="0.25">
      <c r="A111" s="112" t="s">
        <v>17</v>
      </c>
      <c r="B111" s="112"/>
      <c r="C111" s="112"/>
      <c r="D111" s="112"/>
      <c r="E111" s="78">
        <f>SUM(E105:E110)</f>
        <v>73</v>
      </c>
      <c r="F111" s="78">
        <f t="shared" ref="F111:H111" si="21">SUM(F105:F110)</f>
        <v>180500</v>
      </c>
      <c r="G111" s="78">
        <f t="shared" si="21"/>
        <v>80000</v>
      </c>
      <c r="H111" s="78">
        <f t="shared" si="21"/>
        <v>100500</v>
      </c>
    </row>
    <row r="112" spans="1:8" x14ac:dyDescent="0.25">
      <c r="A112" t="s">
        <v>18</v>
      </c>
      <c r="B112" s="3">
        <v>46009</v>
      </c>
      <c r="C112" t="s">
        <v>338</v>
      </c>
      <c r="D112" t="s">
        <v>11</v>
      </c>
      <c r="E112">
        <v>35</v>
      </c>
      <c r="F112" s="79">
        <f>E112*1500</f>
        <v>52500</v>
      </c>
      <c r="G112" s="79">
        <f>E112*500</f>
        <v>17500</v>
      </c>
      <c r="H112" s="79">
        <f>E112*1000</f>
        <v>35000</v>
      </c>
    </row>
    <row r="113" spans="1:8" x14ac:dyDescent="0.25">
      <c r="C113" t="s">
        <v>581</v>
      </c>
      <c r="D113" t="s">
        <v>11</v>
      </c>
      <c r="E113">
        <v>12</v>
      </c>
      <c r="F113" s="79">
        <f t="shared" ref="F113:F114" si="22">E113*1500</f>
        <v>18000</v>
      </c>
      <c r="G113" s="79">
        <f t="shared" ref="G113:G114" si="23">E113*500</f>
        <v>6000</v>
      </c>
      <c r="H113" s="79">
        <f t="shared" ref="H113:H114" si="24">E113*1000</f>
        <v>12000</v>
      </c>
    </row>
    <row r="114" spans="1:8" x14ac:dyDescent="0.25">
      <c r="C114" t="s">
        <v>571</v>
      </c>
      <c r="D114" t="s">
        <v>11</v>
      </c>
      <c r="E114">
        <v>25</v>
      </c>
      <c r="F114" s="79">
        <f t="shared" si="22"/>
        <v>37500</v>
      </c>
      <c r="G114" s="79">
        <f t="shared" si="23"/>
        <v>12500</v>
      </c>
      <c r="H114" s="79">
        <f t="shared" si="24"/>
        <v>25000</v>
      </c>
    </row>
    <row r="115" spans="1:8" x14ac:dyDescent="0.25">
      <c r="C115" t="s">
        <v>1011</v>
      </c>
      <c r="D115" t="s">
        <v>902</v>
      </c>
      <c r="E115">
        <v>4</v>
      </c>
      <c r="F115" s="79">
        <f>E115*8000</f>
        <v>32000</v>
      </c>
      <c r="G115" s="79">
        <f>E115*5500</f>
        <v>22000</v>
      </c>
      <c r="H115" s="79">
        <f>E115*2500</f>
        <v>10000</v>
      </c>
    </row>
    <row r="116" spans="1:8" x14ac:dyDescent="0.25">
      <c r="D116" t="s">
        <v>958</v>
      </c>
      <c r="E116">
        <v>1</v>
      </c>
      <c r="F116" s="79">
        <v>10000</v>
      </c>
      <c r="G116" s="79">
        <v>5500</v>
      </c>
      <c r="H116" s="79">
        <v>4500</v>
      </c>
    </row>
    <row r="117" spans="1:8" x14ac:dyDescent="0.25">
      <c r="C117" t="s">
        <v>797</v>
      </c>
      <c r="D117" t="s">
        <v>13</v>
      </c>
      <c r="E117">
        <v>10</v>
      </c>
      <c r="F117" s="79">
        <v>65000</v>
      </c>
      <c r="G117" s="79">
        <f>E117*4500</f>
        <v>45000</v>
      </c>
      <c r="H117" s="79">
        <f>E117*2000</f>
        <v>20000</v>
      </c>
    </row>
    <row r="118" spans="1:8" x14ac:dyDescent="0.25">
      <c r="D118" t="s">
        <v>13</v>
      </c>
      <c r="E118">
        <v>7</v>
      </c>
      <c r="F118" s="79" t="s">
        <v>777</v>
      </c>
      <c r="G118" s="79"/>
      <c r="H118" s="79"/>
    </row>
    <row r="119" spans="1:8" x14ac:dyDescent="0.25">
      <c r="D119" t="s">
        <v>14</v>
      </c>
      <c r="E119">
        <v>10</v>
      </c>
      <c r="F119" s="79">
        <v>100000</v>
      </c>
      <c r="G119" s="79">
        <v>55000</v>
      </c>
      <c r="H119" s="79">
        <v>45000</v>
      </c>
    </row>
    <row r="120" spans="1:8" x14ac:dyDescent="0.25">
      <c r="D120" t="s">
        <v>243</v>
      </c>
      <c r="E120">
        <v>1</v>
      </c>
      <c r="F120" s="79">
        <v>14000</v>
      </c>
      <c r="G120" s="79">
        <v>10000</v>
      </c>
      <c r="H120" s="79">
        <v>4000</v>
      </c>
    </row>
    <row r="121" spans="1:8" x14ac:dyDescent="0.25">
      <c r="A121" s="112" t="s">
        <v>17</v>
      </c>
      <c r="B121" s="112"/>
      <c r="C121" s="112"/>
      <c r="D121" s="112"/>
      <c r="E121" s="78">
        <f>SUM(E112:E120)</f>
        <v>105</v>
      </c>
      <c r="F121" s="78">
        <f>SUM(F112:F120)</f>
        <v>329000</v>
      </c>
      <c r="G121" s="78">
        <f>SUM(G112:G120)</f>
        <v>173500</v>
      </c>
      <c r="H121" s="78">
        <f>SUM(H112:H120)</f>
        <v>155500</v>
      </c>
    </row>
    <row r="122" spans="1:8" x14ac:dyDescent="0.25">
      <c r="A122" t="s">
        <v>22</v>
      </c>
      <c r="B122" s="3">
        <v>46010</v>
      </c>
      <c r="C122" t="s">
        <v>1011</v>
      </c>
      <c r="D122" t="s">
        <v>902</v>
      </c>
      <c r="E122">
        <v>4</v>
      </c>
      <c r="F122">
        <f>E122*8000</f>
        <v>32000</v>
      </c>
      <c r="G122">
        <f>E122*5500</f>
        <v>22000</v>
      </c>
      <c r="H122">
        <f>E122*4500</f>
        <v>18000</v>
      </c>
    </row>
    <row r="123" spans="1:8" x14ac:dyDescent="0.25">
      <c r="D123" t="s">
        <v>958</v>
      </c>
      <c r="E123">
        <v>1</v>
      </c>
      <c r="F123">
        <v>10000</v>
      </c>
      <c r="G123">
        <v>5500</v>
      </c>
      <c r="H123">
        <v>4500</v>
      </c>
    </row>
    <row r="124" spans="1:8" x14ac:dyDescent="0.25">
      <c r="C124" t="s">
        <v>797</v>
      </c>
      <c r="D124" t="s">
        <v>13</v>
      </c>
      <c r="E124">
        <v>13</v>
      </c>
      <c r="F124">
        <f>E124*6500</f>
        <v>84500</v>
      </c>
      <c r="G124">
        <f>E124*4500</f>
        <v>58500</v>
      </c>
      <c r="H124">
        <f>E124*2000</f>
        <v>26000</v>
      </c>
    </row>
    <row r="125" spans="1:8" x14ac:dyDescent="0.25">
      <c r="D125" t="s">
        <v>13</v>
      </c>
      <c r="E125">
        <v>8</v>
      </c>
      <c r="F125" t="s">
        <v>777</v>
      </c>
    </row>
    <row r="126" spans="1:8" x14ac:dyDescent="0.25">
      <c r="D126" t="s">
        <v>14</v>
      </c>
      <c r="E126">
        <v>10</v>
      </c>
      <c r="F126">
        <f>E126*10000</f>
        <v>100000</v>
      </c>
      <c r="G126">
        <f>E126*5500</f>
        <v>55000</v>
      </c>
      <c r="H126">
        <f>E126*4500</f>
        <v>45000</v>
      </c>
    </row>
    <row r="127" spans="1:8" x14ac:dyDescent="0.25">
      <c r="D127" t="s">
        <v>14</v>
      </c>
      <c r="E127">
        <v>2</v>
      </c>
      <c r="F127" t="s">
        <v>777</v>
      </c>
    </row>
    <row r="128" spans="1:8" x14ac:dyDescent="0.25">
      <c r="D128" t="s">
        <v>243</v>
      </c>
      <c r="E128">
        <v>2</v>
      </c>
      <c r="F128">
        <f>E128*14000</f>
        <v>28000</v>
      </c>
      <c r="G128">
        <f>E128*10000</f>
        <v>20000</v>
      </c>
      <c r="H128">
        <f>E128*4000</f>
        <v>8000</v>
      </c>
    </row>
    <row r="129" spans="1:8" x14ac:dyDescent="0.25">
      <c r="C129" t="s">
        <v>1003</v>
      </c>
      <c r="D129" t="s">
        <v>243</v>
      </c>
      <c r="E129">
        <v>100</v>
      </c>
      <c r="F129">
        <f>E129*11500</f>
        <v>1150000</v>
      </c>
      <c r="G129">
        <f>E129*10000</f>
        <v>1000000</v>
      </c>
      <c r="H129">
        <f>E129*1500</f>
        <v>150000</v>
      </c>
    </row>
    <row r="130" spans="1:8" x14ac:dyDescent="0.25">
      <c r="A130" s="112" t="s">
        <v>17</v>
      </c>
      <c r="B130" s="112"/>
      <c r="C130" s="112"/>
      <c r="D130" s="112"/>
      <c r="E130" s="78">
        <f>SUM(E122:E129)</f>
        <v>140</v>
      </c>
      <c r="F130" s="78">
        <f t="shared" ref="F130:H130" si="25">SUM(F122:F129)</f>
        <v>1404500</v>
      </c>
      <c r="G130" s="78">
        <f t="shared" si="25"/>
        <v>1161000</v>
      </c>
      <c r="H130" s="78">
        <f t="shared" si="25"/>
        <v>251500</v>
      </c>
    </row>
    <row r="131" spans="1:8" x14ac:dyDescent="0.25">
      <c r="A131" t="s">
        <v>26</v>
      </c>
      <c r="B131" s="3">
        <v>46011</v>
      </c>
      <c r="C131" t="s">
        <v>1011</v>
      </c>
      <c r="D131" t="s">
        <v>902</v>
      </c>
      <c r="E131">
        <v>4</v>
      </c>
      <c r="F131" s="79">
        <f>E131*8000</f>
        <v>32000</v>
      </c>
      <c r="G131" s="79">
        <f>E131*5500</f>
        <v>22000</v>
      </c>
      <c r="H131" s="79">
        <f>E131*2500</f>
        <v>10000</v>
      </c>
    </row>
    <row r="132" spans="1:8" x14ac:dyDescent="0.25">
      <c r="D132" t="s">
        <v>958</v>
      </c>
      <c r="E132">
        <v>1</v>
      </c>
      <c r="F132" s="79">
        <v>10000</v>
      </c>
      <c r="G132" s="79">
        <v>5500</v>
      </c>
      <c r="H132" s="79">
        <v>4500</v>
      </c>
    </row>
    <row r="133" spans="1:8" x14ac:dyDescent="0.25">
      <c r="C133" t="s">
        <v>24</v>
      </c>
      <c r="D133" t="s">
        <v>243</v>
      </c>
      <c r="E133">
        <v>12</v>
      </c>
      <c r="F133" s="79">
        <f>E133*17000</f>
        <v>204000</v>
      </c>
      <c r="G133" s="79">
        <f>E133*10000</f>
        <v>120000</v>
      </c>
      <c r="H133" s="79">
        <f>E133*7000</f>
        <v>84000</v>
      </c>
    </row>
    <row r="134" spans="1:8" x14ac:dyDescent="0.25">
      <c r="A134" s="112" t="s">
        <v>17</v>
      </c>
      <c r="B134" s="112"/>
      <c r="C134" s="112"/>
      <c r="D134" s="112"/>
      <c r="E134" s="78">
        <f>SUM(E131:E133)</f>
        <v>17</v>
      </c>
      <c r="F134" s="78">
        <f t="shared" ref="F134:H134" si="26">SUM(F131:F133)</f>
        <v>246000</v>
      </c>
      <c r="G134" s="78">
        <f t="shared" si="26"/>
        <v>147500</v>
      </c>
      <c r="H134" s="78">
        <f t="shared" si="26"/>
        <v>98500</v>
      </c>
    </row>
    <row r="135" spans="1:8" x14ac:dyDescent="0.25">
      <c r="A135" t="s">
        <v>28</v>
      </c>
      <c r="B135" s="3">
        <v>46012</v>
      </c>
      <c r="C135" t="s">
        <v>693</v>
      </c>
      <c r="D135" t="s">
        <v>13</v>
      </c>
      <c r="E135">
        <v>35</v>
      </c>
      <c r="F135" s="79">
        <f>E135*6500</f>
        <v>227500</v>
      </c>
      <c r="G135" s="79">
        <f>E135*4500</f>
        <v>157500</v>
      </c>
      <c r="H135" s="79">
        <f>E135*2000</f>
        <v>70000</v>
      </c>
    </row>
    <row r="136" spans="1:8" x14ac:dyDescent="0.25">
      <c r="D136" t="s">
        <v>14</v>
      </c>
      <c r="E136">
        <v>20</v>
      </c>
      <c r="F136" s="79">
        <f>E136*10000</f>
        <v>200000</v>
      </c>
      <c r="G136" s="79">
        <f>E136*5500</f>
        <v>110000</v>
      </c>
      <c r="H136" s="79">
        <f>E136*4500</f>
        <v>90000</v>
      </c>
    </row>
    <row r="137" spans="1:8" x14ac:dyDescent="0.25">
      <c r="D137" t="s">
        <v>995</v>
      </c>
      <c r="E137">
        <v>1</v>
      </c>
      <c r="F137" s="79">
        <v>25000</v>
      </c>
      <c r="G137" s="79">
        <v>10000</v>
      </c>
      <c r="H137" s="79">
        <v>15000</v>
      </c>
    </row>
    <row r="138" spans="1:8" x14ac:dyDescent="0.25">
      <c r="C138" t="s">
        <v>217</v>
      </c>
      <c r="D138" t="s">
        <v>13</v>
      </c>
      <c r="E138">
        <v>18</v>
      </c>
      <c r="F138" s="79">
        <f>E138*6500</f>
        <v>117000</v>
      </c>
      <c r="G138" s="79">
        <f>E138*4500</f>
        <v>81000</v>
      </c>
      <c r="H138" s="79">
        <f>E138*2000</f>
        <v>36000</v>
      </c>
    </row>
    <row r="139" spans="1:8" x14ac:dyDescent="0.25">
      <c r="D139" t="s">
        <v>14</v>
      </c>
      <c r="E139">
        <v>8</v>
      </c>
      <c r="F139" s="79">
        <f>E139*10000</f>
        <v>80000</v>
      </c>
      <c r="G139" s="79">
        <f>E139*5500</f>
        <v>44000</v>
      </c>
      <c r="H139" s="79">
        <f>E139*4500</f>
        <v>36000</v>
      </c>
    </row>
    <row r="140" spans="1:8" x14ac:dyDescent="0.25">
      <c r="C140" t="s">
        <v>797</v>
      </c>
      <c r="D140" t="s">
        <v>13</v>
      </c>
      <c r="E140">
        <v>25</v>
      </c>
      <c r="F140" s="79">
        <f>E140*6500</f>
        <v>162500</v>
      </c>
      <c r="G140" s="79">
        <f>E140*4500</f>
        <v>112500</v>
      </c>
      <c r="H140" s="79">
        <f>E140*2000</f>
        <v>50000</v>
      </c>
    </row>
    <row r="141" spans="1:8" x14ac:dyDescent="0.25">
      <c r="D141" t="s">
        <v>14</v>
      </c>
      <c r="E141">
        <v>10</v>
      </c>
      <c r="F141" s="79">
        <f>E141*10000</f>
        <v>100000</v>
      </c>
      <c r="G141" s="79">
        <f>E141*5500</f>
        <v>55000</v>
      </c>
      <c r="H141" s="79">
        <f>E141*4500</f>
        <v>45000</v>
      </c>
    </row>
    <row r="142" spans="1:8" x14ac:dyDescent="0.25">
      <c r="D142" t="s">
        <v>243</v>
      </c>
      <c r="E142">
        <v>5</v>
      </c>
      <c r="F142" s="79">
        <f>E142*14000</f>
        <v>70000</v>
      </c>
      <c r="G142" s="79">
        <f>E142*10000</f>
        <v>50000</v>
      </c>
      <c r="H142" s="79">
        <f>E142*4000</f>
        <v>20000</v>
      </c>
    </row>
    <row r="143" spans="1:8" x14ac:dyDescent="0.25">
      <c r="A143" s="112" t="s">
        <v>17</v>
      </c>
      <c r="B143" s="112"/>
      <c r="C143" s="112"/>
      <c r="D143" s="112"/>
      <c r="E143" s="78">
        <f>SUM(E135:E142)</f>
        <v>122</v>
      </c>
      <c r="F143" s="78">
        <f t="shared" ref="F143:H143" si="27">SUM(F135:F142)</f>
        <v>982000</v>
      </c>
      <c r="G143" s="78">
        <f t="shared" si="27"/>
        <v>620000</v>
      </c>
      <c r="H143" s="78">
        <f t="shared" si="27"/>
        <v>362000</v>
      </c>
    </row>
    <row r="144" spans="1:8" x14ac:dyDescent="0.25">
      <c r="A144" t="s">
        <v>30</v>
      </c>
      <c r="B144" s="3">
        <v>46013</v>
      </c>
      <c r="C144" t="s">
        <v>1011</v>
      </c>
      <c r="D144" t="s">
        <v>902</v>
      </c>
      <c r="E144">
        <v>4</v>
      </c>
      <c r="F144" s="79">
        <f>E144*8000</f>
        <v>32000</v>
      </c>
      <c r="G144" s="79">
        <f>E144*5500</f>
        <v>22000</v>
      </c>
      <c r="H144" s="79">
        <f>E144*2500</f>
        <v>10000</v>
      </c>
    </row>
    <row r="145" spans="1:8" x14ac:dyDescent="0.25">
      <c r="D145" t="s">
        <v>918</v>
      </c>
      <c r="E145">
        <v>1</v>
      </c>
      <c r="F145" s="79">
        <v>15000</v>
      </c>
      <c r="G145" s="79">
        <v>10000</v>
      </c>
      <c r="H145" s="79">
        <v>5000</v>
      </c>
    </row>
    <row r="146" spans="1:8" x14ac:dyDescent="0.25">
      <c r="C146" t="s">
        <v>797</v>
      </c>
      <c r="D146" t="s">
        <v>13</v>
      </c>
      <c r="E146">
        <v>18</v>
      </c>
      <c r="F146" s="79">
        <f>E146*6500</f>
        <v>117000</v>
      </c>
      <c r="G146" s="79">
        <f>E146*4500</f>
        <v>81000</v>
      </c>
      <c r="H146" s="79">
        <f>E146*2000</f>
        <v>36000</v>
      </c>
    </row>
    <row r="147" spans="1:8" x14ac:dyDescent="0.25">
      <c r="D147" t="s">
        <v>13</v>
      </c>
      <c r="E147">
        <v>2</v>
      </c>
      <c r="F147" s="79" t="s">
        <v>777</v>
      </c>
      <c r="G147" s="79"/>
      <c r="H147" s="79"/>
    </row>
    <row r="148" spans="1:8" x14ac:dyDescent="0.25">
      <c r="D148" t="s">
        <v>14</v>
      </c>
      <c r="E148">
        <v>12</v>
      </c>
      <c r="F148" s="79">
        <f>E148*10000</f>
        <v>120000</v>
      </c>
      <c r="G148" s="79">
        <f>E148*5500</f>
        <v>66000</v>
      </c>
      <c r="H148" s="79">
        <f>E148*4500</f>
        <v>54000</v>
      </c>
    </row>
    <row r="149" spans="1:8" x14ac:dyDescent="0.25">
      <c r="D149" t="s">
        <v>14</v>
      </c>
      <c r="E149">
        <v>1</v>
      </c>
      <c r="F149" s="79" t="s">
        <v>777</v>
      </c>
      <c r="G149" s="79"/>
      <c r="H149" s="79"/>
    </row>
    <row r="150" spans="1:8" x14ac:dyDescent="0.25">
      <c r="D150" t="s">
        <v>243</v>
      </c>
      <c r="E150">
        <v>3</v>
      </c>
      <c r="F150" s="79">
        <f>E150*14000</f>
        <v>42000</v>
      </c>
      <c r="G150" s="79">
        <f>E150*10000</f>
        <v>30000</v>
      </c>
      <c r="H150" s="79">
        <f>E150*4000</f>
        <v>12000</v>
      </c>
    </row>
    <row r="151" spans="1:8" x14ac:dyDescent="0.25">
      <c r="A151" s="112" t="s">
        <v>17</v>
      </c>
      <c r="B151" s="112"/>
      <c r="C151" s="112"/>
      <c r="D151" s="112"/>
      <c r="E151" s="78">
        <f>SUM(E144:E150)</f>
        <v>41</v>
      </c>
      <c r="F151" s="78">
        <f t="shared" ref="F151:H151" si="28">SUM(F144:F150)</f>
        <v>326000</v>
      </c>
      <c r="G151" s="78">
        <f t="shared" si="28"/>
        <v>209000</v>
      </c>
      <c r="H151" s="78">
        <f t="shared" si="28"/>
        <v>117000</v>
      </c>
    </row>
    <row r="152" spans="1:8" x14ac:dyDescent="0.25">
      <c r="A152" t="s">
        <v>32</v>
      </c>
      <c r="B152" s="3">
        <v>46014</v>
      </c>
      <c r="C152" t="s">
        <v>1011</v>
      </c>
      <c r="D152" t="s">
        <v>902</v>
      </c>
      <c r="E152">
        <v>3</v>
      </c>
      <c r="F152" s="79">
        <f>E152*8000</f>
        <v>24000</v>
      </c>
      <c r="G152" s="79">
        <f>E152*5500</f>
        <v>16500</v>
      </c>
      <c r="H152" s="79">
        <f>E152*2500</f>
        <v>7500</v>
      </c>
    </row>
    <row r="153" spans="1:8" x14ac:dyDescent="0.25">
      <c r="D153" t="s">
        <v>918</v>
      </c>
      <c r="E153">
        <v>1</v>
      </c>
      <c r="F153" s="79">
        <v>15000</v>
      </c>
      <c r="G153" s="79">
        <v>10000</v>
      </c>
      <c r="H153" s="79">
        <v>5000</v>
      </c>
    </row>
    <row r="154" spans="1:8" x14ac:dyDescent="0.25">
      <c r="D154" t="s">
        <v>958</v>
      </c>
      <c r="E154">
        <v>2</v>
      </c>
      <c r="F154" s="79">
        <v>20000</v>
      </c>
      <c r="G154" s="79">
        <v>10000</v>
      </c>
      <c r="H154" s="79">
        <v>10000</v>
      </c>
    </row>
    <row r="155" spans="1:8" x14ac:dyDescent="0.25">
      <c r="C155" t="s">
        <v>1003</v>
      </c>
      <c r="D155" t="s">
        <v>243</v>
      </c>
      <c r="E155">
        <v>100</v>
      </c>
      <c r="F155" s="79">
        <f>E155*11500</f>
        <v>1150000</v>
      </c>
      <c r="G155" s="79">
        <f>E155*8500</f>
        <v>850000</v>
      </c>
      <c r="H155" s="79">
        <f>E155*3000</f>
        <v>300000</v>
      </c>
    </row>
    <row r="156" spans="1:8" x14ac:dyDescent="0.25">
      <c r="A156" s="112" t="s">
        <v>17</v>
      </c>
      <c r="B156" s="112"/>
      <c r="C156" s="112"/>
      <c r="D156" s="112"/>
      <c r="E156" s="78">
        <f>SUM(E152:E155)</f>
        <v>106</v>
      </c>
      <c r="F156" s="78">
        <f t="shared" ref="F156:H156" si="29">SUM(F152:F155)</f>
        <v>1209000</v>
      </c>
      <c r="G156" s="78">
        <f t="shared" si="29"/>
        <v>886500</v>
      </c>
      <c r="H156" s="78">
        <f t="shared" si="29"/>
        <v>322500</v>
      </c>
    </row>
    <row r="157" spans="1:8" x14ac:dyDescent="0.25">
      <c r="A157" t="s">
        <v>8</v>
      </c>
      <c r="B157" s="3">
        <v>46015</v>
      </c>
      <c r="C157" t="s">
        <v>797</v>
      </c>
      <c r="D157" t="s">
        <v>13</v>
      </c>
      <c r="E157">
        <v>26</v>
      </c>
      <c r="F157" s="79">
        <f>E157*6500</f>
        <v>169000</v>
      </c>
      <c r="G157" s="79">
        <f>E157*4500</f>
        <v>117000</v>
      </c>
      <c r="H157" s="79">
        <f>E157*2000</f>
        <v>52000</v>
      </c>
    </row>
    <row r="158" spans="1:8" x14ac:dyDescent="0.25">
      <c r="D158" t="s">
        <v>13</v>
      </c>
      <c r="E158">
        <v>1</v>
      </c>
      <c r="F158" s="79" t="s">
        <v>777</v>
      </c>
      <c r="G158" s="79"/>
      <c r="H158" s="79"/>
    </row>
    <row r="159" spans="1:8" x14ac:dyDescent="0.25">
      <c r="D159" t="s">
        <v>14</v>
      </c>
      <c r="E159">
        <v>13</v>
      </c>
      <c r="F159" s="79">
        <f>E159*10000</f>
        <v>130000</v>
      </c>
      <c r="G159" s="79">
        <f>E159*5500</f>
        <v>71500</v>
      </c>
      <c r="H159" s="79">
        <f>E159*4500</f>
        <v>58500</v>
      </c>
    </row>
    <row r="160" spans="1:8" x14ac:dyDescent="0.25">
      <c r="D160" t="s">
        <v>14</v>
      </c>
      <c r="E160">
        <v>1</v>
      </c>
      <c r="F160" s="79" t="s">
        <v>777</v>
      </c>
      <c r="G160" s="79"/>
      <c r="H160" s="79"/>
    </row>
    <row r="161" spans="1:8" x14ac:dyDescent="0.25">
      <c r="C161" t="s">
        <v>20</v>
      </c>
      <c r="D161" t="s">
        <v>918</v>
      </c>
      <c r="E161">
        <v>2</v>
      </c>
      <c r="F161" s="79">
        <v>30000</v>
      </c>
      <c r="G161" s="79">
        <v>20000</v>
      </c>
      <c r="H161" s="79">
        <v>10000</v>
      </c>
    </row>
    <row r="162" spans="1:8" x14ac:dyDescent="0.25">
      <c r="D162" t="s">
        <v>919</v>
      </c>
      <c r="E162">
        <v>4</v>
      </c>
      <c r="F162" s="79">
        <f>E162*12000</f>
        <v>48000</v>
      </c>
      <c r="G162" s="79">
        <f>E162*5500</f>
        <v>22000</v>
      </c>
      <c r="H162" s="79">
        <f>E162*6500</f>
        <v>26000</v>
      </c>
    </row>
    <row r="163" spans="1:8" x14ac:dyDescent="0.25">
      <c r="D163" t="s">
        <v>902</v>
      </c>
      <c r="E163">
        <v>7</v>
      </c>
      <c r="F163" s="79">
        <f>E163*8000</f>
        <v>56000</v>
      </c>
      <c r="G163" s="79">
        <f>E163*5500</f>
        <v>38500</v>
      </c>
      <c r="H163" s="79">
        <f>E163*2500</f>
        <v>17500</v>
      </c>
    </row>
    <row r="164" spans="1:8" x14ac:dyDescent="0.25">
      <c r="A164" s="112" t="s">
        <v>17</v>
      </c>
      <c r="B164" s="112"/>
      <c r="C164" s="112"/>
      <c r="D164" s="112"/>
      <c r="E164" s="78">
        <f>SUM(E157:E163)</f>
        <v>54</v>
      </c>
      <c r="F164" s="78">
        <f t="shared" ref="F164:H164" si="30">SUM(F157:F160)</f>
        <v>299000</v>
      </c>
      <c r="G164" s="78">
        <f t="shared" si="30"/>
        <v>188500</v>
      </c>
      <c r="H164" s="78">
        <f t="shared" si="30"/>
        <v>110500</v>
      </c>
    </row>
    <row r="165" spans="1:8" x14ac:dyDescent="0.25">
      <c r="A165" t="s">
        <v>18</v>
      </c>
      <c r="B165" s="3">
        <v>46016</v>
      </c>
      <c r="C165" t="s">
        <v>911</v>
      </c>
    </row>
    <row r="166" spans="1:8" x14ac:dyDescent="0.25">
      <c r="A166" t="s">
        <v>22</v>
      </c>
      <c r="B166" s="3">
        <v>46017</v>
      </c>
      <c r="C166" t="s">
        <v>797</v>
      </c>
      <c r="D166" t="s">
        <v>13</v>
      </c>
      <c r="E166">
        <v>22</v>
      </c>
      <c r="F166" s="79">
        <f>E166*8000</f>
        <v>176000</v>
      </c>
      <c r="G166" s="79">
        <f>E166*4500</f>
        <v>99000</v>
      </c>
      <c r="H166" s="79">
        <f>E166*2500</f>
        <v>55000</v>
      </c>
    </row>
    <row r="167" spans="1:8" x14ac:dyDescent="0.25">
      <c r="D167" t="s">
        <v>13</v>
      </c>
      <c r="E167">
        <v>2</v>
      </c>
      <c r="F167" s="79" t="s">
        <v>777</v>
      </c>
      <c r="G167" s="79"/>
      <c r="H167" s="79"/>
    </row>
    <row r="168" spans="1:8" x14ac:dyDescent="0.25">
      <c r="D168" t="s">
        <v>14</v>
      </c>
      <c r="E168">
        <v>12</v>
      </c>
      <c r="F168" s="79">
        <f>E168*1000</f>
        <v>12000</v>
      </c>
      <c r="G168" s="79">
        <f>E168*5500</f>
        <v>66000</v>
      </c>
      <c r="H168" s="79">
        <f>E168*4500</f>
        <v>54000</v>
      </c>
    </row>
    <row r="169" spans="1:8" x14ac:dyDescent="0.25">
      <c r="C169" t="s">
        <v>1003</v>
      </c>
      <c r="D169" t="s">
        <v>243</v>
      </c>
      <c r="E169">
        <v>100</v>
      </c>
      <c r="F169" s="79">
        <v>1150000</v>
      </c>
      <c r="G169" s="79">
        <v>850000</v>
      </c>
      <c r="H169" s="79">
        <v>300000</v>
      </c>
    </row>
    <row r="170" spans="1:8" x14ac:dyDescent="0.25">
      <c r="C170" t="s">
        <v>1015</v>
      </c>
      <c r="D170" t="s">
        <v>995</v>
      </c>
      <c r="E170">
        <v>2</v>
      </c>
      <c r="F170" s="79">
        <f>E170*30000</f>
        <v>60000</v>
      </c>
      <c r="G170" s="79">
        <f>E170*15000</f>
        <v>30000</v>
      </c>
      <c r="H170" s="79">
        <f>E170*15000</f>
        <v>30000</v>
      </c>
    </row>
    <row r="171" spans="1:8" x14ac:dyDescent="0.25">
      <c r="F171" s="79"/>
      <c r="G171" s="79"/>
      <c r="H171" s="79"/>
    </row>
    <row r="172" spans="1:8" x14ac:dyDescent="0.25">
      <c r="F172" s="79"/>
      <c r="G172" s="79"/>
      <c r="H172" s="79"/>
    </row>
    <row r="173" spans="1:8" x14ac:dyDescent="0.25">
      <c r="A173" s="111" t="s">
        <v>17</v>
      </c>
      <c r="B173" s="111"/>
      <c r="C173" s="111"/>
      <c r="D173" s="111"/>
      <c r="E173" s="78">
        <f>SUM(E166:E170)</f>
        <v>138</v>
      </c>
      <c r="F173" s="78">
        <f t="shared" ref="F173:H173" si="31">SUM(F166:F169)</f>
        <v>1338000</v>
      </c>
      <c r="G173" s="78">
        <f t="shared" si="31"/>
        <v>1015000</v>
      </c>
      <c r="H173" s="78">
        <f t="shared" si="31"/>
        <v>409000</v>
      </c>
    </row>
    <row r="174" spans="1:8" x14ac:dyDescent="0.25">
      <c r="A174" t="s">
        <v>26</v>
      </c>
      <c r="B174" s="3">
        <v>46018</v>
      </c>
      <c r="C174" t="s">
        <v>1011</v>
      </c>
      <c r="D174" t="s">
        <v>902</v>
      </c>
      <c r="E174">
        <v>2</v>
      </c>
      <c r="F174" s="79">
        <v>16000</v>
      </c>
      <c r="G174" s="79">
        <v>9000</v>
      </c>
      <c r="H174" s="79">
        <v>5000</v>
      </c>
    </row>
    <row r="175" spans="1:8" x14ac:dyDescent="0.25">
      <c r="C175" t="s">
        <v>24</v>
      </c>
      <c r="D175" t="s">
        <v>243</v>
      </c>
      <c r="E175">
        <v>2</v>
      </c>
      <c r="F175" s="79">
        <v>30000</v>
      </c>
      <c r="G175" s="79">
        <v>20000</v>
      </c>
      <c r="H175" s="79">
        <v>10000</v>
      </c>
    </row>
    <row r="176" spans="1:8" x14ac:dyDescent="0.25">
      <c r="C176" t="s">
        <v>1015</v>
      </c>
      <c r="D176" t="s">
        <v>995</v>
      </c>
      <c r="E176">
        <v>3</v>
      </c>
      <c r="F176" s="79" t="s">
        <v>777</v>
      </c>
      <c r="G176" s="79"/>
      <c r="H176" s="79"/>
    </row>
    <row r="177" spans="1:8" x14ac:dyDescent="0.25">
      <c r="D177" t="s">
        <v>1016</v>
      </c>
      <c r="E177">
        <v>2</v>
      </c>
      <c r="F177" s="79" t="s">
        <v>777</v>
      </c>
      <c r="G177" s="79"/>
      <c r="H177" s="79"/>
    </row>
    <row r="178" spans="1:8" x14ac:dyDescent="0.25">
      <c r="D178" t="s">
        <v>13</v>
      </c>
      <c r="E178">
        <v>16</v>
      </c>
      <c r="F178" s="79" t="s">
        <v>777</v>
      </c>
      <c r="G178" s="79"/>
      <c r="H178" s="79"/>
    </row>
    <row r="179" spans="1:8" x14ac:dyDescent="0.25">
      <c r="D179" t="s">
        <v>14</v>
      </c>
      <c r="E179">
        <v>2</v>
      </c>
      <c r="F179" s="79">
        <v>20000</v>
      </c>
      <c r="G179" s="79">
        <v>11000</v>
      </c>
      <c r="H179" s="79">
        <v>9000</v>
      </c>
    </row>
    <row r="180" spans="1:8" x14ac:dyDescent="0.25">
      <c r="A180" s="112" t="s">
        <v>17</v>
      </c>
      <c r="B180" s="112"/>
      <c r="C180" s="112"/>
      <c r="D180" s="112"/>
      <c r="E180" s="78">
        <f>SUM(E174:E179)</f>
        <v>27</v>
      </c>
      <c r="F180" s="78">
        <f t="shared" ref="F180:H180" si="32">SUM(F174:F179)</f>
        <v>66000</v>
      </c>
      <c r="G180" s="78">
        <f t="shared" si="32"/>
        <v>40000</v>
      </c>
      <c r="H180" s="78">
        <f t="shared" si="32"/>
        <v>24000</v>
      </c>
    </row>
    <row r="181" spans="1:8" x14ac:dyDescent="0.25">
      <c r="A181" t="s">
        <v>28</v>
      </c>
      <c r="B181" s="3">
        <v>46019</v>
      </c>
      <c r="C181" t="s">
        <v>693</v>
      </c>
      <c r="D181" t="s">
        <v>13</v>
      </c>
      <c r="E181">
        <v>38</v>
      </c>
      <c r="F181" s="79">
        <f>E181*8000</f>
        <v>304000</v>
      </c>
      <c r="G181" s="79">
        <f>E181*4500</f>
        <v>171000</v>
      </c>
      <c r="H181" s="79">
        <f>E181*3500</f>
        <v>133000</v>
      </c>
    </row>
    <row r="182" spans="1:8" x14ac:dyDescent="0.25">
      <c r="D182" t="s">
        <v>14</v>
      </c>
      <c r="E182">
        <v>25</v>
      </c>
      <c r="F182" s="79">
        <f>E182*12000</f>
        <v>300000</v>
      </c>
      <c r="G182" s="79">
        <f>E182*5500</f>
        <v>137500</v>
      </c>
      <c r="H182" s="79">
        <f>E182*6500</f>
        <v>162500</v>
      </c>
    </row>
    <row r="183" spans="1:8" x14ac:dyDescent="0.25">
      <c r="D183" t="s">
        <v>1017</v>
      </c>
      <c r="E183">
        <v>8</v>
      </c>
      <c r="F183" s="79">
        <f>E183*2500</f>
        <v>20000</v>
      </c>
      <c r="G183" s="79">
        <f>E183*1500</f>
        <v>12000</v>
      </c>
      <c r="H183" s="79">
        <f>E183*1000</f>
        <v>8000</v>
      </c>
    </row>
    <row r="184" spans="1:8" x14ac:dyDescent="0.25">
      <c r="D184" t="s">
        <v>1018</v>
      </c>
      <c r="E184">
        <v>8</v>
      </c>
      <c r="F184" s="79" t="s">
        <v>777</v>
      </c>
      <c r="G184" s="79"/>
      <c r="H184" s="79"/>
    </row>
    <row r="185" spans="1:8" x14ac:dyDescent="0.25">
      <c r="D185" t="s">
        <v>1016</v>
      </c>
      <c r="E185">
        <v>5</v>
      </c>
      <c r="F185" s="79" t="s">
        <v>777</v>
      </c>
      <c r="G185" s="79"/>
      <c r="H185" s="79"/>
    </row>
    <row r="186" spans="1:8" x14ac:dyDescent="0.25">
      <c r="D186" t="s">
        <v>1019</v>
      </c>
      <c r="E186">
        <v>1</v>
      </c>
      <c r="F186" s="79" t="s">
        <v>777</v>
      </c>
      <c r="G186" s="79"/>
      <c r="H186" s="79"/>
    </row>
    <row r="187" spans="1:8" x14ac:dyDescent="0.25">
      <c r="C187" t="s">
        <v>217</v>
      </c>
      <c r="D187" t="s">
        <v>13</v>
      </c>
      <c r="E187">
        <v>14</v>
      </c>
      <c r="F187" s="79">
        <f>E187*6500</f>
        <v>91000</v>
      </c>
      <c r="G187" s="79">
        <f>E187*4500</f>
        <v>63000</v>
      </c>
      <c r="H187" s="79">
        <f>E187*2000</f>
        <v>28000</v>
      </c>
    </row>
    <row r="188" spans="1:8" x14ac:dyDescent="0.25">
      <c r="D188" t="s">
        <v>14</v>
      </c>
      <c r="E188">
        <v>17</v>
      </c>
      <c r="F188" s="79">
        <f>E188*10000</f>
        <v>170000</v>
      </c>
      <c r="G188" s="79">
        <f>E188*5500</f>
        <v>93500</v>
      </c>
      <c r="H188" s="79">
        <f>E188*4500</f>
        <v>76500</v>
      </c>
    </row>
    <row r="189" spans="1:8" x14ac:dyDescent="0.25">
      <c r="C189" t="s">
        <v>797</v>
      </c>
      <c r="D189" t="s">
        <v>13</v>
      </c>
      <c r="E189">
        <v>22</v>
      </c>
      <c r="F189" s="79">
        <f>E189*6500</f>
        <v>143000</v>
      </c>
      <c r="G189" s="79">
        <f>E189*4500</f>
        <v>99000</v>
      </c>
      <c r="H189" s="79">
        <f>E189*2000</f>
        <v>44000</v>
      </c>
    </row>
    <row r="190" spans="1:8" x14ac:dyDescent="0.25">
      <c r="D190" t="s">
        <v>13</v>
      </c>
      <c r="E190">
        <v>2</v>
      </c>
      <c r="F190" s="79" t="s">
        <v>777</v>
      </c>
      <c r="G190" s="79"/>
      <c r="H190" s="79"/>
    </row>
    <row r="191" spans="1:8" x14ac:dyDescent="0.25">
      <c r="D191" t="s">
        <v>14</v>
      </c>
      <c r="E191">
        <v>19</v>
      </c>
      <c r="F191" s="79">
        <f>E191*10000</f>
        <v>190000</v>
      </c>
      <c r="G191" s="79">
        <f>E191*5500</f>
        <v>104500</v>
      </c>
      <c r="H191" s="79">
        <f>E191*4500</f>
        <v>85500</v>
      </c>
    </row>
    <row r="192" spans="1:8" x14ac:dyDescent="0.25">
      <c r="D192" t="s">
        <v>14</v>
      </c>
      <c r="E192">
        <v>1</v>
      </c>
      <c r="F192" s="79" t="s">
        <v>777</v>
      </c>
      <c r="G192" s="79"/>
      <c r="H192" s="79"/>
    </row>
    <row r="193" spans="1:8" x14ac:dyDescent="0.25">
      <c r="C193" t="s">
        <v>1015</v>
      </c>
      <c r="D193" t="s">
        <v>995</v>
      </c>
      <c r="E193">
        <v>3</v>
      </c>
      <c r="F193" s="79" t="s">
        <v>777</v>
      </c>
      <c r="G193" s="79"/>
      <c r="H193" s="79"/>
    </row>
    <row r="194" spans="1:8" x14ac:dyDescent="0.25">
      <c r="D194" t="s">
        <v>1016</v>
      </c>
      <c r="E194">
        <v>2</v>
      </c>
      <c r="F194" s="79" t="s">
        <v>777</v>
      </c>
      <c r="G194" s="79"/>
      <c r="H194" s="79"/>
    </row>
    <row r="195" spans="1:8" x14ac:dyDescent="0.25">
      <c r="D195" t="s">
        <v>13</v>
      </c>
      <c r="E195">
        <v>5</v>
      </c>
      <c r="F195" s="79" t="s">
        <v>777</v>
      </c>
      <c r="G195" s="79"/>
      <c r="H195" s="79"/>
    </row>
    <row r="196" spans="1:8" x14ac:dyDescent="0.25">
      <c r="D196" t="s">
        <v>14</v>
      </c>
      <c r="E196">
        <v>2</v>
      </c>
      <c r="F196" s="79">
        <v>20000</v>
      </c>
      <c r="G196" s="79">
        <v>11000</v>
      </c>
      <c r="H196" s="79">
        <v>9000</v>
      </c>
    </row>
    <row r="197" spans="1:8" x14ac:dyDescent="0.25">
      <c r="D197" t="s">
        <v>1020</v>
      </c>
      <c r="E197">
        <v>3</v>
      </c>
      <c r="F197" s="79" t="s">
        <v>777</v>
      </c>
      <c r="G197" s="79"/>
      <c r="H197" s="79"/>
    </row>
    <row r="198" spans="1:8" x14ac:dyDescent="0.25">
      <c r="A198" s="112" t="s">
        <v>17</v>
      </c>
      <c r="B198" s="112"/>
      <c r="C198" s="112"/>
      <c r="D198" s="112"/>
      <c r="E198" s="78">
        <f>SUM(E181:E197)</f>
        <v>175</v>
      </c>
      <c r="F198" s="78">
        <f t="shared" ref="F198:H198" si="33">SUM(F181:F197)</f>
        <v>1238000</v>
      </c>
      <c r="G198" s="78">
        <f t="shared" si="33"/>
        <v>691500</v>
      </c>
      <c r="H198" s="78">
        <f t="shared" si="33"/>
        <v>546500</v>
      </c>
    </row>
    <row r="199" spans="1:8" x14ac:dyDescent="0.25">
      <c r="A199" t="s">
        <v>30</v>
      </c>
      <c r="B199" s="3">
        <v>46020</v>
      </c>
      <c r="C199" t="s">
        <v>1011</v>
      </c>
      <c r="D199" t="s">
        <v>902</v>
      </c>
      <c r="E199">
        <v>12</v>
      </c>
      <c r="F199" s="79">
        <f>E199*8000</f>
        <v>96000</v>
      </c>
      <c r="G199" s="79">
        <f>E199*5500</f>
        <v>66000</v>
      </c>
      <c r="H199" s="79">
        <f>E199*2500</f>
        <v>30000</v>
      </c>
    </row>
    <row r="200" spans="1:8" x14ac:dyDescent="0.25">
      <c r="D200" t="s">
        <v>918</v>
      </c>
      <c r="E200">
        <v>3</v>
      </c>
      <c r="F200" s="79">
        <f>E200*15000</f>
        <v>45000</v>
      </c>
      <c r="G200" s="79">
        <f>E200*10000</f>
        <v>30000</v>
      </c>
      <c r="H200" s="79">
        <f>E200*5000</f>
        <v>15000</v>
      </c>
    </row>
    <row r="201" spans="1:8" x14ac:dyDescent="0.25">
      <c r="C201" t="s">
        <v>1015</v>
      </c>
      <c r="D201" t="s">
        <v>995</v>
      </c>
      <c r="E201">
        <v>2</v>
      </c>
      <c r="F201" s="79" t="s">
        <v>777</v>
      </c>
      <c r="G201" s="79"/>
      <c r="H201" s="79"/>
    </row>
    <row r="202" spans="1:8" x14ac:dyDescent="0.25">
      <c r="D202" t="s">
        <v>14</v>
      </c>
      <c r="E202">
        <v>1</v>
      </c>
      <c r="F202" s="79" t="s">
        <v>777</v>
      </c>
      <c r="G202" s="79"/>
      <c r="H202" s="79"/>
    </row>
    <row r="203" spans="1:8" x14ac:dyDescent="0.25">
      <c r="C203" t="s">
        <v>960</v>
      </c>
      <c r="D203" t="s">
        <v>243</v>
      </c>
      <c r="E203">
        <v>50</v>
      </c>
      <c r="F203" s="79" t="s">
        <v>777</v>
      </c>
      <c r="G203" s="79"/>
      <c r="H203" s="79"/>
    </row>
    <row r="204" spans="1:8" x14ac:dyDescent="0.25">
      <c r="A204" s="112" t="s">
        <v>17</v>
      </c>
      <c r="B204" s="112"/>
      <c r="C204" s="112"/>
      <c r="D204" s="112"/>
      <c r="E204" s="78">
        <f>SUM(E199:E203)</f>
        <v>68</v>
      </c>
      <c r="F204" s="78">
        <f t="shared" ref="F204:G204" si="34">SUM(F199:F202)</f>
        <v>141000</v>
      </c>
      <c r="G204" s="78">
        <f t="shared" si="34"/>
        <v>96000</v>
      </c>
      <c r="H204" s="78">
        <f>SUM(H199:H202)</f>
        <v>45000</v>
      </c>
    </row>
    <row r="205" spans="1:8" x14ac:dyDescent="0.25">
      <c r="A205" t="s">
        <v>32</v>
      </c>
      <c r="B205" s="3">
        <v>46021</v>
      </c>
      <c r="C205" t="s">
        <v>1011</v>
      </c>
      <c r="D205" t="s">
        <v>902</v>
      </c>
      <c r="E205">
        <v>1</v>
      </c>
      <c r="F205" s="79">
        <v>8000</v>
      </c>
      <c r="G205" s="79">
        <v>5500</v>
      </c>
      <c r="H205" s="79">
        <v>2500</v>
      </c>
    </row>
    <row r="206" spans="1:8" x14ac:dyDescent="0.25">
      <c r="D206" t="s">
        <v>918</v>
      </c>
      <c r="E206">
        <v>1</v>
      </c>
      <c r="F206" s="79">
        <v>15000</v>
      </c>
      <c r="G206" s="79">
        <v>10000</v>
      </c>
      <c r="H206" s="79">
        <v>5000</v>
      </c>
    </row>
    <row r="207" spans="1:8" x14ac:dyDescent="0.25">
      <c r="D207" t="s">
        <v>919</v>
      </c>
      <c r="E207">
        <v>1</v>
      </c>
      <c r="F207" s="79">
        <v>12000</v>
      </c>
      <c r="G207" s="79">
        <v>5500</v>
      </c>
      <c r="H207" s="79">
        <v>6500</v>
      </c>
    </row>
    <row r="208" spans="1:8" x14ac:dyDescent="0.25">
      <c r="D208" t="s">
        <v>933</v>
      </c>
      <c r="E208">
        <v>1</v>
      </c>
      <c r="F208" s="79">
        <v>10000</v>
      </c>
      <c r="G208" s="79">
        <v>5500</v>
      </c>
      <c r="H208" s="79">
        <v>4500</v>
      </c>
    </row>
    <row r="209" spans="1:8" x14ac:dyDescent="0.25">
      <c r="C209" t="s">
        <v>1003</v>
      </c>
      <c r="D209" t="s">
        <v>243</v>
      </c>
      <c r="E209">
        <v>100</v>
      </c>
      <c r="F209" s="79">
        <f>E209*11500</f>
        <v>1150000</v>
      </c>
      <c r="G209" s="79">
        <f>E209*8500</f>
        <v>850000</v>
      </c>
      <c r="H209" s="79">
        <f>E209*3000</f>
        <v>300000</v>
      </c>
    </row>
    <row r="210" spans="1:8" x14ac:dyDescent="0.25">
      <c r="C210" t="s">
        <v>1015</v>
      </c>
      <c r="D210" t="s">
        <v>995</v>
      </c>
      <c r="E210">
        <v>1</v>
      </c>
      <c r="F210" s="79" t="s">
        <v>777</v>
      </c>
      <c r="G210" s="79"/>
      <c r="H210" s="79"/>
    </row>
    <row r="211" spans="1:8" x14ac:dyDescent="0.25">
      <c r="D211" t="s">
        <v>13</v>
      </c>
      <c r="E211">
        <v>2</v>
      </c>
      <c r="F211" s="79" t="s">
        <v>777</v>
      </c>
      <c r="G211" s="79"/>
      <c r="H211" s="79"/>
    </row>
    <row r="212" spans="1:8" x14ac:dyDescent="0.25">
      <c r="C212" t="s">
        <v>1003</v>
      </c>
      <c r="D212" t="s">
        <v>243</v>
      </c>
      <c r="E212">
        <v>100</v>
      </c>
      <c r="F212" s="79">
        <f>E212*11500</f>
        <v>1150000</v>
      </c>
      <c r="G212" s="79">
        <f>E212*8500</f>
        <v>850000</v>
      </c>
      <c r="H212" s="79">
        <f>E212*3000</f>
        <v>300000</v>
      </c>
    </row>
    <row r="213" spans="1:8" x14ac:dyDescent="0.25">
      <c r="A213" s="112" t="s">
        <v>17</v>
      </c>
      <c r="B213" s="112"/>
      <c r="C213" s="112"/>
      <c r="D213" s="112"/>
      <c r="E213" s="78">
        <f>SUM(E205:E212)</f>
        <v>207</v>
      </c>
      <c r="F213" s="78">
        <f t="shared" ref="F213:H213" si="35">SUM(F205:F211)</f>
        <v>1195000</v>
      </c>
      <c r="G213" s="78">
        <f t="shared" si="35"/>
        <v>876500</v>
      </c>
      <c r="H213" s="78">
        <f t="shared" si="35"/>
        <v>318500</v>
      </c>
    </row>
    <row r="214" spans="1:8" x14ac:dyDescent="0.25">
      <c r="A214" t="s">
        <v>8</v>
      </c>
      <c r="B214" s="3">
        <v>46022</v>
      </c>
      <c r="C214" t="s">
        <v>797</v>
      </c>
      <c r="D214" t="s">
        <v>13</v>
      </c>
      <c r="E214">
        <v>28</v>
      </c>
      <c r="F214">
        <f>E214*6500</f>
        <v>182000</v>
      </c>
      <c r="G214">
        <f>E214*4500</f>
        <v>126000</v>
      </c>
      <c r="H214">
        <f>E214*2000</f>
        <v>56000</v>
      </c>
    </row>
    <row r="215" spans="1:8" x14ac:dyDescent="0.25">
      <c r="D215" t="s">
        <v>13</v>
      </c>
      <c r="E215">
        <v>1</v>
      </c>
      <c r="F215" t="s">
        <v>777</v>
      </c>
    </row>
    <row r="216" spans="1:8" x14ac:dyDescent="0.25">
      <c r="D216" t="s">
        <v>14</v>
      </c>
      <c r="E216">
        <v>11</v>
      </c>
      <c r="F216">
        <f>E216*10000</f>
        <v>110000</v>
      </c>
      <c r="G216">
        <f>E216*5500</f>
        <v>60500</v>
      </c>
      <c r="H216">
        <f>E216*4500</f>
        <v>49500</v>
      </c>
    </row>
    <row r="217" spans="1:8" x14ac:dyDescent="0.25">
      <c r="D217" t="s">
        <v>243</v>
      </c>
      <c r="E217">
        <v>5</v>
      </c>
      <c r="F217">
        <f>E217*14000</f>
        <v>70000</v>
      </c>
      <c r="G217">
        <f>E217*9000</f>
        <v>45000</v>
      </c>
      <c r="H217">
        <f>E217*5000</f>
        <v>25000</v>
      </c>
    </row>
    <row r="218" spans="1:8" x14ac:dyDescent="0.25">
      <c r="A218" s="112" t="s">
        <v>17</v>
      </c>
      <c r="B218" s="112"/>
      <c r="C218" s="112"/>
      <c r="D218" s="112"/>
      <c r="E218" s="78">
        <f>SUM(E214:E217)</f>
        <v>45</v>
      </c>
      <c r="F218" s="78">
        <f t="shared" ref="F218:H218" si="36">SUM(F214:F217)</f>
        <v>362000</v>
      </c>
      <c r="G218" s="78">
        <f t="shared" si="36"/>
        <v>231500</v>
      </c>
      <c r="H218" s="78">
        <f t="shared" si="36"/>
        <v>130500</v>
      </c>
    </row>
  </sheetData>
  <mergeCells count="29">
    <mergeCell ref="A70:D70"/>
    <mergeCell ref="A51:D51"/>
    <mergeCell ref="A62:D62"/>
    <mergeCell ref="A36:D36"/>
    <mergeCell ref="A45:D45"/>
    <mergeCell ref="A6:D6"/>
    <mergeCell ref="A15:D15"/>
    <mergeCell ref="A19:D19"/>
    <mergeCell ref="A27:D27"/>
    <mergeCell ref="A31:D31"/>
    <mergeCell ref="A143:D143"/>
    <mergeCell ref="A151:D151"/>
    <mergeCell ref="A74:D74"/>
    <mergeCell ref="A80:D80"/>
    <mergeCell ref="A89:D89"/>
    <mergeCell ref="A111:D111"/>
    <mergeCell ref="A121:D121"/>
    <mergeCell ref="A130:D130"/>
    <mergeCell ref="A134:D134"/>
    <mergeCell ref="A93:D93"/>
    <mergeCell ref="A104:D104"/>
    <mergeCell ref="A204:D204"/>
    <mergeCell ref="A213:D213"/>
    <mergeCell ref="A218:D218"/>
    <mergeCell ref="A156:D156"/>
    <mergeCell ref="A164:D164"/>
    <mergeCell ref="A173:D173"/>
    <mergeCell ref="A180:D180"/>
    <mergeCell ref="A198:D19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52C9-B223-49BB-800A-DA55597D6021}">
  <dimension ref="A1:J158"/>
  <sheetViews>
    <sheetView zoomScale="106" zoomScaleNormal="106" workbookViewId="0">
      <selection sqref="A1:H1"/>
    </sheetView>
  </sheetViews>
  <sheetFormatPr defaultRowHeight="15" x14ac:dyDescent="0.25"/>
  <cols>
    <col min="2" max="2" width="12.5703125" customWidth="1"/>
    <col min="5" max="5" width="9.28515625" bestFit="1" customWidth="1"/>
    <col min="6" max="6" width="14.140625" customWidth="1"/>
    <col min="7" max="7" width="11.7109375" customWidth="1"/>
    <col min="8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18</v>
      </c>
      <c r="B2" s="3">
        <v>46023</v>
      </c>
      <c r="C2" t="s">
        <v>1021</v>
      </c>
      <c r="D2" t="s">
        <v>11</v>
      </c>
      <c r="E2">
        <v>50</v>
      </c>
      <c r="F2" s="79">
        <f>E2*1500</f>
        <v>75000</v>
      </c>
      <c r="G2" s="79">
        <f>E2*500</f>
        <v>25000</v>
      </c>
      <c r="H2" s="79">
        <f>E2*1000</f>
        <v>50000</v>
      </c>
    </row>
    <row r="3" spans="1:8" x14ac:dyDescent="0.25">
      <c r="B3" s="3"/>
      <c r="F3" s="79"/>
      <c r="G3" s="79"/>
      <c r="H3" s="79"/>
    </row>
    <row r="4" spans="1:8" x14ac:dyDescent="0.25">
      <c r="B4" s="3"/>
      <c r="F4" s="79"/>
      <c r="G4" s="79"/>
      <c r="H4" s="79"/>
    </row>
    <row r="5" spans="1:8" x14ac:dyDescent="0.25">
      <c r="B5" s="3"/>
      <c r="F5" s="79"/>
      <c r="G5" s="79"/>
      <c r="H5" s="79"/>
    </row>
    <row r="6" spans="1:8" x14ac:dyDescent="0.25">
      <c r="B6" s="3"/>
      <c r="F6" s="79"/>
      <c r="G6" s="79"/>
      <c r="H6" s="79"/>
    </row>
    <row r="7" spans="1:8" x14ac:dyDescent="0.25">
      <c r="B7" s="3"/>
      <c r="F7" s="79"/>
      <c r="G7" s="79"/>
      <c r="H7" s="79"/>
    </row>
    <row r="8" spans="1:8" x14ac:dyDescent="0.25">
      <c r="A8" t="s">
        <v>28</v>
      </c>
      <c r="B8" s="3">
        <v>46033</v>
      </c>
      <c r="F8" s="79"/>
      <c r="G8" s="79"/>
      <c r="H8" s="79"/>
    </row>
    <row r="9" spans="1:8" x14ac:dyDescent="0.25">
      <c r="B9" s="3"/>
      <c r="F9" s="79"/>
      <c r="G9" s="79"/>
      <c r="H9" s="79"/>
    </row>
    <row r="10" spans="1:8" x14ac:dyDescent="0.25">
      <c r="B10" s="3"/>
      <c r="F10" s="79"/>
      <c r="G10" s="79"/>
      <c r="H10" s="79"/>
    </row>
    <row r="11" spans="1:8" x14ac:dyDescent="0.25">
      <c r="B11" s="3"/>
      <c r="F11" s="79"/>
      <c r="G11" s="79"/>
      <c r="H11" s="79"/>
    </row>
    <row r="12" spans="1:8" x14ac:dyDescent="0.25">
      <c r="B12" s="3"/>
      <c r="F12" s="79"/>
      <c r="G12" s="79"/>
      <c r="H12" s="79"/>
    </row>
    <row r="13" spans="1:8" x14ac:dyDescent="0.25">
      <c r="B13" s="3"/>
      <c r="F13" s="79"/>
      <c r="G13" s="79"/>
      <c r="H13" s="79"/>
    </row>
    <row r="14" spans="1:8" x14ac:dyDescent="0.25">
      <c r="B14" s="3"/>
      <c r="F14" s="79"/>
      <c r="G14" s="79"/>
      <c r="H14" s="79"/>
    </row>
    <row r="15" spans="1:8" x14ac:dyDescent="0.25">
      <c r="B15" s="3"/>
      <c r="F15" s="79"/>
      <c r="G15" s="79"/>
      <c r="H15" s="79"/>
    </row>
    <row r="16" spans="1:8" x14ac:dyDescent="0.25">
      <c r="B16" s="3"/>
      <c r="F16" s="79"/>
      <c r="G16" s="79"/>
      <c r="H16" s="79"/>
    </row>
    <row r="17" spans="1:8" x14ac:dyDescent="0.25">
      <c r="B17" s="3"/>
      <c r="F17" s="79"/>
      <c r="G17" s="79"/>
      <c r="H17" s="79"/>
    </row>
    <row r="18" spans="1:8" x14ac:dyDescent="0.25">
      <c r="B18" s="3"/>
      <c r="F18" s="79"/>
      <c r="G18" s="79"/>
      <c r="H18" s="79"/>
    </row>
    <row r="19" spans="1:8" x14ac:dyDescent="0.25">
      <c r="A19" t="s">
        <v>30</v>
      </c>
      <c r="B19" s="3">
        <v>46034</v>
      </c>
      <c r="C19" t="s">
        <v>338</v>
      </c>
      <c r="D19" t="s">
        <v>11</v>
      </c>
      <c r="E19">
        <v>40</v>
      </c>
      <c r="F19" s="79">
        <f>E19*1500</f>
        <v>60000</v>
      </c>
      <c r="G19" s="79">
        <f>E19*500</f>
        <v>20000</v>
      </c>
      <c r="H19" s="79">
        <f>E19*1000</f>
        <v>40000</v>
      </c>
    </row>
    <row r="20" spans="1:8" x14ac:dyDescent="0.25">
      <c r="B20" s="3"/>
      <c r="C20" t="s">
        <v>581</v>
      </c>
      <c r="D20" t="s">
        <v>11</v>
      </c>
      <c r="E20">
        <v>20</v>
      </c>
      <c r="F20" s="79">
        <f>E20*1600</f>
        <v>32000</v>
      </c>
      <c r="G20" s="79">
        <f>E20*500</f>
        <v>10000</v>
      </c>
      <c r="H20" s="79">
        <f>E20*1100</f>
        <v>22000</v>
      </c>
    </row>
    <row r="21" spans="1:8" x14ac:dyDescent="0.25">
      <c r="B21" s="3"/>
      <c r="C21" t="s">
        <v>20</v>
      </c>
      <c r="D21" t="s">
        <v>1025</v>
      </c>
      <c r="E21">
        <v>9</v>
      </c>
      <c r="F21" s="79">
        <f>E21*8000</f>
        <v>72000</v>
      </c>
      <c r="G21" s="79">
        <f>E21*5500</f>
        <v>49500</v>
      </c>
      <c r="H21" s="79">
        <f>E21*2500</f>
        <v>22500</v>
      </c>
    </row>
    <row r="22" spans="1:8" x14ac:dyDescent="0.25">
      <c r="B22" s="3"/>
      <c r="D22" t="s">
        <v>918</v>
      </c>
      <c r="E22">
        <v>2</v>
      </c>
      <c r="F22" s="79">
        <f>E22*15000</f>
        <v>30000</v>
      </c>
      <c r="G22" s="79">
        <f>E22*10000</f>
        <v>20000</v>
      </c>
      <c r="H22" s="79">
        <f>E22*5000</f>
        <v>10000</v>
      </c>
    </row>
    <row r="23" spans="1:8" x14ac:dyDescent="0.25">
      <c r="A23" s="112" t="s">
        <v>17</v>
      </c>
      <c r="B23" s="112"/>
      <c r="C23" s="112"/>
      <c r="D23" s="112"/>
      <c r="E23" s="78">
        <f>SUM(E19:E22)</f>
        <v>71</v>
      </c>
      <c r="F23" s="78">
        <f t="shared" ref="F23:H23" si="0">SUM(F19:F22)</f>
        <v>194000</v>
      </c>
      <c r="G23" s="78">
        <f t="shared" si="0"/>
        <v>99500</v>
      </c>
      <c r="H23" s="78">
        <f t="shared" si="0"/>
        <v>94500</v>
      </c>
    </row>
    <row r="24" spans="1:8" x14ac:dyDescent="0.25">
      <c r="A24" t="s">
        <v>32</v>
      </c>
      <c r="B24" s="3">
        <v>46035</v>
      </c>
      <c r="C24" t="s">
        <v>338</v>
      </c>
      <c r="D24" t="s">
        <v>11</v>
      </c>
      <c r="E24">
        <v>35</v>
      </c>
      <c r="F24" s="79">
        <f>E24*1500</f>
        <v>52500</v>
      </c>
      <c r="G24" s="79">
        <f>E24*500</f>
        <v>17500</v>
      </c>
      <c r="H24" s="79">
        <f>E24*1000</f>
        <v>35000</v>
      </c>
    </row>
    <row r="25" spans="1:8" x14ac:dyDescent="0.25">
      <c r="C25" t="s">
        <v>581</v>
      </c>
      <c r="D25" t="s">
        <v>11</v>
      </c>
      <c r="E25">
        <v>20</v>
      </c>
      <c r="F25" s="79">
        <f>E25*1500</f>
        <v>30000</v>
      </c>
      <c r="G25" s="79">
        <f>E25*500</f>
        <v>10000</v>
      </c>
      <c r="H25" s="79">
        <f>E25*1000</f>
        <v>20000</v>
      </c>
    </row>
    <row r="26" spans="1:8" x14ac:dyDescent="0.25">
      <c r="C26" t="s">
        <v>571</v>
      </c>
      <c r="D26" t="s">
        <v>11</v>
      </c>
      <c r="E26">
        <v>30</v>
      </c>
      <c r="F26" s="79">
        <f>E26*1500</f>
        <v>45000</v>
      </c>
      <c r="G26" s="79">
        <f>E26*500</f>
        <v>15000</v>
      </c>
      <c r="H26" s="79">
        <f>E26*1000</f>
        <v>30000</v>
      </c>
    </row>
    <row r="27" spans="1:8" x14ac:dyDescent="0.25">
      <c r="C27" t="s">
        <v>797</v>
      </c>
      <c r="D27" t="s">
        <v>11</v>
      </c>
      <c r="E27">
        <v>9</v>
      </c>
      <c r="F27" s="79">
        <f>E27*2000</f>
        <v>18000</v>
      </c>
      <c r="G27" s="79">
        <f>E27*500</f>
        <v>4500</v>
      </c>
      <c r="H27" s="79">
        <f>E27*1500</f>
        <v>13500</v>
      </c>
    </row>
    <row r="28" spans="1:8" x14ac:dyDescent="0.25">
      <c r="D28" t="s">
        <v>13</v>
      </c>
      <c r="E28">
        <v>34</v>
      </c>
      <c r="F28" s="79">
        <f>E28*65000</f>
        <v>2210000</v>
      </c>
      <c r="G28" s="79">
        <f>E28*4500</f>
        <v>153000</v>
      </c>
      <c r="H28" s="79">
        <f>E28*2000</f>
        <v>68000</v>
      </c>
    </row>
    <row r="29" spans="1:8" x14ac:dyDescent="0.25">
      <c r="D29" t="s">
        <v>13</v>
      </c>
      <c r="E29">
        <v>10</v>
      </c>
      <c r="F29" s="79" t="s">
        <v>777</v>
      </c>
      <c r="G29" s="79"/>
      <c r="H29" s="79"/>
    </row>
    <row r="30" spans="1:8" x14ac:dyDescent="0.25">
      <c r="D30" t="s">
        <v>14</v>
      </c>
      <c r="E30">
        <v>1</v>
      </c>
      <c r="F30" s="79" t="s">
        <v>777</v>
      </c>
      <c r="G30" s="79"/>
      <c r="H30" s="79"/>
    </row>
    <row r="31" spans="1:8" x14ac:dyDescent="0.25">
      <c r="D31" t="s">
        <v>14</v>
      </c>
      <c r="E31">
        <v>16</v>
      </c>
      <c r="F31" s="79">
        <f>E31*10000</f>
        <v>160000</v>
      </c>
      <c r="G31" s="79">
        <f>E31*5500</f>
        <v>88000</v>
      </c>
      <c r="H31" s="79">
        <f>E31*4500</f>
        <v>72000</v>
      </c>
    </row>
    <row r="32" spans="1:8" x14ac:dyDescent="0.25">
      <c r="D32" t="s">
        <v>1022</v>
      </c>
      <c r="E32">
        <v>4</v>
      </c>
      <c r="F32" s="79">
        <f>E32*14000</f>
        <v>56000</v>
      </c>
      <c r="G32" s="79">
        <f>E32*10000</f>
        <v>40000</v>
      </c>
      <c r="H32" s="79">
        <f>E32*4000</f>
        <v>16000</v>
      </c>
    </row>
    <row r="33" spans="1:8" x14ac:dyDescent="0.25">
      <c r="D33" t="s">
        <v>1023</v>
      </c>
      <c r="E33">
        <v>2</v>
      </c>
      <c r="F33" s="79">
        <f>E33*20000</f>
        <v>40000</v>
      </c>
      <c r="G33" s="79">
        <f>E33*15000</f>
        <v>30000</v>
      </c>
      <c r="H33" s="79">
        <f>E33*5000</f>
        <v>10000</v>
      </c>
    </row>
    <row r="34" spans="1:8" x14ac:dyDescent="0.25">
      <c r="C34" t="s">
        <v>1024</v>
      </c>
      <c r="D34" t="s">
        <v>243</v>
      </c>
      <c r="E34">
        <v>100</v>
      </c>
      <c r="F34" s="79">
        <f>E34*11500</f>
        <v>1150000</v>
      </c>
      <c r="G34" s="79">
        <f>E34*8500</f>
        <v>850000</v>
      </c>
      <c r="H34" s="79">
        <f>E34*3000</f>
        <v>300000</v>
      </c>
    </row>
    <row r="35" spans="1:8" x14ac:dyDescent="0.25">
      <c r="A35" s="112" t="s">
        <v>17</v>
      </c>
      <c r="B35" s="112"/>
      <c r="C35" s="112"/>
      <c r="D35" s="112"/>
      <c r="E35" s="78">
        <f>SUM(E24:E34)</f>
        <v>261</v>
      </c>
      <c r="F35" s="78">
        <f t="shared" ref="F35:H35" si="1">SUM(F24:F34)</f>
        <v>3761500</v>
      </c>
      <c r="G35" s="78">
        <f t="shared" si="1"/>
        <v>1208000</v>
      </c>
      <c r="H35" s="78">
        <f t="shared" si="1"/>
        <v>564500</v>
      </c>
    </row>
    <row r="36" spans="1:8" x14ac:dyDescent="0.25">
      <c r="A36" t="s">
        <v>8</v>
      </c>
      <c r="B36" s="3">
        <v>45671</v>
      </c>
      <c r="C36" t="s">
        <v>338</v>
      </c>
      <c r="D36" t="s">
        <v>11</v>
      </c>
      <c r="E36">
        <v>26</v>
      </c>
      <c r="F36">
        <f>E36*1500</f>
        <v>39000</v>
      </c>
      <c r="G36">
        <f>E36*500</f>
        <v>13000</v>
      </c>
      <c r="H36">
        <f>E36*1000</f>
        <v>26000</v>
      </c>
    </row>
    <row r="37" spans="1:8" x14ac:dyDescent="0.25">
      <c r="C37" t="s">
        <v>581</v>
      </c>
      <c r="D37" t="s">
        <v>11</v>
      </c>
      <c r="E37">
        <v>17</v>
      </c>
      <c r="F37">
        <f>E37*1600</f>
        <v>27200</v>
      </c>
      <c r="G37">
        <f>E37*500</f>
        <v>8500</v>
      </c>
      <c r="H37">
        <f>E37*1100</f>
        <v>18700</v>
      </c>
    </row>
    <row r="38" spans="1:8" x14ac:dyDescent="0.25">
      <c r="A38" s="143" t="s">
        <v>17</v>
      </c>
      <c r="B38" s="143"/>
      <c r="C38" s="143"/>
      <c r="D38" s="143"/>
      <c r="E38" s="78">
        <f>SUM(E36:E37)</f>
        <v>43</v>
      </c>
      <c r="F38" s="78">
        <f t="shared" ref="F38:H38" si="2">SUM(F36:F37)</f>
        <v>66200</v>
      </c>
      <c r="G38" s="78">
        <f t="shared" si="2"/>
        <v>21500</v>
      </c>
      <c r="H38" s="78">
        <f t="shared" si="2"/>
        <v>44700</v>
      </c>
    </row>
    <row r="39" spans="1:8" x14ac:dyDescent="0.25">
      <c r="A39" t="s">
        <v>18</v>
      </c>
      <c r="B39" s="3">
        <v>46037</v>
      </c>
      <c r="C39" t="s">
        <v>797</v>
      </c>
      <c r="D39" t="s">
        <v>11</v>
      </c>
      <c r="E39">
        <v>9</v>
      </c>
      <c r="F39" s="79">
        <f>E39*2000</f>
        <v>18000</v>
      </c>
      <c r="G39" s="79">
        <f>E39*500</f>
        <v>4500</v>
      </c>
      <c r="H39" s="79">
        <f>E39*1500</f>
        <v>13500</v>
      </c>
    </row>
    <row r="40" spans="1:8" x14ac:dyDescent="0.25">
      <c r="D40" t="s">
        <v>13</v>
      </c>
      <c r="E40">
        <v>25</v>
      </c>
      <c r="F40" s="79">
        <f>E40*6500</f>
        <v>162500</v>
      </c>
      <c r="G40" s="79">
        <f>E40*4500</f>
        <v>112500</v>
      </c>
      <c r="H40" s="79">
        <f>E40*2000</f>
        <v>50000</v>
      </c>
    </row>
    <row r="41" spans="1:8" x14ac:dyDescent="0.25">
      <c r="D41" t="s">
        <v>13</v>
      </c>
      <c r="E41">
        <v>5</v>
      </c>
      <c r="F41" s="79" t="s">
        <v>777</v>
      </c>
      <c r="G41" s="79"/>
      <c r="H41" s="79"/>
    </row>
    <row r="42" spans="1:8" x14ac:dyDescent="0.25">
      <c r="D42" t="s">
        <v>14</v>
      </c>
      <c r="E42">
        <v>3</v>
      </c>
      <c r="F42" s="79" t="s">
        <v>777</v>
      </c>
      <c r="G42" s="79"/>
      <c r="H42" s="79"/>
    </row>
    <row r="43" spans="1:8" x14ac:dyDescent="0.25">
      <c r="D43" t="s">
        <v>14</v>
      </c>
      <c r="E43">
        <v>10</v>
      </c>
      <c r="F43" s="79">
        <f>E43*10000</f>
        <v>100000</v>
      </c>
      <c r="G43" s="79">
        <f>E43*5500</f>
        <v>55000</v>
      </c>
      <c r="H43" s="79">
        <f>E43*4500</f>
        <v>45000</v>
      </c>
    </row>
    <row r="44" spans="1:8" x14ac:dyDescent="0.25">
      <c r="D44" t="s">
        <v>243</v>
      </c>
      <c r="E44">
        <v>1</v>
      </c>
      <c r="F44" s="79" t="s">
        <v>777</v>
      </c>
      <c r="G44" s="79"/>
      <c r="H44" s="79"/>
    </row>
    <row r="45" spans="1:8" x14ac:dyDescent="0.25">
      <c r="D45" t="s">
        <v>243</v>
      </c>
      <c r="E45">
        <v>3</v>
      </c>
      <c r="F45" s="79">
        <f>E45*14000</f>
        <v>42000</v>
      </c>
      <c r="G45" s="79">
        <f>E45*10000</f>
        <v>30000</v>
      </c>
      <c r="H45" s="79">
        <f>E45*4000</f>
        <v>12000</v>
      </c>
    </row>
    <row r="46" spans="1:8" x14ac:dyDescent="0.25">
      <c r="D46" t="s">
        <v>243</v>
      </c>
      <c r="E46">
        <v>7</v>
      </c>
      <c r="F46" s="79" t="s">
        <v>1026</v>
      </c>
      <c r="G46" s="79"/>
      <c r="H46" s="79"/>
    </row>
    <row r="47" spans="1:8" x14ac:dyDescent="0.25">
      <c r="A47" s="111" t="s">
        <v>17</v>
      </c>
      <c r="B47" s="111"/>
      <c r="C47" s="111"/>
      <c r="D47" s="111"/>
      <c r="E47" s="1">
        <f>SUM(E39:E46)</f>
        <v>63</v>
      </c>
      <c r="F47" s="78">
        <f t="shared" ref="F47:H47" si="3">SUM(F39:F46)</f>
        <v>322500</v>
      </c>
      <c r="G47" s="78">
        <f t="shared" si="3"/>
        <v>202000</v>
      </c>
      <c r="H47" s="78">
        <f t="shared" si="3"/>
        <v>120500</v>
      </c>
    </row>
    <row r="48" spans="1:8" x14ac:dyDescent="0.25">
      <c r="A48" t="s">
        <v>22</v>
      </c>
      <c r="B48" s="3">
        <v>46038</v>
      </c>
      <c r="C48" t="s">
        <v>1024</v>
      </c>
      <c r="D48" t="s">
        <v>243</v>
      </c>
      <c r="E48">
        <v>100</v>
      </c>
      <c r="F48">
        <f>E48*11500</f>
        <v>1150000</v>
      </c>
      <c r="G48">
        <f>E48*8500</f>
        <v>850000</v>
      </c>
      <c r="H48">
        <f>E48*3000</f>
        <v>300000</v>
      </c>
    </row>
    <row r="49" spans="1:8" x14ac:dyDescent="0.25">
      <c r="C49" t="s">
        <v>937</v>
      </c>
      <c r="D49" t="s">
        <v>243</v>
      </c>
      <c r="E49">
        <v>60</v>
      </c>
      <c r="F49">
        <f>E49*17000</f>
        <v>1020000</v>
      </c>
      <c r="G49">
        <f>E49*10000</f>
        <v>600000</v>
      </c>
      <c r="H49">
        <f>E49*7000</f>
        <v>420000</v>
      </c>
    </row>
    <row r="50" spans="1:8" x14ac:dyDescent="0.25">
      <c r="A50" s="112" t="s">
        <v>17</v>
      </c>
      <c r="B50" s="112"/>
      <c r="C50" s="112"/>
      <c r="D50" s="112"/>
      <c r="E50" s="78">
        <f>SUM(E48:E49)</f>
        <v>160</v>
      </c>
      <c r="F50" s="78">
        <f t="shared" ref="F50:H50" si="4">SUM(F48:F49)</f>
        <v>2170000</v>
      </c>
      <c r="G50" s="78">
        <f t="shared" si="4"/>
        <v>1450000</v>
      </c>
      <c r="H50" s="78">
        <f t="shared" si="4"/>
        <v>720000</v>
      </c>
    </row>
    <row r="51" spans="1:8" x14ac:dyDescent="0.25">
      <c r="A51" t="s">
        <v>26</v>
      </c>
      <c r="B51" s="3">
        <v>46039</v>
      </c>
      <c r="C51" t="s">
        <v>20</v>
      </c>
      <c r="D51" t="s">
        <v>902</v>
      </c>
      <c r="E51">
        <v>7</v>
      </c>
      <c r="F51">
        <f>E51*8000</f>
        <v>56000</v>
      </c>
      <c r="G51">
        <f>E51*5500</f>
        <v>38500</v>
      </c>
      <c r="H51">
        <f>E51*2500</f>
        <v>17500</v>
      </c>
    </row>
    <row r="52" spans="1:8" x14ac:dyDescent="0.25">
      <c r="D52" t="s">
        <v>919</v>
      </c>
      <c r="E52">
        <v>1</v>
      </c>
      <c r="F52">
        <v>12000</v>
      </c>
      <c r="G52">
        <v>5500</v>
      </c>
      <c r="H52">
        <v>6500</v>
      </c>
    </row>
    <row r="53" spans="1:8" x14ac:dyDescent="0.25">
      <c r="C53" t="s">
        <v>338</v>
      </c>
      <c r="D53" t="s">
        <v>11</v>
      </c>
      <c r="E53">
        <v>40</v>
      </c>
      <c r="F53">
        <f>E53*1500</f>
        <v>60000</v>
      </c>
      <c r="G53">
        <f>E53*500</f>
        <v>20000</v>
      </c>
      <c r="H53">
        <f>E53*1000</f>
        <v>40000</v>
      </c>
    </row>
    <row r="54" spans="1:8" x14ac:dyDescent="0.25">
      <c r="C54" t="s">
        <v>581</v>
      </c>
      <c r="D54" t="s">
        <v>11</v>
      </c>
      <c r="E54">
        <v>25</v>
      </c>
      <c r="F54">
        <f>E54*1500</f>
        <v>37500</v>
      </c>
      <c r="G54">
        <f t="shared" ref="G54" si="5">E54*500</f>
        <v>12500</v>
      </c>
      <c r="H54">
        <f t="shared" ref="H54" si="6">E54*1000</f>
        <v>25000</v>
      </c>
    </row>
    <row r="55" spans="1:8" x14ac:dyDescent="0.25">
      <c r="C55" t="s">
        <v>24</v>
      </c>
      <c r="D55" t="s">
        <v>1031</v>
      </c>
      <c r="E55">
        <v>4</v>
      </c>
      <c r="F55">
        <f>E55*15000</f>
        <v>60000</v>
      </c>
      <c r="G55">
        <f>E55*10000</f>
        <v>40000</v>
      </c>
      <c r="H55">
        <f>E55*4000</f>
        <v>16000</v>
      </c>
    </row>
    <row r="56" spans="1:8" x14ac:dyDescent="0.25">
      <c r="A56" s="112" t="s">
        <v>17</v>
      </c>
      <c r="B56" s="112"/>
      <c r="C56" s="112"/>
      <c r="D56" s="112"/>
      <c r="E56" s="78">
        <f>SUM(E51:E55)</f>
        <v>77</v>
      </c>
      <c r="F56" s="78">
        <f t="shared" ref="F56:H56" si="7">SUM(F51:F55)</f>
        <v>225500</v>
      </c>
      <c r="G56" s="78">
        <f t="shared" si="7"/>
        <v>116500</v>
      </c>
      <c r="H56" s="78">
        <f t="shared" si="7"/>
        <v>105000</v>
      </c>
    </row>
    <row r="57" spans="1:8" x14ac:dyDescent="0.25">
      <c r="A57" t="s">
        <v>28</v>
      </c>
      <c r="B57" s="3">
        <v>46040</v>
      </c>
      <c r="C57" t="s">
        <v>693</v>
      </c>
      <c r="D57" t="s">
        <v>13</v>
      </c>
      <c r="E57">
        <v>29</v>
      </c>
      <c r="F57" s="79">
        <f>E57*8000</f>
        <v>232000</v>
      </c>
      <c r="G57" s="79">
        <f>E57*4500</f>
        <v>130500</v>
      </c>
      <c r="H57" s="79">
        <f>E57*3500</f>
        <v>101500</v>
      </c>
    </row>
    <row r="58" spans="1:8" x14ac:dyDescent="0.25">
      <c r="D58" t="s">
        <v>14</v>
      </c>
      <c r="E58">
        <v>23</v>
      </c>
      <c r="F58" s="79">
        <f>E58*12000</f>
        <v>276000</v>
      </c>
      <c r="G58" s="79">
        <f>E58*5500</f>
        <v>126500</v>
      </c>
      <c r="H58" s="79">
        <f>E58*6500</f>
        <v>149500</v>
      </c>
    </row>
    <row r="59" spans="1:8" x14ac:dyDescent="0.25">
      <c r="D59" t="s">
        <v>11</v>
      </c>
      <c r="E59">
        <v>7</v>
      </c>
      <c r="F59" s="79">
        <f>E59*2000</f>
        <v>14000</v>
      </c>
      <c r="G59" s="79">
        <f>E59*500</f>
        <v>3500</v>
      </c>
      <c r="H59" s="79">
        <f>E59*1500</f>
        <v>10500</v>
      </c>
    </row>
    <row r="60" spans="1:8" x14ac:dyDescent="0.25">
      <c r="D60" t="s">
        <v>1027</v>
      </c>
      <c r="E60">
        <v>6</v>
      </c>
      <c r="F60" s="79">
        <f>E60*7000</f>
        <v>42000</v>
      </c>
      <c r="G60" s="79">
        <f>E60*4000</f>
        <v>24000</v>
      </c>
      <c r="H60" s="79">
        <f>E60*3000</f>
        <v>18000</v>
      </c>
    </row>
    <row r="61" spans="1:8" x14ac:dyDescent="0.25">
      <c r="D61" t="s">
        <v>1028</v>
      </c>
      <c r="E61">
        <v>7</v>
      </c>
      <c r="F61" s="79">
        <f>E61*5000</f>
        <v>35000</v>
      </c>
      <c r="G61" s="79">
        <f>E61*3000</f>
        <v>21000</v>
      </c>
      <c r="H61" s="79">
        <f>E61*2000</f>
        <v>14000</v>
      </c>
    </row>
    <row r="62" spans="1:8" x14ac:dyDescent="0.25">
      <c r="D62" t="s">
        <v>1016</v>
      </c>
      <c r="E62">
        <v>6</v>
      </c>
      <c r="F62" s="79">
        <f>E62*4000</f>
        <v>24000</v>
      </c>
      <c r="G62" s="79">
        <f>E62*2000</f>
        <v>12000</v>
      </c>
      <c r="H62" s="79">
        <f>E62*2000</f>
        <v>12000</v>
      </c>
    </row>
    <row r="63" spans="1:8" x14ac:dyDescent="0.25">
      <c r="D63" t="s">
        <v>1029</v>
      </c>
      <c r="E63">
        <v>7</v>
      </c>
      <c r="F63" s="79">
        <f>E63*2500</f>
        <v>17500</v>
      </c>
      <c r="G63" s="79">
        <f>E63*1000</f>
        <v>7000</v>
      </c>
      <c r="H63" s="79">
        <f>E63*1500</f>
        <v>10500</v>
      </c>
    </row>
    <row r="64" spans="1:8" x14ac:dyDescent="0.25">
      <c r="D64" t="s">
        <v>1030</v>
      </c>
      <c r="E64">
        <v>1</v>
      </c>
      <c r="F64" s="79">
        <f>E64*2500</f>
        <v>2500</v>
      </c>
      <c r="G64" s="79">
        <f>E64*1000</f>
        <v>1000</v>
      </c>
      <c r="H64" s="79">
        <f>E64*1500</f>
        <v>1500</v>
      </c>
    </row>
    <row r="65" spans="1:8" x14ac:dyDescent="0.25">
      <c r="C65" t="s">
        <v>217</v>
      </c>
      <c r="D65" t="s">
        <v>11</v>
      </c>
      <c r="E65">
        <v>10</v>
      </c>
      <c r="F65" s="79">
        <f>E65*2000</f>
        <v>20000</v>
      </c>
      <c r="G65" s="79">
        <f>E65*500</f>
        <v>5000</v>
      </c>
      <c r="H65" s="79">
        <f>E65*1500</f>
        <v>15000</v>
      </c>
    </row>
    <row r="66" spans="1:8" x14ac:dyDescent="0.25">
      <c r="D66" t="s">
        <v>13</v>
      </c>
      <c r="E66">
        <v>17</v>
      </c>
      <c r="F66" s="79">
        <f>E66*6500</f>
        <v>110500</v>
      </c>
      <c r="G66" s="79">
        <f>E66*4500</f>
        <v>76500</v>
      </c>
      <c r="H66" s="79">
        <f>E66*2000</f>
        <v>34000</v>
      </c>
    </row>
    <row r="67" spans="1:8" x14ac:dyDescent="0.25">
      <c r="D67" t="s">
        <v>14</v>
      </c>
      <c r="E67">
        <v>16</v>
      </c>
      <c r="F67" s="79">
        <f>E67*10000</f>
        <v>160000</v>
      </c>
      <c r="G67" s="79">
        <f>E67*5500</f>
        <v>88000</v>
      </c>
      <c r="H67" s="79">
        <f>E67*4500</f>
        <v>72000</v>
      </c>
    </row>
    <row r="68" spans="1:8" x14ac:dyDescent="0.25">
      <c r="A68" s="112" t="s">
        <v>17</v>
      </c>
      <c r="B68" s="112"/>
      <c r="C68" s="112"/>
      <c r="D68" s="112"/>
      <c r="E68" s="78">
        <f>SUM(E57:E67)</f>
        <v>129</v>
      </c>
      <c r="F68" s="78">
        <f t="shared" ref="F68:H68" si="8">SUM(F57:F67)</f>
        <v>933500</v>
      </c>
      <c r="G68" s="78">
        <f t="shared" si="8"/>
        <v>495000</v>
      </c>
      <c r="H68" s="78">
        <f t="shared" si="8"/>
        <v>438500</v>
      </c>
    </row>
    <row r="69" spans="1:8" x14ac:dyDescent="0.25">
      <c r="A69" t="s">
        <v>30</v>
      </c>
      <c r="B69" s="3">
        <v>46041</v>
      </c>
      <c r="C69" t="s">
        <v>797</v>
      </c>
      <c r="D69" t="s">
        <v>11</v>
      </c>
      <c r="E69">
        <v>10</v>
      </c>
      <c r="F69" s="79">
        <f>E69*2000</f>
        <v>20000</v>
      </c>
      <c r="G69" s="79">
        <f>E69*500</f>
        <v>5000</v>
      </c>
      <c r="H69" s="79">
        <f>E69*1500</f>
        <v>15000</v>
      </c>
    </row>
    <row r="70" spans="1:8" x14ac:dyDescent="0.25">
      <c r="D70" t="s">
        <v>13</v>
      </c>
      <c r="E70">
        <v>22</v>
      </c>
      <c r="F70" s="79">
        <f>E70*6500</f>
        <v>143000</v>
      </c>
      <c r="G70" s="79">
        <f>E70*4500</f>
        <v>99000</v>
      </c>
      <c r="H70" s="79">
        <f>E70*2000</f>
        <v>44000</v>
      </c>
    </row>
    <row r="71" spans="1:8" x14ac:dyDescent="0.25">
      <c r="D71" t="s">
        <v>14</v>
      </c>
      <c r="E71">
        <v>7</v>
      </c>
      <c r="F71" s="79">
        <f>E71*10000</f>
        <v>70000</v>
      </c>
      <c r="G71" s="79">
        <f>E71*5500</f>
        <v>38500</v>
      </c>
      <c r="H71" s="79">
        <f>E71*4500</f>
        <v>31500</v>
      </c>
    </row>
    <row r="72" spans="1:8" x14ac:dyDescent="0.25">
      <c r="D72" t="s">
        <v>243</v>
      </c>
      <c r="E72">
        <v>2</v>
      </c>
      <c r="F72" s="79">
        <f>E72*14000</f>
        <v>28000</v>
      </c>
      <c r="G72" s="79">
        <f>E72*10000</f>
        <v>20000</v>
      </c>
      <c r="H72" s="79">
        <f>E72*4000</f>
        <v>8000</v>
      </c>
    </row>
    <row r="73" spans="1:8" x14ac:dyDescent="0.25">
      <c r="C73" t="s">
        <v>24</v>
      </c>
      <c r="D73" t="s">
        <v>243</v>
      </c>
      <c r="E73">
        <v>6</v>
      </c>
      <c r="F73" s="79" t="s">
        <v>777</v>
      </c>
      <c r="G73" s="79"/>
      <c r="H73" s="79"/>
    </row>
    <row r="74" spans="1:8" x14ac:dyDescent="0.25">
      <c r="D74" t="s">
        <v>243</v>
      </c>
      <c r="E74">
        <v>4</v>
      </c>
      <c r="F74" s="79" t="s">
        <v>777</v>
      </c>
      <c r="G74" s="79"/>
      <c r="H74" s="79"/>
    </row>
    <row r="75" spans="1:8" x14ac:dyDescent="0.25">
      <c r="D75" t="s">
        <v>243</v>
      </c>
      <c r="E75">
        <v>6</v>
      </c>
      <c r="F75" s="79" t="s">
        <v>777</v>
      </c>
      <c r="G75" s="79"/>
      <c r="H75" s="79"/>
    </row>
    <row r="76" spans="1:8" x14ac:dyDescent="0.25">
      <c r="D76" t="s">
        <v>243</v>
      </c>
      <c r="E76">
        <v>6</v>
      </c>
      <c r="F76" s="79" t="s">
        <v>777</v>
      </c>
      <c r="G76" s="79"/>
      <c r="H76" s="79"/>
    </row>
    <row r="77" spans="1:8" x14ac:dyDescent="0.25">
      <c r="C77" t="s">
        <v>960</v>
      </c>
      <c r="D77" t="s">
        <v>243</v>
      </c>
      <c r="E77">
        <v>100</v>
      </c>
      <c r="F77" s="79" t="s">
        <v>777</v>
      </c>
      <c r="G77" s="79"/>
      <c r="H77" s="79"/>
    </row>
    <row r="78" spans="1:8" x14ac:dyDescent="0.25">
      <c r="C78" t="s">
        <v>960</v>
      </c>
      <c r="D78" t="s">
        <v>243</v>
      </c>
      <c r="E78">
        <v>50</v>
      </c>
      <c r="F78" s="79" t="s">
        <v>777</v>
      </c>
      <c r="G78" s="79"/>
      <c r="H78" s="79"/>
    </row>
    <row r="79" spans="1:8" x14ac:dyDescent="0.25">
      <c r="A79" s="112" t="s">
        <v>17</v>
      </c>
      <c r="B79" s="112"/>
      <c r="C79" s="112"/>
      <c r="D79" s="112"/>
      <c r="E79" s="78">
        <f>SUM(E69:E78)</f>
        <v>213</v>
      </c>
      <c r="F79" s="78">
        <f t="shared" ref="F79:H79" si="9">SUM(F69:F78)</f>
        <v>261000</v>
      </c>
      <c r="G79" s="78">
        <f t="shared" si="9"/>
        <v>162500</v>
      </c>
      <c r="H79" s="78">
        <f t="shared" si="9"/>
        <v>98500</v>
      </c>
    </row>
    <row r="80" spans="1:8" x14ac:dyDescent="0.25">
      <c r="A80" t="s">
        <v>32</v>
      </c>
      <c r="B80" s="3">
        <v>46042</v>
      </c>
      <c r="C80" t="s">
        <v>338</v>
      </c>
      <c r="D80" t="s">
        <v>11</v>
      </c>
      <c r="E80">
        <v>35</v>
      </c>
      <c r="F80" s="79">
        <f>E80*1500</f>
        <v>52500</v>
      </c>
      <c r="G80" s="79">
        <f>E80*500</f>
        <v>17500</v>
      </c>
      <c r="H80" s="79">
        <f>E80*1000</f>
        <v>35000</v>
      </c>
    </row>
    <row r="81" spans="1:8" x14ac:dyDescent="0.25">
      <c r="C81" t="s">
        <v>581</v>
      </c>
      <c r="D81" t="s">
        <v>11</v>
      </c>
      <c r="E81">
        <v>25</v>
      </c>
      <c r="F81" s="79">
        <f t="shared" ref="F81:F83" si="10">E81*1500</f>
        <v>37500</v>
      </c>
      <c r="G81" s="79">
        <f>E81*500</f>
        <v>12500</v>
      </c>
      <c r="H81" s="79">
        <f t="shared" ref="H81:H83" si="11">E81*1000</f>
        <v>25000</v>
      </c>
    </row>
    <row r="82" spans="1:8" x14ac:dyDescent="0.25">
      <c r="C82" t="s">
        <v>571</v>
      </c>
      <c r="D82" t="s">
        <v>11</v>
      </c>
      <c r="E82">
        <v>25</v>
      </c>
      <c r="F82" s="79">
        <f t="shared" si="10"/>
        <v>37500</v>
      </c>
      <c r="G82" s="79">
        <f>E82*500</f>
        <v>12500</v>
      </c>
      <c r="H82" s="79">
        <f t="shared" si="11"/>
        <v>25000</v>
      </c>
    </row>
    <row r="83" spans="1:8" x14ac:dyDescent="0.25">
      <c r="C83" t="s">
        <v>797</v>
      </c>
      <c r="D83" t="s">
        <v>11</v>
      </c>
      <c r="E83">
        <v>10</v>
      </c>
      <c r="F83" s="79">
        <f t="shared" si="10"/>
        <v>15000</v>
      </c>
      <c r="G83" s="79">
        <f>E83*500</f>
        <v>5000</v>
      </c>
      <c r="H83" s="79">
        <f t="shared" si="11"/>
        <v>10000</v>
      </c>
    </row>
    <row r="84" spans="1:8" x14ac:dyDescent="0.25">
      <c r="D84" t="s">
        <v>13</v>
      </c>
      <c r="E84">
        <v>28</v>
      </c>
      <c r="F84" s="79">
        <f>E84*6500</f>
        <v>182000</v>
      </c>
      <c r="G84" s="79">
        <f>E84*4500</f>
        <v>126000</v>
      </c>
      <c r="H84" s="79">
        <f>E84*2000</f>
        <v>56000</v>
      </c>
    </row>
    <row r="85" spans="1:8" x14ac:dyDescent="0.25">
      <c r="D85" t="s">
        <v>13</v>
      </c>
      <c r="E85">
        <v>2</v>
      </c>
      <c r="F85" s="79" t="s">
        <v>777</v>
      </c>
      <c r="G85" s="79"/>
      <c r="H85" s="79"/>
    </row>
    <row r="86" spans="1:8" x14ac:dyDescent="0.25">
      <c r="D86" t="s">
        <v>14</v>
      </c>
      <c r="E86">
        <v>18</v>
      </c>
      <c r="F86" s="79">
        <f>E86*10000</f>
        <v>180000</v>
      </c>
      <c r="G86" s="79">
        <f>E86*5500</f>
        <v>99000</v>
      </c>
      <c r="H86" s="79">
        <f>E86*4500</f>
        <v>81000</v>
      </c>
    </row>
    <row r="87" spans="1:8" x14ac:dyDescent="0.25">
      <c r="D87" t="s">
        <v>243</v>
      </c>
      <c r="E87">
        <v>2</v>
      </c>
      <c r="F87" s="79">
        <f>E87*14000</f>
        <v>28000</v>
      </c>
      <c r="G87" s="79">
        <f>E87*10000</f>
        <v>20000</v>
      </c>
      <c r="H87" s="79">
        <f>E87*4000</f>
        <v>8000</v>
      </c>
    </row>
    <row r="88" spans="1:8" x14ac:dyDescent="0.25">
      <c r="C88" t="s">
        <v>1024</v>
      </c>
      <c r="D88" t="s">
        <v>243</v>
      </c>
      <c r="E88">
        <v>100</v>
      </c>
      <c r="F88" s="79">
        <f>E88*11500</f>
        <v>1150000</v>
      </c>
      <c r="G88" s="79">
        <f>E88*8500</f>
        <v>850000</v>
      </c>
      <c r="H88" s="79">
        <f>E88*3000</f>
        <v>300000</v>
      </c>
    </row>
    <row r="89" spans="1:8" x14ac:dyDescent="0.25">
      <c r="C89" t="s">
        <v>24</v>
      </c>
      <c r="D89" t="s">
        <v>243</v>
      </c>
      <c r="E89">
        <v>6</v>
      </c>
      <c r="F89" s="79">
        <f>E89*15000</f>
        <v>90000</v>
      </c>
      <c r="G89" s="79">
        <f>E89*10000</f>
        <v>60000</v>
      </c>
      <c r="H89" s="79">
        <f>E89*5000</f>
        <v>30000</v>
      </c>
    </row>
    <row r="90" spans="1:8" x14ac:dyDescent="0.25">
      <c r="A90" s="112" t="s">
        <v>17</v>
      </c>
      <c r="B90" s="112"/>
      <c r="C90" s="112"/>
      <c r="D90" s="112"/>
      <c r="E90" s="78">
        <f>SUM(E80:E89)</f>
        <v>251</v>
      </c>
      <c r="F90" s="78">
        <f t="shared" ref="F90:H90" si="12">SUM(F80:F89)</f>
        <v>1772500</v>
      </c>
      <c r="G90" s="78">
        <f t="shared" si="12"/>
        <v>1202500</v>
      </c>
      <c r="H90" s="78">
        <f t="shared" si="12"/>
        <v>570000</v>
      </c>
    </row>
    <row r="91" spans="1:8" x14ac:dyDescent="0.25">
      <c r="A91" t="s">
        <v>8</v>
      </c>
      <c r="B91" s="3">
        <v>46043</v>
      </c>
      <c r="C91" t="s">
        <v>581</v>
      </c>
      <c r="D91" t="s">
        <v>11</v>
      </c>
      <c r="E91">
        <v>25</v>
      </c>
      <c r="F91" s="79">
        <f>E91*1500</f>
        <v>37500</v>
      </c>
      <c r="G91" s="79">
        <f>E91*500</f>
        <v>12500</v>
      </c>
      <c r="H91" s="79">
        <f>E91*1000</f>
        <v>25000</v>
      </c>
    </row>
    <row r="92" spans="1:8" x14ac:dyDescent="0.25">
      <c r="C92" t="s">
        <v>797</v>
      </c>
      <c r="D92" t="s">
        <v>11</v>
      </c>
      <c r="E92">
        <v>8</v>
      </c>
      <c r="F92" s="79">
        <f>E92*1500</f>
        <v>12000</v>
      </c>
      <c r="G92" s="79">
        <f>E92*500</f>
        <v>4000</v>
      </c>
      <c r="H92" s="79">
        <f>E92*1000</f>
        <v>8000</v>
      </c>
    </row>
    <row r="93" spans="1:8" x14ac:dyDescent="0.25">
      <c r="D93" t="s">
        <v>13</v>
      </c>
      <c r="E93">
        <v>6</v>
      </c>
      <c r="F93" s="79">
        <f>E93*6500</f>
        <v>39000</v>
      </c>
      <c r="G93" s="79">
        <f>E93*4500</f>
        <v>27000</v>
      </c>
      <c r="H93" s="79">
        <f>E93*2000</f>
        <v>12000</v>
      </c>
    </row>
    <row r="94" spans="1:8" x14ac:dyDescent="0.25">
      <c r="D94" t="s">
        <v>14</v>
      </c>
      <c r="E94">
        <v>8</v>
      </c>
      <c r="F94" s="79">
        <f>E94*10000</f>
        <v>80000</v>
      </c>
      <c r="G94" s="79">
        <f>E94*5500</f>
        <v>44000</v>
      </c>
      <c r="H94" s="79">
        <f>E94*4500</f>
        <v>36000</v>
      </c>
    </row>
    <row r="95" spans="1:8" x14ac:dyDescent="0.25">
      <c r="D95" t="s">
        <v>243</v>
      </c>
      <c r="E95">
        <v>2</v>
      </c>
      <c r="F95" s="79">
        <f>E95*14000</f>
        <v>28000</v>
      </c>
      <c r="G95" s="79">
        <f>E95*10000</f>
        <v>20000</v>
      </c>
      <c r="H95" s="79">
        <f>E95*4000</f>
        <v>8000</v>
      </c>
    </row>
    <row r="96" spans="1:8" x14ac:dyDescent="0.25">
      <c r="C96" t="s">
        <v>24</v>
      </c>
      <c r="D96" t="s">
        <v>243</v>
      </c>
      <c r="E96">
        <v>6</v>
      </c>
      <c r="F96" s="79">
        <f>E96*15000</f>
        <v>90000</v>
      </c>
      <c r="G96" s="79">
        <f>E96*10000</f>
        <v>60000</v>
      </c>
      <c r="H96" s="79">
        <f>E96*5000</f>
        <v>30000</v>
      </c>
    </row>
    <row r="97" spans="1:8" x14ac:dyDescent="0.25">
      <c r="A97" s="111" t="s">
        <v>17</v>
      </c>
      <c r="B97" s="111"/>
      <c r="C97" s="111"/>
      <c r="D97" s="111"/>
      <c r="E97" s="1">
        <f>SUM(E91:E96)</f>
        <v>55</v>
      </c>
      <c r="F97" s="78">
        <f t="shared" ref="F97:H97" si="13">SUM(F91:F96)</f>
        <v>286500</v>
      </c>
      <c r="G97" s="78">
        <f t="shared" si="13"/>
        <v>167500</v>
      </c>
      <c r="H97" s="78">
        <f t="shared" si="13"/>
        <v>119000</v>
      </c>
    </row>
    <row r="98" spans="1:8" x14ac:dyDescent="0.25">
      <c r="A98" t="s">
        <v>18</v>
      </c>
      <c r="B98" s="3">
        <v>46044</v>
      </c>
      <c r="C98" t="s">
        <v>338</v>
      </c>
      <c r="D98" t="s">
        <v>11</v>
      </c>
      <c r="E98">
        <v>58</v>
      </c>
      <c r="F98" s="79">
        <f>E98*1500</f>
        <v>87000</v>
      </c>
      <c r="G98" s="79">
        <f>E98*500</f>
        <v>29000</v>
      </c>
      <c r="H98" s="79">
        <f>E98*1000</f>
        <v>58000</v>
      </c>
    </row>
    <row r="99" spans="1:8" x14ac:dyDescent="0.25">
      <c r="C99" t="s">
        <v>581</v>
      </c>
      <c r="D99" t="s">
        <v>11</v>
      </c>
      <c r="E99">
        <v>25</v>
      </c>
      <c r="F99" s="79">
        <f t="shared" ref="F99:F100" si="14">E99*1500</f>
        <v>37500</v>
      </c>
      <c r="G99" s="79">
        <f t="shared" ref="G99:G100" si="15">E99*500</f>
        <v>12500</v>
      </c>
      <c r="H99" s="79">
        <f t="shared" ref="H99:H100" si="16">E99*1000</f>
        <v>25000</v>
      </c>
    </row>
    <row r="100" spans="1:8" x14ac:dyDescent="0.25">
      <c r="C100" t="s">
        <v>571</v>
      </c>
      <c r="D100" t="s">
        <v>11</v>
      </c>
      <c r="E100">
        <v>24</v>
      </c>
      <c r="F100" s="79">
        <f t="shared" si="14"/>
        <v>36000</v>
      </c>
      <c r="G100" s="79">
        <f t="shared" si="15"/>
        <v>12000</v>
      </c>
      <c r="H100" s="79">
        <f t="shared" si="16"/>
        <v>24000</v>
      </c>
    </row>
    <row r="101" spans="1:8" x14ac:dyDescent="0.25">
      <c r="C101" t="s">
        <v>1024</v>
      </c>
      <c r="D101" t="s">
        <v>243</v>
      </c>
      <c r="E101">
        <v>100</v>
      </c>
      <c r="F101" s="79">
        <f>E101*11500</f>
        <v>1150000</v>
      </c>
      <c r="G101" s="79">
        <f>E101*8500</f>
        <v>850000</v>
      </c>
      <c r="H101" s="79">
        <f>E101*3000</f>
        <v>300000</v>
      </c>
    </row>
    <row r="102" spans="1:8" x14ac:dyDescent="0.25">
      <c r="C102" t="s">
        <v>24</v>
      </c>
      <c r="D102" t="s">
        <v>243</v>
      </c>
      <c r="E102">
        <v>6</v>
      </c>
      <c r="F102" s="79">
        <f>E102*15000</f>
        <v>90000</v>
      </c>
      <c r="G102" s="79">
        <f>E102*10000</f>
        <v>60000</v>
      </c>
      <c r="H102" s="79">
        <f>E102*5000</f>
        <v>30000</v>
      </c>
    </row>
    <row r="103" spans="1:8" x14ac:dyDescent="0.25">
      <c r="A103" s="111" t="s">
        <v>17</v>
      </c>
      <c r="B103" s="111"/>
      <c r="C103" s="111"/>
      <c r="D103" s="111"/>
      <c r="E103" s="1">
        <f>SUM(E98:E102)</f>
        <v>213</v>
      </c>
      <c r="F103" s="78">
        <f>SUM(F98:F102)</f>
        <v>1400500</v>
      </c>
      <c r="G103" s="78">
        <f t="shared" ref="G103" si="17">SUM(G98:G102)</f>
        <v>963500</v>
      </c>
      <c r="H103" s="78">
        <f>SUM(H98:H102)</f>
        <v>437000</v>
      </c>
    </row>
    <row r="104" spans="1:8" x14ac:dyDescent="0.25">
      <c r="A104" t="s">
        <v>22</v>
      </c>
      <c r="B104" s="3">
        <v>46045</v>
      </c>
      <c r="C104" t="s">
        <v>338</v>
      </c>
      <c r="D104" t="s">
        <v>11</v>
      </c>
      <c r="E104">
        <v>34</v>
      </c>
      <c r="F104" s="79">
        <f>E104*1500</f>
        <v>51000</v>
      </c>
      <c r="G104" s="79">
        <f>E104*500</f>
        <v>17000</v>
      </c>
      <c r="H104" s="79">
        <f>E104*1000</f>
        <v>34000</v>
      </c>
    </row>
    <row r="105" spans="1:8" x14ac:dyDescent="0.25">
      <c r="C105" t="s">
        <v>581</v>
      </c>
      <c r="D105" t="s">
        <v>11</v>
      </c>
      <c r="E105">
        <v>20</v>
      </c>
      <c r="F105" s="79">
        <f>E105*1500</f>
        <v>30000</v>
      </c>
      <c r="G105" s="79">
        <f>E105*500</f>
        <v>10000</v>
      </c>
      <c r="H105" s="79">
        <f>E105*1000</f>
        <v>20000</v>
      </c>
    </row>
    <row r="106" spans="1:8" x14ac:dyDescent="0.25">
      <c r="C106" t="s">
        <v>20</v>
      </c>
      <c r="D106" t="s">
        <v>944</v>
      </c>
      <c r="E106">
        <v>4</v>
      </c>
      <c r="F106" s="79">
        <f>E106*8000</f>
        <v>32000</v>
      </c>
      <c r="G106" s="79">
        <f>E106*5500</f>
        <v>22000</v>
      </c>
      <c r="H106" s="79">
        <f>E106*2500</f>
        <v>10000</v>
      </c>
    </row>
    <row r="107" spans="1:8" x14ac:dyDescent="0.25">
      <c r="D107" t="s">
        <v>918</v>
      </c>
      <c r="E107">
        <v>3</v>
      </c>
      <c r="F107" s="79">
        <f>E107*15000</f>
        <v>45000</v>
      </c>
      <c r="G107" s="79">
        <f>E107*10000</f>
        <v>30000</v>
      </c>
      <c r="H107" s="79">
        <f>E107*5000</f>
        <v>15000</v>
      </c>
    </row>
    <row r="108" spans="1:8" x14ac:dyDescent="0.25">
      <c r="C108" t="s">
        <v>24</v>
      </c>
      <c r="D108" t="s">
        <v>243</v>
      </c>
      <c r="E108">
        <v>3</v>
      </c>
      <c r="F108" s="79">
        <f>E108*15000</f>
        <v>45000</v>
      </c>
      <c r="G108" s="79">
        <f>E108*10000</f>
        <v>30000</v>
      </c>
      <c r="H108" s="79">
        <f>E108*5000</f>
        <v>15000</v>
      </c>
    </row>
    <row r="109" spans="1:8" x14ac:dyDescent="0.25">
      <c r="A109" s="111" t="s">
        <v>17</v>
      </c>
      <c r="B109" s="111"/>
      <c r="C109" s="111"/>
      <c r="D109" s="111"/>
      <c r="E109" s="1">
        <f>SUM(E104:E108)</f>
        <v>64</v>
      </c>
      <c r="F109" s="78">
        <f t="shared" ref="F109:H109" si="18">SUM(F104:F108)</f>
        <v>203000</v>
      </c>
      <c r="G109" s="78">
        <f t="shared" si="18"/>
        <v>109000</v>
      </c>
      <c r="H109" s="78">
        <f t="shared" si="18"/>
        <v>94000</v>
      </c>
    </row>
    <row r="110" spans="1:8" x14ac:dyDescent="0.25">
      <c r="A110" t="s">
        <v>26</v>
      </c>
      <c r="B110" s="3">
        <v>46046</v>
      </c>
      <c r="C110" t="s">
        <v>20</v>
      </c>
      <c r="D110" t="s">
        <v>944</v>
      </c>
      <c r="E110">
        <v>5</v>
      </c>
      <c r="F110">
        <f>E110*8000</f>
        <v>40000</v>
      </c>
      <c r="G110">
        <f>E110*5500</f>
        <v>27500</v>
      </c>
      <c r="H110">
        <f>E110*2500</f>
        <v>12500</v>
      </c>
    </row>
    <row r="111" spans="1:8" x14ac:dyDescent="0.25">
      <c r="D111" t="s">
        <v>918</v>
      </c>
      <c r="E111">
        <v>2</v>
      </c>
      <c r="F111">
        <f>E111*15000</f>
        <v>30000</v>
      </c>
      <c r="G111">
        <f>E111*10000</f>
        <v>20000</v>
      </c>
      <c r="H111">
        <f>E111*5000</f>
        <v>10000</v>
      </c>
    </row>
    <row r="112" spans="1:8" x14ac:dyDescent="0.25">
      <c r="D112" t="s">
        <v>919</v>
      </c>
      <c r="E112">
        <v>2</v>
      </c>
      <c r="F112">
        <f>E112*12000</f>
        <v>24000</v>
      </c>
      <c r="G112">
        <f>E112*5500</f>
        <v>11000</v>
      </c>
      <c r="H112">
        <f>E112*6500</f>
        <v>13000</v>
      </c>
    </row>
    <row r="113" spans="1:9" x14ac:dyDescent="0.25">
      <c r="D113" t="s">
        <v>243</v>
      </c>
      <c r="E113">
        <v>1</v>
      </c>
      <c r="F113">
        <v>17000</v>
      </c>
      <c r="G113">
        <v>10000</v>
      </c>
      <c r="H113">
        <v>7000</v>
      </c>
    </row>
    <row r="114" spans="1:9" x14ac:dyDescent="0.25">
      <c r="D114" t="s">
        <v>1027</v>
      </c>
      <c r="E114">
        <v>3</v>
      </c>
      <c r="F114">
        <f>E114*3000</f>
        <v>9000</v>
      </c>
      <c r="G114">
        <f>E114*1500</f>
        <v>4500</v>
      </c>
      <c r="H114">
        <f>E114*1500</f>
        <v>4500</v>
      </c>
    </row>
    <row r="115" spans="1:9" x14ac:dyDescent="0.25">
      <c r="A115" s="111" t="s">
        <v>17</v>
      </c>
      <c r="B115" s="111"/>
      <c r="C115" s="111"/>
      <c r="D115" s="111"/>
      <c r="E115" s="1">
        <f>SUM(E110:E114)</f>
        <v>13</v>
      </c>
      <c r="F115" s="78">
        <f t="shared" ref="F115:H115" si="19">SUM(F110:F114)</f>
        <v>120000</v>
      </c>
      <c r="G115" s="78">
        <f t="shared" si="19"/>
        <v>73000</v>
      </c>
      <c r="H115" s="78">
        <f t="shared" si="19"/>
        <v>47000</v>
      </c>
      <c r="I115" s="1"/>
    </row>
    <row r="116" spans="1:9" x14ac:dyDescent="0.25">
      <c r="A116" t="s">
        <v>28</v>
      </c>
      <c r="B116" s="3">
        <v>46047</v>
      </c>
      <c r="C116" t="s">
        <v>693</v>
      </c>
      <c r="D116" t="s">
        <v>11</v>
      </c>
      <c r="E116">
        <v>2</v>
      </c>
      <c r="F116" s="79">
        <v>6000</v>
      </c>
      <c r="G116" s="79">
        <v>1000</v>
      </c>
      <c r="H116" s="79">
        <v>5000</v>
      </c>
    </row>
    <row r="117" spans="1:9" x14ac:dyDescent="0.25">
      <c r="D117" t="s">
        <v>13</v>
      </c>
      <c r="E117">
        <v>24</v>
      </c>
      <c r="F117" s="79">
        <f>E117*8000</f>
        <v>192000</v>
      </c>
      <c r="G117" s="79">
        <f>E117*4500</f>
        <v>108000</v>
      </c>
      <c r="H117" s="79">
        <f>E117*3500</f>
        <v>84000</v>
      </c>
    </row>
    <row r="118" spans="1:9" x14ac:dyDescent="0.25">
      <c r="D118" t="s">
        <v>14</v>
      </c>
      <c r="E118">
        <v>19</v>
      </c>
      <c r="F118" s="79">
        <f>E118*12000</f>
        <v>228000</v>
      </c>
      <c r="G118" s="79">
        <f>E118*5500</f>
        <v>104500</v>
      </c>
      <c r="H118" s="79">
        <f>E118*6500</f>
        <v>123500</v>
      </c>
    </row>
    <row r="119" spans="1:9" x14ac:dyDescent="0.25">
      <c r="D119" t="s">
        <v>243</v>
      </c>
      <c r="E119">
        <v>1</v>
      </c>
      <c r="F119" s="79">
        <v>17000</v>
      </c>
      <c r="G119" s="79">
        <v>10000</v>
      </c>
      <c r="H119" s="79">
        <v>7000</v>
      </c>
    </row>
    <row r="120" spans="1:9" x14ac:dyDescent="0.25">
      <c r="D120" t="s">
        <v>1027</v>
      </c>
      <c r="E120">
        <v>1</v>
      </c>
      <c r="F120" s="79">
        <v>7000</v>
      </c>
      <c r="G120" s="79">
        <v>4000</v>
      </c>
      <c r="H120" s="79">
        <v>3000</v>
      </c>
    </row>
    <row r="121" spans="1:9" x14ac:dyDescent="0.25">
      <c r="D121" t="s">
        <v>1028</v>
      </c>
      <c r="E121">
        <v>7</v>
      </c>
      <c r="F121" s="79">
        <f>E121*5000</f>
        <v>35000</v>
      </c>
      <c r="G121" s="79">
        <f>E121*3000</f>
        <v>21000</v>
      </c>
      <c r="H121" s="79">
        <f>E121*2000</f>
        <v>14000</v>
      </c>
    </row>
    <row r="122" spans="1:9" x14ac:dyDescent="0.25">
      <c r="D122" t="s">
        <v>1032</v>
      </c>
      <c r="E122">
        <v>3</v>
      </c>
      <c r="F122" s="79">
        <f>E122*25000</f>
        <v>75000</v>
      </c>
      <c r="G122" s="79">
        <f>E122*15000</f>
        <v>45000</v>
      </c>
      <c r="H122" s="79">
        <f>E122*10000</f>
        <v>30000</v>
      </c>
    </row>
    <row r="123" spans="1:9" x14ac:dyDescent="0.25">
      <c r="C123" t="s">
        <v>217</v>
      </c>
      <c r="D123" t="s">
        <v>11</v>
      </c>
      <c r="E123">
        <v>7</v>
      </c>
      <c r="F123" s="79">
        <f>E123*1500</f>
        <v>10500</v>
      </c>
      <c r="G123" s="79">
        <f>E123*500</f>
        <v>3500</v>
      </c>
      <c r="H123" s="79">
        <f>E123*1000</f>
        <v>7000</v>
      </c>
    </row>
    <row r="124" spans="1:9" x14ac:dyDescent="0.25">
      <c r="D124" t="s">
        <v>13</v>
      </c>
      <c r="E124">
        <v>8</v>
      </c>
      <c r="F124" s="79">
        <f>E124*6500</f>
        <v>52000</v>
      </c>
      <c r="G124" s="79">
        <f>E124*4500</f>
        <v>36000</v>
      </c>
      <c r="H124" s="79">
        <f>E124*2000</f>
        <v>16000</v>
      </c>
    </row>
    <row r="125" spans="1:9" x14ac:dyDescent="0.25">
      <c r="D125" t="s">
        <v>14</v>
      </c>
      <c r="E125">
        <v>6</v>
      </c>
      <c r="F125" s="79">
        <f>E125*10000</f>
        <v>60000</v>
      </c>
      <c r="G125" s="79">
        <f>E125*5500</f>
        <v>33000</v>
      </c>
      <c r="H125" s="79">
        <f>E125*4500</f>
        <v>27000</v>
      </c>
    </row>
    <row r="126" spans="1:9" x14ac:dyDescent="0.25">
      <c r="C126" t="s">
        <v>797</v>
      </c>
      <c r="D126" t="s">
        <v>11</v>
      </c>
      <c r="E126">
        <v>6</v>
      </c>
      <c r="F126" s="79">
        <f>E126*2000</f>
        <v>12000</v>
      </c>
      <c r="G126" s="79">
        <f>E126*500</f>
        <v>3000</v>
      </c>
      <c r="H126" s="79">
        <f>E126*1500</f>
        <v>9000</v>
      </c>
    </row>
    <row r="127" spans="1:9" x14ac:dyDescent="0.25">
      <c r="D127" t="s">
        <v>13</v>
      </c>
      <c r="E127">
        <v>29</v>
      </c>
      <c r="F127" s="79">
        <f>E127*6500</f>
        <v>188500</v>
      </c>
      <c r="G127" s="79">
        <f>E127*4500</f>
        <v>130500</v>
      </c>
      <c r="H127" s="79">
        <f>E127*2000</f>
        <v>58000</v>
      </c>
    </row>
    <row r="128" spans="1:9" x14ac:dyDescent="0.25">
      <c r="D128" t="s">
        <v>13</v>
      </c>
      <c r="E128">
        <v>2</v>
      </c>
      <c r="F128" s="79" t="s">
        <v>777</v>
      </c>
      <c r="G128" s="79"/>
      <c r="H128" s="79"/>
    </row>
    <row r="129" spans="1:8" x14ac:dyDescent="0.25">
      <c r="D129" t="s">
        <v>14</v>
      </c>
      <c r="E129">
        <v>8</v>
      </c>
      <c r="F129" s="79">
        <f>E129*10000</f>
        <v>80000</v>
      </c>
      <c r="G129" s="79">
        <f>E129*5500</f>
        <v>44000</v>
      </c>
      <c r="H129" s="79">
        <f>E129*4500</f>
        <v>36000</v>
      </c>
    </row>
    <row r="130" spans="1:8" x14ac:dyDescent="0.25">
      <c r="D130" t="s">
        <v>14</v>
      </c>
      <c r="E130">
        <v>1</v>
      </c>
      <c r="F130" s="79" t="s">
        <v>777</v>
      </c>
      <c r="G130" s="79"/>
      <c r="H130" s="79"/>
    </row>
    <row r="131" spans="1:8" x14ac:dyDescent="0.25">
      <c r="D131" t="s">
        <v>243</v>
      </c>
      <c r="E131">
        <v>2</v>
      </c>
      <c r="F131" s="79">
        <f>E131*14000</f>
        <v>28000</v>
      </c>
      <c r="G131" s="79">
        <f>E131*10000</f>
        <v>20000</v>
      </c>
      <c r="H131" s="79">
        <f>E131*4000</f>
        <v>8000</v>
      </c>
    </row>
    <row r="132" spans="1:8" x14ac:dyDescent="0.25">
      <c r="C132" t="s">
        <v>20</v>
      </c>
      <c r="D132" t="s">
        <v>902</v>
      </c>
      <c r="E132">
        <v>17</v>
      </c>
      <c r="F132" s="79">
        <f>E132*8000</f>
        <v>136000</v>
      </c>
      <c r="G132" s="79">
        <f>E132*5500</f>
        <v>93500</v>
      </c>
      <c r="H132" s="79">
        <f>E132*2500</f>
        <v>42500</v>
      </c>
    </row>
    <row r="133" spans="1:8" x14ac:dyDescent="0.25">
      <c r="D133" t="s">
        <v>919</v>
      </c>
      <c r="E133">
        <v>1</v>
      </c>
      <c r="F133" s="79">
        <v>12000</v>
      </c>
      <c r="G133" s="79">
        <v>5500</v>
      </c>
      <c r="H133" s="79">
        <v>6500</v>
      </c>
    </row>
    <row r="134" spans="1:8" x14ac:dyDescent="0.25">
      <c r="D134" t="s">
        <v>918</v>
      </c>
      <c r="E134">
        <v>1</v>
      </c>
      <c r="F134" s="79">
        <v>15000</v>
      </c>
      <c r="G134" s="79">
        <v>1000</v>
      </c>
      <c r="H134" s="79">
        <v>5000</v>
      </c>
    </row>
    <row r="135" spans="1:8" x14ac:dyDescent="0.25">
      <c r="D135" t="s">
        <v>13</v>
      </c>
      <c r="E135">
        <v>1</v>
      </c>
      <c r="F135" s="79">
        <v>8000</v>
      </c>
      <c r="G135" s="79">
        <v>4500</v>
      </c>
      <c r="H135" s="79">
        <v>3500</v>
      </c>
    </row>
    <row r="136" spans="1:8" x14ac:dyDescent="0.25">
      <c r="D136" t="s">
        <v>14</v>
      </c>
      <c r="E136">
        <v>2</v>
      </c>
      <c r="F136" s="79">
        <v>24000</v>
      </c>
      <c r="G136" s="79">
        <v>11000</v>
      </c>
      <c r="H136" s="79">
        <v>13000</v>
      </c>
    </row>
    <row r="137" spans="1:8" x14ac:dyDescent="0.25">
      <c r="A137" s="112" t="s">
        <v>17</v>
      </c>
      <c r="B137" s="112"/>
      <c r="C137" s="112"/>
      <c r="D137" s="112"/>
      <c r="E137" s="78">
        <f>SUM(E116:E136)</f>
        <v>148</v>
      </c>
      <c r="F137" s="78">
        <f t="shared" ref="F137:H137" si="20">SUM(F116:F136)</f>
        <v>1186000</v>
      </c>
      <c r="G137" s="78">
        <f t="shared" si="20"/>
        <v>679000</v>
      </c>
      <c r="H137" s="78">
        <f t="shared" si="20"/>
        <v>498000</v>
      </c>
    </row>
    <row r="138" spans="1:8" x14ac:dyDescent="0.25">
      <c r="A138" t="s">
        <v>30</v>
      </c>
      <c r="B138" s="3">
        <v>46048</v>
      </c>
      <c r="C138" t="s">
        <v>338</v>
      </c>
      <c r="D138" t="s">
        <v>11</v>
      </c>
      <c r="E138">
        <v>35</v>
      </c>
      <c r="F138" s="79">
        <f>E138*1500</f>
        <v>52500</v>
      </c>
      <c r="G138" s="79">
        <f>E138*500</f>
        <v>17500</v>
      </c>
      <c r="H138" s="79">
        <f>E138*1000</f>
        <v>35000</v>
      </c>
    </row>
    <row r="139" spans="1:8" x14ac:dyDescent="0.25">
      <c r="C139" t="s">
        <v>581</v>
      </c>
      <c r="E139">
        <v>40</v>
      </c>
      <c r="F139" s="79">
        <f>E139*1500</f>
        <v>60000</v>
      </c>
      <c r="G139" s="79">
        <f>E139*500</f>
        <v>20000</v>
      </c>
      <c r="H139" s="79">
        <f>E139*1000</f>
        <v>40000</v>
      </c>
    </row>
    <row r="140" spans="1:8" x14ac:dyDescent="0.25">
      <c r="A140" s="112" t="s">
        <v>17</v>
      </c>
      <c r="B140" s="112"/>
      <c r="C140" s="112"/>
      <c r="D140" s="112"/>
      <c r="E140" s="78">
        <f>SUM(E138:E139)</f>
        <v>75</v>
      </c>
      <c r="F140" s="78">
        <f t="shared" ref="F140:H140" si="21">SUM(F138:F139)</f>
        <v>112500</v>
      </c>
      <c r="G140" s="78">
        <f t="shared" si="21"/>
        <v>37500</v>
      </c>
      <c r="H140" s="78">
        <f t="shared" si="21"/>
        <v>75000</v>
      </c>
    </row>
    <row r="141" spans="1:8" x14ac:dyDescent="0.25">
      <c r="A141" t="s">
        <v>32</v>
      </c>
      <c r="B141" s="3">
        <v>46049</v>
      </c>
      <c r="C141" t="s">
        <v>338</v>
      </c>
      <c r="D141" t="s">
        <v>11</v>
      </c>
      <c r="E141">
        <v>35</v>
      </c>
      <c r="F141" s="79">
        <f>E141*1500</f>
        <v>52500</v>
      </c>
      <c r="G141" s="79">
        <f>E141*500</f>
        <v>17500</v>
      </c>
      <c r="H141" s="79">
        <f>E141*1000</f>
        <v>35000</v>
      </c>
    </row>
    <row r="142" spans="1:8" x14ac:dyDescent="0.25">
      <c r="C142" t="s">
        <v>571</v>
      </c>
      <c r="D142" t="s">
        <v>11</v>
      </c>
      <c r="E142">
        <v>20</v>
      </c>
      <c r="F142" s="79">
        <f>E142*1500</f>
        <v>30000</v>
      </c>
      <c r="G142" s="79">
        <f>E142*500</f>
        <v>10000</v>
      </c>
      <c r="H142" s="79">
        <f>E142*1000</f>
        <v>20000</v>
      </c>
    </row>
    <row r="143" spans="1:8" x14ac:dyDescent="0.25">
      <c r="C143" t="s">
        <v>20</v>
      </c>
      <c r="D143" t="s">
        <v>902</v>
      </c>
      <c r="E143">
        <v>2</v>
      </c>
      <c r="F143" s="79">
        <f>E143*8000</f>
        <v>16000</v>
      </c>
      <c r="G143" s="79">
        <f>E143*5500</f>
        <v>11000</v>
      </c>
      <c r="H143" s="79">
        <f>E143*2500</f>
        <v>5000</v>
      </c>
    </row>
    <row r="144" spans="1:8" x14ac:dyDescent="0.25">
      <c r="D144" t="s">
        <v>918</v>
      </c>
      <c r="E144">
        <v>2</v>
      </c>
      <c r="F144" s="79">
        <f>E144*15000</f>
        <v>30000</v>
      </c>
      <c r="G144" s="79">
        <f>E144*10000</f>
        <v>20000</v>
      </c>
      <c r="H144" s="79">
        <f>E144*5000</f>
        <v>10000</v>
      </c>
    </row>
    <row r="145" spans="1:10" x14ac:dyDescent="0.25">
      <c r="C145" t="s">
        <v>1024</v>
      </c>
      <c r="D145" t="s">
        <v>243</v>
      </c>
      <c r="E145">
        <v>100</v>
      </c>
      <c r="F145" s="79">
        <f>E145*11500</f>
        <v>1150000</v>
      </c>
      <c r="G145" s="79">
        <f>E145*8500</f>
        <v>850000</v>
      </c>
      <c r="H145" s="79">
        <f>E145*3000</f>
        <v>300000</v>
      </c>
    </row>
    <row r="146" spans="1:10" x14ac:dyDescent="0.25">
      <c r="A146" s="112" t="s">
        <v>17</v>
      </c>
      <c r="B146" s="112"/>
      <c r="C146" s="112"/>
      <c r="D146" s="112"/>
      <c r="E146" s="78">
        <f>SUM(E141:E145)</f>
        <v>159</v>
      </c>
      <c r="F146" s="78">
        <f t="shared" ref="F146:H146" si="22">SUM(F141:F145)</f>
        <v>1278500</v>
      </c>
      <c r="G146" s="78">
        <f t="shared" si="22"/>
        <v>908500</v>
      </c>
      <c r="H146" s="78">
        <f t="shared" si="22"/>
        <v>370000</v>
      </c>
    </row>
    <row r="147" spans="1:10" x14ac:dyDescent="0.25">
      <c r="A147" t="s">
        <v>8</v>
      </c>
      <c r="B147" s="3">
        <v>46050</v>
      </c>
      <c r="C147" t="s">
        <v>338</v>
      </c>
      <c r="D147" t="s">
        <v>11</v>
      </c>
      <c r="E147">
        <v>35</v>
      </c>
      <c r="F147" s="79">
        <f>E147*1500</f>
        <v>52500</v>
      </c>
      <c r="G147" s="79">
        <f>E147*500</f>
        <v>17500</v>
      </c>
      <c r="H147" s="79">
        <f>E147*1000</f>
        <v>35000</v>
      </c>
    </row>
    <row r="148" spans="1:10" x14ac:dyDescent="0.25">
      <c r="C148" t="s">
        <v>581</v>
      </c>
      <c r="D148" t="s">
        <v>11</v>
      </c>
      <c r="E148">
        <v>9</v>
      </c>
      <c r="F148" s="79">
        <f t="shared" ref="F148:F149" si="23">E148*1500</f>
        <v>13500</v>
      </c>
      <c r="G148" s="79">
        <f t="shared" ref="G148:G149" si="24">E148*500</f>
        <v>4500</v>
      </c>
      <c r="H148" s="79">
        <f t="shared" ref="H148:H149" si="25">E148*1000</f>
        <v>9000</v>
      </c>
    </row>
    <row r="149" spans="1:10" x14ac:dyDescent="0.25">
      <c r="C149" t="s">
        <v>797</v>
      </c>
      <c r="D149" t="s">
        <v>11</v>
      </c>
      <c r="E149">
        <v>7</v>
      </c>
      <c r="F149" s="79">
        <f t="shared" si="23"/>
        <v>10500</v>
      </c>
      <c r="G149" s="79">
        <f t="shared" si="24"/>
        <v>3500</v>
      </c>
      <c r="H149" s="79">
        <f t="shared" si="25"/>
        <v>7000</v>
      </c>
    </row>
    <row r="150" spans="1:10" x14ac:dyDescent="0.25">
      <c r="D150" t="s">
        <v>13</v>
      </c>
      <c r="E150">
        <v>32</v>
      </c>
      <c r="F150" s="79">
        <f>E150*6500</f>
        <v>208000</v>
      </c>
      <c r="G150" s="79">
        <f>E150*4500</f>
        <v>144000</v>
      </c>
      <c r="H150" s="79">
        <f>E150*2000</f>
        <v>64000</v>
      </c>
    </row>
    <row r="151" spans="1:10" x14ac:dyDescent="0.25">
      <c r="D151" t="s">
        <v>13</v>
      </c>
      <c r="E151">
        <v>3</v>
      </c>
      <c r="F151" s="79" t="s">
        <v>777</v>
      </c>
      <c r="G151" s="79"/>
      <c r="H151" s="79"/>
      <c r="J151" s="110" t="s">
        <v>1034</v>
      </c>
    </row>
    <row r="152" spans="1:10" x14ac:dyDescent="0.25">
      <c r="D152" t="s">
        <v>14</v>
      </c>
      <c r="E152">
        <v>3</v>
      </c>
      <c r="F152" s="79" t="s">
        <v>777</v>
      </c>
      <c r="G152" s="79"/>
      <c r="H152" s="79"/>
    </row>
    <row r="153" spans="1:10" x14ac:dyDescent="0.25">
      <c r="D153" t="s">
        <v>14</v>
      </c>
      <c r="E153">
        <v>23</v>
      </c>
      <c r="F153" s="79">
        <f>E153*10000</f>
        <v>230000</v>
      </c>
      <c r="G153" s="79">
        <f>E153*5500</f>
        <v>126500</v>
      </c>
      <c r="H153" s="79">
        <f>E153*4500</f>
        <v>103500</v>
      </c>
    </row>
    <row r="154" spans="1:10" x14ac:dyDescent="0.25">
      <c r="D154" t="s">
        <v>243</v>
      </c>
      <c r="E154">
        <v>5</v>
      </c>
      <c r="F154" s="79">
        <f>E154*14000</f>
        <v>70000</v>
      </c>
      <c r="G154" s="79">
        <f>E154*10000</f>
        <v>50000</v>
      </c>
      <c r="H154" s="79">
        <f>E154*4000</f>
        <v>20000</v>
      </c>
    </row>
    <row r="155" spans="1:10" x14ac:dyDescent="0.25">
      <c r="C155" t="s">
        <v>24</v>
      </c>
      <c r="D155" t="s">
        <v>243</v>
      </c>
      <c r="E155">
        <v>6</v>
      </c>
      <c r="F155" s="79">
        <f>E155*15000</f>
        <v>90000</v>
      </c>
      <c r="G155" s="79">
        <f>E155*10000</f>
        <v>60000</v>
      </c>
      <c r="H155" s="79">
        <f>E155*5000</f>
        <v>30000</v>
      </c>
    </row>
    <row r="156" spans="1:10" x14ac:dyDescent="0.25">
      <c r="C156" t="s">
        <v>24</v>
      </c>
      <c r="D156" t="s">
        <v>1033</v>
      </c>
      <c r="E156">
        <v>3</v>
      </c>
      <c r="F156" s="79">
        <f>E156*20000</f>
        <v>60000</v>
      </c>
      <c r="G156" s="79">
        <f>E156*12000</f>
        <v>36000</v>
      </c>
      <c r="H156" s="79">
        <f>E156*8000</f>
        <v>24000</v>
      </c>
    </row>
    <row r="157" spans="1:10" x14ac:dyDescent="0.25">
      <c r="A157" s="112" t="s">
        <v>17</v>
      </c>
      <c r="B157" s="112"/>
      <c r="C157" s="112"/>
      <c r="D157" s="112"/>
      <c r="E157" s="78">
        <f>SUM(E147:E156)</f>
        <v>126</v>
      </c>
      <c r="F157" s="78">
        <f t="shared" ref="F157:H157" si="26">SUM(F147:F156)</f>
        <v>734500</v>
      </c>
      <c r="G157" s="78">
        <f t="shared" si="26"/>
        <v>442000</v>
      </c>
      <c r="H157" s="78">
        <f t="shared" si="26"/>
        <v>292500</v>
      </c>
    </row>
    <row r="158" spans="1:10" x14ac:dyDescent="0.25">
      <c r="A158" t="s">
        <v>18</v>
      </c>
      <c r="B158" s="3">
        <v>46051</v>
      </c>
    </row>
  </sheetData>
  <mergeCells count="17">
    <mergeCell ref="A97:D97"/>
    <mergeCell ref="A23:D23"/>
    <mergeCell ref="A47:D47"/>
    <mergeCell ref="A68:D68"/>
    <mergeCell ref="A90:D90"/>
    <mergeCell ref="A79:D79"/>
    <mergeCell ref="A56:D56"/>
    <mergeCell ref="A50:D50"/>
    <mergeCell ref="A35:D35"/>
    <mergeCell ref="A38:D38"/>
    <mergeCell ref="A103:D103"/>
    <mergeCell ref="A109:D109"/>
    <mergeCell ref="A157:D157"/>
    <mergeCell ref="A140:D140"/>
    <mergeCell ref="A146:D146"/>
    <mergeCell ref="A115:D115"/>
    <mergeCell ref="A137:D13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5E47-086D-4AB1-8D34-4AD55EA2165F}">
  <dimension ref="A1:H125"/>
  <sheetViews>
    <sheetView workbookViewId="0">
      <selection sqref="A1:H1"/>
    </sheetView>
  </sheetViews>
  <sheetFormatPr defaultRowHeight="15" x14ac:dyDescent="0.25"/>
  <cols>
    <col min="2" max="2" width="10.7109375" bestFit="1" customWidth="1"/>
    <col min="5" max="5" width="9.28515625" bestFit="1" customWidth="1"/>
    <col min="6" max="7" width="10.5703125" bestFit="1" customWidth="1"/>
    <col min="8" max="8" width="9.285156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28</v>
      </c>
      <c r="B2" s="3">
        <v>46054</v>
      </c>
      <c r="C2" t="s">
        <v>693</v>
      </c>
      <c r="D2" t="s">
        <v>13</v>
      </c>
      <c r="E2">
        <v>24</v>
      </c>
      <c r="F2" s="79">
        <f>E2*8000</f>
        <v>192000</v>
      </c>
      <c r="G2" s="79">
        <f>E2*4500</f>
        <v>108000</v>
      </c>
      <c r="H2" s="79">
        <f>E2*3500</f>
        <v>84000</v>
      </c>
    </row>
    <row r="3" spans="1:8" x14ac:dyDescent="0.25">
      <c r="D3" t="s">
        <v>14</v>
      </c>
      <c r="E3">
        <v>16</v>
      </c>
      <c r="F3" s="79">
        <f>E3*12000</f>
        <v>192000</v>
      </c>
      <c r="G3" s="79">
        <f>E3*5500</f>
        <v>88000</v>
      </c>
      <c r="H3" s="79">
        <f>E3*6500</f>
        <v>104000</v>
      </c>
    </row>
    <row r="4" spans="1:8" x14ac:dyDescent="0.25">
      <c r="D4" t="s">
        <v>243</v>
      </c>
      <c r="E4">
        <v>1</v>
      </c>
      <c r="F4" s="79">
        <v>17000</v>
      </c>
      <c r="G4" s="79">
        <v>10000</v>
      </c>
      <c r="H4" s="79">
        <v>7000</v>
      </c>
    </row>
    <row r="5" spans="1:8" x14ac:dyDescent="0.25">
      <c r="D5" t="s">
        <v>1035</v>
      </c>
      <c r="E5">
        <v>1</v>
      </c>
      <c r="F5" s="79"/>
      <c r="G5" s="79"/>
      <c r="H5" s="79"/>
    </row>
    <row r="6" spans="1:8" x14ac:dyDescent="0.25">
      <c r="D6" t="s">
        <v>1028</v>
      </c>
      <c r="E6">
        <v>5</v>
      </c>
      <c r="F6" s="79">
        <f>E6*5000</f>
        <v>25000</v>
      </c>
      <c r="G6" s="79">
        <f>E6*3000</f>
        <v>15000</v>
      </c>
      <c r="H6" s="79">
        <f>E6*2000</f>
        <v>10000</v>
      </c>
    </row>
    <row r="7" spans="1:8" x14ac:dyDescent="0.25">
      <c r="C7" t="s">
        <v>217</v>
      </c>
      <c r="D7" t="s">
        <v>11</v>
      </c>
      <c r="E7">
        <v>14</v>
      </c>
      <c r="F7" s="79">
        <f>E7*1500</f>
        <v>21000</v>
      </c>
      <c r="G7" s="79">
        <f>E7*500</f>
        <v>7000</v>
      </c>
      <c r="H7" s="79">
        <f>E7*1000</f>
        <v>14000</v>
      </c>
    </row>
    <row r="8" spans="1:8" x14ac:dyDescent="0.25">
      <c r="D8" t="s">
        <v>13</v>
      </c>
      <c r="E8">
        <v>17</v>
      </c>
      <c r="F8" s="79">
        <f>E8*6500</f>
        <v>110500</v>
      </c>
      <c r="G8" s="79">
        <f>E8*4500</f>
        <v>76500</v>
      </c>
      <c r="H8" s="79">
        <f>E8*2000</f>
        <v>34000</v>
      </c>
    </row>
    <row r="9" spans="1:8" x14ac:dyDescent="0.25">
      <c r="D9" t="s">
        <v>14</v>
      </c>
      <c r="E9">
        <v>10</v>
      </c>
      <c r="F9" s="79">
        <f>E9*10000</f>
        <v>100000</v>
      </c>
      <c r="G9" s="79">
        <f>E9*5500</f>
        <v>55000</v>
      </c>
      <c r="H9" s="79">
        <f>E9*4500</f>
        <v>45000</v>
      </c>
    </row>
    <row r="10" spans="1:8" x14ac:dyDescent="0.25">
      <c r="C10" t="s">
        <v>20</v>
      </c>
      <c r="D10" t="s">
        <v>902</v>
      </c>
      <c r="E10">
        <v>10</v>
      </c>
      <c r="F10" s="79">
        <f>E10*8000</f>
        <v>80000</v>
      </c>
      <c r="G10" s="79">
        <f>E10*5500</f>
        <v>55000</v>
      </c>
      <c r="H10" s="79">
        <f>E10*2500</f>
        <v>25000</v>
      </c>
    </row>
    <row r="11" spans="1:8" x14ac:dyDescent="0.25">
      <c r="D11" t="s">
        <v>919</v>
      </c>
      <c r="E11">
        <v>2</v>
      </c>
      <c r="F11" s="79">
        <v>24000</v>
      </c>
      <c r="G11" s="79">
        <v>20000</v>
      </c>
      <c r="H11" s="79">
        <v>4000</v>
      </c>
    </row>
    <row r="12" spans="1:8" x14ac:dyDescent="0.25">
      <c r="C12" t="s">
        <v>24</v>
      </c>
      <c r="D12" t="s">
        <v>243</v>
      </c>
      <c r="E12">
        <v>12</v>
      </c>
      <c r="F12" s="79"/>
      <c r="G12" s="79"/>
      <c r="H12" s="79"/>
    </row>
    <row r="13" spans="1:8" x14ac:dyDescent="0.25">
      <c r="A13" s="112" t="s">
        <v>17</v>
      </c>
      <c r="B13" s="112"/>
      <c r="C13" s="112"/>
      <c r="D13" s="112"/>
      <c r="E13" s="78">
        <f>SUM(E2:E12)</f>
        <v>112</v>
      </c>
      <c r="F13" s="78">
        <f t="shared" ref="F13:H13" si="0">SUM(F2:F12)</f>
        <v>761500</v>
      </c>
      <c r="G13" s="78">
        <f t="shared" si="0"/>
        <v>434500</v>
      </c>
      <c r="H13" s="78">
        <f t="shared" si="0"/>
        <v>327000</v>
      </c>
    </row>
    <row r="14" spans="1:8" x14ac:dyDescent="0.25">
      <c r="A14" t="s">
        <v>30</v>
      </c>
      <c r="B14" s="3">
        <v>46055</v>
      </c>
      <c r="C14" t="s">
        <v>338</v>
      </c>
      <c r="D14" t="s">
        <v>11</v>
      </c>
      <c r="E14">
        <v>35</v>
      </c>
      <c r="F14" s="79">
        <f>E14*1500</f>
        <v>52500</v>
      </c>
      <c r="G14" s="79">
        <f>E14*500</f>
        <v>17500</v>
      </c>
      <c r="H14" s="79">
        <f>E14*1000</f>
        <v>35000</v>
      </c>
    </row>
    <row r="15" spans="1:8" x14ac:dyDescent="0.25">
      <c r="C15" t="s">
        <v>581</v>
      </c>
      <c r="D15" t="s">
        <v>11</v>
      </c>
      <c r="E15">
        <v>40</v>
      </c>
      <c r="F15" s="79">
        <f>E15*1500</f>
        <v>60000</v>
      </c>
      <c r="G15" s="79">
        <f>E15*500</f>
        <v>20000</v>
      </c>
      <c r="H15" s="79">
        <f>E15*1000</f>
        <v>40000</v>
      </c>
    </row>
    <row r="16" spans="1:8" x14ac:dyDescent="0.25">
      <c r="C16" t="s">
        <v>797</v>
      </c>
      <c r="D16" t="s">
        <v>11</v>
      </c>
      <c r="E16">
        <v>4</v>
      </c>
      <c r="F16" s="79">
        <f>E16*1500</f>
        <v>6000</v>
      </c>
      <c r="G16" s="79">
        <f>E16*500</f>
        <v>2000</v>
      </c>
      <c r="H16" s="79">
        <f>E16*1000</f>
        <v>4000</v>
      </c>
    </row>
    <row r="17" spans="1:8" x14ac:dyDescent="0.25">
      <c r="D17" t="s">
        <v>13</v>
      </c>
      <c r="E17">
        <v>15</v>
      </c>
      <c r="F17" s="79">
        <f>E17*6500</f>
        <v>97500</v>
      </c>
      <c r="G17" s="79">
        <f>E17*4500</f>
        <v>67500</v>
      </c>
      <c r="H17" s="79">
        <f>E17*2000</f>
        <v>30000</v>
      </c>
    </row>
    <row r="18" spans="1:8" x14ac:dyDescent="0.25">
      <c r="D18" t="s">
        <v>14</v>
      </c>
      <c r="E18">
        <v>4</v>
      </c>
      <c r="F18" s="79">
        <f>E18*10000</f>
        <v>40000</v>
      </c>
      <c r="G18" s="79">
        <f>E18*5500</f>
        <v>22000</v>
      </c>
      <c r="H18" s="79">
        <f>E18*4500</f>
        <v>18000</v>
      </c>
    </row>
    <row r="19" spans="1:8" x14ac:dyDescent="0.25">
      <c r="D19" t="s">
        <v>243</v>
      </c>
      <c r="E19">
        <v>5</v>
      </c>
      <c r="F19" s="79">
        <f>E19*14000</f>
        <v>70000</v>
      </c>
      <c r="G19" s="79">
        <f>E19*10000</f>
        <v>50000</v>
      </c>
      <c r="H19" s="79">
        <f>E19*4000</f>
        <v>20000</v>
      </c>
    </row>
    <row r="20" spans="1:8" x14ac:dyDescent="0.25">
      <c r="C20" t="s">
        <v>24</v>
      </c>
      <c r="D20" t="s">
        <v>243</v>
      </c>
      <c r="E20">
        <v>6</v>
      </c>
      <c r="F20" t="s">
        <v>777</v>
      </c>
    </row>
    <row r="21" spans="1:8" x14ac:dyDescent="0.25">
      <c r="C21" t="s">
        <v>1036</v>
      </c>
      <c r="D21" t="s">
        <v>995</v>
      </c>
      <c r="E21">
        <v>18</v>
      </c>
    </row>
    <row r="22" spans="1:8" x14ac:dyDescent="0.25">
      <c r="A22" s="112" t="s">
        <v>17</v>
      </c>
      <c r="B22" s="112"/>
      <c r="C22" s="112"/>
      <c r="D22" s="112"/>
      <c r="E22" s="78">
        <f>SUM(E14:E21)</f>
        <v>127</v>
      </c>
      <c r="F22" s="78">
        <f t="shared" ref="F22:H22" si="1">SUM(F14:F20)</f>
        <v>326000</v>
      </c>
      <c r="G22" s="78">
        <f t="shared" si="1"/>
        <v>179000</v>
      </c>
      <c r="H22" s="78">
        <f t="shared" si="1"/>
        <v>147000</v>
      </c>
    </row>
    <row r="23" spans="1:8" x14ac:dyDescent="0.25">
      <c r="A23" t="s">
        <v>32</v>
      </c>
      <c r="B23" s="3">
        <v>46056</v>
      </c>
      <c r="C23" t="s">
        <v>338</v>
      </c>
      <c r="D23" t="s">
        <v>11</v>
      </c>
      <c r="E23">
        <v>44</v>
      </c>
      <c r="F23" s="79">
        <f>E23*1500</f>
        <v>66000</v>
      </c>
      <c r="G23" s="79">
        <f>E23*500</f>
        <v>22000</v>
      </c>
      <c r="H23" s="79">
        <f>E23*100</f>
        <v>4400</v>
      </c>
    </row>
    <row r="24" spans="1:8" x14ac:dyDescent="0.25">
      <c r="C24" t="s">
        <v>581</v>
      </c>
      <c r="D24" t="s">
        <v>11</v>
      </c>
      <c r="E24">
        <v>49</v>
      </c>
      <c r="F24" s="79">
        <f t="shared" ref="F24:F25" si="2">E24*1500</f>
        <v>73500</v>
      </c>
      <c r="G24" s="79">
        <f t="shared" ref="G24:G25" si="3">E24*500</f>
        <v>24500</v>
      </c>
      <c r="H24" s="79">
        <f t="shared" ref="H24:H25" si="4">E24*100</f>
        <v>4900</v>
      </c>
    </row>
    <row r="25" spans="1:8" x14ac:dyDescent="0.25">
      <c r="C25" t="s">
        <v>571</v>
      </c>
      <c r="D25" t="s">
        <v>11</v>
      </c>
      <c r="E25">
        <v>18</v>
      </c>
      <c r="F25" s="79">
        <f t="shared" si="2"/>
        <v>27000</v>
      </c>
      <c r="G25" s="79">
        <f t="shared" si="3"/>
        <v>9000</v>
      </c>
      <c r="H25" s="79">
        <f t="shared" si="4"/>
        <v>1800</v>
      </c>
    </row>
    <row r="26" spans="1:8" x14ac:dyDescent="0.25">
      <c r="C26" t="s">
        <v>1003</v>
      </c>
      <c r="D26" t="s">
        <v>243</v>
      </c>
      <c r="E26">
        <v>100</v>
      </c>
      <c r="F26" s="79">
        <f>E26*11500</f>
        <v>1150000</v>
      </c>
      <c r="G26" s="79">
        <f>E26*8500</f>
        <v>850000</v>
      </c>
      <c r="H26" s="79">
        <f>E26*3000</f>
        <v>300000</v>
      </c>
    </row>
    <row r="27" spans="1:8" x14ac:dyDescent="0.25">
      <c r="C27" t="s">
        <v>797</v>
      </c>
      <c r="D27" t="s">
        <v>11</v>
      </c>
      <c r="E27">
        <v>4</v>
      </c>
      <c r="F27" s="79">
        <f>E27*2000</f>
        <v>8000</v>
      </c>
      <c r="G27" s="79">
        <f>E27*500</f>
        <v>2000</v>
      </c>
      <c r="H27" s="79">
        <f>E27*1500</f>
        <v>6000</v>
      </c>
    </row>
    <row r="28" spans="1:8" x14ac:dyDescent="0.25">
      <c r="D28" t="s">
        <v>13</v>
      </c>
      <c r="E28">
        <v>22</v>
      </c>
      <c r="F28" s="79">
        <f>E28*6500</f>
        <v>143000</v>
      </c>
      <c r="G28" s="79">
        <f>E28*4500</f>
        <v>99000</v>
      </c>
      <c r="H28" s="79">
        <f>E28*2000</f>
        <v>44000</v>
      </c>
    </row>
    <row r="29" spans="1:8" x14ac:dyDescent="0.25">
      <c r="D29" t="s">
        <v>13</v>
      </c>
      <c r="E29">
        <v>1</v>
      </c>
      <c r="F29" s="79" t="s">
        <v>777</v>
      </c>
      <c r="G29" s="79"/>
      <c r="H29" s="79"/>
    </row>
    <row r="30" spans="1:8" x14ac:dyDescent="0.25">
      <c r="D30" t="s">
        <v>14</v>
      </c>
      <c r="E30">
        <v>1</v>
      </c>
      <c r="F30" s="79" t="s">
        <v>777</v>
      </c>
      <c r="G30" s="79"/>
      <c r="H30" s="79"/>
    </row>
    <row r="31" spans="1:8" x14ac:dyDescent="0.25">
      <c r="D31" t="s">
        <v>14</v>
      </c>
      <c r="E31">
        <v>8</v>
      </c>
      <c r="F31" s="79">
        <f>E31*10000</f>
        <v>80000</v>
      </c>
      <c r="G31" s="79">
        <f>E31*5500</f>
        <v>44000</v>
      </c>
      <c r="H31" s="79">
        <f>E31*4500</f>
        <v>36000</v>
      </c>
    </row>
    <row r="32" spans="1:8" x14ac:dyDescent="0.25">
      <c r="C32" t="s">
        <v>20</v>
      </c>
      <c r="D32" t="s">
        <v>902</v>
      </c>
      <c r="E32">
        <v>12</v>
      </c>
      <c r="F32" s="79">
        <f>E32*8000</f>
        <v>96000</v>
      </c>
      <c r="G32" s="79">
        <f>E32*5500</f>
        <v>66000</v>
      </c>
      <c r="H32" s="79">
        <f>E32*2500</f>
        <v>30000</v>
      </c>
    </row>
    <row r="33" spans="1:8" x14ac:dyDescent="0.25">
      <c r="D33" t="s">
        <v>919</v>
      </c>
      <c r="E33">
        <v>1</v>
      </c>
      <c r="F33" s="79">
        <v>12000</v>
      </c>
      <c r="G33" s="79">
        <v>5500</v>
      </c>
      <c r="H33" s="79">
        <v>6500</v>
      </c>
    </row>
    <row r="34" spans="1:8" x14ac:dyDescent="0.25">
      <c r="D34" t="s">
        <v>13</v>
      </c>
      <c r="E34">
        <v>1</v>
      </c>
      <c r="F34" s="79">
        <v>8000</v>
      </c>
      <c r="G34" s="79">
        <v>4500</v>
      </c>
      <c r="H34" s="79">
        <v>2500</v>
      </c>
    </row>
    <row r="35" spans="1:8" x14ac:dyDescent="0.25">
      <c r="D35" t="s">
        <v>243</v>
      </c>
      <c r="E35">
        <v>1</v>
      </c>
      <c r="F35" s="79">
        <v>17000</v>
      </c>
      <c r="G35" s="79">
        <v>10000</v>
      </c>
      <c r="H35" s="79">
        <v>7000</v>
      </c>
    </row>
    <row r="36" spans="1:8" x14ac:dyDescent="0.25">
      <c r="A36" s="112" t="s">
        <v>17</v>
      </c>
      <c r="B36" s="112"/>
      <c r="C36" s="112"/>
      <c r="D36" s="112"/>
      <c r="E36" s="78">
        <f>SUM(E23:E35)</f>
        <v>262</v>
      </c>
      <c r="F36" s="78">
        <f t="shared" ref="F36:H36" si="5">SUM(F23:F35)</f>
        <v>1680500</v>
      </c>
      <c r="G36" s="78">
        <f t="shared" si="5"/>
        <v>1136500</v>
      </c>
      <c r="H36" s="78">
        <f t="shared" si="5"/>
        <v>443100</v>
      </c>
    </row>
    <row r="37" spans="1:8" x14ac:dyDescent="0.25">
      <c r="A37" t="s">
        <v>8</v>
      </c>
      <c r="B37" s="3">
        <v>46057</v>
      </c>
      <c r="C37" t="s">
        <v>338</v>
      </c>
      <c r="D37" t="s">
        <v>11</v>
      </c>
      <c r="E37">
        <v>35</v>
      </c>
      <c r="F37" s="79">
        <f>E37*1500</f>
        <v>52500</v>
      </c>
      <c r="G37" s="79">
        <f>E37*500</f>
        <v>17500</v>
      </c>
      <c r="H37" s="79">
        <f>E37*1000</f>
        <v>35000</v>
      </c>
    </row>
    <row r="38" spans="1:8" x14ac:dyDescent="0.25">
      <c r="C38" t="s">
        <v>581</v>
      </c>
      <c r="D38" t="s">
        <v>11</v>
      </c>
      <c r="E38">
        <v>40</v>
      </c>
      <c r="F38" s="79">
        <f>E38*1500</f>
        <v>60000</v>
      </c>
      <c r="G38" s="79">
        <f>E38*500</f>
        <v>20000</v>
      </c>
      <c r="H38" s="79">
        <f>E38*1000</f>
        <v>40000</v>
      </c>
    </row>
    <row r="39" spans="1:8" x14ac:dyDescent="0.25">
      <c r="C39" t="s">
        <v>20</v>
      </c>
      <c r="D39" t="s">
        <v>243</v>
      </c>
      <c r="E39">
        <v>1</v>
      </c>
      <c r="F39" s="79">
        <v>17000</v>
      </c>
      <c r="G39" s="79">
        <v>10000</v>
      </c>
      <c r="H39" s="79">
        <v>7000</v>
      </c>
    </row>
    <row r="40" spans="1:8" x14ac:dyDescent="0.25">
      <c r="A40" s="112" t="s">
        <v>17</v>
      </c>
      <c r="B40" s="112"/>
      <c r="C40" s="112"/>
      <c r="D40" s="112"/>
      <c r="E40" s="78">
        <f>SUM(E37:E39)</f>
        <v>76</v>
      </c>
      <c r="F40" s="78">
        <f t="shared" ref="F40:H40" si="6">SUM(F37:F39)</f>
        <v>129500</v>
      </c>
      <c r="G40" s="78">
        <f t="shared" si="6"/>
        <v>47500</v>
      </c>
      <c r="H40" s="78">
        <f t="shared" si="6"/>
        <v>82000</v>
      </c>
    </row>
    <row r="41" spans="1:8" x14ac:dyDescent="0.25">
      <c r="A41" t="s">
        <v>18</v>
      </c>
      <c r="B41" s="3">
        <v>46058</v>
      </c>
      <c r="C41" t="s">
        <v>338</v>
      </c>
      <c r="D41" t="s">
        <v>11</v>
      </c>
      <c r="E41">
        <v>40</v>
      </c>
      <c r="F41" s="79">
        <f>E41*1500</f>
        <v>60000</v>
      </c>
      <c r="G41" s="79">
        <f>E41*500</f>
        <v>20000</v>
      </c>
      <c r="H41" s="79">
        <f>E41*1000</f>
        <v>40000</v>
      </c>
    </row>
    <row r="42" spans="1:8" x14ac:dyDescent="0.25">
      <c r="C42" t="s">
        <v>571</v>
      </c>
      <c r="D42" t="s">
        <v>11</v>
      </c>
      <c r="E42">
        <v>20</v>
      </c>
      <c r="F42" s="79">
        <f>E42*1500</f>
        <v>30000</v>
      </c>
      <c r="G42" s="79">
        <f>E42*500</f>
        <v>10000</v>
      </c>
      <c r="H42" s="79">
        <f>E42*1000</f>
        <v>20000</v>
      </c>
    </row>
    <row r="43" spans="1:8" x14ac:dyDescent="0.25">
      <c r="A43" s="112" t="s">
        <v>17</v>
      </c>
      <c r="B43" s="112"/>
      <c r="C43" s="112"/>
      <c r="D43" s="112"/>
      <c r="E43" s="78">
        <f>SUM(E41:E42)</f>
        <v>60</v>
      </c>
      <c r="F43" s="78">
        <f t="shared" ref="F43:H43" si="7">SUM(F41:F42)</f>
        <v>90000</v>
      </c>
      <c r="G43" s="78">
        <f t="shared" si="7"/>
        <v>30000</v>
      </c>
      <c r="H43" s="78">
        <f t="shared" si="7"/>
        <v>60000</v>
      </c>
    </row>
    <row r="44" spans="1:8" x14ac:dyDescent="0.25">
      <c r="A44" t="s">
        <v>22</v>
      </c>
      <c r="B44" s="3">
        <v>46059</v>
      </c>
      <c r="C44" t="s">
        <v>338</v>
      </c>
      <c r="D44" t="s">
        <v>11</v>
      </c>
      <c r="E44">
        <v>40</v>
      </c>
      <c r="F44">
        <f>E44*1500</f>
        <v>60000</v>
      </c>
      <c r="G44">
        <f>E44*500</f>
        <v>20000</v>
      </c>
      <c r="H44">
        <f>E44*1000</f>
        <v>40000</v>
      </c>
    </row>
    <row r="45" spans="1:8" x14ac:dyDescent="0.25">
      <c r="C45" t="s">
        <v>581</v>
      </c>
      <c r="D45" t="s">
        <v>11</v>
      </c>
      <c r="E45">
        <v>30</v>
      </c>
      <c r="F45">
        <f>E45*1500</f>
        <v>45000</v>
      </c>
      <c r="G45">
        <f>E45*500</f>
        <v>15000</v>
      </c>
      <c r="H45">
        <f>E45*1000</f>
        <v>30000</v>
      </c>
    </row>
    <row r="46" spans="1:8" x14ac:dyDescent="0.25">
      <c r="C46" t="s">
        <v>1003</v>
      </c>
      <c r="D46" t="s">
        <v>243</v>
      </c>
      <c r="E46">
        <v>100</v>
      </c>
      <c r="F46">
        <f>E46*11500</f>
        <v>1150000</v>
      </c>
      <c r="G46">
        <f>E46*8500</f>
        <v>850000</v>
      </c>
      <c r="H46">
        <f>E46*3000</f>
        <v>300000</v>
      </c>
    </row>
    <row r="47" spans="1:8" x14ac:dyDescent="0.25">
      <c r="C47" t="s">
        <v>797</v>
      </c>
      <c r="D47" t="s">
        <v>11</v>
      </c>
      <c r="E47">
        <v>11</v>
      </c>
      <c r="F47">
        <f>E47*2000</f>
        <v>22000</v>
      </c>
      <c r="G47">
        <f>E47*500</f>
        <v>5500</v>
      </c>
      <c r="H47">
        <f>E47*1500</f>
        <v>16500</v>
      </c>
    </row>
    <row r="48" spans="1:8" x14ac:dyDescent="0.25">
      <c r="D48" t="s">
        <v>13</v>
      </c>
      <c r="E48">
        <v>23</v>
      </c>
      <c r="F48">
        <f>E48*6500</f>
        <v>149500</v>
      </c>
      <c r="G48">
        <f>E48*4500</f>
        <v>103500</v>
      </c>
      <c r="H48">
        <f>E48*2000</f>
        <v>46000</v>
      </c>
    </row>
    <row r="49" spans="1:8" x14ac:dyDescent="0.25">
      <c r="D49" t="s">
        <v>13</v>
      </c>
      <c r="E49">
        <v>5</v>
      </c>
      <c r="F49" t="s">
        <v>777</v>
      </c>
    </row>
    <row r="50" spans="1:8" x14ac:dyDescent="0.25">
      <c r="D50" t="s">
        <v>14</v>
      </c>
      <c r="E50">
        <v>2</v>
      </c>
      <c r="F50" t="s">
        <v>777</v>
      </c>
    </row>
    <row r="51" spans="1:8" x14ac:dyDescent="0.25">
      <c r="D51" t="s">
        <v>14</v>
      </c>
      <c r="E51">
        <v>13</v>
      </c>
      <c r="F51">
        <f>E51*10000</f>
        <v>130000</v>
      </c>
      <c r="G51">
        <f>E51*5500</f>
        <v>71500</v>
      </c>
      <c r="H51">
        <f>E51*4500</f>
        <v>58500</v>
      </c>
    </row>
    <row r="52" spans="1:8" x14ac:dyDescent="0.25">
      <c r="D52" t="s">
        <v>243</v>
      </c>
      <c r="E52">
        <v>2</v>
      </c>
      <c r="F52">
        <f>E52*14000</f>
        <v>28000</v>
      </c>
      <c r="G52">
        <f>E52*10000</f>
        <v>20000</v>
      </c>
      <c r="H52">
        <f>E52*4000</f>
        <v>8000</v>
      </c>
    </row>
    <row r="53" spans="1:8" x14ac:dyDescent="0.25">
      <c r="C53" t="s">
        <v>24</v>
      </c>
      <c r="D53" t="s">
        <v>243</v>
      </c>
      <c r="E53">
        <v>6</v>
      </c>
      <c r="F53" t="s">
        <v>777</v>
      </c>
    </row>
    <row r="54" spans="1:8" x14ac:dyDescent="0.25">
      <c r="C54" t="s">
        <v>1037</v>
      </c>
      <c r="D54" t="s">
        <v>995</v>
      </c>
      <c r="E54">
        <v>5</v>
      </c>
      <c r="F54" t="s">
        <v>777</v>
      </c>
    </row>
    <row r="55" spans="1:8" x14ac:dyDescent="0.25">
      <c r="A55" s="112" t="s">
        <v>17</v>
      </c>
      <c r="B55" s="112"/>
      <c r="C55" s="112"/>
      <c r="D55" s="112"/>
      <c r="E55" s="78">
        <f>SUM(E44:E54)</f>
        <v>237</v>
      </c>
      <c r="F55" s="78">
        <f>SUM(F44:F54)</f>
        <v>1584500</v>
      </c>
      <c r="G55" s="78">
        <f t="shared" ref="G55:H55" si="8">SUM(G44:G53)</f>
        <v>1085500</v>
      </c>
      <c r="H55" s="78">
        <f t="shared" si="8"/>
        <v>499000</v>
      </c>
    </row>
    <row r="56" spans="1:8" x14ac:dyDescent="0.25">
      <c r="A56" t="s">
        <v>26</v>
      </c>
      <c r="B56" s="3">
        <v>46060</v>
      </c>
    </row>
    <row r="68" spans="1:8" x14ac:dyDescent="0.25">
      <c r="A68" t="s">
        <v>28</v>
      </c>
      <c r="B68" s="3">
        <v>46061</v>
      </c>
      <c r="C68" t="s">
        <v>693</v>
      </c>
      <c r="D68" t="s">
        <v>11</v>
      </c>
      <c r="E68">
        <v>5</v>
      </c>
      <c r="F68">
        <f>E68*3000</f>
        <v>15000</v>
      </c>
      <c r="G68">
        <f>E68*500</f>
        <v>2500</v>
      </c>
      <c r="H68">
        <f>E68*2500</f>
        <v>12500</v>
      </c>
    </row>
    <row r="69" spans="1:8" x14ac:dyDescent="0.25">
      <c r="D69" t="s">
        <v>13</v>
      </c>
      <c r="E69">
        <v>24</v>
      </c>
      <c r="F69">
        <f>E69*8000</f>
        <v>192000</v>
      </c>
      <c r="G69">
        <f>E69*4500</f>
        <v>108000</v>
      </c>
      <c r="H69">
        <f>E69*3500</f>
        <v>84000</v>
      </c>
    </row>
    <row r="70" spans="1:8" x14ac:dyDescent="0.25">
      <c r="D70" t="s">
        <v>14</v>
      </c>
      <c r="E70">
        <v>19</v>
      </c>
      <c r="F70">
        <f>E70*12000</f>
        <v>228000</v>
      </c>
      <c r="G70">
        <f>E70*5500</f>
        <v>104500</v>
      </c>
      <c r="H70">
        <f>E70*6500</f>
        <v>123500</v>
      </c>
    </row>
    <row r="71" spans="1:8" x14ac:dyDescent="0.25">
      <c r="D71" t="s">
        <v>1038</v>
      </c>
      <c r="E71">
        <v>10</v>
      </c>
      <c r="F71">
        <f>E71*5000</f>
        <v>50000</v>
      </c>
      <c r="G71">
        <f>E71*4000</f>
        <v>40000</v>
      </c>
      <c r="H71">
        <f>E71*1000</f>
        <v>10000</v>
      </c>
    </row>
    <row r="72" spans="1:8" x14ac:dyDescent="0.25">
      <c r="D72" t="s">
        <v>1029</v>
      </c>
      <c r="E72">
        <v>12</v>
      </c>
      <c r="F72">
        <f>E72*2500</f>
        <v>30000</v>
      </c>
      <c r="G72">
        <f>E72*1500</f>
        <v>18000</v>
      </c>
      <c r="H72">
        <f>E72*1000</f>
        <v>12000</v>
      </c>
    </row>
    <row r="73" spans="1:8" x14ac:dyDescent="0.25">
      <c r="D73" t="s">
        <v>1030</v>
      </c>
      <c r="E73">
        <v>3</v>
      </c>
      <c r="F73">
        <f>E73*2500</f>
        <v>7500</v>
      </c>
      <c r="G73">
        <f>E73*1500</f>
        <v>4500</v>
      </c>
      <c r="H73">
        <f>E73*1000</f>
        <v>3000</v>
      </c>
    </row>
    <row r="74" spans="1:8" x14ac:dyDescent="0.25">
      <c r="C74" t="s">
        <v>217</v>
      </c>
      <c r="D74" t="s">
        <v>11</v>
      </c>
      <c r="E74">
        <v>13</v>
      </c>
      <c r="F74">
        <f>E74*1500</f>
        <v>19500</v>
      </c>
      <c r="G74">
        <f>E74*500</f>
        <v>6500</v>
      </c>
      <c r="H74">
        <f>E74*100</f>
        <v>1300</v>
      </c>
    </row>
    <row r="75" spans="1:8" x14ac:dyDescent="0.25">
      <c r="D75" t="s">
        <v>13</v>
      </c>
      <c r="E75">
        <v>6</v>
      </c>
      <c r="F75">
        <f>E75*6500</f>
        <v>39000</v>
      </c>
      <c r="G75">
        <f>E75*4500</f>
        <v>27000</v>
      </c>
      <c r="H75">
        <f>E75*2000</f>
        <v>12000</v>
      </c>
    </row>
    <row r="76" spans="1:8" x14ac:dyDescent="0.25">
      <c r="D76" t="s">
        <v>14</v>
      </c>
      <c r="E76">
        <v>7</v>
      </c>
      <c r="F76">
        <f>E76*10000</f>
        <v>70000</v>
      </c>
      <c r="G76">
        <f>E76*5500</f>
        <v>38500</v>
      </c>
      <c r="H76">
        <f>E76*4500</f>
        <v>31500</v>
      </c>
    </row>
    <row r="77" spans="1:8" x14ac:dyDescent="0.25">
      <c r="A77" s="112" t="s">
        <v>17</v>
      </c>
      <c r="B77" s="112"/>
      <c r="C77" s="112"/>
      <c r="D77" s="112"/>
      <c r="E77" s="78">
        <f>SUM(E68:E76)</f>
        <v>99</v>
      </c>
      <c r="F77" s="78">
        <f t="shared" ref="F77:H77" si="9">SUM(F68:F76)</f>
        <v>651000</v>
      </c>
      <c r="G77" s="78">
        <f t="shared" si="9"/>
        <v>349500</v>
      </c>
      <c r="H77" s="78">
        <f t="shared" si="9"/>
        <v>289800</v>
      </c>
    </row>
    <row r="78" spans="1:8" x14ac:dyDescent="0.25">
      <c r="A78" t="s">
        <v>30</v>
      </c>
      <c r="B78" s="3">
        <v>46062</v>
      </c>
      <c r="C78" t="s">
        <v>338</v>
      </c>
      <c r="D78" t="s">
        <v>11</v>
      </c>
      <c r="E78">
        <v>40</v>
      </c>
      <c r="F78">
        <f>E78*1500</f>
        <v>60000</v>
      </c>
      <c r="G78">
        <f>E78*500</f>
        <v>20000</v>
      </c>
      <c r="H78">
        <f>E78</f>
        <v>40</v>
      </c>
    </row>
    <row r="83" spans="1:5" x14ac:dyDescent="0.25">
      <c r="A83" t="s">
        <v>32</v>
      </c>
      <c r="B83" s="3">
        <v>46063</v>
      </c>
      <c r="C83" t="s">
        <v>338</v>
      </c>
      <c r="D83" t="s">
        <v>11</v>
      </c>
      <c r="E83">
        <v>40</v>
      </c>
    </row>
    <row r="84" spans="1:5" x14ac:dyDescent="0.25">
      <c r="C84" t="s">
        <v>1039</v>
      </c>
      <c r="D84" t="s">
        <v>11</v>
      </c>
      <c r="E84">
        <v>25</v>
      </c>
    </row>
    <row r="85" spans="1:5" x14ac:dyDescent="0.25">
      <c r="C85" t="s">
        <v>571</v>
      </c>
      <c r="D85" t="s">
        <v>11</v>
      </c>
      <c r="E85">
        <v>20</v>
      </c>
    </row>
    <row r="86" spans="1:5" x14ac:dyDescent="0.25">
      <c r="C86" t="s">
        <v>20</v>
      </c>
      <c r="D86" t="s">
        <v>944</v>
      </c>
      <c r="E86">
        <v>10</v>
      </c>
    </row>
    <row r="87" spans="1:5" x14ac:dyDescent="0.25">
      <c r="D87" t="s">
        <v>919</v>
      </c>
      <c r="E87">
        <v>2</v>
      </c>
    </row>
    <row r="88" spans="1:5" x14ac:dyDescent="0.25">
      <c r="C88" t="s">
        <v>1003</v>
      </c>
      <c r="D88" t="s">
        <v>243</v>
      </c>
      <c r="E88">
        <v>100</v>
      </c>
    </row>
    <row r="89" spans="1:5" x14ac:dyDescent="0.25">
      <c r="C89" t="s">
        <v>24</v>
      </c>
      <c r="D89" t="s">
        <v>1040</v>
      </c>
      <c r="E89">
        <v>6</v>
      </c>
    </row>
    <row r="92" spans="1:5" x14ac:dyDescent="0.25">
      <c r="A92" t="s">
        <v>8</v>
      </c>
      <c r="B92" s="3">
        <v>46064</v>
      </c>
      <c r="C92" t="s">
        <v>581</v>
      </c>
      <c r="D92" t="s">
        <v>11</v>
      </c>
      <c r="E92">
        <v>22</v>
      </c>
    </row>
    <row r="93" spans="1:5" x14ac:dyDescent="0.25">
      <c r="C93" t="s">
        <v>1003</v>
      </c>
      <c r="D93" t="s">
        <v>243</v>
      </c>
      <c r="E93">
        <v>100</v>
      </c>
    </row>
    <row r="94" spans="1:5" x14ac:dyDescent="0.25">
      <c r="E94" t="s">
        <v>612</v>
      </c>
    </row>
    <row r="99" spans="1:5" x14ac:dyDescent="0.25">
      <c r="A99" t="s">
        <v>18</v>
      </c>
      <c r="B99" s="3">
        <v>46065</v>
      </c>
      <c r="C99" t="s">
        <v>1003</v>
      </c>
      <c r="D99" t="s">
        <v>243</v>
      </c>
      <c r="E99">
        <v>100</v>
      </c>
    </row>
    <row r="108" spans="1:5" x14ac:dyDescent="0.25">
      <c r="A108" t="s">
        <v>22</v>
      </c>
      <c r="B108" s="3">
        <v>46066</v>
      </c>
    </row>
    <row r="117" spans="1:3" x14ac:dyDescent="0.25">
      <c r="A117" t="s">
        <v>26</v>
      </c>
      <c r="B117" s="3">
        <v>46067</v>
      </c>
    </row>
    <row r="125" spans="1:3" x14ac:dyDescent="0.25">
      <c r="A125" t="s">
        <v>28</v>
      </c>
      <c r="B125" s="3">
        <v>46068</v>
      </c>
      <c r="C125" t="s">
        <v>693</v>
      </c>
    </row>
  </sheetData>
  <mergeCells count="7">
    <mergeCell ref="A77:D77"/>
    <mergeCell ref="A55:D55"/>
    <mergeCell ref="A13:D13"/>
    <mergeCell ref="A22:D22"/>
    <mergeCell ref="A36:D36"/>
    <mergeCell ref="A40:D40"/>
    <mergeCell ref="A43:D4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1D27-B2E9-458D-B18C-51CD26F859FD}">
  <dimension ref="A1:H1"/>
  <sheetViews>
    <sheetView workbookViewId="0">
      <selection activeCell="E8" sqref="E8"/>
    </sheetView>
  </sheetViews>
  <sheetFormatPr defaultRowHeight="15" x14ac:dyDescent="0.25"/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3013-327A-4C25-B426-A66AD0B30AC7}">
  <dimension ref="A1:S164"/>
  <sheetViews>
    <sheetView topLeftCell="A147" workbookViewId="0">
      <selection sqref="A1:H1"/>
    </sheetView>
  </sheetViews>
  <sheetFormatPr defaultRowHeight="15" x14ac:dyDescent="0.25"/>
  <cols>
    <col min="2" max="2" width="10.7109375" bestFit="1" customWidth="1"/>
    <col min="4" max="4" width="12" customWidth="1"/>
    <col min="5" max="5" width="9.28515625" bestFit="1" customWidth="1"/>
    <col min="6" max="6" width="10.7109375" bestFit="1" customWidth="1"/>
    <col min="7" max="7" width="10.5703125" bestFit="1" customWidth="1"/>
    <col min="8" max="8" width="9.42578125" bestFit="1" customWidth="1"/>
    <col min="19" max="19" width="10.5703125" bestFit="1" customWidth="1"/>
  </cols>
  <sheetData>
    <row r="1" spans="1:12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12" x14ac:dyDescent="0.25">
      <c r="A2" t="s">
        <v>8</v>
      </c>
      <c r="B2" s="3">
        <v>46113</v>
      </c>
    </row>
    <row r="3" spans="1:12" x14ac:dyDescent="0.25">
      <c r="A3" t="s">
        <v>18</v>
      </c>
      <c r="B3" s="3">
        <v>46114</v>
      </c>
    </row>
    <row r="4" spans="1:12" x14ac:dyDescent="0.25">
      <c r="A4" t="s">
        <v>22</v>
      </c>
      <c r="B4" s="3">
        <v>46115</v>
      </c>
    </row>
    <row r="5" spans="1:12" x14ac:dyDescent="0.25">
      <c r="A5" t="s">
        <v>1041</v>
      </c>
      <c r="B5" s="3">
        <v>46116</v>
      </c>
      <c r="K5" t="s">
        <v>1045</v>
      </c>
      <c r="L5">
        <v>2000</v>
      </c>
    </row>
    <row r="6" spans="1:12" x14ac:dyDescent="0.25">
      <c r="A6" t="s">
        <v>28</v>
      </c>
      <c r="B6" s="3">
        <v>46117</v>
      </c>
      <c r="C6" t="s">
        <v>693</v>
      </c>
      <c r="D6" t="s">
        <v>13</v>
      </c>
      <c r="E6">
        <v>18</v>
      </c>
      <c r="F6" s="79">
        <f>E6*10000</f>
        <v>180000</v>
      </c>
      <c r="G6" s="79">
        <f>E6*5500</f>
        <v>99000</v>
      </c>
      <c r="H6" s="79">
        <f>E6*4500</f>
        <v>81000</v>
      </c>
      <c r="K6" t="s">
        <v>1042</v>
      </c>
      <c r="L6">
        <v>5500</v>
      </c>
    </row>
    <row r="7" spans="1:12" x14ac:dyDescent="0.25">
      <c r="D7" t="s">
        <v>14</v>
      </c>
      <c r="E7">
        <v>17</v>
      </c>
      <c r="F7" s="79">
        <f>E7*12000</f>
        <v>204000</v>
      </c>
      <c r="G7" s="79">
        <f>E7*6500</f>
        <v>110500</v>
      </c>
      <c r="H7" s="79">
        <f>E7*5500</f>
        <v>93500</v>
      </c>
      <c r="K7" t="s">
        <v>1043</v>
      </c>
      <c r="L7">
        <v>6500</v>
      </c>
    </row>
    <row r="8" spans="1:12" x14ac:dyDescent="0.25">
      <c r="D8" t="s">
        <v>243</v>
      </c>
      <c r="E8">
        <v>3</v>
      </c>
      <c r="F8" s="79">
        <f>E8*18000</f>
        <v>54000</v>
      </c>
      <c r="G8" s="79">
        <f>E8*12000</f>
        <v>36000</v>
      </c>
      <c r="H8" s="79">
        <f>E8*6000</f>
        <v>18000</v>
      </c>
      <c r="K8" t="s">
        <v>1044</v>
      </c>
      <c r="L8">
        <v>12000</v>
      </c>
    </row>
    <row r="9" spans="1:12" x14ac:dyDescent="0.25">
      <c r="D9" t="s">
        <v>995</v>
      </c>
      <c r="E9">
        <v>3</v>
      </c>
      <c r="F9" s="79">
        <f>E9*25000</f>
        <v>75000</v>
      </c>
      <c r="G9" s="79">
        <f>E9*15000</f>
        <v>45000</v>
      </c>
      <c r="H9" s="79">
        <f>E9*10000</f>
        <v>30000</v>
      </c>
    </row>
    <row r="10" spans="1:12" x14ac:dyDescent="0.25">
      <c r="C10" t="s">
        <v>1046</v>
      </c>
      <c r="D10" t="s">
        <v>13</v>
      </c>
      <c r="E10">
        <v>22</v>
      </c>
      <c r="F10" s="79">
        <f>E10*10000</f>
        <v>220000</v>
      </c>
      <c r="G10" s="79">
        <f>E10*5500</f>
        <v>121000</v>
      </c>
      <c r="H10" s="79">
        <f>E10*4500</f>
        <v>99000</v>
      </c>
    </row>
    <row r="11" spans="1:12" x14ac:dyDescent="0.25">
      <c r="D11" t="s">
        <v>14</v>
      </c>
      <c r="E11">
        <v>15</v>
      </c>
      <c r="F11" s="79">
        <f>E11*12000</f>
        <v>180000</v>
      </c>
      <c r="G11" s="79">
        <f>E11*6500</f>
        <v>97500</v>
      </c>
      <c r="H11" s="79">
        <f>E11*5500</f>
        <v>82500</v>
      </c>
    </row>
    <row r="12" spans="1:12" x14ac:dyDescent="0.25">
      <c r="D12" t="s">
        <v>11</v>
      </c>
      <c r="E12">
        <v>4</v>
      </c>
      <c r="F12" s="79">
        <f>E12*3000</f>
        <v>12000</v>
      </c>
      <c r="G12" s="79">
        <f>E12*2000</f>
        <v>8000</v>
      </c>
      <c r="H12" s="79">
        <f>E12*1000</f>
        <v>4000</v>
      </c>
    </row>
    <row r="13" spans="1:12" x14ac:dyDescent="0.25">
      <c r="C13" t="s">
        <v>797</v>
      </c>
      <c r="D13" t="s">
        <v>11</v>
      </c>
      <c r="E13">
        <v>4</v>
      </c>
      <c r="F13" s="79">
        <f>E13*3000</f>
        <v>12000</v>
      </c>
      <c r="G13" s="79">
        <f>E13*2000</f>
        <v>8000</v>
      </c>
      <c r="H13" s="79">
        <f>E13*1000</f>
        <v>4000</v>
      </c>
    </row>
    <row r="14" spans="1:12" x14ac:dyDescent="0.25">
      <c r="D14" t="s">
        <v>13</v>
      </c>
      <c r="E14">
        <v>14</v>
      </c>
      <c r="F14" s="79">
        <f>E14*7000</f>
        <v>98000</v>
      </c>
      <c r="G14" s="79">
        <f>E14*5500</f>
        <v>77000</v>
      </c>
      <c r="H14" s="79">
        <f>E14*1500</f>
        <v>21000</v>
      </c>
    </row>
    <row r="15" spans="1:12" x14ac:dyDescent="0.25">
      <c r="D15" t="s">
        <v>14</v>
      </c>
      <c r="E15">
        <v>3</v>
      </c>
      <c r="F15" s="79">
        <f>E15*10000</f>
        <v>30000</v>
      </c>
      <c r="G15" s="79">
        <f>E15*6500</f>
        <v>19500</v>
      </c>
      <c r="H15" s="79">
        <f>E15*3500</f>
        <v>10500</v>
      </c>
    </row>
    <row r="16" spans="1:12" x14ac:dyDescent="0.25">
      <c r="D16" t="s">
        <v>243</v>
      </c>
      <c r="E16">
        <v>4</v>
      </c>
      <c r="F16" s="79" t="s">
        <v>777</v>
      </c>
      <c r="G16" s="79"/>
      <c r="H16" s="79"/>
    </row>
    <row r="17" spans="1:8" x14ac:dyDescent="0.25">
      <c r="A17" s="143" t="s">
        <v>17</v>
      </c>
      <c r="B17" s="143"/>
      <c r="C17" s="143"/>
      <c r="D17" s="143"/>
      <c r="E17">
        <f>SUM(E6:E16)</f>
        <v>107</v>
      </c>
      <c r="F17" s="79">
        <f t="shared" ref="F17:H17" si="0">SUM(F6:F16)</f>
        <v>1065000</v>
      </c>
      <c r="G17" s="79">
        <f t="shared" si="0"/>
        <v>621500</v>
      </c>
      <c r="H17" s="79">
        <f t="shared" si="0"/>
        <v>443500</v>
      </c>
    </row>
    <row r="18" spans="1:8" x14ac:dyDescent="0.25">
      <c r="A18" t="s">
        <v>30</v>
      </c>
      <c r="B18" s="3">
        <v>46118</v>
      </c>
      <c r="F18" s="79"/>
      <c r="G18" s="79"/>
      <c r="H18" s="79"/>
    </row>
    <row r="19" spans="1:8" x14ac:dyDescent="0.25">
      <c r="A19" t="s">
        <v>32</v>
      </c>
      <c r="B19" s="3">
        <v>46119</v>
      </c>
      <c r="C19" t="s">
        <v>797</v>
      </c>
      <c r="D19" t="s">
        <v>11</v>
      </c>
      <c r="E19">
        <v>10</v>
      </c>
      <c r="F19">
        <f>E19*2000</f>
        <v>20000</v>
      </c>
      <c r="G19">
        <f>E19*1000</f>
        <v>10000</v>
      </c>
      <c r="H19">
        <f>E19*1000</f>
        <v>10000</v>
      </c>
    </row>
    <row r="20" spans="1:8" x14ac:dyDescent="0.25">
      <c r="D20" t="s">
        <v>13</v>
      </c>
      <c r="E20">
        <v>16</v>
      </c>
      <c r="F20">
        <f>E20*7000</f>
        <v>112000</v>
      </c>
      <c r="G20">
        <f>E20*5500</f>
        <v>88000</v>
      </c>
      <c r="H20">
        <f>E20*1500</f>
        <v>24000</v>
      </c>
    </row>
    <row r="21" spans="1:8" x14ac:dyDescent="0.25">
      <c r="D21" t="s">
        <v>13</v>
      </c>
      <c r="E21">
        <v>9</v>
      </c>
      <c r="F21" t="s">
        <v>777</v>
      </c>
    </row>
    <row r="22" spans="1:8" x14ac:dyDescent="0.25">
      <c r="D22" t="s">
        <v>14</v>
      </c>
      <c r="E22">
        <v>8</v>
      </c>
      <c r="F22">
        <f>E22*10000</f>
        <v>80000</v>
      </c>
      <c r="G22">
        <f>E22*6500</f>
        <v>52000</v>
      </c>
      <c r="H22">
        <f>E22*3500</f>
        <v>28000</v>
      </c>
    </row>
    <row r="23" spans="1:8" x14ac:dyDescent="0.25">
      <c r="D23" t="s">
        <v>14</v>
      </c>
      <c r="E23">
        <v>1</v>
      </c>
      <c r="F23" t="s">
        <v>777</v>
      </c>
    </row>
    <row r="24" spans="1:8" x14ac:dyDescent="0.25">
      <c r="D24" t="s">
        <v>243</v>
      </c>
      <c r="E24">
        <v>2</v>
      </c>
      <c r="F24">
        <f>E24*12000</f>
        <v>24000</v>
      </c>
      <c r="G24">
        <f>E24*12000</f>
        <v>24000</v>
      </c>
      <c r="H24">
        <f>E24*2000</f>
        <v>4000</v>
      </c>
    </row>
    <row r="25" spans="1:8" x14ac:dyDescent="0.25">
      <c r="D25" t="s">
        <v>1047</v>
      </c>
      <c r="E25">
        <v>3</v>
      </c>
      <c r="F25">
        <f>E25*20000</f>
        <v>60000</v>
      </c>
      <c r="G25">
        <f>E25*17000</f>
        <v>51000</v>
      </c>
      <c r="H25">
        <f>E25*3000</f>
        <v>9000</v>
      </c>
    </row>
    <row r="26" spans="1:8" x14ac:dyDescent="0.25">
      <c r="A26" s="111" t="s">
        <v>17</v>
      </c>
      <c r="B26" s="111"/>
      <c r="C26" s="111"/>
      <c r="D26" s="111"/>
      <c r="E26" s="1">
        <f>SUM(E19:E25)</f>
        <v>49</v>
      </c>
      <c r="F26" s="1">
        <f t="shared" ref="F26:H26" si="1">SUM(F19:F25)</f>
        <v>296000</v>
      </c>
      <c r="G26" s="1">
        <f t="shared" si="1"/>
        <v>225000</v>
      </c>
      <c r="H26" s="1">
        <f t="shared" si="1"/>
        <v>75000</v>
      </c>
    </row>
    <row r="27" spans="1:8" x14ac:dyDescent="0.25">
      <c r="A27" t="s">
        <v>8</v>
      </c>
      <c r="B27" s="3">
        <v>46120</v>
      </c>
    </row>
    <row r="28" spans="1:8" x14ac:dyDescent="0.25">
      <c r="A28" t="s">
        <v>18</v>
      </c>
      <c r="B28" s="3">
        <v>46121</v>
      </c>
    </row>
    <row r="29" spans="1:8" x14ac:dyDescent="0.25">
      <c r="A29" t="s">
        <v>22</v>
      </c>
      <c r="B29" s="3">
        <v>46122</v>
      </c>
      <c r="C29" t="s">
        <v>20</v>
      </c>
      <c r="D29" t="s">
        <v>902</v>
      </c>
      <c r="E29">
        <v>10</v>
      </c>
      <c r="F29">
        <f>E29*80000</f>
        <v>800000</v>
      </c>
      <c r="G29">
        <f>E29*5500</f>
        <v>55000</v>
      </c>
      <c r="H29">
        <f>E29*3500</f>
        <v>35000</v>
      </c>
    </row>
    <row r="30" spans="1:8" x14ac:dyDescent="0.25">
      <c r="D30" t="s">
        <v>918</v>
      </c>
      <c r="E30">
        <v>2</v>
      </c>
      <c r="F30">
        <v>30000</v>
      </c>
      <c r="G30">
        <v>20000</v>
      </c>
      <c r="H30">
        <v>10000</v>
      </c>
    </row>
    <row r="31" spans="1:8" x14ac:dyDescent="0.25">
      <c r="A31" s="111" t="s">
        <v>17</v>
      </c>
      <c r="B31" s="111"/>
      <c r="C31" s="111"/>
      <c r="D31" s="111"/>
      <c r="E31" s="1">
        <f>SUM(E29:E30)</f>
        <v>12</v>
      </c>
      <c r="F31" s="1">
        <f t="shared" ref="F31:H31" si="2">SUM(F29:F30)</f>
        <v>830000</v>
      </c>
      <c r="G31" s="1">
        <f t="shared" si="2"/>
        <v>75000</v>
      </c>
      <c r="H31" s="1">
        <f t="shared" si="2"/>
        <v>45000</v>
      </c>
    </row>
    <row r="32" spans="1:8" x14ac:dyDescent="0.25">
      <c r="A32" t="s">
        <v>26</v>
      </c>
      <c r="B32" s="3">
        <v>46123</v>
      </c>
      <c r="C32" t="s">
        <v>20</v>
      </c>
      <c r="D32" t="s">
        <v>918</v>
      </c>
      <c r="E32">
        <v>2</v>
      </c>
      <c r="F32" s="79">
        <f>E32*15000</f>
        <v>30000</v>
      </c>
      <c r="G32" s="79">
        <f>E32*10000</f>
        <v>20000</v>
      </c>
      <c r="H32" s="79">
        <f>E32*5000</f>
        <v>10000</v>
      </c>
    </row>
    <row r="33" spans="1:19" x14ac:dyDescent="0.25">
      <c r="D33" t="s">
        <v>919</v>
      </c>
      <c r="E33">
        <v>2</v>
      </c>
      <c r="F33" s="79">
        <f>E33*12000</f>
        <v>24000</v>
      </c>
      <c r="G33" s="79">
        <f>E33*5500</f>
        <v>11000</v>
      </c>
      <c r="H33" s="79">
        <f>E33*6500</f>
        <v>13000</v>
      </c>
    </row>
    <row r="34" spans="1:19" x14ac:dyDescent="0.25">
      <c r="D34" t="s">
        <v>902</v>
      </c>
      <c r="E34">
        <v>8</v>
      </c>
      <c r="F34" s="79">
        <f>E34*8000</f>
        <v>64000</v>
      </c>
      <c r="G34" s="79">
        <f>E34*5500</f>
        <v>44000</v>
      </c>
      <c r="H34" s="79">
        <f>E34*2500</f>
        <v>20000</v>
      </c>
    </row>
    <row r="35" spans="1:19" x14ac:dyDescent="0.25">
      <c r="D35" t="s">
        <v>338</v>
      </c>
      <c r="E35">
        <v>50</v>
      </c>
      <c r="F35" s="79">
        <f>E35*1500</f>
        <v>75000</v>
      </c>
      <c r="G35" s="79">
        <f>E35*500</f>
        <v>25000</v>
      </c>
      <c r="H35" s="79">
        <f>E35*1000</f>
        <v>50000</v>
      </c>
    </row>
    <row r="36" spans="1:19" x14ac:dyDescent="0.25">
      <c r="D36" t="s">
        <v>581</v>
      </c>
      <c r="E36">
        <v>25</v>
      </c>
      <c r="F36" s="79">
        <f t="shared" ref="F36:F37" si="3">E36*1500</f>
        <v>37500</v>
      </c>
      <c r="G36" s="79">
        <f t="shared" ref="G36:G37" si="4">E36*500</f>
        <v>12500</v>
      </c>
      <c r="H36" s="79">
        <f t="shared" ref="H36:H37" si="5">E36*1000</f>
        <v>25000</v>
      </c>
    </row>
    <row r="37" spans="1:19" x14ac:dyDescent="0.25">
      <c r="C37" t="s">
        <v>797</v>
      </c>
      <c r="D37" t="s">
        <v>11</v>
      </c>
      <c r="E37">
        <v>9</v>
      </c>
      <c r="F37" s="79">
        <f t="shared" si="3"/>
        <v>13500</v>
      </c>
      <c r="G37" s="79">
        <f t="shared" si="4"/>
        <v>4500</v>
      </c>
      <c r="H37" s="79">
        <f t="shared" si="5"/>
        <v>9000</v>
      </c>
      <c r="Q37">
        <v>2500</v>
      </c>
    </row>
    <row r="38" spans="1:19" x14ac:dyDescent="0.25">
      <c r="D38" t="s">
        <v>13</v>
      </c>
      <c r="E38">
        <v>27</v>
      </c>
      <c r="F38" s="79">
        <f>E38*7000</f>
        <v>189000</v>
      </c>
      <c r="G38" s="79">
        <f>E38*5500</f>
        <v>148500</v>
      </c>
      <c r="H38" s="79">
        <f>E38*1500</f>
        <v>40500</v>
      </c>
      <c r="Q38">
        <v>2400</v>
      </c>
    </row>
    <row r="39" spans="1:19" x14ac:dyDescent="0.25">
      <c r="D39" t="s">
        <v>14</v>
      </c>
      <c r="E39">
        <v>4</v>
      </c>
      <c r="F39" s="79">
        <f>E39*10000</f>
        <v>40000</v>
      </c>
      <c r="G39" s="79">
        <f>E39*6500</f>
        <v>26000</v>
      </c>
      <c r="H39" s="79">
        <f>E39*3500</f>
        <v>14000</v>
      </c>
      <c r="Q39">
        <v>2300</v>
      </c>
      <c r="S39" t="s">
        <v>1048</v>
      </c>
    </row>
    <row r="40" spans="1:19" x14ac:dyDescent="0.25">
      <c r="A40" s="111" t="s">
        <v>17</v>
      </c>
      <c r="B40" s="111"/>
      <c r="C40" s="111"/>
      <c r="D40" s="111"/>
      <c r="E40" s="1">
        <f>SUM(E32:E39)</f>
        <v>127</v>
      </c>
      <c r="F40" s="1">
        <f t="shared" ref="F40:H40" si="6">SUM(F32:F39)</f>
        <v>473000</v>
      </c>
      <c r="G40" s="1">
        <f t="shared" si="6"/>
        <v>291500</v>
      </c>
      <c r="H40" s="1">
        <f t="shared" si="6"/>
        <v>181500</v>
      </c>
      <c r="Q40">
        <v>2100</v>
      </c>
      <c r="R40">
        <f>Q39-Q40</f>
        <v>200</v>
      </c>
      <c r="S40" s="79">
        <f>R40*3000</f>
        <v>600000</v>
      </c>
    </row>
    <row r="41" spans="1:19" x14ac:dyDescent="0.25">
      <c r="A41" t="s">
        <v>28</v>
      </c>
      <c r="B41" s="3">
        <v>46124</v>
      </c>
      <c r="C41" t="s">
        <v>693</v>
      </c>
      <c r="D41" t="s">
        <v>11</v>
      </c>
      <c r="E41">
        <v>5</v>
      </c>
      <c r="F41" s="79">
        <f>E41*1500</f>
        <v>7500</v>
      </c>
      <c r="G41" s="79">
        <f>E41*500</f>
        <v>2500</v>
      </c>
      <c r="H41" s="79">
        <f>E41*1000</f>
        <v>5000</v>
      </c>
    </row>
    <row r="42" spans="1:19" x14ac:dyDescent="0.25">
      <c r="D42" t="s">
        <v>13</v>
      </c>
      <c r="E42">
        <v>7</v>
      </c>
      <c r="F42" s="79">
        <f>E42*7000</f>
        <v>49000</v>
      </c>
      <c r="G42" s="79">
        <f>E42*5500</f>
        <v>38500</v>
      </c>
      <c r="H42" s="79">
        <f>E42*1500</f>
        <v>10500</v>
      </c>
    </row>
    <row r="43" spans="1:19" x14ac:dyDescent="0.25">
      <c r="D43" t="s">
        <v>13</v>
      </c>
      <c r="E43">
        <v>18</v>
      </c>
      <c r="F43" s="79">
        <f>E43*10000</f>
        <v>180000</v>
      </c>
      <c r="G43" s="79">
        <f>E43*5500</f>
        <v>99000</v>
      </c>
      <c r="H43" s="79">
        <f>E43*4500</f>
        <v>81000</v>
      </c>
    </row>
    <row r="44" spans="1:19" x14ac:dyDescent="0.25">
      <c r="D44" t="s">
        <v>14</v>
      </c>
      <c r="E44">
        <v>18</v>
      </c>
      <c r="F44" s="79">
        <f>E44*12000</f>
        <v>216000</v>
      </c>
      <c r="G44" s="79">
        <f>E44*6500</f>
        <v>117000</v>
      </c>
      <c r="H44" s="79">
        <f>E44*5500</f>
        <v>99000</v>
      </c>
    </row>
    <row r="45" spans="1:19" x14ac:dyDescent="0.25">
      <c r="D45" t="s">
        <v>243</v>
      </c>
      <c r="E45">
        <v>1</v>
      </c>
      <c r="F45" s="79">
        <v>17000</v>
      </c>
      <c r="G45" s="79">
        <v>11000</v>
      </c>
      <c r="H45" s="79">
        <v>6000</v>
      </c>
    </row>
    <row r="46" spans="1:19" x14ac:dyDescent="0.25">
      <c r="D46" t="s">
        <v>13</v>
      </c>
      <c r="E46">
        <v>4</v>
      </c>
      <c r="F46" s="79" t="s">
        <v>777</v>
      </c>
      <c r="G46" s="79"/>
      <c r="H46" s="79"/>
    </row>
    <row r="47" spans="1:19" x14ac:dyDescent="0.25">
      <c r="C47" t="s">
        <v>1049</v>
      </c>
      <c r="D47" t="s">
        <v>13</v>
      </c>
      <c r="E47">
        <v>18</v>
      </c>
      <c r="F47" s="79">
        <f>E47*10000</f>
        <v>180000</v>
      </c>
      <c r="G47" s="79">
        <f>E47*5500</f>
        <v>99000</v>
      </c>
      <c r="H47" s="79">
        <f>E47*4500</f>
        <v>81000</v>
      </c>
    </row>
    <row r="48" spans="1:19" x14ac:dyDescent="0.25">
      <c r="D48" t="s">
        <v>14</v>
      </c>
      <c r="E48">
        <v>16</v>
      </c>
      <c r="F48" s="79">
        <f>E48*12000</f>
        <v>192000</v>
      </c>
      <c r="G48" s="79">
        <f>E48*6500</f>
        <v>104000</v>
      </c>
      <c r="H48" s="79">
        <f>E48*5500</f>
        <v>88000</v>
      </c>
    </row>
    <row r="49" spans="1:8" x14ac:dyDescent="0.25">
      <c r="C49" t="s">
        <v>24</v>
      </c>
      <c r="D49" t="s">
        <v>243</v>
      </c>
      <c r="E49">
        <v>3</v>
      </c>
      <c r="F49" t="s">
        <v>777</v>
      </c>
    </row>
    <row r="50" spans="1:8" x14ac:dyDescent="0.25">
      <c r="A50" s="111" t="s">
        <v>17</v>
      </c>
      <c r="B50" s="111"/>
      <c r="C50" s="111"/>
      <c r="D50" s="111"/>
      <c r="E50" s="1">
        <f>SUM(E41:E49)</f>
        <v>90</v>
      </c>
      <c r="F50" s="78">
        <f t="shared" ref="F50:H50" si="7">SUM(F41:F49)</f>
        <v>841500</v>
      </c>
      <c r="G50" s="78">
        <f t="shared" si="7"/>
        <v>471000</v>
      </c>
      <c r="H50" s="78">
        <f t="shared" si="7"/>
        <v>370500</v>
      </c>
    </row>
    <row r="51" spans="1:8" x14ac:dyDescent="0.25">
      <c r="A51" t="s">
        <v>30</v>
      </c>
      <c r="B51" s="3">
        <v>46125</v>
      </c>
      <c r="C51" t="s">
        <v>581</v>
      </c>
      <c r="D51" t="s">
        <v>11</v>
      </c>
      <c r="E51">
        <v>20</v>
      </c>
      <c r="F51" s="79">
        <f>E51*1600</f>
        <v>32000</v>
      </c>
      <c r="G51" s="79">
        <f>E51*500</f>
        <v>10000</v>
      </c>
      <c r="H51" s="79">
        <f>E51*1000</f>
        <v>20000</v>
      </c>
    </row>
    <row r="52" spans="1:8" x14ac:dyDescent="0.25">
      <c r="C52" t="s">
        <v>20</v>
      </c>
      <c r="D52" t="s">
        <v>966</v>
      </c>
      <c r="E52">
        <v>2</v>
      </c>
      <c r="F52" s="79">
        <v>20000</v>
      </c>
      <c r="G52" s="79">
        <v>10000</v>
      </c>
      <c r="H52" s="79">
        <v>10000</v>
      </c>
    </row>
    <row r="53" spans="1:8" x14ac:dyDescent="0.25">
      <c r="D53" t="s">
        <v>902</v>
      </c>
      <c r="E53">
        <v>8</v>
      </c>
      <c r="F53" s="79">
        <f>E53*8000</f>
        <v>64000</v>
      </c>
      <c r="G53" s="79">
        <f>E53*5500</f>
        <v>44000</v>
      </c>
      <c r="H53" s="79">
        <f>E53*2500</f>
        <v>20000</v>
      </c>
    </row>
    <row r="54" spans="1:8" x14ac:dyDescent="0.25">
      <c r="D54" t="s">
        <v>919</v>
      </c>
      <c r="E54">
        <v>1</v>
      </c>
      <c r="F54" s="79">
        <v>12000</v>
      </c>
      <c r="G54" s="79">
        <v>5500</v>
      </c>
      <c r="H54" s="79">
        <v>6500</v>
      </c>
    </row>
    <row r="55" spans="1:8" x14ac:dyDescent="0.25">
      <c r="C55" t="s">
        <v>24</v>
      </c>
      <c r="D55" t="s">
        <v>243</v>
      </c>
      <c r="E55">
        <v>6</v>
      </c>
      <c r="F55" t="s">
        <v>777</v>
      </c>
    </row>
    <row r="56" spans="1:8" x14ac:dyDescent="0.25">
      <c r="A56" s="112" t="s">
        <v>17</v>
      </c>
      <c r="B56" s="112"/>
      <c r="C56" s="112"/>
      <c r="D56" s="112"/>
      <c r="E56" s="78">
        <f>SUM(E51:E55)</f>
        <v>37</v>
      </c>
      <c r="F56" s="78">
        <f t="shared" ref="F56:H56" si="8">SUM(F51:F55)</f>
        <v>128000</v>
      </c>
      <c r="G56" s="78">
        <f t="shared" si="8"/>
        <v>69500</v>
      </c>
      <c r="H56" s="78">
        <f t="shared" si="8"/>
        <v>56500</v>
      </c>
    </row>
    <row r="57" spans="1:8" x14ac:dyDescent="0.25">
      <c r="A57" t="s">
        <v>32</v>
      </c>
      <c r="B57" s="3">
        <v>46126</v>
      </c>
      <c r="C57" t="s">
        <v>338</v>
      </c>
      <c r="D57" t="s">
        <v>11</v>
      </c>
      <c r="E57">
        <v>47</v>
      </c>
      <c r="F57" s="79">
        <f>E57*1500</f>
        <v>70500</v>
      </c>
      <c r="G57" s="79">
        <f>E57*500</f>
        <v>23500</v>
      </c>
      <c r="H57" s="79">
        <f>E57*1000</f>
        <v>47000</v>
      </c>
    </row>
    <row r="58" spans="1:8" x14ac:dyDescent="0.25">
      <c r="C58" t="s">
        <v>581</v>
      </c>
      <c r="D58" t="s">
        <v>11</v>
      </c>
      <c r="E58">
        <v>27</v>
      </c>
      <c r="F58" s="79">
        <f>E58*1500</f>
        <v>40500</v>
      </c>
      <c r="G58" s="79">
        <f>E58*500</f>
        <v>13500</v>
      </c>
      <c r="H58" s="79">
        <f>E58*1000</f>
        <v>27000</v>
      </c>
    </row>
    <row r="59" spans="1:8" x14ac:dyDescent="0.25">
      <c r="C59" t="s">
        <v>797</v>
      </c>
      <c r="D59" t="s">
        <v>11</v>
      </c>
      <c r="E59">
        <v>3</v>
      </c>
      <c r="F59" s="79" t="s">
        <v>777</v>
      </c>
      <c r="G59" s="79"/>
      <c r="H59" s="79"/>
    </row>
    <row r="60" spans="1:8" x14ac:dyDescent="0.25">
      <c r="D60" t="s">
        <v>11</v>
      </c>
      <c r="E60">
        <v>5</v>
      </c>
      <c r="F60" s="79">
        <f>E60*2000</f>
        <v>10000</v>
      </c>
      <c r="G60" s="79">
        <f>E60*500</f>
        <v>2500</v>
      </c>
      <c r="H60" s="79">
        <f>E60*1500</f>
        <v>7500</v>
      </c>
    </row>
    <row r="61" spans="1:8" x14ac:dyDescent="0.25">
      <c r="D61" t="s">
        <v>13</v>
      </c>
      <c r="E61">
        <v>6</v>
      </c>
      <c r="F61" s="79" t="s">
        <v>777</v>
      </c>
      <c r="G61" s="79"/>
      <c r="H61" s="79"/>
    </row>
    <row r="62" spans="1:8" x14ac:dyDescent="0.25">
      <c r="D62" t="s">
        <v>13</v>
      </c>
      <c r="E62">
        <v>24</v>
      </c>
      <c r="F62" s="79">
        <f>E62*7000</f>
        <v>168000</v>
      </c>
      <c r="G62" s="79">
        <f>E62*5500</f>
        <v>132000</v>
      </c>
      <c r="H62" s="79">
        <f>E62*1500</f>
        <v>36000</v>
      </c>
    </row>
    <row r="63" spans="1:8" x14ac:dyDescent="0.25">
      <c r="D63" t="s">
        <v>14</v>
      </c>
      <c r="E63">
        <v>1</v>
      </c>
      <c r="F63" s="79" t="s">
        <v>777</v>
      </c>
      <c r="G63" s="79"/>
      <c r="H63" s="79"/>
    </row>
    <row r="64" spans="1:8" x14ac:dyDescent="0.25">
      <c r="D64" t="s">
        <v>14</v>
      </c>
      <c r="E64">
        <v>16</v>
      </c>
      <c r="F64" s="79">
        <f>E64*10000</f>
        <v>160000</v>
      </c>
      <c r="G64" s="79">
        <f>E64*6500</f>
        <v>104000</v>
      </c>
      <c r="H64" s="79">
        <f>E64*3500</f>
        <v>56000</v>
      </c>
    </row>
    <row r="65" spans="1:8" x14ac:dyDescent="0.25">
      <c r="D65" t="s">
        <v>243</v>
      </c>
      <c r="E65">
        <v>2</v>
      </c>
      <c r="F65" s="79">
        <f>E65*14000</f>
        <v>28000</v>
      </c>
      <c r="G65" s="79">
        <f>E65*11000</f>
        <v>22000</v>
      </c>
      <c r="H65" s="79">
        <f>E65*3000</f>
        <v>6000</v>
      </c>
    </row>
    <row r="66" spans="1:8" x14ac:dyDescent="0.25">
      <c r="C66" t="s">
        <v>1036</v>
      </c>
      <c r="D66" t="s">
        <v>995</v>
      </c>
      <c r="E66">
        <v>10</v>
      </c>
      <c r="F66" s="79">
        <f>E66*22000</f>
        <v>220000</v>
      </c>
      <c r="G66" s="79">
        <f>E66*15000</f>
        <v>150000</v>
      </c>
      <c r="H66" s="79">
        <f>E66*7000</f>
        <v>70000</v>
      </c>
    </row>
    <row r="67" spans="1:8" x14ac:dyDescent="0.25">
      <c r="A67" s="112" t="s">
        <v>17</v>
      </c>
      <c r="B67" s="112"/>
      <c r="C67" s="112"/>
      <c r="D67" s="112"/>
      <c r="E67" s="78">
        <f>SUM(E57:E66)</f>
        <v>141</v>
      </c>
      <c r="F67" s="78">
        <f t="shared" ref="F67:H67" si="9">SUM(F57:F66)</f>
        <v>697000</v>
      </c>
      <c r="G67" s="78">
        <f t="shared" si="9"/>
        <v>447500</v>
      </c>
      <c r="H67" s="78">
        <f t="shared" si="9"/>
        <v>249500</v>
      </c>
    </row>
    <row r="68" spans="1:8" x14ac:dyDescent="0.25">
      <c r="A68" t="s">
        <v>8</v>
      </c>
      <c r="B68" s="3">
        <v>46127</v>
      </c>
      <c r="C68" t="s">
        <v>338</v>
      </c>
      <c r="D68" t="s">
        <v>11</v>
      </c>
      <c r="E68">
        <v>46</v>
      </c>
      <c r="F68" s="79">
        <f>E68*1500</f>
        <v>69000</v>
      </c>
      <c r="G68" s="79">
        <f>E68*500</f>
        <v>23000</v>
      </c>
      <c r="H68" s="79">
        <f>E68*1000</f>
        <v>46000</v>
      </c>
    </row>
    <row r="69" spans="1:8" x14ac:dyDescent="0.25">
      <c r="C69" t="s">
        <v>581</v>
      </c>
      <c r="D69" t="s">
        <v>11</v>
      </c>
      <c r="E69">
        <v>30</v>
      </c>
      <c r="F69" s="79">
        <f>E69*1600</f>
        <v>48000</v>
      </c>
      <c r="G69" s="79">
        <f>E69*500</f>
        <v>15000</v>
      </c>
      <c r="H69" s="79">
        <f>E69*1000</f>
        <v>30000</v>
      </c>
    </row>
    <row r="70" spans="1:8" x14ac:dyDescent="0.25">
      <c r="C70" t="s">
        <v>20</v>
      </c>
      <c r="D70" t="s">
        <v>902</v>
      </c>
      <c r="E70">
        <v>3</v>
      </c>
      <c r="F70" s="79">
        <f>E70*8000</f>
        <v>24000</v>
      </c>
      <c r="G70" s="79">
        <f>E70*5500</f>
        <v>16500</v>
      </c>
      <c r="H70" s="79">
        <f>E70*2500</f>
        <v>7500</v>
      </c>
    </row>
    <row r="71" spans="1:8" x14ac:dyDescent="0.25">
      <c r="D71" t="s">
        <v>243</v>
      </c>
      <c r="E71">
        <v>1</v>
      </c>
      <c r="F71" s="79">
        <v>18000</v>
      </c>
      <c r="G71" s="79">
        <v>11000</v>
      </c>
      <c r="H71" s="79">
        <v>7000</v>
      </c>
    </row>
    <row r="72" spans="1:8" x14ac:dyDescent="0.25">
      <c r="A72" s="112" t="s">
        <v>17</v>
      </c>
      <c r="B72" s="112"/>
      <c r="C72" s="112"/>
      <c r="D72" s="112"/>
      <c r="E72" s="78">
        <f>SUM(E68:E71)</f>
        <v>80</v>
      </c>
      <c r="F72" s="78">
        <f t="shared" ref="F72:H72" si="10">SUM(F68:F71)</f>
        <v>159000</v>
      </c>
      <c r="G72" s="78">
        <f t="shared" si="10"/>
        <v>65500</v>
      </c>
      <c r="H72" s="78">
        <f t="shared" si="10"/>
        <v>90500</v>
      </c>
    </row>
    <row r="73" spans="1:8" x14ac:dyDescent="0.25">
      <c r="A73" t="s">
        <v>18</v>
      </c>
      <c r="B73" s="3">
        <v>46128</v>
      </c>
      <c r="C73" t="s">
        <v>338</v>
      </c>
      <c r="D73" t="s">
        <v>11</v>
      </c>
      <c r="E73">
        <v>42</v>
      </c>
      <c r="F73" s="79">
        <f>E73*1500</f>
        <v>63000</v>
      </c>
      <c r="G73" s="79">
        <f>E73*500</f>
        <v>21000</v>
      </c>
      <c r="H73" s="79">
        <f>E73*1000</f>
        <v>42000</v>
      </c>
    </row>
    <row r="74" spans="1:8" x14ac:dyDescent="0.25">
      <c r="C74" t="s">
        <v>581</v>
      </c>
      <c r="D74" t="s">
        <v>11</v>
      </c>
      <c r="E74">
        <v>40</v>
      </c>
      <c r="F74" s="79">
        <f>E74*1500</f>
        <v>60000</v>
      </c>
      <c r="G74" s="79">
        <f>E74*500</f>
        <v>20000</v>
      </c>
      <c r="H74" s="79">
        <f>E74*1000</f>
        <v>40000</v>
      </c>
    </row>
    <row r="75" spans="1:8" x14ac:dyDescent="0.25">
      <c r="C75" t="s">
        <v>797</v>
      </c>
      <c r="D75" t="s">
        <v>11</v>
      </c>
      <c r="E75">
        <v>10</v>
      </c>
      <c r="F75" s="79">
        <f>E75*2000</f>
        <v>20000</v>
      </c>
      <c r="G75" s="79">
        <f>E75*50</f>
        <v>500</v>
      </c>
      <c r="H75" s="79">
        <f>E75*1500</f>
        <v>15000</v>
      </c>
    </row>
    <row r="76" spans="1:8" x14ac:dyDescent="0.25">
      <c r="D76" t="s">
        <v>13</v>
      </c>
      <c r="E76">
        <v>9</v>
      </c>
      <c r="F76" s="79">
        <f>E76*7000</f>
        <v>63000</v>
      </c>
      <c r="G76" s="79">
        <f>E76*550</f>
        <v>4950</v>
      </c>
      <c r="H76" s="79">
        <f>E76*1500</f>
        <v>13500</v>
      </c>
    </row>
    <row r="77" spans="1:8" x14ac:dyDescent="0.25">
      <c r="D77" t="s">
        <v>14</v>
      </c>
      <c r="E77">
        <v>4</v>
      </c>
      <c r="F77" s="79">
        <f>E77*10000</f>
        <v>40000</v>
      </c>
      <c r="G77" s="79">
        <f>E77*6500</f>
        <v>26000</v>
      </c>
      <c r="H77" s="79" t="s">
        <v>612</v>
      </c>
    </row>
    <row r="78" spans="1:8" x14ac:dyDescent="0.25">
      <c r="D78" t="s">
        <v>14</v>
      </c>
      <c r="E78">
        <v>1</v>
      </c>
      <c r="F78" s="79" t="s">
        <v>777</v>
      </c>
      <c r="G78" s="79"/>
      <c r="H78" s="79"/>
    </row>
    <row r="79" spans="1:8" x14ac:dyDescent="0.25">
      <c r="A79" s="112" t="s">
        <v>17</v>
      </c>
      <c r="B79" s="112"/>
      <c r="C79" s="112"/>
      <c r="D79" s="112"/>
      <c r="E79" s="78">
        <f>SUM(E73:E78)</f>
        <v>106</v>
      </c>
      <c r="F79" s="78">
        <f t="shared" ref="F79:H79" si="11">SUM(F73:F78)</f>
        <v>246000</v>
      </c>
      <c r="G79" s="78">
        <f t="shared" si="11"/>
        <v>72450</v>
      </c>
      <c r="H79" s="78">
        <f t="shared" si="11"/>
        <v>110500</v>
      </c>
    </row>
    <row r="80" spans="1:8" x14ac:dyDescent="0.25">
      <c r="A80" t="s">
        <v>22</v>
      </c>
      <c r="B80" s="3">
        <v>46129</v>
      </c>
      <c r="C80" t="s">
        <v>338</v>
      </c>
      <c r="D80" t="s">
        <v>11</v>
      </c>
      <c r="E80">
        <v>39</v>
      </c>
      <c r="F80">
        <f>E80*1500</f>
        <v>58500</v>
      </c>
      <c r="G80">
        <f>E80*500</f>
        <v>19500</v>
      </c>
      <c r="H80">
        <f>E80*1000</f>
        <v>39000</v>
      </c>
    </row>
    <row r="81" spans="1:8" x14ac:dyDescent="0.25">
      <c r="C81" t="s">
        <v>581</v>
      </c>
      <c r="D81" t="s">
        <v>11</v>
      </c>
      <c r="E81">
        <v>30</v>
      </c>
      <c r="F81">
        <f>E81*1500</f>
        <v>45000</v>
      </c>
      <c r="G81">
        <f>E81*500</f>
        <v>15000</v>
      </c>
      <c r="H81">
        <f>E81*1000</f>
        <v>30000</v>
      </c>
    </row>
    <row r="82" spans="1:8" x14ac:dyDescent="0.25">
      <c r="C82" t="s">
        <v>24</v>
      </c>
      <c r="D82" t="s">
        <v>243</v>
      </c>
      <c r="E82">
        <v>4</v>
      </c>
      <c r="F82">
        <f>E82*18000</f>
        <v>72000</v>
      </c>
      <c r="G82">
        <f>E82*11000</f>
        <v>44000</v>
      </c>
      <c r="H82">
        <f>E82*7000</f>
        <v>28000</v>
      </c>
    </row>
    <row r="83" spans="1:8" x14ac:dyDescent="0.25">
      <c r="A83" s="112" t="s">
        <v>17</v>
      </c>
      <c r="B83" s="112"/>
      <c r="C83" s="112"/>
      <c r="D83" s="112"/>
      <c r="E83" s="78">
        <f>SUM(E80:E82)</f>
        <v>73</v>
      </c>
      <c r="F83" s="78">
        <f t="shared" ref="F83:H83" si="12">SUM(F80:F82)</f>
        <v>175500</v>
      </c>
      <c r="G83" s="78">
        <f t="shared" si="12"/>
        <v>78500</v>
      </c>
      <c r="H83" s="78">
        <f t="shared" si="12"/>
        <v>97000</v>
      </c>
    </row>
    <row r="84" spans="1:8" x14ac:dyDescent="0.25">
      <c r="A84" t="s">
        <v>26</v>
      </c>
      <c r="B84" s="3">
        <v>46130</v>
      </c>
      <c r="C84" t="s">
        <v>338</v>
      </c>
      <c r="D84" t="s">
        <v>11</v>
      </c>
      <c r="E84">
        <v>50</v>
      </c>
      <c r="F84">
        <f>E84*1500</f>
        <v>75000</v>
      </c>
      <c r="G84">
        <f>E84*500</f>
        <v>25000</v>
      </c>
      <c r="H84">
        <f>E84*1000</f>
        <v>50000</v>
      </c>
    </row>
    <row r="85" spans="1:8" x14ac:dyDescent="0.25">
      <c r="C85" t="s">
        <v>797</v>
      </c>
      <c r="D85" t="s">
        <v>11</v>
      </c>
      <c r="E85">
        <v>9</v>
      </c>
      <c r="F85">
        <f>E85*2000</f>
        <v>18000</v>
      </c>
      <c r="G85">
        <f>E85*500</f>
        <v>4500</v>
      </c>
      <c r="H85">
        <f>E85*1500</f>
        <v>13500</v>
      </c>
    </row>
    <row r="86" spans="1:8" x14ac:dyDescent="0.25">
      <c r="D86" t="s">
        <v>13</v>
      </c>
      <c r="E86">
        <v>24</v>
      </c>
      <c r="F86">
        <f>E86*7000</f>
        <v>168000</v>
      </c>
      <c r="G86">
        <f>E86*5500</f>
        <v>132000</v>
      </c>
      <c r="H86">
        <f>E86*1500</f>
        <v>36000</v>
      </c>
    </row>
    <row r="87" spans="1:8" x14ac:dyDescent="0.25">
      <c r="D87" t="s">
        <v>243</v>
      </c>
      <c r="E87">
        <v>1</v>
      </c>
      <c r="F87">
        <v>14000</v>
      </c>
      <c r="G87">
        <v>11000</v>
      </c>
      <c r="H87">
        <v>3000</v>
      </c>
    </row>
    <row r="88" spans="1:8" x14ac:dyDescent="0.25">
      <c r="A88" s="112" t="s">
        <v>17</v>
      </c>
      <c r="B88" s="112"/>
      <c r="C88" s="112"/>
      <c r="D88" s="112"/>
      <c r="E88" s="78">
        <f>SUM(E84:E87)</f>
        <v>84</v>
      </c>
      <c r="F88" s="78">
        <f t="shared" ref="F88:H88" si="13">SUM(F84:F87)</f>
        <v>275000</v>
      </c>
      <c r="G88" s="78">
        <f t="shared" si="13"/>
        <v>172500</v>
      </c>
      <c r="H88" s="78">
        <f t="shared" si="13"/>
        <v>102500</v>
      </c>
    </row>
    <row r="89" spans="1:8" x14ac:dyDescent="0.25">
      <c r="A89" t="s">
        <v>28</v>
      </c>
      <c r="B89" s="3">
        <v>46131</v>
      </c>
      <c r="C89" t="s">
        <v>1050</v>
      </c>
      <c r="D89" t="s">
        <v>13</v>
      </c>
      <c r="E89">
        <v>22</v>
      </c>
      <c r="F89">
        <f>E89*10000</f>
        <v>220000</v>
      </c>
      <c r="G89">
        <f>E89*5500</f>
        <v>121000</v>
      </c>
      <c r="H89">
        <f>E89*4500</f>
        <v>99000</v>
      </c>
    </row>
    <row r="90" spans="1:8" x14ac:dyDescent="0.25">
      <c r="D90" t="s">
        <v>14</v>
      </c>
      <c r="E90">
        <v>17</v>
      </c>
      <c r="F90">
        <f>E90*12000</f>
        <v>204000</v>
      </c>
      <c r="G90">
        <f>E90*6500</f>
        <v>110500</v>
      </c>
      <c r="H90">
        <f>E90*5500</f>
        <v>93500</v>
      </c>
    </row>
    <row r="91" spans="1:8" x14ac:dyDescent="0.25">
      <c r="D91" t="s">
        <v>11</v>
      </c>
      <c r="E91">
        <v>3</v>
      </c>
      <c r="F91">
        <f>E91*3000</f>
        <v>9000</v>
      </c>
      <c r="G91">
        <f>E91*500</f>
        <v>1500</v>
      </c>
      <c r="H91">
        <f>E91*2500</f>
        <v>7500</v>
      </c>
    </row>
    <row r="92" spans="1:8" x14ac:dyDescent="0.25">
      <c r="D92" t="s">
        <v>1051</v>
      </c>
      <c r="E92">
        <v>1</v>
      </c>
      <c r="F92">
        <v>5000</v>
      </c>
      <c r="G92">
        <v>4500</v>
      </c>
      <c r="H92">
        <v>500</v>
      </c>
    </row>
    <row r="93" spans="1:8" x14ac:dyDescent="0.25">
      <c r="C93" t="s">
        <v>20</v>
      </c>
      <c r="D93" t="s">
        <v>13</v>
      </c>
      <c r="E93">
        <v>26</v>
      </c>
      <c r="F93">
        <f>E93*10000</f>
        <v>260000</v>
      </c>
      <c r="G93">
        <f>E93*5500</f>
        <v>143000</v>
      </c>
      <c r="H93">
        <f>E93*4500</f>
        <v>117000</v>
      </c>
    </row>
    <row r="94" spans="1:8" x14ac:dyDescent="0.25">
      <c r="D94" t="s">
        <v>14</v>
      </c>
      <c r="E94">
        <v>23</v>
      </c>
      <c r="F94">
        <f>E94*12000</f>
        <v>276000</v>
      </c>
      <c r="G94">
        <f>E94*6500</f>
        <v>149500</v>
      </c>
      <c r="H94">
        <f>E94*5500</f>
        <v>126500</v>
      </c>
    </row>
    <row r="95" spans="1:8" x14ac:dyDescent="0.25">
      <c r="D95" t="s">
        <v>1051</v>
      </c>
      <c r="E95">
        <v>3</v>
      </c>
      <c r="F95">
        <f>E95*5000</f>
        <v>15000</v>
      </c>
      <c r="G95">
        <f>E95*4500</f>
        <v>13500</v>
      </c>
      <c r="H95">
        <f>E95*500</f>
        <v>1500</v>
      </c>
    </row>
    <row r="96" spans="1:8" x14ac:dyDescent="0.25">
      <c r="C96" t="s">
        <v>797</v>
      </c>
      <c r="D96" t="s">
        <v>11</v>
      </c>
      <c r="E96">
        <v>17</v>
      </c>
      <c r="F96">
        <f>E96*2000</f>
        <v>34000</v>
      </c>
      <c r="G96">
        <f>E96*500</f>
        <v>8500</v>
      </c>
      <c r="H96">
        <f>E96*1500</f>
        <v>25500</v>
      </c>
    </row>
    <row r="97" spans="1:8" x14ac:dyDescent="0.25">
      <c r="D97" t="s">
        <v>13</v>
      </c>
      <c r="E97">
        <v>17</v>
      </c>
      <c r="F97">
        <f>E97*7000</f>
        <v>119000</v>
      </c>
      <c r="G97">
        <f>E97*5500</f>
        <v>93500</v>
      </c>
      <c r="H97">
        <f>E97*1500</f>
        <v>25500</v>
      </c>
    </row>
    <row r="98" spans="1:8" x14ac:dyDescent="0.25">
      <c r="D98" t="s">
        <v>14</v>
      </c>
      <c r="E98">
        <v>30</v>
      </c>
      <c r="F98">
        <f>E98*10000</f>
        <v>300000</v>
      </c>
      <c r="G98">
        <f>E98*6500</f>
        <v>195000</v>
      </c>
      <c r="H98">
        <f>E98*5500</f>
        <v>165000</v>
      </c>
    </row>
    <row r="99" spans="1:8" x14ac:dyDescent="0.25">
      <c r="D99" t="s">
        <v>243</v>
      </c>
      <c r="E99">
        <v>1</v>
      </c>
      <c r="F99">
        <v>14000</v>
      </c>
      <c r="G99">
        <v>11000</v>
      </c>
      <c r="H99">
        <v>3000</v>
      </c>
    </row>
    <row r="100" spans="1:8" x14ac:dyDescent="0.25">
      <c r="C100" t="s">
        <v>24</v>
      </c>
      <c r="D100" t="s">
        <v>243</v>
      </c>
      <c r="E100">
        <v>5</v>
      </c>
      <c r="F100">
        <f>E100*14000</f>
        <v>70000</v>
      </c>
      <c r="G100">
        <f>E100*11000</f>
        <v>55000</v>
      </c>
      <c r="H100">
        <f>E100*3000</f>
        <v>15000</v>
      </c>
    </row>
    <row r="101" spans="1:8" x14ac:dyDescent="0.25">
      <c r="A101" s="112" t="s">
        <v>17</v>
      </c>
      <c r="B101" s="112"/>
      <c r="C101" s="112"/>
      <c r="D101" s="112"/>
      <c r="E101" s="78">
        <f>SUM(E89:E100)</f>
        <v>165</v>
      </c>
      <c r="F101" s="78">
        <f t="shared" ref="F101:H101" si="14">SUM(F89:F100)</f>
        <v>1526000</v>
      </c>
      <c r="G101" s="78">
        <f t="shared" si="14"/>
        <v>906500</v>
      </c>
      <c r="H101" s="78">
        <f t="shared" si="14"/>
        <v>679500</v>
      </c>
    </row>
    <row r="102" spans="1:8" x14ac:dyDescent="0.25">
      <c r="A102" t="s">
        <v>30</v>
      </c>
      <c r="B102" s="3">
        <v>46132</v>
      </c>
    </row>
    <row r="107" spans="1:8" x14ac:dyDescent="0.25">
      <c r="A107" t="s">
        <v>32</v>
      </c>
      <c r="B107" s="3">
        <v>46133</v>
      </c>
      <c r="C107" t="s">
        <v>20</v>
      </c>
      <c r="D107" t="s">
        <v>1052</v>
      </c>
      <c r="E107" s="79">
        <v>2764</v>
      </c>
      <c r="F107" s="79">
        <f>E107*2450</f>
        <v>6771800</v>
      </c>
      <c r="G107" s="79">
        <f>E107*2100</f>
        <v>5804400</v>
      </c>
      <c r="H107" s="79">
        <f>E107*350</f>
        <v>967400</v>
      </c>
    </row>
    <row r="112" spans="1:8" x14ac:dyDescent="0.25">
      <c r="A112" t="s">
        <v>8</v>
      </c>
      <c r="B112" s="3">
        <v>46134</v>
      </c>
    </row>
    <row r="118" spans="1:8" x14ac:dyDescent="0.25">
      <c r="A118" t="s">
        <v>18</v>
      </c>
      <c r="B118" s="3">
        <v>46135</v>
      </c>
    </row>
    <row r="124" spans="1:8" x14ac:dyDescent="0.25">
      <c r="A124" t="s">
        <v>22</v>
      </c>
      <c r="B124" s="3">
        <v>46136</v>
      </c>
      <c r="C124" t="s">
        <v>20</v>
      </c>
      <c r="D124" t="s">
        <v>902</v>
      </c>
      <c r="E124">
        <v>8</v>
      </c>
      <c r="F124" s="79">
        <f>E124*8000</f>
        <v>64000</v>
      </c>
      <c r="G124" s="79">
        <f>E124*5500</f>
        <v>44000</v>
      </c>
      <c r="H124" s="79">
        <f>E124*2500</f>
        <v>20000</v>
      </c>
    </row>
    <row r="125" spans="1:8" x14ac:dyDescent="0.25">
      <c r="D125" t="s">
        <v>918</v>
      </c>
      <c r="E125">
        <v>1</v>
      </c>
      <c r="F125" s="79">
        <v>15000</v>
      </c>
      <c r="G125" s="79">
        <v>10000</v>
      </c>
      <c r="H125" s="79">
        <v>5000</v>
      </c>
    </row>
    <row r="126" spans="1:8" x14ac:dyDescent="0.25">
      <c r="C126" t="s">
        <v>338</v>
      </c>
      <c r="D126" t="s">
        <v>11</v>
      </c>
      <c r="E126">
        <v>50</v>
      </c>
      <c r="F126" s="79">
        <f>E126*1500</f>
        <v>75000</v>
      </c>
      <c r="G126" s="79">
        <f>E126*500</f>
        <v>25000</v>
      </c>
      <c r="H126" s="79">
        <f>E126*1000</f>
        <v>50000</v>
      </c>
    </row>
    <row r="127" spans="1:8" x14ac:dyDescent="0.25">
      <c r="A127" s="111" t="s">
        <v>17</v>
      </c>
      <c r="B127" s="111"/>
      <c r="C127" s="111"/>
      <c r="D127" s="111"/>
      <c r="E127" s="1">
        <f>SUM(E124:E126)</f>
        <v>59</v>
      </c>
      <c r="F127" s="78">
        <f t="shared" ref="F127:H127" si="15">SUM(F124:F126)</f>
        <v>154000</v>
      </c>
      <c r="G127" s="78">
        <f t="shared" si="15"/>
        <v>79000</v>
      </c>
      <c r="H127" s="78">
        <f t="shared" si="15"/>
        <v>75000</v>
      </c>
    </row>
    <row r="128" spans="1:8" x14ac:dyDescent="0.25">
      <c r="A128" t="s">
        <v>26</v>
      </c>
      <c r="B128" s="3">
        <v>46137</v>
      </c>
      <c r="C128" t="s">
        <v>20</v>
      </c>
      <c r="D128" t="s">
        <v>902</v>
      </c>
      <c r="E128">
        <v>4</v>
      </c>
      <c r="F128">
        <f>E128*8000</f>
        <v>32000</v>
      </c>
      <c r="G128">
        <f>E128*5500</f>
        <v>22000</v>
      </c>
      <c r="H128">
        <f>E128*2500</f>
        <v>10000</v>
      </c>
    </row>
    <row r="129" spans="1:8" x14ac:dyDescent="0.25">
      <c r="C129" t="s">
        <v>797</v>
      </c>
      <c r="D129" t="s">
        <v>11</v>
      </c>
      <c r="E129">
        <v>14</v>
      </c>
      <c r="F129">
        <f>E129*1500</f>
        <v>21000</v>
      </c>
      <c r="G129">
        <f>E129*500</f>
        <v>7000</v>
      </c>
      <c r="H129">
        <f>E129*1000</f>
        <v>14000</v>
      </c>
    </row>
    <row r="130" spans="1:8" x14ac:dyDescent="0.25">
      <c r="D130" t="s">
        <v>13</v>
      </c>
      <c r="E130">
        <v>22</v>
      </c>
      <c r="F130">
        <f>E130*7000</f>
        <v>154000</v>
      </c>
      <c r="G130">
        <f>E130*5500</f>
        <v>121000</v>
      </c>
      <c r="H130">
        <f>E130*1500</f>
        <v>33000</v>
      </c>
    </row>
    <row r="131" spans="1:8" x14ac:dyDescent="0.25">
      <c r="D131" t="s">
        <v>14</v>
      </c>
      <c r="E131">
        <v>14</v>
      </c>
      <c r="F131">
        <f>E131*10000</f>
        <v>140000</v>
      </c>
      <c r="G131">
        <f>E131*6500</f>
        <v>91000</v>
      </c>
      <c r="H131">
        <f>E131*3500</f>
        <v>49000</v>
      </c>
    </row>
    <row r="132" spans="1:8" x14ac:dyDescent="0.25">
      <c r="D132" t="s">
        <v>243</v>
      </c>
      <c r="E132">
        <v>3</v>
      </c>
      <c r="F132">
        <f>E132*14000</f>
        <v>42000</v>
      </c>
      <c r="G132">
        <f>E132*11000</f>
        <v>33000</v>
      </c>
      <c r="H132">
        <f>E132*3000</f>
        <v>9000</v>
      </c>
    </row>
    <row r="133" spans="1:8" x14ac:dyDescent="0.25">
      <c r="C133" t="s">
        <v>24</v>
      </c>
      <c r="D133" t="s">
        <v>243</v>
      </c>
      <c r="E133">
        <v>2</v>
      </c>
      <c r="F133">
        <f>E133*18000</f>
        <v>36000</v>
      </c>
      <c r="G133">
        <f>E133*11000</f>
        <v>22000</v>
      </c>
      <c r="H133">
        <f>E133*7000</f>
        <v>14000</v>
      </c>
    </row>
    <row r="134" spans="1:8" x14ac:dyDescent="0.25">
      <c r="C134" t="s">
        <v>338</v>
      </c>
      <c r="D134" t="s">
        <v>11</v>
      </c>
      <c r="E134">
        <v>50</v>
      </c>
      <c r="F134">
        <f>E134*1500</f>
        <v>75000</v>
      </c>
      <c r="G134">
        <f>E134*500</f>
        <v>25000</v>
      </c>
      <c r="H134">
        <f>E134*1000</f>
        <v>50000</v>
      </c>
    </row>
    <row r="135" spans="1:8" x14ac:dyDescent="0.25">
      <c r="A135" s="112" t="s">
        <v>17</v>
      </c>
      <c r="B135" s="112"/>
      <c r="C135" s="112"/>
      <c r="D135" s="112"/>
      <c r="E135" s="78">
        <f>SUM(E128:E134)</f>
        <v>109</v>
      </c>
      <c r="F135" s="78">
        <f t="shared" ref="F135:H135" si="16">SUM(F128:F133)</f>
        <v>425000</v>
      </c>
      <c r="G135" s="78">
        <f t="shared" si="16"/>
        <v>296000</v>
      </c>
      <c r="H135" s="78">
        <f t="shared" si="16"/>
        <v>129000</v>
      </c>
    </row>
    <row r="136" spans="1:8" x14ac:dyDescent="0.25">
      <c r="A136" t="s">
        <v>28</v>
      </c>
      <c r="B136" s="3">
        <v>46138</v>
      </c>
      <c r="C136" t="s">
        <v>1046</v>
      </c>
      <c r="D136" t="s">
        <v>13</v>
      </c>
      <c r="E136">
        <v>12</v>
      </c>
      <c r="F136" s="79">
        <f>E136*10000</f>
        <v>120000</v>
      </c>
      <c r="G136" s="79">
        <f>E136*5500</f>
        <v>66000</v>
      </c>
      <c r="H136" s="79">
        <f>E136*4500</f>
        <v>54000</v>
      </c>
    </row>
    <row r="137" spans="1:8" x14ac:dyDescent="0.25">
      <c r="D137" t="s">
        <v>14</v>
      </c>
      <c r="E137">
        <v>11</v>
      </c>
      <c r="F137" s="79">
        <f>E137*12000</f>
        <v>132000</v>
      </c>
      <c r="G137" s="79">
        <f>E137*6500</f>
        <v>71500</v>
      </c>
      <c r="H137" s="79">
        <f>E137*5500</f>
        <v>60500</v>
      </c>
    </row>
    <row r="138" spans="1:8" x14ac:dyDescent="0.25">
      <c r="C138" t="s">
        <v>1050</v>
      </c>
      <c r="D138" t="s">
        <v>13</v>
      </c>
      <c r="E138">
        <v>21</v>
      </c>
      <c r="F138" s="79">
        <f>E138*10000</f>
        <v>210000</v>
      </c>
      <c r="G138" s="79">
        <f>E138*5500</f>
        <v>115500</v>
      </c>
      <c r="H138" s="79">
        <f>E138*4500</f>
        <v>94500</v>
      </c>
    </row>
    <row r="139" spans="1:8" x14ac:dyDescent="0.25">
      <c r="D139" t="s">
        <v>14</v>
      </c>
      <c r="E139">
        <v>17</v>
      </c>
      <c r="F139" s="79">
        <f>E139*12000</f>
        <v>204000</v>
      </c>
      <c r="G139" s="79">
        <f>E139*6500</f>
        <v>110500</v>
      </c>
      <c r="H139" s="79">
        <f>E139*5500</f>
        <v>93500</v>
      </c>
    </row>
    <row r="140" spans="1:8" x14ac:dyDescent="0.25">
      <c r="D140" t="s">
        <v>11</v>
      </c>
      <c r="E140">
        <v>1</v>
      </c>
      <c r="F140" s="79">
        <v>3000</v>
      </c>
      <c r="G140" s="79">
        <v>5000</v>
      </c>
      <c r="H140" s="79">
        <v>2000</v>
      </c>
    </row>
    <row r="141" spans="1:8" x14ac:dyDescent="0.25">
      <c r="D141" t="s">
        <v>243</v>
      </c>
      <c r="E141">
        <v>2</v>
      </c>
      <c r="F141" s="79">
        <f>E141*17000</f>
        <v>34000</v>
      </c>
      <c r="G141" s="79">
        <f>E141*11000</f>
        <v>22000</v>
      </c>
      <c r="H141" s="79">
        <f>E141*6000</f>
        <v>12000</v>
      </c>
    </row>
    <row r="142" spans="1:8" x14ac:dyDescent="0.25">
      <c r="D142" t="s">
        <v>13</v>
      </c>
      <c r="E142">
        <v>2</v>
      </c>
      <c r="F142" s="79" t="s">
        <v>777</v>
      </c>
      <c r="G142" s="79"/>
      <c r="H142" s="79"/>
    </row>
    <row r="143" spans="1:8" x14ac:dyDescent="0.25">
      <c r="D143" t="s">
        <v>14</v>
      </c>
      <c r="E143">
        <v>3</v>
      </c>
      <c r="F143" s="79" t="s">
        <v>777</v>
      </c>
      <c r="G143" s="79"/>
      <c r="H143" s="79"/>
    </row>
    <row r="144" spans="1:8" x14ac:dyDescent="0.25">
      <c r="A144" s="112" t="s">
        <v>17</v>
      </c>
      <c r="B144" s="112"/>
      <c r="C144" s="112"/>
      <c r="D144" s="112"/>
      <c r="E144" s="78">
        <f>SUM(E136:E143)</f>
        <v>69</v>
      </c>
      <c r="F144" s="78">
        <f t="shared" ref="F144:H144" si="17">SUM(F136:F143)</f>
        <v>703000</v>
      </c>
      <c r="G144" s="78">
        <f t="shared" si="17"/>
        <v>390500</v>
      </c>
      <c r="H144" s="78">
        <f t="shared" si="17"/>
        <v>316500</v>
      </c>
    </row>
    <row r="145" spans="1:8" x14ac:dyDescent="0.25">
      <c r="A145" t="s">
        <v>30</v>
      </c>
      <c r="B145" s="3">
        <v>46139</v>
      </c>
      <c r="C145" t="s">
        <v>338</v>
      </c>
      <c r="D145" t="s">
        <v>11</v>
      </c>
      <c r="E145">
        <v>20</v>
      </c>
      <c r="F145">
        <f>E145*1500</f>
        <v>30000</v>
      </c>
      <c r="G145">
        <f>E145*500</f>
        <v>10000</v>
      </c>
      <c r="H145">
        <f>E145*1000</f>
        <v>20000</v>
      </c>
    </row>
    <row r="146" spans="1:8" x14ac:dyDescent="0.25">
      <c r="C146" t="s">
        <v>581</v>
      </c>
      <c r="D146" t="s">
        <v>11</v>
      </c>
      <c r="E146">
        <v>20</v>
      </c>
      <c r="F146">
        <f>E146*1500</f>
        <v>30000</v>
      </c>
      <c r="G146">
        <f>E146*500</f>
        <v>10000</v>
      </c>
      <c r="H146">
        <f>E146*1000</f>
        <v>20000</v>
      </c>
    </row>
    <row r="147" spans="1:8" x14ac:dyDescent="0.25">
      <c r="C147" t="s">
        <v>24</v>
      </c>
      <c r="D147" t="s">
        <v>243</v>
      </c>
      <c r="E147">
        <v>2</v>
      </c>
      <c r="F147">
        <v>30000</v>
      </c>
      <c r="G147">
        <v>20000</v>
      </c>
      <c r="H147">
        <v>10000</v>
      </c>
    </row>
    <row r="148" spans="1:8" x14ac:dyDescent="0.25">
      <c r="A148" s="112" t="s">
        <v>17</v>
      </c>
      <c r="B148" s="112"/>
      <c r="C148" s="112"/>
      <c r="D148" s="112"/>
      <c r="E148" s="78">
        <f>SUM(E145:E147)</f>
        <v>42</v>
      </c>
      <c r="F148" s="78">
        <f t="shared" ref="F148:H148" si="18">SUM(F145:F147)</f>
        <v>90000</v>
      </c>
      <c r="G148" s="78">
        <f t="shared" si="18"/>
        <v>40000</v>
      </c>
      <c r="H148" s="78">
        <f t="shared" si="18"/>
        <v>50000</v>
      </c>
    </row>
    <row r="149" spans="1:8" x14ac:dyDescent="0.25">
      <c r="A149" t="s">
        <v>32</v>
      </c>
      <c r="B149" s="3">
        <v>46140</v>
      </c>
      <c r="C149" t="s">
        <v>581</v>
      </c>
      <c r="D149" t="s">
        <v>11</v>
      </c>
      <c r="E149">
        <v>15</v>
      </c>
      <c r="F149" s="79">
        <f>E149*1600</f>
        <v>24000</v>
      </c>
      <c r="G149" s="79">
        <f>E149*500</f>
        <v>7500</v>
      </c>
      <c r="H149" s="79">
        <f>E149*1000</f>
        <v>15000</v>
      </c>
    </row>
    <row r="150" spans="1:8" x14ac:dyDescent="0.25">
      <c r="C150" t="s">
        <v>797</v>
      </c>
      <c r="D150" t="s">
        <v>11</v>
      </c>
      <c r="E150">
        <v>28</v>
      </c>
      <c r="F150" s="79">
        <f>E150*2000</f>
        <v>56000</v>
      </c>
      <c r="G150" s="79">
        <f>E150*500</f>
        <v>14000</v>
      </c>
      <c r="H150" s="79">
        <f>E150*1500</f>
        <v>42000</v>
      </c>
    </row>
    <row r="151" spans="1:8" x14ac:dyDescent="0.25">
      <c r="D151" t="s">
        <v>13</v>
      </c>
      <c r="E151">
        <v>39</v>
      </c>
      <c r="F151" s="79">
        <f>E151*7000</f>
        <v>273000</v>
      </c>
      <c r="G151" s="79">
        <f>E151*5500</f>
        <v>214500</v>
      </c>
      <c r="H151" s="79">
        <f>E151*1500</f>
        <v>58500</v>
      </c>
    </row>
    <row r="152" spans="1:8" x14ac:dyDescent="0.25">
      <c r="D152" t="s">
        <v>14</v>
      </c>
      <c r="E152">
        <v>14</v>
      </c>
      <c r="F152" s="79">
        <f>E152*10000</f>
        <v>140000</v>
      </c>
      <c r="G152" s="79">
        <f>E152*6500</f>
        <v>91000</v>
      </c>
      <c r="H152" s="79">
        <f>E152*3500</f>
        <v>49000</v>
      </c>
    </row>
    <row r="153" spans="1:8" x14ac:dyDescent="0.25">
      <c r="D153" t="s">
        <v>243</v>
      </c>
      <c r="E153">
        <v>2</v>
      </c>
      <c r="F153" s="79">
        <f>E153*15000</f>
        <v>30000</v>
      </c>
      <c r="G153" s="79">
        <f>E153*11500</f>
        <v>23000</v>
      </c>
      <c r="H153" s="79">
        <f>E153*3500</f>
        <v>7000</v>
      </c>
    </row>
    <row r="154" spans="1:8" x14ac:dyDescent="0.25">
      <c r="C154" t="s">
        <v>1053</v>
      </c>
      <c r="D154" t="s">
        <v>243</v>
      </c>
      <c r="E154">
        <v>10</v>
      </c>
      <c r="F154" s="79" t="s">
        <v>777</v>
      </c>
      <c r="G154" s="79"/>
      <c r="H154" s="79"/>
    </row>
    <row r="155" spans="1:8" x14ac:dyDescent="0.25">
      <c r="A155" s="112" t="s">
        <v>17</v>
      </c>
      <c r="B155" s="112"/>
      <c r="C155" s="112"/>
      <c r="D155" s="112"/>
      <c r="E155" s="78">
        <f>SUM(E149:E154)</f>
        <v>108</v>
      </c>
      <c r="F155" s="78">
        <f t="shared" ref="F155:H155" si="19">SUM(F149:F154)</f>
        <v>523000</v>
      </c>
      <c r="G155" s="78">
        <f t="shared" si="19"/>
        <v>350000</v>
      </c>
      <c r="H155" s="78">
        <f t="shared" si="19"/>
        <v>171500</v>
      </c>
    </row>
    <row r="156" spans="1:8" x14ac:dyDescent="0.25">
      <c r="A156" t="s">
        <v>8</v>
      </c>
      <c r="B156" t="s">
        <v>1054</v>
      </c>
      <c r="C156" t="s">
        <v>338</v>
      </c>
      <c r="D156" t="s">
        <v>11</v>
      </c>
      <c r="E156">
        <v>30</v>
      </c>
      <c r="F156" s="79">
        <f>E156*1500</f>
        <v>45000</v>
      </c>
      <c r="G156" s="79">
        <f>E156*500</f>
        <v>15000</v>
      </c>
      <c r="H156" s="79">
        <f>E156*1000</f>
        <v>30000</v>
      </c>
    </row>
    <row r="157" spans="1:8" x14ac:dyDescent="0.25">
      <c r="C157" t="s">
        <v>581</v>
      </c>
      <c r="D157" t="s">
        <v>11</v>
      </c>
      <c r="E157">
        <v>20</v>
      </c>
      <c r="F157" s="79">
        <f>E157*1500</f>
        <v>30000</v>
      </c>
      <c r="G157" s="79">
        <f>E157*500</f>
        <v>10000</v>
      </c>
      <c r="H157" s="79">
        <f>E157*1000</f>
        <v>20000</v>
      </c>
    </row>
    <row r="158" spans="1:8" x14ac:dyDescent="0.25">
      <c r="C158" t="s">
        <v>703</v>
      </c>
      <c r="D158" t="s">
        <v>11</v>
      </c>
      <c r="E158">
        <v>25</v>
      </c>
      <c r="F158" s="79">
        <f>E158*1500</f>
        <v>37500</v>
      </c>
      <c r="G158" s="79">
        <f>E158*500</f>
        <v>12500</v>
      </c>
      <c r="H158" s="79">
        <f>E158*1000</f>
        <v>25000</v>
      </c>
    </row>
    <row r="159" spans="1:8" x14ac:dyDescent="0.25">
      <c r="C159" t="s">
        <v>1003</v>
      </c>
      <c r="D159" t="s">
        <v>243</v>
      </c>
      <c r="E159">
        <v>100</v>
      </c>
      <c r="F159" s="79">
        <f>E159*12500</f>
        <v>1250000</v>
      </c>
      <c r="G159" s="79">
        <f>E159*9500</f>
        <v>950000</v>
      </c>
      <c r="H159" s="79">
        <f>E159*3000</f>
        <v>300000</v>
      </c>
    </row>
    <row r="160" spans="1:8" x14ac:dyDescent="0.25">
      <c r="A160" s="112" t="s">
        <v>17</v>
      </c>
      <c r="B160" s="112"/>
      <c r="C160" s="112"/>
      <c r="D160" s="112"/>
      <c r="E160" s="78">
        <f>SUM(E156:E159)</f>
        <v>175</v>
      </c>
      <c r="F160" s="78">
        <f t="shared" ref="F160:H160" si="20">SUM(F156:F159)</f>
        <v>1362500</v>
      </c>
      <c r="G160" s="78">
        <f t="shared" si="20"/>
        <v>987500</v>
      </c>
      <c r="H160" s="78">
        <f t="shared" si="20"/>
        <v>375000</v>
      </c>
    </row>
    <row r="161" spans="1:8" x14ac:dyDescent="0.25">
      <c r="A161" t="s">
        <v>18</v>
      </c>
      <c r="B161" s="3">
        <v>46142</v>
      </c>
      <c r="C161" t="s">
        <v>338</v>
      </c>
      <c r="D161" t="s">
        <v>11</v>
      </c>
      <c r="E161">
        <v>50</v>
      </c>
      <c r="F161" s="79">
        <f>E161*1500</f>
        <v>75000</v>
      </c>
      <c r="G161" s="79">
        <f>E161*500</f>
        <v>25000</v>
      </c>
      <c r="H161" s="79">
        <f>E161*1000</f>
        <v>50000</v>
      </c>
    </row>
    <row r="162" spans="1:8" x14ac:dyDescent="0.25">
      <c r="C162" t="s">
        <v>581</v>
      </c>
      <c r="D162" t="s">
        <v>11</v>
      </c>
      <c r="E162">
        <v>20</v>
      </c>
      <c r="F162" s="79">
        <f>E162*1500</f>
        <v>30000</v>
      </c>
      <c r="G162" s="79">
        <f>E162*500</f>
        <v>10000</v>
      </c>
      <c r="H162" s="79">
        <f>E162*1000</f>
        <v>20000</v>
      </c>
    </row>
    <row r="163" spans="1:8" x14ac:dyDescent="0.25">
      <c r="C163" t="s">
        <v>24</v>
      </c>
      <c r="D163" t="s">
        <v>243</v>
      </c>
      <c r="E163">
        <v>2</v>
      </c>
      <c r="F163" s="79">
        <v>28000</v>
      </c>
      <c r="G163" s="79">
        <f>E163*11000</f>
        <v>22000</v>
      </c>
      <c r="H163" s="79">
        <f>E163*3000</f>
        <v>6000</v>
      </c>
    </row>
    <row r="164" spans="1:8" x14ac:dyDescent="0.25">
      <c r="A164" s="112" t="s">
        <v>17</v>
      </c>
      <c r="B164" s="112"/>
      <c r="C164" s="112"/>
      <c r="D164" s="112"/>
      <c r="E164" s="78">
        <f>SUM(E161:E163)</f>
        <v>72</v>
      </c>
      <c r="F164" s="78">
        <f t="shared" ref="F164:H164" si="21">SUM(F161:F163)</f>
        <v>133000</v>
      </c>
      <c r="G164" s="78">
        <f t="shared" si="21"/>
        <v>57000</v>
      </c>
      <c r="H164" s="78">
        <f t="shared" si="21"/>
        <v>76000</v>
      </c>
    </row>
  </sheetData>
  <mergeCells count="19">
    <mergeCell ref="A144:D144"/>
    <mergeCell ref="A127:D127"/>
    <mergeCell ref="A164:D164"/>
    <mergeCell ref="A160:D160"/>
    <mergeCell ref="A88:D88"/>
    <mergeCell ref="A101:D101"/>
    <mergeCell ref="A148:D148"/>
    <mergeCell ref="A155:D155"/>
    <mergeCell ref="A135:D135"/>
    <mergeCell ref="A17:D17"/>
    <mergeCell ref="A26:D26"/>
    <mergeCell ref="A31:D31"/>
    <mergeCell ref="A40:D40"/>
    <mergeCell ref="A50:D50"/>
    <mergeCell ref="A79:D79"/>
    <mergeCell ref="A83:D83"/>
    <mergeCell ref="A72:D72"/>
    <mergeCell ref="A67:D67"/>
    <mergeCell ref="A56:D5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D896-1128-4CAA-AA92-3ECB72508374}">
  <dimension ref="A1:M154"/>
  <sheetViews>
    <sheetView topLeftCell="A145" workbookViewId="0">
      <selection activeCell="G130" sqref="G130"/>
    </sheetView>
  </sheetViews>
  <sheetFormatPr defaultRowHeight="15" x14ac:dyDescent="0.25"/>
  <cols>
    <col min="2" max="2" width="10.7109375" bestFit="1" customWidth="1"/>
    <col min="6" max="6" width="10.5703125" bestFit="1" customWidth="1"/>
    <col min="7" max="7" width="11" customWidth="1"/>
    <col min="8" max="8" width="11.85546875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22</v>
      </c>
      <c r="B2" s="3">
        <v>46143</v>
      </c>
      <c r="C2" t="s">
        <v>797</v>
      </c>
      <c r="D2" t="s">
        <v>11</v>
      </c>
      <c r="E2">
        <v>10</v>
      </c>
      <c r="F2" s="79">
        <f>E2*2000</f>
        <v>20000</v>
      </c>
      <c r="G2" s="79">
        <f>E2*500</f>
        <v>5000</v>
      </c>
      <c r="H2" s="79">
        <f>E2*1500</f>
        <v>15000</v>
      </c>
    </row>
    <row r="3" spans="1:8" x14ac:dyDescent="0.25">
      <c r="D3" t="s">
        <v>13</v>
      </c>
      <c r="E3">
        <v>31</v>
      </c>
      <c r="F3" s="79">
        <f>E3*7000</f>
        <v>217000</v>
      </c>
      <c r="G3" s="79">
        <f>E3*5500</f>
        <v>170500</v>
      </c>
      <c r="H3" s="79">
        <f>E3*1500</f>
        <v>46500</v>
      </c>
    </row>
    <row r="4" spans="1:8" x14ac:dyDescent="0.25">
      <c r="D4" t="s">
        <v>14</v>
      </c>
      <c r="E4">
        <v>9</v>
      </c>
      <c r="F4" s="79">
        <f>E4*10000</f>
        <v>90000</v>
      </c>
      <c r="G4" s="79">
        <f>E4*6500</f>
        <v>58500</v>
      </c>
      <c r="H4" s="79">
        <f>E4*3500</f>
        <v>31500</v>
      </c>
    </row>
    <row r="5" spans="1:8" x14ac:dyDescent="0.25">
      <c r="D5" t="s">
        <v>243</v>
      </c>
      <c r="E5">
        <v>2</v>
      </c>
      <c r="F5" s="79">
        <v>30000</v>
      </c>
      <c r="G5" s="79">
        <f>E5*11500</f>
        <v>23000</v>
      </c>
      <c r="H5" s="79">
        <f>E5*3500</f>
        <v>7000</v>
      </c>
    </row>
    <row r="6" spans="1:8" x14ac:dyDescent="0.25">
      <c r="D6" t="s">
        <v>1052</v>
      </c>
      <c r="E6">
        <v>3</v>
      </c>
      <c r="F6" s="79">
        <f>E6*3000</f>
        <v>9000</v>
      </c>
      <c r="G6" s="79">
        <f>E6*2100</f>
        <v>6300</v>
      </c>
      <c r="H6" s="79">
        <f>E6*900</f>
        <v>2700</v>
      </c>
    </row>
    <row r="7" spans="1:8" x14ac:dyDescent="0.25">
      <c r="A7" s="112" t="s">
        <v>17</v>
      </c>
      <c r="B7" s="112"/>
      <c r="C7" s="112"/>
      <c r="D7" s="112"/>
      <c r="E7" s="78">
        <f>SUM(E2:E6)</f>
        <v>55</v>
      </c>
      <c r="F7" s="78">
        <f t="shared" ref="F7:H7" si="0">SUM(F2:F6)</f>
        <v>366000</v>
      </c>
      <c r="G7" s="78">
        <f t="shared" si="0"/>
        <v>263300</v>
      </c>
      <c r="H7" s="78">
        <f t="shared" si="0"/>
        <v>102700</v>
      </c>
    </row>
    <row r="8" spans="1:8" x14ac:dyDescent="0.25">
      <c r="A8" t="s">
        <v>26</v>
      </c>
      <c r="B8" s="3">
        <v>46144</v>
      </c>
      <c r="C8" t="s">
        <v>797</v>
      </c>
      <c r="D8" t="s">
        <v>11</v>
      </c>
      <c r="E8">
        <v>17</v>
      </c>
      <c r="F8">
        <f>E8*1500</f>
        <v>25500</v>
      </c>
      <c r="G8">
        <f>E8*500</f>
        <v>8500</v>
      </c>
      <c r="H8">
        <f>E8*1000</f>
        <v>17000</v>
      </c>
    </row>
    <row r="9" spans="1:8" x14ac:dyDescent="0.25">
      <c r="D9" t="s">
        <v>13</v>
      </c>
      <c r="E9">
        <v>23</v>
      </c>
      <c r="F9">
        <f>E9*7000</f>
        <v>161000</v>
      </c>
      <c r="G9">
        <f>E9*5500</f>
        <v>126500</v>
      </c>
      <c r="H9">
        <f>E9*1500</f>
        <v>34500</v>
      </c>
    </row>
    <row r="10" spans="1:8" x14ac:dyDescent="0.25">
      <c r="D10" t="s">
        <v>14</v>
      </c>
      <c r="E10">
        <v>16</v>
      </c>
      <c r="F10">
        <f>E10*10000</f>
        <v>160000</v>
      </c>
      <c r="G10">
        <f>E10*6500</f>
        <v>104000</v>
      </c>
      <c r="H10">
        <f>E10*3500</f>
        <v>56000</v>
      </c>
    </row>
    <row r="11" spans="1:8" x14ac:dyDescent="0.25">
      <c r="C11" t="s">
        <v>24</v>
      </c>
      <c r="D11" t="s">
        <v>243</v>
      </c>
      <c r="E11">
        <v>2</v>
      </c>
      <c r="F11">
        <v>30000</v>
      </c>
      <c r="G11">
        <v>22000</v>
      </c>
      <c r="H11">
        <v>8000</v>
      </c>
    </row>
    <row r="12" spans="1:8" x14ac:dyDescent="0.25">
      <c r="A12" s="111" t="s">
        <v>17</v>
      </c>
      <c r="B12" s="111"/>
      <c r="C12" s="111"/>
      <c r="D12" s="111"/>
      <c r="E12" s="1">
        <f>SUM(E8:E11)</f>
        <v>58</v>
      </c>
      <c r="F12" s="78">
        <f t="shared" ref="F12:H12" si="1">SUM(F8:F11)</f>
        <v>376500</v>
      </c>
      <c r="G12" s="78">
        <f t="shared" si="1"/>
        <v>261000</v>
      </c>
      <c r="H12" s="78">
        <f t="shared" si="1"/>
        <v>115500</v>
      </c>
    </row>
    <row r="13" spans="1:8" x14ac:dyDescent="0.25">
      <c r="A13" t="s">
        <v>28</v>
      </c>
      <c r="B13" s="3">
        <v>46145</v>
      </c>
      <c r="C13" t="s">
        <v>1050</v>
      </c>
      <c r="D13" t="s">
        <v>13</v>
      </c>
      <c r="E13">
        <v>34</v>
      </c>
      <c r="F13" s="79">
        <f>E13*10000</f>
        <v>340000</v>
      </c>
      <c r="G13" s="79">
        <f>E13*5500</f>
        <v>187000</v>
      </c>
      <c r="H13" s="79">
        <f>E13*4500</f>
        <v>153000</v>
      </c>
    </row>
    <row r="14" spans="1:8" x14ac:dyDescent="0.25">
      <c r="D14" t="s">
        <v>14</v>
      </c>
      <c r="E14">
        <v>16</v>
      </c>
      <c r="F14" s="79">
        <f>E14*12000</f>
        <v>192000</v>
      </c>
      <c r="G14" s="79">
        <f>E14*6500</f>
        <v>104000</v>
      </c>
      <c r="H14" s="79">
        <f>E14*5500</f>
        <v>88000</v>
      </c>
    </row>
    <row r="15" spans="1:8" x14ac:dyDescent="0.25">
      <c r="D15" t="s">
        <v>1055</v>
      </c>
      <c r="E15">
        <v>2</v>
      </c>
      <c r="F15" s="79">
        <f>E15*15000</f>
        <v>30000</v>
      </c>
      <c r="G15" s="79">
        <f>E15*11000</f>
        <v>22000</v>
      </c>
      <c r="H15" s="79">
        <f>E15*4000</f>
        <v>8000</v>
      </c>
    </row>
    <row r="16" spans="1:8" x14ac:dyDescent="0.25">
      <c r="D16" t="s">
        <v>1056</v>
      </c>
      <c r="E16">
        <v>1</v>
      </c>
      <c r="F16" s="79">
        <v>15000</v>
      </c>
      <c r="G16" s="79">
        <v>7500</v>
      </c>
      <c r="H16" s="79">
        <v>7500</v>
      </c>
    </row>
    <row r="17" spans="1:8" x14ac:dyDescent="0.25">
      <c r="D17" t="s">
        <v>1057</v>
      </c>
      <c r="E17">
        <v>1</v>
      </c>
      <c r="F17" s="79">
        <v>15000</v>
      </c>
      <c r="G17" s="79">
        <v>7500</v>
      </c>
      <c r="H17" s="79">
        <v>7500</v>
      </c>
    </row>
    <row r="18" spans="1:8" x14ac:dyDescent="0.25">
      <c r="D18" t="s">
        <v>243</v>
      </c>
      <c r="E18">
        <v>3</v>
      </c>
      <c r="F18" s="79">
        <f>E18*17000</f>
        <v>51000</v>
      </c>
      <c r="G18" s="79">
        <f>E18*11000</f>
        <v>33000</v>
      </c>
      <c r="H18" s="79">
        <f>E18*6000</f>
        <v>18000</v>
      </c>
    </row>
    <row r="19" spans="1:8" x14ac:dyDescent="0.25">
      <c r="C19" t="s">
        <v>1046</v>
      </c>
      <c r="D19" t="s">
        <v>13</v>
      </c>
      <c r="E19">
        <v>16</v>
      </c>
      <c r="F19" s="79">
        <f>E19*10000</f>
        <v>160000</v>
      </c>
      <c r="G19" s="79">
        <f>E19*5500</f>
        <v>88000</v>
      </c>
      <c r="H19" s="79">
        <f>E19*4500</f>
        <v>72000</v>
      </c>
    </row>
    <row r="20" spans="1:8" x14ac:dyDescent="0.25">
      <c r="D20" t="s">
        <v>14</v>
      </c>
      <c r="E20">
        <v>9</v>
      </c>
      <c r="F20" s="79">
        <f>E20*12000</f>
        <v>108000</v>
      </c>
      <c r="G20" s="79">
        <f>E20*6500</f>
        <v>58500</v>
      </c>
      <c r="H20" s="79">
        <f>E20*5500</f>
        <v>49500</v>
      </c>
    </row>
    <row r="21" spans="1:8" x14ac:dyDescent="0.25">
      <c r="C21" t="s">
        <v>24</v>
      </c>
      <c r="D21" t="s">
        <v>243</v>
      </c>
      <c r="E21">
        <v>2</v>
      </c>
      <c r="F21" s="79">
        <f>E21*18000</f>
        <v>36000</v>
      </c>
      <c r="G21" s="79">
        <f>E21*11000</f>
        <v>22000</v>
      </c>
      <c r="H21" s="79">
        <f>E21*7000</f>
        <v>14000</v>
      </c>
    </row>
    <row r="22" spans="1:8" x14ac:dyDescent="0.25">
      <c r="A22" s="112" t="s">
        <v>17</v>
      </c>
      <c r="B22" s="112"/>
      <c r="C22" s="112"/>
      <c r="D22" s="112"/>
      <c r="E22" s="78">
        <f>SUM(E13:E21)</f>
        <v>84</v>
      </c>
      <c r="F22" s="78">
        <f t="shared" ref="F22:H22" si="2">SUM(F13:F21)</f>
        <v>947000</v>
      </c>
      <c r="G22" s="78">
        <f t="shared" si="2"/>
        <v>529500</v>
      </c>
      <c r="H22" s="78">
        <f t="shared" si="2"/>
        <v>417500</v>
      </c>
    </row>
    <row r="23" spans="1:8" x14ac:dyDescent="0.25">
      <c r="A23" t="s">
        <v>30</v>
      </c>
      <c r="B23" s="3">
        <v>46146</v>
      </c>
      <c r="C23" t="s">
        <v>797</v>
      </c>
      <c r="D23" t="s">
        <v>11</v>
      </c>
      <c r="E23">
        <v>15</v>
      </c>
      <c r="F23" s="79">
        <f>E23*2000</f>
        <v>30000</v>
      </c>
      <c r="G23" s="79">
        <f>E23*500</f>
        <v>7500</v>
      </c>
      <c r="H23" s="79">
        <f>E23*1500</f>
        <v>22500</v>
      </c>
    </row>
    <row r="24" spans="1:8" x14ac:dyDescent="0.25">
      <c r="D24" t="s">
        <v>13</v>
      </c>
      <c r="E24">
        <v>31</v>
      </c>
      <c r="F24" s="79">
        <f>E24*7000</f>
        <v>217000</v>
      </c>
      <c r="G24" s="79">
        <f>E24*5500</f>
        <v>170500</v>
      </c>
      <c r="H24" s="79">
        <f>E24*1500</f>
        <v>46500</v>
      </c>
    </row>
    <row r="25" spans="1:8" x14ac:dyDescent="0.25">
      <c r="D25" t="s">
        <v>14</v>
      </c>
      <c r="E25">
        <v>4</v>
      </c>
      <c r="F25" s="79">
        <f>E25*10000</f>
        <v>40000</v>
      </c>
      <c r="G25" s="79">
        <f>E25*6500</f>
        <v>26000</v>
      </c>
      <c r="H25" s="79">
        <f>E25*3500</f>
        <v>14000</v>
      </c>
    </row>
    <row r="26" spans="1:8" x14ac:dyDescent="0.25">
      <c r="D26" t="s">
        <v>243</v>
      </c>
      <c r="E26">
        <v>4</v>
      </c>
      <c r="F26" s="79">
        <f>E26*15000</f>
        <v>60000</v>
      </c>
      <c r="G26" s="79">
        <f>E26*11000</f>
        <v>44000</v>
      </c>
      <c r="H26" s="79">
        <f>E26*4000</f>
        <v>16000</v>
      </c>
    </row>
    <row r="27" spans="1:8" x14ac:dyDescent="0.25">
      <c r="C27" t="s">
        <v>338</v>
      </c>
      <c r="D27" t="s">
        <v>11</v>
      </c>
      <c r="E27">
        <v>50</v>
      </c>
      <c r="F27" s="79">
        <f>E27*1500</f>
        <v>75000</v>
      </c>
      <c r="G27" s="79">
        <f>E27*500</f>
        <v>25000</v>
      </c>
      <c r="H27" s="79">
        <f>E27*1000</f>
        <v>50000</v>
      </c>
    </row>
    <row r="28" spans="1:8" x14ac:dyDescent="0.25">
      <c r="C28" t="s">
        <v>581</v>
      </c>
      <c r="D28" t="s">
        <v>11</v>
      </c>
      <c r="E28">
        <v>25</v>
      </c>
      <c r="F28" s="79">
        <f t="shared" ref="F28:F29" si="3">E28*1500</f>
        <v>37500</v>
      </c>
      <c r="G28" s="79">
        <f t="shared" ref="G28:G29" si="4">E28*500</f>
        <v>12500</v>
      </c>
      <c r="H28" s="79">
        <f t="shared" ref="H28:H29" si="5">E28*1000</f>
        <v>25000</v>
      </c>
    </row>
    <row r="29" spans="1:8" x14ac:dyDescent="0.25">
      <c r="C29" t="s">
        <v>571</v>
      </c>
      <c r="D29" t="s">
        <v>11</v>
      </c>
      <c r="E29">
        <v>25</v>
      </c>
      <c r="F29" s="79">
        <f t="shared" si="3"/>
        <v>37500</v>
      </c>
      <c r="G29" s="79">
        <f t="shared" si="4"/>
        <v>12500</v>
      </c>
      <c r="H29" s="79">
        <f t="shared" si="5"/>
        <v>25000</v>
      </c>
    </row>
    <row r="30" spans="1:8" x14ac:dyDescent="0.25">
      <c r="A30" s="111" t="s">
        <v>17</v>
      </c>
      <c r="B30" s="111"/>
      <c r="C30" s="111"/>
      <c r="D30" s="111"/>
      <c r="E30" s="1">
        <f>SUM(E23:E29)</f>
        <v>154</v>
      </c>
      <c r="F30" s="78">
        <f t="shared" ref="F30:H30" si="6">SUM(F23:F29)</f>
        <v>497000</v>
      </c>
      <c r="G30" s="78">
        <f t="shared" si="6"/>
        <v>298000</v>
      </c>
      <c r="H30" s="78">
        <f t="shared" si="6"/>
        <v>199000</v>
      </c>
    </row>
    <row r="31" spans="1:8" x14ac:dyDescent="0.25">
      <c r="A31" t="s">
        <v>32</v>
      </c>
      <c r="B31" s="3">
        <v>46147</v>
      </c>
      <c r="C31" t="s">
        <v>338</v>
      </c>
      <c r="D31" t="s">
        <v>11</v>
      </c>
      <c r="E31">
        <v>40</v>
      </c>
      <c r="F31" s="79">
        <f>E31*1500</f>
        <v>60000</v>
      </c>
      <c r="G31" s="79">
        <f>E31*500</f>
        <v>20000</v>
      </c>
      <c r="H31" s="79">
        <f>E31*1000</f>
        <v>40000</v>
      </c>
    </row>
    <row r="32" spans="1:8" x14ac:dyDescent="0.25">
      <c r="C32" t="s">
        <v>581</v>
      </c>
      <c r="D32" t="s">
        <v>11</v>
      </c>
      <c r="E32">
        <v>20</v>
      </c>
      <c r="F32" s="79">
        <f>E32*1500</f>
        <v>30000</v>
      </c>
      <c r="G32" s="79">
        <f>E32*500</f>
        <v>10000</v>
      </c>
      <c r="H32" s="79">
        <f>E32*1000</f>
        <v>20000</v>
      </c>
    </row>
    <row r="33" spans="1:8" x14ac:dyDescent="0.25">
      <c r="C33" t="s">
        <v>1003</v>
      </c>
      <c r="D33" t="s">
        <v>243</v>
      </c>
      <c r="E33">
        <v>100</v>
      </c>
      <c r="F33" s="79">
        <f>E33*12500</f>
        <v>1250000</v>
      </c>
      <c r="G33" s="79">
        <f>E33*9500</f>
        <v>950000</v>
      </c>
      <c r="H33" s="79">
        <f>E33*3000</f>
        <v>300000</v>
      </c>
    </row>
    <row r="34" spans="1:8" x14ac:dyDescent="0.25">
      <c r="A34" s="112" t="s">
        <v>17</v>
      </c>
      <c r="B34" s="112"/>
      <c r="C34" s="112"/>
      <c r="D34" s="112"/>
      <c r="E34" s="78">
        <f>SUM(E31:E33)</f>
        <v>160</v>
      </c>
      <c r="F34" s="78">
        <f t="shared" ref="F34:H34" si="7">SUM(F31:F33)</f>
        <v>1340000</v>
      </c>
      <c r="G34" s="78">
        <f t="shared" si="7"/>
        <v>980000</v>
      </c>
      <c r="H34" s="78">
        <f t="shared" si="7"/>
        <v>360000</v>
      </c>
    </row>
    <row r="35" spans="1:8" x14ac:dyDescent="0.25">
      <c r="A35" t="s">
        <v>8</v>
      </c>
      <c r="B35" s="3">
        <v>46148</v>
      </c>
      <c r="C35" t="s">
        <v>338</v>
      </c>
      <c r="D35" t="s">
        <v>11</v>
      </c>
      <c r="E35">
        <v>30</v>
      </c>
      <c r="F35" s="79">
        <f>E35*1500</f>
        <v>45000</v>
      </c>
      <c r="G35" s="79">
        <f>E35*500</f>
        <v>15000</v>
      </c>
      <c r="H35" s="79">
        <f>E35*1000</f>
        <v>30000</v>
      </c>
    </row>
    <row r="36" spans="1:8" x14ac:dyDescent="0.25">
      <c r="C36" t="s">
        <v>581</v>
      </c>
      <c r="D36" t="s">
        <v>11</v>
      </c>
      <c r="E36">
        <v>20</v>
      </c>
      <c r="F36" s="79">
        <f>E36*1500</f>
        <v>30000</v>
      </c>
      <c r="G36" s="79">
        <f>E36*500</f>
        <v>10000</v>
      </c>
      <c r="H36" s="79">
        <f>E36*1000</f>
        <v>20000</v>
      </c>
    </row>
    <row r="37" spans="1:8" x14ac:dyDescent="0.25">
      <c r="A37" s="112" t="s">
        <v>17</v>
      </c>
      <c r="B37" s="112"/>
      <c r="C37" s="112"/>
      <c r="D37" s="112"/>
      <c r="E37" s="78">
        <f>SUM(E35:E36)</f>
        <v>50</v>
      </c>
      <c r="F37" s="78">
        <f t="shared" ref="F37:H37" si="8">SUM(F35:F36)</f>
        <v>75000</v>
      </c>
      <c r="G37" s="78">
        <f t="shared" si="8"/>
        <v>25000</v>
      </c>
      <c r="H37" s="78">
        <f t="shared" si="8"/>
        <v>50000</v>
      </c>
    </row>
    <row r="38" spans="1:8" x14ac:dyDescent="0.25">
      <c r="A38" t="s">
        <v>18</v>
      </c>
      <c r="B38" s="3">
        <v>46149</v>
      </c>
      <c r="C38" t="s">
        <v>338</v>
      </c>
      <c r="D38" t="s">
        <v>11</v>
      </c>
      <c r="E38">
        <v>30</v>
      </c>
      <c r="F38" s="79">
        <f>E38*1500</f>
        <v>45000</v>
      </c>
      <c r="G38" s="79">
        <f>E38*500</f>
        <v>15000</v>
      </c>
      <c r="H38" s="79">
        <f>E38*1000</f>
        <v>30000</v>
      </c>
    </row>
    <row r="39" spans="1:8" x14ac:dyDescent="0.25">
      <c r="C39" t="s">
        <v>581</v>
      </c>
      <c r="D39" t="s">
        <v>11</v>
      </c>
      <c r="E39">
        <v>20</v>
      </c>
      <c r="F39" s="79">
        <f>E39*1500</f>
        <v>30000</v>
      </c>
      <c r="G39" s="79">
        <f>E39*500</f>
        <v>10000</v>
      </c>
      <c r="H39" s="79">
        <f>E39*1000</f>
        <v>20000</v>
      </c>
    </row>
    <row r="40" spans="1:8" x14ac:dyDescent="0.25">
      <c r="C40" t="s">
        <v>571</v>
      </c>
      <c r="D40" t="s">
        <v>11</v>
      </c>
      <c r="E40">
        <v>20</v>
      </c>
      <c r="F40" s="79">
        <f>E40*1500</f>
        <v>30000</v>
      </c>
      <c r="G40" s="79">
        <f>E40*500</f>
        <v>10000</v>
      </c>
      <c r="H40" s="79">
        <f>E40*1000</f>
        <v>20000</v>
      </c>
    </row>
    <row r="41" spans="1:8" x14ac:dyDescent="0.25">
      <c r="C41" t="s">
        <v>797</v>
      </c>
      <c r="D41" t="s">
        <v>11</v>
      </c>
      <c r="E41">
        <v>10</v>
      </c>
      <c r="F41" s="79">
        <f>E41*1500</f>
        <v>15000</v>
      </c>
      <c r="G41" s="79">
        <f>E41*500</f>
        <v>5000</v>
      </c>
      <c r="H41" s="79">
        <f>E41*1000</f>
        <v>10000</v>
      </c>
    </row>
    <row r="42" spans="1:8" x14ac:dyDescent="0.25">
      <c r="D42" t="s">
        <v>13</v>
      </c>
      <c r="E42">
        <v>25</v>
      </c>
      <c r="F42" s="79">
        <f>E42*7000</f>
        <v>175000</v>
      </c>
      <c r="G42" s="79">
        <f>E42*5500</f>
        <v>137500</v>
      </c>
      <c r="H42" s="79">
        <f>E42*1500</f>
        <v>37500</v>
      </c>
    </row>
    <row r="43" spans="1:8" x14ac:dyDescent="0.25">
      <c r="D43" t="s">
        <v>243</v>
      </c>
      <c r="E43">
        <v>2</v>
      </c>
      <c r="F43" s="79">
        <f>E43*15000</f>
        <v>30000</v>
      </c>
      <c r="G43" s="79">
        <f>E43*1100</f>
        <v>2200</v>
      </c>
      <c r="H43" s="79">
        <f>E43*4000</f>
        <v>8000</v>
      </c>
    </row>
    <row r="44" spans="1:8" x14ac:dyDescent="0.25">
      <c r="C44" t="s">
        <v>20</v>
      </c>
      <c r="D44" t="s">
        <v>902</v>
      </c>
      <c r="E44">
        <v>4</v>
      </c>
      <c r="F44" s="79">
        <f>E44*8000</f>
        <v>32000</v>
      </c>
      <c r="G44" s="79">
        <f>E44*5500</f>
        <v>22000</v>
      </c>
      <c r="H44" s="79">
        <f>E44*3500</f>
        <v>14000</v>
      </c>
    </row>
    <row r="45" spans="1:8" x14ac:dyDescent="0.25">
      <c r="D45" t="s">
        <v>918</v>
      </c>
      <c r="E45">
        <v>2</v>
      </c>
      <c r="F45" s="79">
        <v>30000</v>
      </c>
      <c r="G45" s="79">
        <v>20000</v>
      </c>
      <c r="H45" s="79">
        <v>10000</v>
      </c>
    </row>
    <row r="46" spans="1:8" x14ac:dyDescent="0.25">
      <c r="D46" t="s">
        <v>434</v>
      </c>
      <c r="E46">
        <v>3</v>
      </c>
      <c r="F46" s="79" t="s">
        <v>777</v>
      </c>
      <c r="G46" s="79"/>
      <c r="H46" s="79"/>
    </row>
    <row r="47" spans="1:8" x14ac:dyDescent="0.25">
      <c r="A47" s="112" t="s">
        <v>17</v>
      </c>
      <c r="B47" s="112"/>
      <c r="C47" s="112"/>
      <c r="D47" s="112"/>
      <c r="E47" s="78">
        <f>SUM(E38:E46)</f>
        <v>116</v>
      </c>
      <c r="F47" s="78">
        <f t="shared" ref="F47:H47" si="9">SUM(F38:F46)</f>
        <v>387000</v>
      </c>
      <c r="G47" s="78">
        <f t="shared" si="9"/>
        <v>221700</v>
      </c>
      <c r="H47" s="78">
        <f t="shared" si="9"/>
        <v>149500</v>
      </c>
    </row>
    <row r="48" spans="1:8" x14ac:dyDescent="0.25">
      <c r="A48" t="s">
        <v>22</v>
      </c>
      <c r="B48" s="3">
        <v>46150</v>
      </c>
      <c r="C48" t="s">
        <v>338</v>
      </c>
      <c r="D48" t="s">
        <v>11</v>
      </c>
      <c r="E48">
        <v>25</v>
      </c>
      <c r="F48">
        <f>E48*1500</f>
        <v>37500</v>
      </c>
      <c r="G48">
        <f>E48*500</f>
        <v>12500</v>
      </c>
      <c r="H48">
        <f>E48*1000</f>
        <v>25000</v>
      </c>
    </row>
    <row r="49" spans="1:8" x14ac:dyDescent="0.25">
      <c r="C49" t="s">
        <v>581</v>
      </c>
      <c r="D49" t="s">
        <v>11</v>
      </c>
      <c r="E49">
        <v>20</v>
      </c>
      <c r="F49">
        <f>E49*1500</f>
        <v>30000</v>
      </c>
      <c r="G49">
        <f>E49*500</f>
        <v>10000</v>
      </c>
      <c r="H49">
        <f>E49*1000</f>
        <v>20000</v>
      </c>
    </row>
    <row r="50" spans="1:8" x14ac:dyDescent="0.25">
      <c r="C50" t="s">
        <v>20</v>
      </c>
      <c r="D50" t="s">
        <v>902</v>
      </c>
      <c r="E50">
        <v>3</v>
      </c>
      <c r="F50">
        <f>E50*8000</f>
        <v>24000</v>
      </c>
      <c r="G50">
        <f>E50*5500</f>
        <v>16500</v>
      </c>
      <c r="H50">
        <f>E50*3500</f>
        <v>10500</v>
      </c>
    </row>
    <row r="51" spans="1:8" x14ac:dyDescent="0.25">
      <c r="C51" t="s">
        <v>1058</v>
      </c>
      <c r="D51" t="s">
        <v>995</v>
      </c>
      <c r="E51">
        <v>12</v>
      </c>
    </row>
    <row r="52" spans="1:8" x14ac:dyDescent="0.25">
      <c r="A52" s="112" t="s">
        <v>17</v>
      </c>
      <c r="B52" s="112"/>
      <c r="C52" s="112"/>
      <c r="D52" s="112"/>
      <c r="E52" s="78">
        <f>SUM(E48:E51)</f>
        <v>60</v>
      </c>
      <c r="F52" s="78">
        <f t="shared" ref="F52:H52" si="10">SUM(F48:F51)</f>
        <v>91500</v>
      </c>
      <c r="G52" s="78">
        <f t="shared" si="10"/>
        <v>39000</v>
      </c>
      <c r="H52" s="78">
        <f t="shared" si="10"/>
        <v>55500</v>
      </c>
    </row>
    <row r="53" spans="1:8" x14ac:dyDescent="0.25">
      <c r="A53" t="s">
        <v>26</v>
      </c>
      <c r="B53" s="3">
        <v>46151</v>
      </c>
      <c r="C53" t="s">
        <v>338</v>
      </c>
      <c r="D53" t="s">
        <v>11</v>
      </c>
      <c r="E53">
        <v>30</v>
      </c>
      <c r="F53">
        <f>E53*1500</f>
        <v>45000</v>
      </c>
      <c r="G53">
        <f>E53*500</f>
        <v>15000</v>
      </c>
      <c r="H53">
        <f>E53*1000</f>
        <v>30000</v>
      </c>
    </row>
    <row r="54" spans="1:8" x14ac:dyDescent="0.25">
      <c r="C54" t="s">
        <v>581</v>
      </c>
      <c r="D54" t="s">
        <v>11</v>
      </c>
      <c r="E54">
        <v>20</v>
      </c>
      <c r="F54">
        <f>E54*1500</f>
        <v>30000</v>
      </c>
      <c r="G54">
        <f>E54*500</f>
        <v>10000</v>
      </c>
      <c r="H54">
        <f>E54*1000</f>
        <v>20000</v>
      </c>
    </row>
    <row r="55" spans="1:8" x14ac:dyDescent="0.25">
      <c r="C55" t="s">
        <v>797</v>
      </c>
      <c r="D55" t="s">
        <v>11</v>
      </c>
      <c r="E55">
        <v>12</v>
      </c>
      <c r="F55">
        <f>E55*2000</f>
        <v>24000</v>
      </c>
      <c r="G55">
        <f>E55*500</f>
        <v>6000</v>
      </c>
      <c r="H55">
        <f>E55*1500</f>
        <v>18000</v>
      </c>
    </row>
    <row r="56" spans="1:8" x14ac:dyDescent="0.25">
      <c r="D56" t="s">
        <v>13</v>
      </c>
      <c r="E56">
        <v>37</v>
      </c>
      <c r="F56">
        <f>E56*7000</f>
        <v>259000</v>
      </c>
      <c r="G56">
        <f>E56*5500</f>
        <v>203500</v>
      </c>
      <c r="H56">
        <f>E56*1500</f>
        <v>55500</v>
      </c>
    </row>
    <row r="57" spans="1:8" x14ac:dyDescent="0.25">
      <c r="D57" t="s">
        <v>243</v>
      </c>
      <c r="E57">
        <v>1</v>
      </c>
      <c r="F57">
        <v>15000</v>
      </c>
      <c r="G57">
        <v>11000</v>
      </c>
      <c r="H57">
        <v>4000</v>
      </c>
    </row>
    <row r="58" spans="1:8" x14ac:dyDescent="0.25">
      <c r="C58" t="s">
        <v>1036</v>
      </c>
      <c r="D58" t="s">
        <v>995</v>
      </c>
      <c r="E58">
        <v>10</v>
      </c>
    </row>
    <row r="59" spans="1:8" x14ac:dyDescent="0.25">
      <c r="C59" t="s">
        <v>24</v>
      </c>
      <c r="D59" t="s">
        <v>243</v>
      </c>
      <c r="E59">
        <v>1</v>
      </c>
      <c r="F59">
        <v>1800</v>
      </c>
      <c r="G59">
        <v>11000</v>
      </c>
      <c r="H59">
        <v>7000</v>
      </c>
    </row>
    <row r="60" spans="1:8" x14ac:dyDescent="0.25">
      <c r="A60" s="112" t="s">
        <v>17</v>
      </c>
      <c r="B60" s="112"/>
      <c r="C60" s="112"/>
      <c r="D60" s="112"/>
      <c r="E60" s="78">
        <f>SUM(E53:E59)</f>
        <v>111</v>
      </c>
      <c r="F60" s="78">
        <f t="shared" ref="F60:H60" si="11">SUM(F53:F59)</f>
        <v>374800</v>
      </c>
      <c r="G60" s="78">
        <f t="shared" si="11"/>
        <v>256500</v>
      </c>
      <c r="H60" s="78">
        <f t="shared" si="11"/>
        <v>134500</v>
      </c>
    </row>
    <row r="61" spans="1:8" x14ac:dyDescent="0.25">
      <c r="A61" t="s">
        <v>28</v>
      </c>
      <c r="B61" s="3">
        <v>46152</v>
      </c>
      <c r="C61" t="s">
        <v>1050</v>
      </c>
      <c r="D61" t="s">
        <v>13</v>
      </c>
      <c r="E61">
        <v>20</v>
      </c>
      <c r="F61" s="79">
        <f>E61*10000</f>
        <v>200000</v>
      </c>
      <c r="G61" s="79">
        <f>E61*5500</f>
        <v>110000</v>
      </c>
      <c r="H61" s="79">
        <f>E61*4500</f>
        <v>90000</v>
      </c>
    </row>
    <row r="62" spans="1:8" x14ac:dyDescent="0.25">
      <c r="D62" t="s">
        <v>13</v>
      </c>
      <c r="E62">
        <v>4</v>
      </c>
      <c r="F62" s="79" t="s">
        <v>777</v>
      </c>
      <c r="G62" s="79"/>
      <c r="H62" s="79"/>
    </row>
    <row r="63" spans="1:8" x14ac:dyDescent="0.25">
      <c r="D63" t="s">
        <v>14</v>
      </c>
      <c r="E63">
        <v>3</v>
      </c>
      <c r="F63" s="79" t="s">
        <v>777</v>
      </c>
      <c r="G63" s="79"/>
      <c r="H63" s="79"/>
    </row>
    <row r="64" spans="1:8" x14ac:dyDescent="0.25">
      <c r="D64" t="s">
        <v>14</v>
      </c>
      <c r="E64">
        <v>15</v>
      </c>
      <c r="F64" s="79">
        <f>E64*12000</f>
        <v>180000</v>
      </c>
      <c r="G64" s="79">
        <f>E64*6500</f>
        <v>97500</v>
      </c>
      <c r="H64" s="79">
        <f>E64*5500</f>
        <v>82500</v>
      </c>
    </row>
    <row r="65" spans="1:8" x14ac:dyDescent="0.25">
      <c r="D65" t="s">
        <v>243</v>
      </c>
      <c r="E65">
        <v>1</v>
      </c>
      <c r="F65" s="79">
        <v>18000</v>
      </c>
      <c r="G65" s="79">
        <v>11000</v>
      </c>
      <c r="H65" s="79">
        <v>7000</v>
      </c>
    </row>
    <row r="66" spans="1:8" x14ac:dyDescent="0.25">
      <c r="D66" t="s">
        <v>1059</v>
      </c>
      <c r="E66">
        <v>2</v>
      </c>
      <c r="F66" s="79">
        <v>20000</v>
      </c>
      <c r="G66" s="79">
        <v>10000</v>
      </c>
      <c r="H66" s="79">
        <v>10000</v>
      </c>
    </row>
    <row r="67" spans="1:8" x14ac:dyDescent="0.25">
      <c r="C67" t="s">
        <v>1046</v>
      </c>
      <c r="D67" t="s">
        <v>13</v>
      </c>
      <c r="E67">
        <v>23</v>
      </c>
      <c r="F67" s="79">
        <f>E67*10000</f>
        <v>230000</v>
      </c>
      <c r="G67" s="79">
        <f>E67*5500</f>
        <v>126500</v>
      </c>
      <c r="H67" s="79">
        <f>E67*4500</f>
        <v>103500</v>
      </c>
    </row>
    <row r="68" spans="1:8" x14ac:dyDescent="0.25">
      <c r="D68" t="s">
        <v>14</v>
      </c>
      <c r="E68">
        <v>15</v>
      </c>
      <c r="F68" s="79">
        <f>E68*12000</f>
        <v>180000</v>
      </c>
      <c r="G68" s="79">
        <f>E68*6500</f>
        <v>97500</v>
      </c>
      <c r="H68" s="79">
        <f>E68*5500</f>
        <v>82500</v>
      </c>
    </row>
    <row r="69" spans="1:8" x14ac:dyDescent="0.25">
      <c r="A69" s="112" t="s">
        <v>17</v>
      </c>
      <c r="B69" s="112"/>
      <c r="C69" s="112"/>
      <c r="D69" s="112"/>
      <c r="E69" s="78">
        <f>SUM(E61:E68)</f>
        <v>83</v>
      </c>
      <c r="F69" s="78">
        <f t="shared" ref="F69:H69" si="12">SUM(F61:F68)</f>
        <v>828000</v>
      </c>
      <c r="G69" s="78">
        <f t="shared" si="12"/>
        <v>452500</v>
      </c>
      <c r="H69" s="78">
        <f t="shared" si="12"/>
        <v>375500</v>
      </c>
    </row>
    <row r="70" spans="1:8" x14ac:dyDescent="0.25">
      <c r="A70" t="s">
        <v>1060</v>
      </c>
      <c r="B70" s="3">
        <v>46153</v>
      </c>
      <c r="C70" t="s">
        <v>338</v>
      </c>
      <c r="D70" t="s">
        <v>11</v>
      </c>
      <c r="E70">
        <v>40</v>
      </c>
      <c r="F70" s="79">
        <f>E70*1500</f>
        <v>60000</v>
      </c>
      <c r="G70" s="79">
        <f>E70*500</f>
        <v>20000</v>
      </c>
      <c r="H70" s="79">
        <f>E70*1000</f>
        <v>40000</v>
      </c>
    </row>
    <row r="71" spans="1:8" x14ac:dyDescent="0.25">
      <c r="C71" t="s">
        <v>581</v>
      </c>
      <c r="D71" t="s">
        <v>11</v>
      </c>
      <c r="E71">
        <v>25</v>
      </c>
      <c r="F71" s="79">
        <f>E71*1500</f>
        <v>37500</v>
      </c>
      <c r="G71" s="79">
        <f>E71*500</f>
        <v>12500</v>
      </c>
      <c r="H71" s="79">
        <f>E71*1000</f>
        <v>25000</v>
      </c>
    </row>
    <row r="72" spans="1:8" x14ac:dyDescent="0.25">
      <c r="A72" s="112" t="s">
        <v>17</v>
      </c>
      <c r="B72" s="112"/>
      <c r="C72" s="112"/>
      <c r="D72" s="112"/>
      <c r="E72" s="78">
        <f>SUM(E70:E71)</f>
        <v>65</v>
      </c>
      <c r="F72" s="78">
        <f t="shared" ref="F72:H72" si="13">SUM(F70:F71)</f>
        <v>97500</v>
      </c>
      <c r="G72" s="78">
        <f t="shared" si="13"/>
        <v>32500</v>
      </c>
      <c r="H72" s="78">
        <f t="shared" si="13"/>
        <v>65000</v>
      </c>
    </row>
    <row r="73" spans="1:8" x14ac:dyDescent="0.25">
      <c r="A73" t="s">
        <v>32</v>
      </c>
      <c r="B73" s="3">
        <v>46154</v>
      </c>
      <c r="C73" t="s">
        <v>338</v>
      </c>
      <c r="D73" t="s">
        <v>11</v>
      </c>
      <c r="E73">
        <v>50</v>
      </c>
      <c r="F73">
        <f>E73*1500</f>
        <v>75000</v>
      </c>
      <c r="G73">
        <f>E73*500</f>
        <v>25000</v>
      </c>
      <c r="H73">
        <f>E73*1500</f>
        <v>75000</v>
      </c>
    </row>
    <row r="74" spans="1:8" x14ac:dyDescent="0.25">
      <c r="C74" t="s">
        <v>581</v>
      </c>
      <c r="D74" t="s">
        <v>11</v>
      </c>
      <c r="E74">
        <v>30</v>
      </c>
      <c r="F74">
        <f t="shared" ref="F74:F75" si="14">E74*1500</f>
        <v>45000</v>
      </c>
      <c r="G74">
        <f t="shared" ref="G74:G76" si="15">E74*500</f>
        <v>15000</v>
      </c>
      <c r="H74">
        <f t="shared" ref="H74:H75" si="16">E74*1500</f>
        <v>45000</v>
      </c>
    </row>
    <row r="75" spans="1:8" x14ac:dyDescent="0.25">
      <c r="C75" t="s">
        <v>571</v>
      </c>
      <c r="D75" t="s">
        <v>11</v>
      </c>
      <c r="E75">
        <v>20</v>
      </c>
      <c r="F75">
        <f t="shared" si="14"/>
        <v>30000</v>
      </c>
      <c r="G75">
        <f t="shared" si="15"/>
        <v>10000</v>
      </c>
      <c r="H75">
        <f t="shared" si="16"/>
        <v>30000</v>
      </c>
    </row>
    <row r="76" spans="1:8" x14ac:dyDescent="0.25">
      <c r="C76" t="s">
        <v>797</v>
      </c>
      <c r="D76" t="s">
        <v>11</v>
      </c>
      <c r="E76">
        <v>22</v>
      </c>
      <c r="F76">
        <f>E76*2000</f>
        <v>44000</v>
      </c>
      <c r="G76">
        <f t="shared" si="15"/>
        <v>11000</v>
      </c>
      <c r="H76">
        <f>E76*1500</f>
        <v>33000</v>
      </c>
    </row>
    <row r="77" spans="1:8" x14ac:dyDescent="0.25">
      <c r="D77" t="s">
        <v>13</v>
      </c>
      <c r="E77">
        <v>33</v>
      </c>
      <c r="F77">
        <f>E77*7000</f>
        <v>231000</v>
      </c>
      <c r="G77">
        <f>E77*5500</f>
        <v>181500</v>
      </c>
      <c r="H77">
        <f>E77*1500</f>
        <v>49500</v>
      </c>
    </row>
    <row r="78" spans="1:8" x14ac:dyDescent="0.25">
      <c r="D78" t="s">
        <v>14</v>
      </c>
      <c r="E78">
        <v>18</v>
      </c>
      <c r="F78">
        <f>E78*10000</f>
        <v>180000</v>
      </c>
      <c r="G78">
        <f>E78*6500</f>
        <v>117000</v>
      </c>
      <c r="H78">
        <f>E78*3500</f>
        <v>63000</v>
      </c>
    </row>
    <row r="79" spans="1:8" x14ac:dyDescent="0.25">
      <c r="D79" t="s">
        <v>243</v>
      </c>
      <c r="E79">
        <v>3</v>
      </c>
      <c r="F79">
        <f>E79*15000</f>
        <v>45000</v>
      </c>
      <c r="G79">
        <f>E79*11000</f>
        <v>33000</v>
      </c>
      <c r="H79">
        <f>E79*4000</f>
        <v>12000</v>
      </c>
    </row>
    <row r="80" spans="1:8" x14ac:dyDescent="0.25">
      <c r="C80" t="s">
        <v>1003</v>
      </c>
      <c r="D80" t="s">
        <v>243</v>
      </c>
      <c r="E80">
        <v>100</v>
      </c>
      <c r="F80">
        <f>E80*12500</f>
        <v>1250000</v>
      </c>
      <c r="G80">
        <f>E80*9500</f>
        <v>950000</v>
      </c>
      <c r="H80">
        <f>E80*3000</f>
        <v>300000</v>
      </c>
    </row>
    <row r="81" spans="1:8" x14ac:dyDescent="0.25">
      <c r="C81" t="s">
        <v>24</v>
      </c>
      <c r="D81" t="s">
        <v>243</v>
      </c>
      <c r="E81">
        <v>2</v>
      </c>
      <c r="F81">
        <f>E81*18000</f>
        <v>36000</v>
      </c>
      <c r="G81">
        <f>E81*11000</f>
        <v>22000</v>
      </c>
      <c r="H81">
        <f>E81*7000</f>
        <v>14000</v>
      </c>
    </row>
    <row r="82" spans="1:8" x14ac:dyDescent="0.25">
      <c r="A82" s="112" t="s">
        <v>17</v>
      </c>
      <c r="B82" s="112"/>
      <c r="C82" s="112"/>
      <c r="D82" s="112"/>
      <c r="E82" s="78">
        <f>SUM(E73:E81)</f>
        <v>278</v>
      </c>
      <c r="F82" s="78">
        <f t="shared" ref="F82:H82" si="17">SUM(F73:F81)</f>
        <v>1936000</v>
      </c>
      <c r="G82" s="78">
        <f t="shared" si="17"/>
        <v>1364500</v>
      </c>
      <c r="H82" s="78">
        <f t="shared" si="17"/>
        <v>621500</v>
      </c>
    </row>
    <row r="83" spans="1:8" x14ac:dyDescent="0.25">
      <c r="A83" t="s">
        <v>8</v>
      </c>
      <c r="B83" s="3">
        <v>46155</v>
      </c>
      <c r="C83" t="s">
        <v>338</v>
      </c>
      <c r="D83" t="s">
        <v>11</v>
      </c>
      <c r="E83">
        <v>50</v>
      </c>
      <c r="F83">
        <f>E83*1500</f>
        <v>75000</v>
      </c>
      <c r="G83">
        <f>E83*500</f>
        <v>25000</v>
      </c>
      <c r="H83">
        <f>E83*1000</f>
        <v>50000</v>
      </c>
    </row>
    <row r="84" spans="1:8" x14ac:dyDescent="0.25">
      <c r="C84" t="s">
        <v>581</v>
      </c>
      <c r="D84" t="s">
        <v>11</v>
      </c>
      <c r="E84">
        <v>25</v>
      </c>
      <c r="F84">
        <f>E84*1500</f>
        <v>37500</v>
      </c>
      <c r="G84">
        <f>E84*500</f>
        <v>12500</v>
      </c>
      <c r="H84">
        <f>E84*1000</f>
        <v>25000</v>
      </c>
    </row>
    <row r="85" spans="1:8" x14ac:dyDescent="0.25">
      <c r="C85" t="s">
        <v>24</v>
      </c>
      <c r="D85" t="s">
        <v>243</v>
      </c>
      <c r="E85">
        <v>2</v>
      </c>
      <c r="F85">
        <f>E85*18000</f>
        <v>36000</v>
      </c>
      <c r="G85">
        <f>E85*11000</f>
        <v>22000</v>
      </c>
      <c r="H85">
        <f>E85*7000</f>
        <v>14000</v>
      </c>
    </row>
    <row r="86" spans="1:8" x14ac:dyDescent="0.25">
      <c r="C86" t="s">
        <v>24</v>
      </c>
      <c r="D86" t="s">
        <v>243</v>
      </c>
      <c r="E86">
        <v>3</v>
      </c>
      <c r="F86" t="s">
        <v>777</v>
      </c>
    </row>
    <row r="87" spans="1:8" x14ac:dyDescent="0.25">
      <c r="A87" s="111" t="s">
        <v>17</v>
      </c>
      <c r="B87" s="111"/>
      <c r="C87" s="111"/>
      <c r="D87" s="111"/>
      <c r="E87" s="1">
        <f>SUM(E83:E86)</f>
        <v>80</v>
      </c>
      <c r="F87" s="78">
        <f t="shared" ref="F87:H87" si="18">SUM(F83:F86)</f>
        <v>148500</v>
      </c>
      <c r="G87" s="78">
        <f t="shared" si="18"/>
        <v>59500</v>
      </c>
      <c r="H87" s="78">
        <f t="shared" si="18"/>
        <v>89000</v>
      </c>
    </row>
    <row r="88" spans="1:8" x14ac:dyDescent="0.25">
      <c r="A88" t="s">
        <v>18</v>
      </c>
      <c r="B88" s="3">
        <v>46156</v>
      </c>
      <c r="C88" t="s">
        <v>75</v>
      </c>
      <c r="D88" t="s">
        <v>75</v>
      </c>
      <c r="E88" t="s">
        <v>75</v>
      </c>
      <c r="F88" t="s">
        <v>75</v>
      </c>
      <c r="G88" t="s">
        <v>75</v>
      </c>
      <c r="H88" t="s">
        <v>75</v>
      </c>
    </row>
    <row r="89" spans="1:8" x14ac:dyDescent="0.25">
      <c r="A89" t="s">
        <v>22</v>
      </c>
      <c r="B89" s="3">
        <v>46157</v>
      </c>
      <c r="C89" t="s">
        <v>1003</v>
      </c>
      <c r="D89" t="s">
        <v>243</v>
      </c>
      <c r="E89">
        <v>70</v>
      </c>
      <c r="F89" s="79">
        <f>E89*12500</f>
        <v>875000</v>
      </c>
      <c r="G89" s="79">
        <f>E89*9500</f>
        <v>665000</v>
      </c>
      <c r="H89" s="79">
        <f>E89*3000</f>
        <v>210000</v>
      </c>
    </row>
    <row r="90" spans="1:8" x14ac:dyDescent="0.25">
      <c r="C90" t="s">
        <v>797</v>
      </c>
      <c r="D90" t="s">
        <v>11</v>
      </c>
      <c r="E90">
        <v>20</v>
      </c>
      <c r="F90" s="79">
        <f>E90*2000</f>
        <v>40000</v>
      </c>
      <c r="G90" s="79">
        <f>E90*500</f>
        <v>10000</v>
      </c>
      <c r="H90" s="79">
        <f>E90*1500</f>
        <v>30000</v>
      </c>
    </row>
    <row r="91" spans="1:8" x14ac:dyDescent="0.25">
      <c r="D91" t="s">
        <v>13</v>
      </c>
      <c r="E91">
        <v>37</v>
      </c>
      <c r="F91" s="79">
        <f>E91*7000</f>
        <v>259000</v>
      </c>
      <c r="G91" s="79">
        <f>E91*5500</f>
        <v>203500</v>
      </c>
      <c r="H91" s="79">
        <f>E91*1500</f>
        <v>55500</v>
      </c>
    </row>
    <row r="92" spans="1:8" x14ac:dyDescent="0.25">
      <c r="D92" t="s">
        <v>14</v>
      </c>
      <c r="E92">
        <v>16</v>
      </c>
      <c r="F92" s="79">
        <f>E92*10000</f>
        <v>160000</v>
      </c>
      <c r="G92" s="79">
        <f>E92*6500</f>
        <v>104000</v>
      </c>
      <c r="H92" s="79">
        <f>E92*3500</f>
        <v>56000</v>
      </c>
    </row>
    <row r="93" spans="1:8" x14ac:dyDescent="0.25">
      <c r="D93" t="s">
        <v>243</v>
      </c>
      <c r="E93">
        <v>1</v>
      </c>
      <c r="F93" s="79">
        <v>15000</v>
      </c>
      <c r="G93" s="79">
        <v>11000</v>
      </c>
      <c r="H93" s="79">
        <v>4000</v>
      </c>
    </row>
    <row r="94" spans="1:8" x14ac:dyDescent="0.25">
      <c r="C94" t="s">
        <v>24</v>
      </c>
      <c r="D94" t="s">
        <v>13</v>
      </c>
      <c r="E94">
        <v>4</v>
      </c>
      <c r="F94" s="79" t="s">
        <v>777</v>
      </c>
      <c r="G94" s="79"/>
      <c r="H94" s="79"/>
    </row>
    <row r="95" spans="1:8" x14ac:dyDescent="0.25">
      <c r="C95" t="s">
        <v>554</v>
      </c>
      <c r="D95" t="s">
        <v>13</v>
      </c>
      <c r="E95">
        <v>3</v>
      </c>
      <c r="F95" s="79" t="s">
        <v>777</v>
      </c>
      <c r="G95" s="79"/>
      <c r="H95" s="79"/>
    </row>
    <row r="96" spans="1:8" x14ac:dyDescent="0.25">
      <c r="C96" t="s">
        <v>24</v>
      </c>
      <c r="D96" t="s">
        <v>243</v>
      </c>
      <c r="E96">
        <v>4</v>
      </c>
      <c r="F96" s="79">
        <f>E96*15000</f>
        <v>60000</v>
      </c>
      <c r="G96" s="79">
        <f>E96*11000</f>
        <v>44000</v>
      </c>
      <c r="H96" s="79">
        <f>E96*4000</f>
        <v>16000</v>
      </c>
    </row>
    <row r="97" spans="1:8" x14ac:dyDescent="0.25">
      <c r="C97" t="s">
        <v>20</v>
      </c>
      <c r="D97" t="s">
        <v>902</v>
      </c>
      <c r="E97">
        <v>8</v>
      </c>
      <c r="F97" s="79">
        <f>E97*8000</f>
        <v>64000</v>
      </c>
      <c r="G97" s="79">
        <f>E97*5500</f>
        <v>44000</v>
      </c>
      <c r="H97" s="79">
        <f>E97*3500</f>
        <v>28000</v>
      </c>
    </row>
    <row r="98" spans="1:8" x14ac:dyDescent="0.25">
      <c r="D98" t="s">
        <v>918</v>
      </c>
      <c r="E98">
        <v>1</v>
      </c>
      <c r="F98" s="79">
        <v>15000</v>
      </c>
      <c r="G98" s="79">
        <v>10000</v>
      </c>
      <c r="H98" s="79">
        <v>5000</v>
      </c>
    </row>
    <row r="99" spans="1:8" x14ac:dyDescent="0.25">
      <c r="D99" t="s">
        <v>919</v>
      </c>
      <c r="E99">
        <v>1</v>
      </c>
      <c r="F99" s="79">
        <v>12000</v>
      </c>
      <c r="G99" s="79">
        <v>5500</v>
      </c>
      <c r="H99" s="79">
        <v>6500</v>
      </c>
    </row>
    <row r="100" spans="1:8" x14ac:dyDescent="0.25">
      <c r="A100" s="112" t="s">
        <v>17</v>
      </c>
      <c r="B100" s="112"/>
      <c r="C100" s="112"/>
      <c r="D100" s="112"/>
      <c r="E100" s="78">
        <f>SUM(E89:E99)</f>
        <v>165</v>
      </c>
      <c r="F100" s="78">
        <f t="shared" ref="F100:H100" si="19">SUM(F89:F99)</f>
        <v>1500000</v>
      </c>
      <c r="G100" s="78">
        <f t="shared" si="19"/>
        <v>1097000</v>
      </c>
      <c r="H100" s="78">
        <f t="shared" si="19"/>
        <v>411000</v>
      </c>
    </row>
    <row r="101" spans="1:8" x14ac:dyDescent="0.25">
      <c r="A101" t="s">
        <v>26</v>
      </c>
      <c r="B101" s="3">
        <v>46158</v>
      </c>
      <c r="C101" t="s">
        <v>338</v>
      </c>
      <c r="D101" t="s">
        <v>11</v>
      </c>
      <c r="E101">
        <v>45</v>
      </c>
      <c r="F101" s="79">
        <f>E101*1500</f>
        <v>67500</v>
      </c>
      <c r="G101" s="79">
        <f>E101*500</f>
        <v>22500</v>
      </c>
      <c r="H101" s="79">
        <f>E101*1000</f>
        <v>45000</v>
      </c>
    </row>
    <row r="102" spans="1:8" x14ac:dyDescent="0.25">
      <c r="C102" t="s">
        <v>20</v>
      </c>
      <c r="D102" t="s">
        <v>902</v>
      </c>
      <c r="E102">
        <v>5</v>
      </c>
      <c r="F102" s="79">
        <f>E102*8000</f>
        <v>40000</v>
      </c>
      <c r="G102" s="79">
        <f>E102*5500</f>
        <v>27500</v>
      </c>
      <c r="H102" s="79">
        <f>E102*2500</f>
        <v>12500</v>
      </c>
    </row>
    <row r="103" spans="1:8" x14ac:dyDescent="0.25">
      <c r="D103" t="s">
        <v>918</v>
      </c>
      <c r="E103">
        <v>1</v>
      </c>
      <c r="F103" s="79">
        <v>15000</v>
      </c>
      <c r="G103" s="79">
        <v>10000</v>
      </c>
      <c r="H103" s="79">
        <v>5000</v>
      </c>
    </row>
    <row r="104" spans="1:8" x14ac:dyDescent="0.25">
      <c r="A104" s="112" t="s">
        <v>17</v>
      </c>
      <c r="B104" s="112"/>
      <c r="C104" s="112"/>
      <c r="D104" s="112"/>
      <c r="E104" s="78">
        <f>SUM(E101:E103)</f>
        <v>51</v>
      </c>
      <c r="F104" s="78">
        <f t="shared" ref="F104:H104" si="20">SUM(F101:F103)</f>
        <v>122500</v>
      </c>
      <c r="G104" s="78">
        <f t="shared" si="20"/>
        <v>60000</v>
      </c>
      <c r="H104" s="78">
        <f t="shared" si="20"/>
        <v>62500</v>
      </c>
    </row>
    <row r="105" spans="1:8" x14ac:dyDescent="0.25">
      <c r="A105" t="s">
        <v>28</v>
      </c>
      <c r="B105" s="3">
        <v>46159</v>
      </c>
      <c r="C105" t="s">
        <v>1046</v>
      </c>
      <c r="D105" t="s">
        <v>13</v>
      </c>
      <c r="E105">
        <v>21</v>
      </c>
      <c r="F105" s="79">
        <f>E105*10000</f>
        <v>210000</v>
      </c>
      <c r="G105" s="79">
        <f>E105*5500</f>
        <v>115500</v>
      </c>
      <c r="H105" s="79">
        <f>E105*3500</f>
        <v>73500</v>
      </c>
    </row>
    <row r="106" spans="1:8" x14ac:dyDescent="0.25">
      <c r="D106" t="s">
        <v>14</v>
      </c>
      <c r="E106">
        <v>13</v>
      </c>
      <c r="F106" s="79">
        <f>E106*12000</f>
        <v>156000</v>
      </c>
      <c r="G106" s="79">
        <f>E106*6500</f>
        <v>84500</v>
      </c>
      <c r="H106" s="79">
        <f>E106*5500</f>
        <v>71500</v>
      </c>
    </row>
    <row r="107" spans="1:8" x14ac:dyDescent="0.25">
      <c r="C107" t="s">
        <v>1050</v>
      </c>
      <c r="D107" t="s">
        <v>11</v>
      </c>
      <c r="E107">
        <v>2</v>
      </c>
      <c r="F107" s="79">
        <v>6000</v>
      </c>
      <c r="G107" s="79">
        <v>1000</v>
      </c>
      <c r="H107" s="79">
        <v>5000</v>
      </c>
    </row>
    <row r="108" spans="1:8" x14ac:dyDescent="0.25">
      <c r="D108" t="s">
        <v>13</v>
      </c>
      <c r="E108">
        <v>30</v>
      </c>
      <c r="F108" s="79">
        <f>E108*10000</f>
        <v>300000</v>
      </c>
      <c r="G108" s="79">
        <f>E108*5500</f>
        <v>165000</v>
      </c>
      <c r="H108" s="79">
        <f>E108*4500</f>
        <v>135000</v>
      </c>
    </row>
    <row r="109" spans="1:8" x14ac:dyDescent="0.25">
      <c r="D109" t="s">
        <v>14</v>
      </c>
      <c r="E109">
        <v>22</v>
      </c>
      <c r="F109" s="79">
        <f>E109*12000</f>
        <v>264000</v>
      </c>
      <c r="G109" s="79">
        <f>E109*6500</f>
        <v>143000</v>
      </c>
      <c r="H109" s="79">
        <f>E109*5500</f>
        <v>121000</v>
      </c>
    </row>
    <row r="110" spans="1:8" x14ac:dyDescent="0.25">
      <c r="D110" t="s">
        <v>243</v>
      </c>
      <c r="E110">
        <v>2</v>
      </c>
      <c r="F110" s="79">
        <f>E110*18000</f>
        <v>36000</v>
      </c>
      <c r="G110" s="79">
        <f>E110*11000</f>
        <v>22000</v>
      </c>
      <c r="H110" s="79">
        <f>E110*7000</f>
        <v>14000</v>
      </c>
    </row>
    <row r="111" spans="1:8" x14ac:dyDescent="0.25">
      <c r="D111" t="s">
        <v>1059</v>
      </c>
      <c r="E111">
        <v>1</v>
      </c>
      <c r="F111" s="79">
        <v>10000</v>
      </c>
      <c r="G111" s="79">
        <v>7000</v>
      </c>
      <c r="H111" s="79">
        <v>3000</v>
      </c>
    </row>
    <row r="112" spans="1:8" x14ac:dyDescent="0.25">
      <c r="D112" t="s">
        <v>995</v>
      </c>
      <c r="E112">
        <v>1</v>
      </c>
      <c r="F112" s="79">
        <v>25000</v>
      </c>
      <c r="G112" s="79">
        <v>15000</v>
      </c>
      <c r="H112" s="79">
        <v>10000</v>
      </c>
    </row>
    <row r="113" spans="1:13" x14ac:dyDescent="0.25">
      <c r="C113" t="s">
        <v>797</v>
      </c>
      <c r="D113" t="s">
        <v>11</v>
      </c>
      <c r="E113">
        <v>17</v>
      </c>
      <c r="F113" s="79">
        <f>E113*2000</f>
        <v>34000</v>
      </c>
      <c r="G113" s="79">
        <f>E113*500</f>
        <v>8500</v>
      </c>
      <c r="H113" s="79">
        <f>E113*1500</f>
        <v>25500</v>
      </c>
    </row>
    <row r="114" spans="1:13" x14ac:dyDescent="0.25">
      <c r="D114" t="s">
        <v>13</v>
      </c>
      <c r="E114">
        <v>18</v>
      </c>
      <c r="F114" s="79">
        <f>E114*7000</f>
        <v>126000</v>
      </c>
      <c r="G114" s="79">
        <f>E114*5500</f>
        <v>99000</v>
      </c>
      <c r="H114" s="79">
        <f>E114*1500</f>
        <v>27000</v>
      </c>
    </row>
    <row r="115" spans="1:13" x14ac:dyDescent="0.25">
      <c r="D115" t="s">
        <v>14</v>
      </c>
      <c r="E115">
        <v>6</v>
      </c>
      <c r="F115" s="79">
        <f>E115*10000</f>
        <v>60000</v>
      </c>
      <c r="G115" s="79">
        <f>E115*6500</f>
        <v>39000</v>
      </c>
      <c r="H115" s="79">
        <f>E115*3500</f>
        <v>21000</v>
      </c>
    </row>
    <row r="116" spans="1:13" x14ac:dyDescent="0.25">
      <c r="D116" t="s">
        <v>243</v>
      </c>
      <c r="E116">
        <v>1</v>
      </c>
      <c r="F116" s="79">
        <v>15000</v>
      </c>
      <c r="G116" s="79">
        <v>11000</v>
      </c>
      <c r="H116" s="79">
        <v>4000</v>
      </c>
    </row>
    <row r="117" spans="1:13" x14ac:dyDescent="0.25">
      <c r="A117" s="112" t="s">
        <v>17</v>
      </c>
      <c r="B117" s="112"/>
      <c r="C117" s="112"/>
      <c r="D117" s="112"/>
      <c r="E117" s="78">
        <f>SUM(E105:E116)</f>
        <v>134</v>
      </c>
      <c r="F117" s="78">
        <f t="shared" ref="F117:H117" si="21">SUM(F105:F116)</f>
        <v>1242000</v>
      </c>
      <c r="G117" s="78">
        <f t="shared" si="21"/>
        <v>710500</v>
      </c>
      <c r="H117" s="78">
        <f t="shared" si="21"/>
        <v>510500</v>
      </c>
      <c r="L117" s="148" t="s">
        <v>902</v>
      </c>
      <c r="M117" s="149"/>
    </row>
    <row r="118" spans="1:13" x14ac:dyDescent="0.25">
      <c r="A118" t="s">
        <v>30</v>
      </c>
      <c r="B118" s="3">
        <v>46160</v>
      </c>
      <c r="C118" t="s">
        <v>75</v>
      </c>
      <c r="L118" s="31" t="s">
        <v>1061</v>
      </c>
      <c r="M118" s="31">
        <f>12000/4</f>
        <v>3000</v>
      </c>
    </row>
    <row r="119" spans="1:13" x14ac:dyDescent="0.25">
      <c r="A119" t="s">
        <v>32</v>
      </c>
      <c r="B119" s="3">
        <v>46161</v>
      </c>
      <c r="C119" t="s">
        <v>1003</v>
      </c>
      <c r="D119" t="s">
        <v>243</v>
      </c>
      <c r="E119">
        <v>100</v>
      </c>
      <c r="F119" s="79">
        <f>E119*12500</f>
        <v>1250000</v>
      </c>
      <c r="G119" s="79">
        <f>E119*9500</f>
        <v>950000</v>
      </c>
      <c r="H119" s="79">
        <f>E119*3000</f>
        <v>300000</v>
      </c>
      <c r="L119" s="31" t="s">
        <v>12</v>
      </c>
      <c r="M119" s="31">
        <f>23000/50</f>
        <v>460</v>
      </c>
    </row>
    <row r="120" spans="1:13" x14ac:dyDescent="0.25">
      <c r="C120" t="s">
        <v>20</v>
      </c>
      <c r="D120" t="s">
        <v>902</v>
      </c>
      <c r="E120">
        <v>4</v>
      </c>
      <c r="F120" s="79">
        <f>E120*8000</f>
        <v>32000</v>
      </c>
      <c r="G120" s="79">
        <f>E120*5500</f>
        <v>22000</v>
      </c>
      <c r="H120" s="79">
        <f>E120*2500</f>
        <v>10000</v>
      </c>
      <c r="L120" s="31" t="s">
        <v>1062</v>
      </c>
      <c r="M120" s="31">
        <f>30000/300</f>
        <v>100</v>
      </c>
    </row>
    <row r="121" spans="1:13" x14ac:dyDescent="0.25">
      <c r="D121" t="s">
        <v>919</v>
      </c>
      <c r="E121">
        <v>1</v>
      </c>
      <c r="F121" s="79">
        <v>12000</v>
      </c>
      <c r="G121" s="79">
        <v>5500</v>
      </c>
      <c r="H121" s="79">
        <v>6500</v>
      </c>
      <c r="L121" s="31"/>
      <c r="M121" s="31"/>
    </row>
    <row r="122" spans="1:13" x14ac:dyDescent="0.25">
      <c r="A122" s="112" t="s">
        <v>17</v>
      </c>
      <c r="B122" s="112"/>
      <c r="C122" s="112"/>
      <c r="D122" s="112"/>
      <c r="E122" s="78">
        <f>SUM(E119:E121)</f>
        <v>105</v>
      </c>
      <c r="F122" s="78">
        <f t="shared" ref="F122:H122" si="22">SUM(F119:F121)</f>
        <v>1294000</v>
      </c>
      <c r="G122" s="78">
        <f t="shared" si="22"/>
        <v>977500</v>
      </c>
      <c r="H122" s="78">
        <f t="shared" si="22"/>
        <v>316500</v>
      </c>
      <c r="L122" s="31"/>
      <c r="M122" s="31"/>
    </row>
    <row r="123" spans="1:13" x14ac:dyDescent="0.25">
      <c r="A123" t="s">
        <v>8</v>
      </c>
      <c r="B123" s="3">
        <v>46162</v>
      </c>
      <c r="C123" t="s">
        <v>797</v>
      </c>
      <c r="D123" t="s">
        <v>11</v>
      </c>
      <c r="E123">
        <v>19</v>
      </c>
      <c r="F123" s="79">
        <f>E123*2000</f>
        <v>38000</v>
      </c>
      <c r="G123" s="79">
        <f>E123*500</f>
        <v>9500</v>
      </c>
      <c r="H123" s="79">
        <f>E123*1500</f>
        <v>28500</v>
      </c>
      <c r="L123" s="31"/>
      <c r="M123" s="31"/>
    </row>
    <row r="124" spans="1:13" x14ac:dyDescent="0.25">
      <c r="D124" t="s">
        <v>13</v>
      </c>
      <c r="E124">
        <v>14</v>
      </c>
      <c r="F124" s="79">
        <f>E124*7000</f>
        <v>98000</v>
      </c>
      <c r="G124" s="79">
        <f>E124*5500</f>
        <v>77000</v>
      </c>
      <c r="H124" s="79">
        <f>E124*1500</f>
        <v>21000</v>
      </c>
    </row>
    <row r="125" spans="1:13" x14ac:dyDescent="0.25">
      <c r="D125" t="s">
        <v>14</v>
      </c>
      <c r="E125">
        <v>17</v>
      </c>
      <c r="F125" s="79">
        <f>E125*10000</f>
        <v>170000</v>
      </c>
      <c r="G125" s="79">
        <f>E125*6500</f>
        <v>110500</v>
      </c>
      <c r="H125" s="79">
        <f>E125*3500</f>
        <v>59500</v>
      </c>
    </row>
    <row r="126" spans="1:13" x14ac:dyDescent="0.25">
      <c r="D126" t="s">
        <v>243</v>
      </c>
      <c r="E126">
        <v>3</v>
      </c>
      <c r="F126" s="79">
        <f>E126*15000</f>
        <v>45000</v>
      </c>
      <c r="G126" s="79">
        <f>E126*11000</f>
        <v>33000</v>
      </c>
      <c r="H126" s="79">
        <f>E126*4000</f>
        <v>12000</v>
      </c>
    </row>
    <row r="127" spans="1:13" x14ac:dyDescent="0.25">
      <c r="C127" t="s">
        <v>554</v>
      </c>
      <c r="D127" t="s">
        <v>13</v>
      </c>
      <c r="E127">
        <v>3</v>
      </c>
      <c r="F127" s="79"/>
      <c r="G127" s="79"/>
      <c r="H127" s="79"/>
    </row>
    <row r="128" spans="1:13" x14ac:dyDescent="0.25">
      <c r="A128" s="112" t="s">
        <v>17</v>
      </c>
      <c r="B128" s="112"/>
      <c r="C128" s="112"/>
      <c r="D128" s="112"/>
      <c r="E128" s="78">
        <f>SUM(E119:E127)</f>
        <v>266</v>
      </c>
      <c r="F128" s="78">
        <f>SUM(F123:F127)</f>
        <v>351000</v>
      </c>
      <c r="G128" s="78">
        <f t="shared" ref="G128:H128" si="23">SUM(G123:G127)</f>
        <v>230000</v>
      </c>
      <c r="H128" s="78">
        <f t="shared" si="23"/>
        <v>121000</v>
      </c>
    </row>
    <row r="129" spans="1:8" x14ac:dyDescent="0.25">
      <c r="A129" t="s">
        <v>18</v>
      </c>
      <c r="B129" s="3">
        <v>46163</v>
      </c>
      <c r="C129" t="s">
        <v>75</v>
      </c>
    </row>
    <row r="130" spans="1:8" x14ac:dyDescent="0.25">
      <c r="A130" t="s">
        <v>22</v>
      </c>
      <c r="B130" s="3">
        <v>46164</v>
      </c>
      <c r="C130" t="s">
        <v>1003</v>
      </c>
      <c r="D130" t="s">
        <v>243</v>
      </c>
      <c r="E130">
        <v>70</v>
      </c>
      <c r="F130">
        <f>E130*12500</f>
        <v>875000</v>
      </c>
      <c r="G130">
        <f>E130*9500</f>
        <v>665000</v>
      </c>
      <c r="H130">
        <f>E130*3000</f>
        <v>210000</v>
      </c>
    </row>
    <row r="131" spans="1:8" x14ac:dyDescent="0.25">
      <c r="C131" t="s">
        <v>960</v>
      </c>
      <c r="D131" t="s">
        <v>243</v>
      </c>
      <c r="E131">
        <v>50</v>
      </c>
      <c r="F131">
        <f>E131*18000</f>
        <v>900000</v>
      </c>
      <c r="G131">
        <f>E131*11000</f>
        <v>550000</v>
      </c>
      <c r="H131">
        <f>E131*7000</f>
        <v>350000</v>
      </c>
    </row>
    <row r="132" spans="1:8" x14ac:dyDescent="0.25">
      <c r="C132" t="s">
        <v>1064</v>
      </c>
      <c r="D132" t="s">
        <v>1063</v>
      </c>
      <c r="E132">
        <v>2460</v>
      </c>
      <c r="F132">
        <f>E132*2450</f>
        <v>6027000</v>
      </c>
      <c r="G132">
        <f>E132*2100</f>
        <v>5166000</v>
      </c>
      <c r="H132">
        <f>E132*350</f>
        <v>861000</v>
      </c>
    </row>
    <row r="133" spans="1:8" x14ac:dyDescent="0.25">
      <c r="C133" t="s">
        <v>24</v>
      </c>
      <c r="D133" t="s">
        <v>243</v>
      </c>
      <c r="E133">
        <v>4</v>
      </c>
    </row>
    <row r="134" spans="1:8" x14ac:dyDescent="0.25">
      <c r="A134" s="112" t="s">
        <v>17</v>
      </c>
      <c r="B134" s="112"/>
      <c r="C134" s="112"/>
      <c r="D134" s="112"/>
      <c r="E134" s="78">
        <f>SUM(E130:E133)</f>
        <v>2584</v>
      </c>
      <c r="F134" s="78">
        <f t="shared" ref="F134:H134" si="24">SUM(F130:F133)</f>
        <v>7802000</v>
      </c>
      <c r="G134" s="78">
        <f t="shared" si="24"/>
        <v>6381000</v>
      </c>
      <c r="H134" s="78">
        <f t="shared" si="24"/>
        <v>1421000</v>
      </c>
    </row>
    <row r="135" spans="1:8" x14ac:dyDescent="0.25">
      <c r="A135" t="s">
        <v>26</v>
      </c>
      <c r="B135" s="3">
        <v>46165</v>
      </c>
      <c r="C135" t="s">
        <v>1046</v>
      </c>
      <c r="D135" t="s">
        <v>902</v>
      </c>
      <c r="E135">
        <v>5</v>
      </c>
      <c r="F135" s="79">
        <f>E135*8000</f>
        <v>40000</v>
      </c>
      <c r="G135" s="79">
        <f>E135*5500</f>
        <v>27500</v>
      </c>
      <c r="H135" s="79">
        <f>E135*2500</f>
        <v>12500</v>
      </c>
    </row>
    <row r="136" spans="1:8" x14ac:dyDescent="0.25">
      <c r="C136" t="s">
        <v>24</v>
      </c>
      <c r="D136" t="s">
        <v>243</v>
      </c>
      <c r="E136">
        <v>6</v>
      </c>
      <c r="F136" s="79" t="s">
        <v>777</v>
      </c>
      <c r="G136" s="79"/>
      <c r="H136" s="79"/>
    </row>
    <row r="137" spans="1:8" x14ac:dyDescent="0.25">
      <c r="A137" s="111" t="s">
        <v>17</v>
      </c>
      <c r="B137" s="111"/>
      <c r="C137" s="111"/>
      <c r="D137" s="111"/>
      <c r="E137" s="1">
        <f>SUM(E135:E136)</f>
        <v>11</v>
      </c>
      <c r="F137" s="78">
        <f t="shared" ref="F137:H137" si="25">SUM(F135:F136)</f>
        <v>40000</v>
      </c>
      <c r="G137" s="78">
        <f t="shared" si="25"/>
        <v>27500</v>
      </c>
      <c r="H137" s="78">
        <f t="shared" si="25"/>
        <v>12500</v>
      </c>
    </row>
    <row r="138" spans="1:8" x14ac:dyDescent="0.25">
      <c r="A138" t="s">
        <v>28</v>
      </c>
      <c r="B138" s="3">
        <v>46166</v>
      </c>
      <c r="C138" t="s">
        <v>1046</v>
      </c>
      <c r="D138" t="s">
        <v>1016</v>
      </c>
      <c r="E138">
        <v>3</v>
      </c>
      <c r="F138" s="79">
        <f>E138*3000</f>
        <v>9000</v>
      </c>
      <c r="G138" s="79">
        <f>E138*2000</f>
        <v>6000</v>
      </c>
      <c r="H138" s="79">
        <f>E138*1000</f>
        <v>3000</v>
      </c>
    </row>
    <row r="139" spans="1:8" x14ac:dyDescent="0.25">
      <c r="D139" t="s">
        <v>1065</v>
      </c>
      <c r="E139">
        <v>1</v>
      </c>
      <c r="F139" s="79">
        <v>2500</v>
      </c>
      <c r="G139" s="79">
        <v>1000</v>
      </c>
      <c r="H139" s="79">
        <v>1500</v>
      </c>
    </row>
    <row r="140" spans="1:8" x14ac:dyDescent="0.25">
      <c r="D140" t="s">
        <v>1066</v>
      </c>
      <c r="E140">
        <v>2</v>
      </c>
      <c r="F140" s="79" t="s">
        <v>777</v>
      </c>
      <c r="G140" s="79"/>
      <c r="H140" s="79"/>
    </row>
    <row r="141" spans="1:8" x14ac:dyDescent="0.25">
      <c r="D141" t="s">
        <v>14</v>
      </c>
      <c r="E141">
        <v>3</v>
      </c>
      <c r="F141" s="79" t="s">
        <v>777</v>
      </c>
      <c r="G141" s="79"/>
      <c r="H141" s="79"/>
    </row>
    <row r="142" spans="1:8" x14ac:dyDescent="0.25">
      <c r="D142" t="s">
        <v>13</v>
      </c>
      <c r="E142">
        <v>6</v>
      </c>
      <c r="F142" s="79" t="s">
        <v>777</v>
      </c>
      <c r="G142" s="79"/>
      <c r="H142" s="79"/>
    </row>
    <row r="143" spans="1:8" x14ac:dyDescent="0.25">
      <c r="D143" t="s">
        <v>14</v>
      </c>
      <c r="E143">
        <v>5</v>
      </c>
      <c r="F143" s="79">
        <f>E143*12000</f>
        <v>60000</v>
      </c>
      <c r="G143" s="79">
        <f>E143*6500</f>
        <v>32500</v>
      </c>
      <c r="H143" s="79">
        <f>E143*5500</f>
        <v>27500</v>
      </c>
    </row>
    <row r="144" spans="1:8" x14ac:dyDescent="0.25">
      <c r="D144" t="s">
        <v>13</v>
      </c>
      <c r="E144">
        <v>30</v>
      </c>
      <c r="F144" s="79">
        <f>E144*10000</f>
        <v>300000</v>
      </c>
      <c r="G144" s="79">
        <f>E144*5500</f>
        <v>165000</v>
      </c>
      <c r="H144" s="79">
        <f>E144*4500</f>
        <v>135000</v>
      </c>
    </row>
    <row r="145" spans="1:8" x14ac:dyDescent="0.25">
      <c r="C145" t="s">
        <v>1050</v>
      </c>
      <c r="D145" t="s">
        <v>14</v>
      </c>
      <c r="E145">
        <v>5</v>
      </c>
      <c r="F145" s="79"/>
      <c r="G145" s="79"/>
      <c r="H145" s="79"/>
    </row>
    <row r="146" spans="1:8" x14ac:dyDescent="0.25">
      <c r="D146" t="s">
        <v>13</v>
      </c>
      <c r="E146">
        <v>10</v>
      </c>
      <c r="F146" s="79"/>
      <c r="G146" s="79"/>
      <c r="H146" s="79"/>
    </row>
    <row r="147" spans="1:8" x14ac:dyDescent="0.25">
      <c r="F147" s="79"/>
      <c r="G147" s="79"/>
      <c r="H147" s="79"/>
    </row>
    <row r="148" spans="1:8" x14ac:dyDescent="0.25">
      <c r="A148" s="112" t="s">
        <v>17</v>
      </c>
      <c r="B148" s="112"/>
      <c r="C148" s="112"/>
      <c r="D148" s="112"/>
      <c r="E148" s="78">
        <f>SUM(E138:E147)</f>
        <v>65</v>
      </c>
      <c r="F148" s="78">
        <f t="shared" ref="F148:H148" si="26">SUM(F138:F147)</f>
        <v>371500</v>
      </c>
      <c r="G148" s="78">
        <f t="shared" si="26"/>
        <v>204500</v>
      </c>
      <c r="H148" s="78">
        <f t="shared" si="26"/>
        <v>167000</v>
      </c>
    </row>
    <row r="149" spans="1:8" x14ac:dyDescent="0.25">
      <c r="A149" t="s">
        <v>30</v>
      </c>
      <c r="B149" s="3">
        <v>46167</v>
      </c>
    </row>
    <row r="150" spans="1:8" x14ac:dyDescent="0.25">
      <c r="A150" t="s">
        <v>32</v>
      </c>
      <c r="B150" s="3">
        <v>46168</v>
      </c>
    </row>
    <row r="151" spans="1:8" x14ac:dyDescent="0.25">
      <c r="A151" t="s">
        <v>8</v>
      </c>
      <c r="B151" s="3">
        <v>46169</v>
      </c>
    </row>
    <row r="152" spans="1:8" x14ac:dyDescent="0.25">
      <c r="A152" t="s">
        <v>18</v>
      </c>
      <c r="B152" s="3">
        <v>46170</v>
      </c>
    </row>
    <row r="153" spans="1:8" x14ac:dyDescent="0.25">
      <c r="A153" t="s">
        <v>22</v>
      </c>
      <c r="B153" s="3">
        <v>46171</v>
      </c>
    </row>
    <row r="154" spans="1:8" x14ac:dyDescent="0.25">
      <c r="A154" t="s">
        <v>26</v>
      </c>
      <c r="B154" s="3">
        <v>46172</v>
      </c>
    </row>
  </sheetData>
  <mergeCells count="22">
    <mergeCell ref="L117:M117"/>
    <mergeCell ref="A60:D60"/>
    <mergeCell ref="A69:D69"/>
    <mergeCell ref="A52:D52"/>
    <mergeCell ref="A128:D128"/>
    <mergeCell ref="A122:D122"/>
    <mergeCell ref="A137:D137"/>
    <mergeCell ref="A148:D148"/>
    <mergeCell ref="A37:D37"/>
    <mergeCell ref="A7:D7"/>
    <mergeCell ref="A12:D12"/>
    <mergeCell ref="A22:D22"/>
    <mergeCell ref="A30:D30"/>
    <mergeCell ref="A34:D34"/>
    <mergeCell ref="A47:D47"/>
    <mergeCell ref="A104:D104"/>
    <mergeCell ref="A117:D117"/>
    <mergeCell ref="A100:D100"/>
    <mergeCell ref="A72:D72"/>
    <mergeCell ref="A82:D82"/>
    <mergeCell ref="A87:D87"/>
    <mergeCell ref="A134:D13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9FE0-0329-4FD7-B21E-B77CC7786EEB}">
  <dimension ref="A1:I86"/>
  <sheetViews>
    <sheetView workbookViewId="0">
      <selection sqref="A1:H7"/>
    </sheetView>
  </sheetViews>
  <sheetFormatPr defaultRowHeight="15" x14ac:dyDescent="0.25"/>
  <cols>
    <col min="2" max="2" width="10.7109375" bestFit="1" customWidth="1"/>
    <col min="5" max="5" width="9.28515625" bestFit="1" customWidth="1"/>
    <col min="6" max="6" width="10.5703125" bestFit="1" customWidth="1"/>
    <col min="7" max="7" width="10.7109375" customWidth="1"/>
    <col min="8" max="8" width="9.28515625" bestFit="1" customWidth="1"/>
  </cols>
  <sheetData>
    <row r="1" spans="1:9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9" x14ac:dyDescent="0.25">
      <c r="A2" t="s">
        <v>30</v>
      </c>
      <c r="B2" s="3">
        <v>46174</v>
      </c>
      <c r="C2" t="s">
        <v>1067</v>
      </c>
      <c r="D2" t="s">
        <v>902</v>
      </c>
      <c r="E2">
        <v>5</v>
      </c>
      <c r="F2" s="79">
        <f>E2*8000</f>
        <v>40000</v>
      </c>
      <c r="G2" s="79">
        <f>E2*5500</f>
        <v>27500</v>
      </c>
      <c r="H2" s="79">
        <f>E2*2500</f>
        <v>12500</v>
      </c>
    </row>
    <row r="3" spans="1:9" x14ac:dyDescent="0.25">
      <c r="C3" t="s">
        <v>797</v>
      </c>
      <c r="D3" t="s">
        <v>11</v>
      </c>
      <c r="E3">
        <v>20</v>
      </c>
      <c r="F3" s="79">
        <f>E3*2000</f>
        <v>40000</v>
      </c>
      <c r="G3" s="79">
        <f>E3*500</f>
        <v>10000</v>
      </c>
      <c r="H3" s="79">
        <f>E3*1500</f>
        <v>30000</v>
      </c>
    </row>
    <row r="4" spans="1:9" x14ac:dyDescent="0.25">
      <c r="D4" t="s">
        <v>13</v>
      </c>
      <c r="E4">
        <v>30</v>
      </c>
      <c r="F4" s="79">
        <f>E4*7000</f>
        <v>210000</v>
      </c>
      <c r="G4" s="79">
        <f>E4*5500</f>
        <v>165000</v>
      </c>
      <c r="H4" s="79">
        <f>E4*1500</f>
        <v>45000</v>
      </c>
    </row>
    <row r="5" spans="1:9" x14ac:dyDescent="0.25">
      <c r="D5" t="s">
        <v>14</v>
      </c>
      <c r="E5">
        <v>19</v>
      </c>
      <c r="F5" s="79">
        <f>E5*10000</f>
        <v>190000</v>
      </c>
      <c r="G5" s="79">
        <f>E5*6500</f>
        <v>123500</v>
      </c>
      <c r="H5" s="79">
        <f>E5*4500</f>
        <v>85500</v>
      </c>
    </row>
    <row r="6" spans="1:9" x14ac:dyDescent="0.25">
      <c r="D6" t="s">
        <v>243</v>
      </c>
      <c r="E6">
        <v>3</v>
      </c>
      <c r="F6" s="79">
        <f>E6*15000</f>
        <v>45000</v>
      </c>
      <c r="G6" s="79">
        <f>E6*11000</f>
        <v>33000</v>
      </c>
      <c r="H6" s="79">
        <f>E6*4000</f>
        <v>12000</v>
      </c>
    </row>
    <row r="7" spans="1:9" x14ac:dyDescent="0.25">
      <c r="A7" s="112" t="s">
        <v>17</v>
      </c>
      <c r="B7" s="112"/>
      <c r="C7" s="112"/>
      <c r="D7" s="112"/>
      <c r="E7" s="78">
        <f>SUM(E2:E6)</f>
        <v>77</v>
      </c>
      <c r="F7" s="78">
        <f t="shared" ref="F7:H7" si="0">SUM(F2:F6)</f>
        <v>525000</v>
      </c>
      <c r="G7" s="78">
        <f t="shared" si="0"/>
        <v>359000</v>
      </c>
      <c r="H7" s="78">
        <f t="shared" si="0"/>
        <v>185000</v>
      </c>
    </row>
    <row r="8" spans="1:9" x14ac:dyDescent="0.25">
      <c r="A8" t="s">
        <v>32</v>
      </c>
      <c r="B8" s="3">
        <v>46175</v>
      </c>
      <c r="C8" t="s">
        <v>338</v>
      </c>
      <c r="D8" t="s">
        <v>11</v>
      </c>
      <c r="E8">
        <v>30</v>
      </c>
      <c r="F8" s="79">
        <f>E8*1500</f>
        <v>45000</v>
      </c>
      <c r="G8" s="79">
        <f>E8*500</f>
        <v>15000</v>
      </c>
      <c r="H8" s="79">
        <f>E8*1000</f>
        <v>30000</v>
      </c>
      <c r="I8" s="79"/>
    </row>
    <row r="9" spans="1:9" x14ac:dyDescent="0.25">
      <c r="C9" t="s">
        <v>581</v>
      </c>
      <c r="D9" t="s">
        <v>1068</v>
      </c>
      <c r="E9">
        <v>20</v>
      </c>
      <c r="F9" s="79">
        <f>E9*1500</f>
        <v>30000</v>
      </c>
      <c r="G9" s="79">
        <f>E9*500</f>
        <v>10000</v>
      </c>
      <c r="H9" s="79">
        <f>E9*1000</f>
        <v>20000</v>
      </c>
      <c r="I9" s="79"/>
    </row>
    <row r="10" spans="1:9" x14ac:dyDescent="0.25">
      <c r="C10" t="s">
        <v>1003</v>
      </c>
      <c r="D10" t="s">
        <v>243</v>
      </c>
      <c r="E10">
        <v>100</v>
      </c>
      <c r="F10" s="79">
        <f>E10*12500</f>
        <v>1250000</v>
      </c>
      <c r="G10" s="79">
        <f>E10*9500</f>
        <v>950000</v>
      </c>
      <c r="H10" s="79">
        <f>E10*3000</f>
        <v>300000</v>
      </c>
      <c r="I10" s="79"/>
    </row>
    <row r="11" spans="1:9" x14ac:dyDescent="0.25">
      <c r="C11" t="s">
        <v>1046</v>
      </c>
      <c r="D11" t="s">
        <v>902</v>
      </c>
      <c r="E11">
        <v>9</v>
      </c>
      <c r="F11" s="79">
        <f>E11*8000</f>
        <v>72000</v>
      </c>
      <c r="G11" s="79">
        <f>E11*5500</f>
        <v>49500</v>
      </c>
      <c r="H11" s="79">
        <f>E11*2500</f>
        <v>22500</v>
      </c>
      <c r="I11" s="79"/>
    </row>
    <row r="12" spans="1:9" x14ac:dyDescent="0.25">
      <c r="D12" t="s">
        <v>919</v>
      </c>
      <c r="E12">
        <v>1</v>
      </c>
      <c r="F12" s="79">
        <v>12000</v>
      </c>
      <c r="G12" s="79">
        <v>10000</v>
      </c>
      <c r="H12" s="79">
        <v>5000</v>
      </c>
      <c r="I12" s="79"/>
    </row>
    <row r="13" spans="1:9" x14ac:dyDescent="0.25">
      <c r="A13" s="112" t="s">
        <v>17</v>
      </c>
      <c r="B13" s="112"/>
      <c r="C13" s="112"/>
      <c r="D13" s="112"/>
      <c r="E13" s="78">
        <f>SUM(E8:E12)</f>
        <v>160</v>
      </c>
      <c r="F13" s="78">
        <f t="shared" ref="F13:H13" si="1">SUM(F8:F10)</f>
        <v>1325000</v>
      </c>
      <c r="G13" s="78">
        <f t="shared" si="1"/>
        <v>975000</v>
      </c>
      <c r="H13" s="78">
        <f t="shared" si="1"/>
        <v>350000</v>
      </c>
    </row>
    <row r="14" spans="1:9" x14ac:dyDescent="0.25">
      <c r="A14" t="s">
        <v>8</v>
      </c>
      <c r="B14" s="3">
        <v>46176</v>
      </c>
      <c r="C14" t="s">
        <v>1046</v>
      </c>
      <c r="D14" t="s">
        <v>902</v>
      </c>
      <c r="E14">
        <v>11</v>
      </c>
      <c r="F14" s="79">
        <f>E14*8000</f>
        <v>88000</v>
      </c>
      <c r="G14" s="79">
        <f>E14*5500</f>
        <v>60500</v>
      </c>
      <c r="H14" s="79">
        <f>E14*2500</f>
        <v>27500</v>
      </c>
    </row>
    <row r="15" spans="1:9" x14ac:dyDescent="0.25">
      <c r="D15" t="s">
        <v>966</v>
      </c>
      <c r="E15">
        <v>1</v>
      </c>
      <c r="F15" s="79">
        <v>10000</v>
      </c>
      <c r="G15" s="79">
        <v>5000</v>
      </c>
      <c r="H15" s="79">
        <v>5000</v>
      </c>
    </row>
    <row r="16" spans="1:9" x14ac:dyDescent="0.25">
      <c r="C16" t="s">
        <v>338</v>
      </c>
      <c r="D16" t="s">
        <v>11</v>
      </c>
      <c r="E16">
        <v>35</v>
      </c>
      <c r="F16" s="79">
        <f>E16*1500</f>
        <v>52500</v>
      </c>
      <c r="G16" s="79">
        <f>E16*500</f>
        <v>17500</v>
      </c>
      <c r="H16" s="79">
        <f>E16*1000</f>
        <v>35000</v>
      </c>
    </row>
    <row r="17" spans="1:8" x14ac:dyDescent="0.25">
      <c r="C17" t="s">
        <v>581</v>
      </c>
      <c r="D17" t="s">
        <v>11</v>
      </c>
      <c r="E17">
        <v>20</v>
      </c>
      <c r="F17" s="79">
        <f>E17*1500</f>
        <v>30000</v>
      </c>
      <c r="G17" s="79">
        <f>E17*500</f>
        <v>10000</v>
      </c>
      <c r="H17" s="79">
        <f>E17*1000</f>
        <v>20000</v>
      </c>
    </row>
    <row r="18" spans="1:8" x14ac:dyDescent="0.25">
      <c r="A18" s="112" t="s">
        <v>17</v>
      </c>
      <c r="B18" s="112"/>
      <c r="C18" s="112"/>
      <c r="D18" s="112"/>
      <c r="E18" s="78">
        <f>SUM(E14:E17)</f>
        <v>67</v>
      </c>
      <c r="F18" s="78">
        <f t="shared" ref="F18:H18" si="2">SUM(F14:F17)</f>
        <v>180500</v>
      </c>
      <c r="G18" s="78">
        <f t="shared" si="2"/>
        <v>93000</v>
      </c>
      <c r="H18" s="78">
        <f t="shared" si="2"/>
        <v>87500</v>
      </c>
    </row>
    <row r="19" spans="1:8" x14ac:dyDescent="0.25">
      <c r="A19" t="s">
        <v>18</v>
      </c>
      <c r="B19" s="3">
        <v>46177</v>
      </c>
      <c r="C19" t="s">
        <v>1046</v>
      </c>
      <c r="D19" t="s">
        <v>902</v>
      </c>
      <c r="E19">
        <v>4</v>
      </c>
      <c r="F19" s="79">
        <f>E19*8000</f>
        <v>32000</v>
      </c>
      <c r="G19" s="79">
        <f>E19*5500</f>
        <v>22000</v>
      </c>
      <c r="H19" s="79">
        <f>E19*2500</f>
        <v>10000</v>
      </c>
    </row>
    <row r="20" spans="1:8" x14ac:dyDescent="0.25">
      <c r="D20" t="s">
        <v>902</v>
      </c>
      <c r="E20">
        <v>3</v>
      </c>
      <c r="F20" s="79" t="s">
        <v>777</v>
      </c>
      <c r="G20" s="79"/>
      <c r="H20" s="79"/>
    </row>
    <row r="21" spans="1:8" x14ac:dyDescent="0.25">
      <c r="D21" t="s">
        <v>919</v>
      </c>
      <c r="E21">
        <v>1</v>
      </c>
      <c r="F21" s="79" t="s">
        <v>777</v>
      </c>
      <c r="G21" s="79"/>
      <c r="H21" s="79"/>
    </row>
    <row r="22" spans="1:8" x14ac:dyDescent="0.25">
      <c r="D22" t="s">
        <v>919</v>
      </c>
      <c r="E22">
        <v>1</v>
      </c>
      <c r="F22" s="79">
        <v>12000</v>
      </c>
      <c r="G22" s="79">
        <v>6000</v>
      </c>
      <c r="H22" s="79">
        <v>6000</v>
      </c>
    </row>
    <row r="23" spans="1:8" x14ac:dyDescent="0.25">
      <c r="D23" t="s">
        <v>918</v>
      </c>
      <c r="E23">
        <v>1</v>
      </c>
      <c r="F23" s="79">
        <v>15000</v>
      </c>
      <c r="G23" s="79">
        <v>10000</v>
      </c>
      <c r="H23" s="79">
        <v>5000</v>
      </c>
    </row>
    <row r="24" spans="1:8" x14ac:dyDescent="0.25">
      <c r="C24" t="s">
        <v>338</v>
      </c>
      <c r="D24" t="s">
        <v>11</v>
      </c>
      <c r="E24">
        <v>30</v>
      </c>
      <c r="F24" s="79">
        <f>E24*1500</f>
        <v>45000</v>
      </c>
      <c r="G24" s="79">
        <f>E24*500</f>
        <v>15000</v>
      </c>
      <c r="H24" s="79">
        <f>E24*1000</f>
        <v>30000</v>
      </c>
    </row>
    <row r="25" spans="1:8" x14ac:dyDescent="0.25">
      <c r="C25" t="s">
        <v>581</v>
      </c>
      <c r="D25" t="s">
        <v>11</v>
      </c>
      <c r="E25">
        <v>15</v>
      </c>
      <c r="F25" s="79">
        <f>E25*1500</f>
        <v>22500</v>
      </c>
      <c r="G25" s="79">
        <f>E25*500</f>
        <v>7500</v>
      </c>
      <c r="H25" s="79">
        <f>E25*1000</f>
        <v>15000</v>
      </c>
    </row>
    <row r="26" spans="1:8" x14ac:dyDescent="0.25">
      <c r="C26" t="s">
        <v>797</v>
      </c>
      <c r="D26" t="s">
        <v>11</v>
      </c>
      <c r="E26">
        <v>16</v>
      </c>
      <c r="F26" s="79">
        <f>E26*2000</f>
        <v>32000</v>
      </c>
      <c r="G26" s="79">
        <f>E26*500</f>
        <v>8000</v>
      </c>
      <c r="H26" s="79">
        <f>E26*1500</f>
        <v>24000</v>
      </c>
    </row>
    <row r="27" spans="1:8" x14ac:dyDescent="0.25">
      <c r="D27" t="s">
        <v>13</v>
      </c>
      <c r="E27">
        <v>35</v>
      </c>
      <c r="F27" s="79">
        <f>E27*7000</f>
        <v>245000</v>
      </c>
      <c r="G27" s="79">
        <f>E27*5500</f>
        <v>192500</v>
      </c>
      <c r="H27" s="79">
        <f>E27*1500</f>
        <v>52500</v>
      </c>
    </row>
    <row r="28" spans="1:8" x14ac:dyDescent="0.25">
      <c r="D28" t="s">
        <v>14</v>
      </c>
      <c r="E28">
        <v>12</v>
      </c>
      <c r="F28" s="79">
        <f>E28*10000</f>
        <v>120000</v>
      </c>
      <c r="G28" s="79">
        <f>E28*6500</f>
        <v>78000</v>
      </c>
      <c r="H28" s="79">
        <f>E28*3500</f>
        <v>42000</v>
      </c>
    </row>
    <row r="29" spans="1:8" x14ac:dyDescent="0.25">
      <c r="D29" t="s">
        <v>243</v>
      </c>
      <c r="E29">
        <v>1</v>
      </c>
      <c r="F29" s="79">
        <v>15000</v>
      </c>
      <c r="G29" s="79">
        <v>11000</v>
      </c>
      <c r="H29" s="79">
        <v>4000</v>
      </c>
    </row>
    <row r="30" spans="1:8" x14ac:dyDescent="0.25">
      <c r="A30" s="112" t="s">
        <v>17</v>
      </c>
      <c r="B30" s="112"/>
      <c r="C30" s="112"/>
      <c r="D30" s="112"/>
      <c r="E30" s="78">
        <f>SUM(E19:E29)</f>
        <v>119</v>
      </c>
      <c r="F30" s="78">
        <f t="shared" ref="F30:H30" si="3">SUM(F19:F29)</f>
        <v>538500</v>
      </c>
      <c r="G30" s="78">
        <f t="shared" si="3"/>
        <v>350000</v>
      </c>
      <c r="H30" s="78">
        <f t="shared" si="3"/>
        <v>188500</v>
      </c>
    </row>
    <row r="31" spans="1:8" x14ac:dyDescent="0.25">
      <c r="A31" t="s">
        <v>22</v>
      </c>
      <c r="B31" s="3">
        <v>46178</v>
      </c>
      <c r="C31" t="s">
        <v>1046</v>
      </c>
      <c r="D31" t="s">
        <v>902</v>
      </c>
      <c r="E31">
        <v>5</v>
      </c>
      <c r="F31" s="79">
        <f>E31*8000</f>
        <v>40000</v>
      </c>
      <c r="G31" s="79">
        <f>E31*5500</f>
        <v>27500</v>
      </c>
      <c r="H31" s="79">
        <f>E31*2500</f>
        <v>12500</v>
      </c>
    </row>
    <row r="32" spans="1:8" x14ac:dyDescent="0.25">
      <c r="D32" t="s">
        <v>902</v>
      </c>
      <c r="E32">
        <v>4</v>
      </c>
      <c r="F32" s="79" t="s">
        <v>777</v>
      </c>
      <c r="G32" s="79"/>
      <c r="H32" s="79"/>
    </row>
    <row r="33" spans="1:9" x14ac:dyDescent="0.25">
      <c r="C33" t="s">
        <v>338</v>
      </c>
      <c r="D33" t="s">
        <v>11</v>
      </c>
      <c r="E33">
        <v>40</v>
      </c>
      <c r="F33" s="79">
        <f>E33*1500</f>
        <v>60000</v>
      </c>
      <c r="G33" s="79">
        <f>E33*500</f>
        <v>20000</v>
      </c>
      <c r="H33" s="79">
        <f>E33*1000</f>
        <v>40000</v>
      </c>
    </row>
    <row r="34" spans="1:9" x14ac:dyDescent="0.25">
      <c r="C34" t="s">
        <v>581</v>
      </c>
      <c r="D34" t="s">
        <v>11</v>
      </c>
      <c r="E34">
        <v>20</v>
      </c>
      <c r="F34" s="79">
        <f>E34*1500</f>
        <v>30000</v>
      </c>
      <c r="G34" s="79">
        <f>E34*500</f>
        <v>10000</v>
      </c>
      <c r="H34" s="79">
        <f>E34*1000</f>
        <v>20000</v>
      </c>
    </row>
    <row r="35" spans="1:9" x14ac:dyDescent="0.25">
      <c r="C35" t="s">
        <v>1003</v>
      </c>
      <c r="D35" t="s">
        <v>243</v>
      </c>
      <c r="E35">
        <v>70</v>
      </c>
      <c r="F35" s="79">
        <f>E35*12500</f>
        <v>875000</v>
      </c>
      <c r="G35" s="79">
        <f>E35*9500</f>
        <v>665000</v>
      </c>
      <c r="H35" s="79">
        <f>E35*3000</f>
        <v>210000</v>
      </c>
    </row>
    <row r="36" spans="1:9" x14ac:dyDescent="0.25">
      <c r="C36" t="s">
        <v>24</v>
      </c>
      <c r="D36" t="s">
        <v>243</v>
      </c>
      <c r="E36">
        <v>2</v>
      </c>
      <c r="F36" s="79">
        <f>E36*18000</f>
        <v>36000</v>
      </c>
      <c r="G36" s="79">
        <f>E36*11500</f>
        <v>23000</v>
      </c>
      <c r="H36" s="79">
        <f>E36*6500</f>
        <v>13000</v>
      </c>
    </row>
    <row r="37" spans="1:9" x14ac:dyDescent="0.25">
      <c r="A37" s="112" t="s">
        <v>17</v>
      </c>
      <c r="B37" s="112"/>
      <c r="C37" s="112"/>
      <c r="D37" s="112"/>
      <c r="E37" s="78">
        <f>SUM(E31:E36)</f>
        <v>141</v>
      </c>
      <c r="F37" s="78">
        <f t="shared" ref="F37:H37" si="4">SUM(F31:F36)</f>
        <v>1041000</v>
      </c>
      <c r="G37" s="78">
        <f t="shared" si="4"/>
        <v>745500</v>
      </c>
      <c r="H37" s="78">
        <f t="shared" si="4"/>
        <v>295500</v>
      </c>
    </row>
    <row r="38" spans="1:9" x14ac:dyDescent="0.25">
      <c r="A38" t="s">
        <v>26</v>
      </c>
      <c r="B38" s="3">
        <v>46179</v>
      </c>
      <c r="C38" t="s">
        <v>797</v>
      </c>
      <c r="D38" t="s">
        <v>11</v>
      </c>
      <c r="E38">
        <v>20</v>
      </c>
      <c r="F38">
        <f>E38*2000</f>
        <v>40000</v>
      </c>
      <c r="G38">
        <f>E38*500</f>
        <v>10000</v>
      </c>
      <c r="H38">
        <f>E38*1500</f>
        <v>30000</v>
      </c>
    </row>
    <row r="39" spans="1:9" x14ac:dyDescent="0.25">
      <c r="D39" t="s">
        <v>13</v>
      </c>
      <c r="E39">
        <v>35</v>
      </c>
      <c r="F39">
        <f>E39*8000</f>
        <v>280000</v>
      </c>
      <c r="G39">
        <f>E39*5500</f>
        <v>192500</v>
      </c>
      <c r="H39">
        <f>E39*2500</f>
        <v>87500</v>
      </c>
    </row>
    <row r="40" spans="1:9" x14ac:dyDescent="0.25">
      <c r="D40" t="s">
        <v>14</v>
      </c>
      <c r="E40">
        <v>7</v>
      </c>
      <c r="F40">
        <f>E40*11000</f>
        <v>77000</v>
      </c>
      <c r="G40">
        <f>E40*6500</f>
        <v>45500</v>
      </c>
      <c r="H40">
        <f>E40*4500</f>
        <v>31500</v>
      </c>
    </row>
    <row r="41" spans="1:9" x14ac:dyDescent="0.25">
      <c r="D41" t="s">
        <v>243</v>
      </c>
      <c r="E41">
        <v>1</v>
      </c>
      <c r="F41">
        <v>15000</v>
      </c>
      <c r="G41">
        <v>11500</v>
      </c>
      <c r="H41">
        <v>4500</v>
      </c>
    </row>
    <row r="42" spans="1:9" x14ac:dyDescent="0.25">
      <c r="C42" t="s">
        <v>1046</v>
      </c>
      <c r="D42" t="s">
        <v>918</v>
      </c>
      <c r="E42">
        <v>3</v>
      </c>
      <c r="F42">
        <f>E42*15000</f>
        <v>45000</v>
      </c>
      <c r="G42">
        <f>E42*10000</f>
        <v>30000</v>
      </c>
      <c r="H42">
        <f>E42*5000</f>
        <v>15000</v>
      </c>
    </row>
    <row r="43" spans="1:9" x14ac:dyDescent="0.25">
      <c r="A43" s="111" t="s">
        <v>17</v>
      </c>
      <c r="B43" s="111"/>
      <c r="C43" s="111"/>
      <c r="D43" s="111"/>
      <c r="E43" s="1">
        <f>SUM(E38:E42)</f>
        <v>66</v>
      </c>
      <c r="F43" s="1">
        <f t="shared" ref="F43:H43" si="5">SUM(F38:F42)</f>
        <v>457000</v>
      </c>
      <c r="G43" s="1">
        <f t="shared" si="5"/>
        <v>289500</v>
      </c>
      <c r="H43" s="1">
        <f t="shared" si="5"/>
        <v>168500</v>
      </c>
    </row>
    <row r="44" spans="1:9" x14ac:dyDescent="0.25">
      <c r="A44" t="s">
        <v>28</v>
      </c>
      <c r="B44" s="3">
        <v>46180</v>
      </c>
      <c r="C44" t="s">
        <v>1046</v>
      </c>
      <c r="D44" t="s">
        <v>13</v>
      </c>
      <c r="E44">
        <v>3</v>
      </c>
      <c r="F44" t="s">
        <v>777</v>
      </c>
    </row>
    <row r="45" spans="1:9" x14ac:dyDescent="0.25">
      <c r="D45" t="s">
        <v>14</v>
      </c>
      <c r="E45">
        <v>4</v>
      </c>
      <c r="F45" t="s">
        <v>777</v>
      </c>
    </row>
    <row r="46" spans="1:9" x14ac:dyDescent="0.25">
      <c r="D46" t="s">
        <v>13</v>
      </c>
      <c r="E46">
        <v>12</v>
      </c>
      <c r="F46" s="79">
        <f>E46*10000</f>
        <v>120000</v>
      </c>
      <c r="G46" s="79">
        <f>E46*5500</f>
        <v>66000</v>
      </c>
      <c r="H46" s="79">
        <f>E46*4500</f>
        <v>54000</v>
      </c>
      <c r="I46" s="79"/>
    </row>
    <row r="47" spans="1:9" x14ac:dyDescent="0.25">
      <c r="D47" t="s">
        <v>14</v>
      </c>
      <c r="E47">
        <v>6</v>
      </c>
      <c r="F47" s="79">
        <f>E47*12000</f>
        <v>72000</v>
      </c>
      <c r="G47" s="79">
        <f>E47*6500</f>
        <v>39000</v>
      </c>
      <c r="H47" s="79">
        <f>E47*5500</f>
        <v>33000</v>
      </c>
      <c r="I47" s="79"/>
    </row>
    <row r="48" spans="1:9" x14ac:dyDescent="0.25">
      <c r="D48" t="s">
        <v>243</v>
      </c>
      <c r="E48">
        <v>2</v>
      </c>
      <c r="F48" s="79">
        <f>E48*18000</f>
        <v>36000</v>
      </c>
      <c r="G48" s="79">
        <f>E48*11500</f>
        <v>23000</v>
      </c>
      <c r="H48" s="79">
        <f>E48*6500</f>
        <v>13000</v>
      </c>
      <c r="I48" s="79"/>
    </row>
    <row r="49" spans="1:9" x14ac:dyDescent="0.25">
      <c r="D49" t="s">
        <v>11</v>
      </c>
      <c r="E49">
        <v>4</v>
      </c>
      <c r="F49" s="79">
        <f>E49*3000</f>
        <v>12000</v>
      </c>
      <c r="G49" s="79">
        <f>E49*500</f>
        <v>2000</v>
      </c>
      <c r="H49" s="79">
        <f>E49*2500</f>
        <v>10000</v>
      </c>
      <c r="I49" s="79"/>
    </row>
    <row r="50" spans="1:9" x14ac:dyDescent="0.25">
      <c r="C50" t="s">
        <v>1050</v>
      </c>
      <c r="D50" t="s">
        <v>13</v>
      </c>
      <c r="E50">
        <v>14</v>
      </c>
      <c r="F50" s="79">
        <f>E50*10000</f>
        <v>140000</v>
      </c>
      <c r="G50" s="79">
        <f>E50*5500</f>
        <v>77000</v>
      </c>
      <c r="H50" s="79">
        <f>E50*4500</f>
        <v>63000</v>
      </c>
      <c r="I50" s="79"/>
    </row>
    <row r="51" spans="1:9" x14ac:dyDescent="0.25">
      <c r="D51" t="s">
        <v>14</v>
      </c>
      <c r="E51">
        <v>4</v>
      </c>
      <c r="F51" s="79">
        <f>E51*12000</f>
        <v>48000</v>
      </c>
      <c r="G51" s="79">
        <f>E51*6500</f>
        <v>26000</v>
      </c>
      <c r="H51" s="79">
        <f>E51*5500</f>
        <v>22000</v>
      </c>
      <c r="I51" s="79"/>
    </row>
    <row r="52" spans="1:9" x14ac:dyDescent="0.25">
      <c r="D52" t="s">
        <v>11</v>
      </c>
      <c r="E52">
        <v>1</v>
      </c>
      <c r="F52" s="79">
        <v>3000</v>
      </c>
      <c r="G52" s="79">
        <v>500</v>
      </c>
      <c r="H52" s="79">
        <v>2500</v>
      </c>
      <c r="I52" s="79"/>
    </row>
    <row r="53" spans="1:9" x14ac:dyDescent="0.25">
      <c r="A53" s="112" t="s">
        <v>17</v>
      </c>
      <c r="B53" s="112"/>
      <c r="C53" s="112"/>
      <c r="D53" s="112"/>
      <c r="E53" s="78">
        <f>SUM(E44:E52)</f>
        <v>50</v>
      </c>
      <c r="F53" s="78">
        <f t="shared" ref="F53:H53" si="6">SUM(F44:F52)</f>
        <v>431000</v>
      </c>
      <c r="G53" s="78">
        <f t="shared" si="6"/>
        <v>233500</v>
      </c>
      <c r="H53" s="78">
        <f t="shared" si="6"/>
        <v>197500</v>
      </c>
    </row>
    <row r="54" spans="1:9" x14ac:dyDescent="0.25">
      <c r="A54" t="s">
        <v>30</v>
      </c>
      <c r="B54" s="3">
        <v>46181</v>
      </c>
      <c r="C54" t="s">
        <v>338</v>
      </c>
      <c r="D54" t="s">
        <v>11</v>
      </c>
      <c r="E54">
        <v>40</v>
      </c>
      <c r="F54">
        <f>E54*1500</f>
        <v>60000</v>
      </c>
      <c r="G54">
        <f>E54*500</f>
        <v>20000</v>
      </c>
      <c r="H54">
        <f>E54*1000</f>
        <v>40000</v>
      </c>
    </row>
    <row r="55" spans="1:9" x14ac:dyDescent="0.25">
      <c r="C55" t="s">
        <v>581</v>
      </c>
      <c r="D55" t="s">
        <v>11</v>
      </c>
      <c r="E55">
        <v>20</v>
      </c>
      <c r="F55">
        <f>E55*1500</f>
        <v>30000</v>
      </c>
      <c r="G55">
        <f>E55*500</f>
        <v>10000</v>
      </c>
      <c r="H55">
        <f>E55*1000</f>
        <v>20000</v>
      </c>
    </row>
    <row r="56" spans="1:9" x14ac:dyDescent="0.25">
      <c r="C56" t="s">
        <v>1046</v>
      </c>
      <c r="D56" t="s">
        <v>902</v>
      </c>
      <c r="E56">
        <v>3</v>
      </c>
      <c r="F56">
        <f>E56*8000</f>
        <v>24000</v>
      </c>
      <c r="G56">
        <f>E56*5500</f>
        <v>16500</v>
      </c>
      <c r="H56">
        <f>E56*2500</f>
        <v>7500</v>
      </c>
    </row>
    <row r="57" spans="1:9" x14ac:dyDescent="0.25">
      <c r="A57" s="111" t="s">
        <v>17</v>
      </c>
      <c r="B57" s="111"/>
      <c r="C57" s="111"/>
      <c r="D57" s="111"/>
      <c r="E57" s="1">
        <f>SUM(E54:E56)</f>
        <v>63</v>
      </c>
      <c r="F57" s="1">
        <f t="shared" ref="F57:H57" si="7">SUM(F54:F56)</f>
        <v>114000</v>
      </c>
      <c r="G57" s="1">
        <f t="shared" si="7"/>
        <v>46500</v>
      </c>
      <c r="H57" s="1">
        <f t="shared" si="7"/>
        <v>67500</v>
      </c>
    </row>
    <row r="58" spans="1:9" x14ac:dyDescent="0.25">
      <c r="A58" t="s">
        <v>32</v>
      </c>
      <c r="B58" s="3">
        <v>46182</v>
      </c>
      <c r="C58" t="s">
        <v>1046</v>
      </c>
      <c r="D58" t="s">
        <v>902</v>
      </c>
      <c r="E58">
        <v>8</v>
      </c>
      <c r="F58">
        <f>E58*8000</f>
        <v>64000</v>
      </c>
      <c r="G58">
        <f>E58*5500</f>
        <v>44000</v>
      </c>
      <c r="H58">
        <f>E58*2500</f>
        <v>20000</v>
      </c>
    </row>
    <row r="59" spans="1:9" x14ac:dyDescent="0.25">
      <c r="D59" t="s">
        <v>919</v>
      </c>
      <c r="E59">
        <v>2</v>
      </c>
      <c r="F59">
        <v>24000</v>
      </c>
      <c r="G59">
        <v>12000</v>
      </c>
      <c r="H59">
        <v>12000</v>
      </c>
    </row>
    <row r="60" spans="1:9" x14ac:dyDescent="0.25">
      <c r="C60" t="s">
        <v>338</v>
      </c>
      <c r="D60" t="s">
        <v>11</v>
      </c>
      <c r="E60">
        <v>30</v>
      </c>
      <c r="F60">
        <f>E60*1500</f>
        <v>45000</v>
      </c>
      <c r="G60">
        <f>E60*500</f>
        <v>15000</v>
      </c>
      <c r="H60">
        <f>E60*1000</f>
        <v>30000</v>
      </c>
    </row>
    <row r="61" spans="1:9" x14ac:dyDescent="0.25">
      <c r="C61" t="s">
        <v>581</v>
      </c>
      <c r="D61" t="s">
        <v>11</v>
      </c>
      <c r="E61">
        <v>20</v>
      </c>
      <c r="F61">
        <f>E61*1500</f>
        <v>30000</v>
      </c>
      <c r="G61">
        <f>E61*500</f>
        <v>10000</v>
      </c>
      <c r="H61">
        <f>E61*1000</f>
        <v>20000</v>
      </c>
    </row>
    <row r="62" spans="1:9" x14ac:dyDescent="0.25">
      <c r="C62" t="s">
        <v>797</v>
      </c>
      <c r="D62" t="s">
        <v>11</v>
      </c>
      <c r="E62">
        <v>11</v>
      </c>
      <c r="F62">
        <f>E62*2000</f>
        <v>22000</v>
      </c>
      <c r="G62">
        <f>E62*500</f>
        <v>5500</v>
      </c>
      <c r="H62">
        <f>E62*1500</f>
        <v>16500</v>
      </c>
    </row>
    <row r="63" spans="1:9" x14ac:dyDescent="0.25">
      <c r="D63" t="s">
        <v>13</v>
      </c>
      <c r="E63">
        <v>17</v>
      </c>
      <c r="F63">
        <f>E63*8000</f>
        <v>136000</v>
      </c>
      <c r="G63">
        <f>E63*5500</f>
        <v>93500</v>
      </c>
      <c r="H63">
        <f>E63*2500</f>
        <v>42500</v>
      </c>
    </row>
    <row r="64" spans="1:9" x14ac:dyDescent="0.25">
      <c r="D64" t="s">
        <v>14</v>
      </c>
      <c r="E64">
        <v>22</v>
      </c>
      <c r="F64">
        <f>E64*11000</f>
        <v>242000</v>
      </c>
      <c r="G64">
        <f>E64*6500</f>
        <v>143000</v>
      </c>
      <c r="H64">
        <f>E64*4500</f>
        <v>99000</v>
      </c>
    </row>
    <row r="65" spans="1:8" x14ac:dyDescent="0.25">
      <c r="C65" t="s">
        <v>1003</v>
      </c>
      <c r="D65" t="s">
        <v>243</v>
      </c>
      <c r="E65">
        <v>100</v>
      </c>
      <c r="F65">
        <f>E65*12500</f>
        <v>1250000</v>
      </c>
      <c r="G65">
        <f>E65*9500</f>
        <v>950000</v>
      </c>
      <c r="H65">
        <f>E65*3000</f>
        <v>300000</v>
      </c>
    </row>
    <row r="66" spans="1:8" x14ac:dyDescent="0.25">
      <c r="C66" t="s">
        <v>24</v>
      </c>
      <c r="D66" t="s">
        <v>243</v>
      </c>
      <c r="E66">
        <v>2</v>
      </c>
      <c r="F66">
        <v>30000</v>
      </c>
      <c r="G66">
        <v>22000</v>
      </c>
      <c r="H66">
        <v>8000</v>
      </c>
    </row>
    <row r="67" spans="1:8" x14ac:dyDescent="0.25">
      <c r="A67" s="112" t="s">
        <v>17</v>
      </c>
      <c r="B67" s="112"/>
      <c r="C67" s="112"/>
      <c r="D67" s="112"/>
      <c r="E67" s="78">
        <f>SUM(E58:E66)</f>
        <v>212</v>
      </c>
      <c r="F67" s="78">
        <f t="shared" ref="F67:H67" si="8">SUM(F58:F66)</f>
        <v>1843000</v>
      </c>
      <c r="G67" s="78">
        <f t="shared" si="8"/>
        <v>1295000</v>
      </c>
      <c r="H67" s="78">
        <f t="shared" si="8"/>
        <v>548000</v>
      </c>
    </row>
    <row r="68" spans="1:8" x14ac:dyDescent="0.25">
      <c r="A68" t="s">
        <v>8</v>
      </c>
      <c r="B68" s="3">
        <v>46183</v>
      </c>
    </row>
    <row r="74" spans="1:8" x14ac:dyDescent="0.25">
      <c r="A74" t="s">
        <v>32</v>
      </c>
      <c r="B74" s="3">
        <v>46189</v>
      </c>
      <c r="C74" t="s">
        <v>1046</v>
      </c>
      <c r="D74" t="s">
        <v>1070</v>
      </c>
      <c r="E74">
        <v>5</v>
      </c>
      <c r="F74">
        <f>E74*8000</f>
        <v>40000</v>
      </c>
      <c r="G74">
        <f>E74*5500</f>
        <v>27500</v>
      </c>
      <c r="H74">
        <f>E74*2500</f>
        <v>12500</v>
      </c>
    </row>
    <row r="75" spans="1:8" x14ac:dyDescent="0.25">
      <c r="D75" t="s">
        <v>1070</v>
      </c>
      <c r="E75">
        <v>1</v>
      </c>
      <c r="F75" t="s">
        <v>777</v>
      </c>
    </row>
    <row r="76" spans="1:8" x14ac:dyDescent="0.25">
      <c r="D76" t="s">
        <v>966</v>
      </c>
      <c r="E76">
        <v>1</v>
      </c>
      <c r="F76">
        <v>10000</v>
      </c>
      <c r="G76">
        <v>5000</v>
      </c>
      <c r="H76">
        <v>5000</v>
      </c>
    </row>
    <row r="77" spans="1:8" x14ac:dyDescent="0.25">
      <c r="C77" t="s">
        <v>1003</v>
      </c>
      <c r="D77" t="s">
        <v>243</v>
      </c>
      <c r="E77">
        <v>100</v>
      </c>
      <c r="F77">
        <f>E77*12500</f>
        <v>1250000</v>
      </c>
      <c r="G77">
        <f>E77*9500</f>
        <v>950000</v>
      </c>
      <c r="H77">
        <f>E77*3000</f>
        <v>300000</v>
      </c>
    </row>
    <row r="80" spans="1:8" x14ac:dyDescent="0.25">
      <c r="A80" t="s">
        <v>8</v>
      </c>
      <c r="B80" s="3">
        <v>46190</v>
      </c>
      <c r="C80" t="s">
        <v>1046</v>
      </c>
      <c r="D80" t="s">
        <v>902</v>
      </c>
      <c r="E80">
        <v>1</v>
      </c>
      <c r="F80" t="s">
        <v>777</v>
      </c>
    </row>
    <row r="81" spans="1:8" x14ac:dyDescent="0.25">
      <c r="D81" t="s">
        <v>918</v>
      </c>
      <c r="E81">
        <v>1</v>
      </c>
      <c r="F81" t="s">
        <v>777</v>
      </c>
    </row>
    <row r="82" spans="1:8" x14ac:dyDescent="0.25">
      <c r="D82" t="s">
        <v>918</v>
      </c>
      <c r="E82">
        <v>1</v>
      </c>
      <c r="F82">
        <v>15000</v>
      </c>
      <c r="G82">
        <v>10000</v>
      </c>
      <c r="H82">
        <v>5000</v>
      </c>
    </row>
    <row r="83" spans="1:8" x14ac:dyDescent="0.25">
      <c r="D83" t="s">
        <v>919</v>
      </c>
      <c r="E83">
        <v>3</v>
      </c>
      <c r="F83">
        <f>E83*12000</f>
        <v>36000</v>
      </c>
      <c r="G83">
        <f>E83*6000</f>
        <v>18000</v>
      </c>
      <c r="H83">
        <f>E83*6000</f>
        <v>18000</v>
      </c>
    </row>
    <row r="84" spans="1:8" x14ac:dyDescent="0.25">
      <c r="D84" t="s">
        <v>1069</v>
      </c>
      <c r="E84">
        <v>3</v>
      </c>
      <c r="F84">
        <v>60000</v>
      </c>
      <c r="G84">
        <v>45000</v>
      </c>
      <c r="H84">
        <v>15000</v>
      </c>
    </row>
    <row r="85" spans="1:8" x14ac:dyDescent="0.25">
      <c r="C85" t="s">
        <v>581</v>
      </c>
      <c r="D85" t="s">
        <v>11</v>
      </c>
      <c r="E85">
        <v>9</v>
      </c>
      <c r="F85">
        <f>E85*1500</f>
        <v>13500</v>
      </c>
      <c r="G85">
        <f>E85*500</f>
        <v>4500</v>
      </c>
      <c r="H85">
        <f>E85*1000</f>
        <v>9000</v>
      </c>
    </row>
    <row r="86" spans="1:8" x14ac:dyDescent="0.25">
      <c r="A86" s="112" t="s">
        <v>17</v>
      </c>
      <c r="B86" s="112"/>
      <c r="C86" s="112"/>
      <c r="D86" s="112"/>
      <c r="E86" s="78">
        <f>SUM(E80:E85)</f>
        <v>18</v>
      </c>
      <c r="F86" s="78">
        <f t="shared" ref="F86:H86" si="9">SUM(F80:F85)</f>
        <v>124500</v>
      </c>
      <c r="G86" s="78">
        <f t="shared" si="9"/>
        <v>77500</v>
      </c>
      <c r="H86" s="78">
        <f t="shared" si="9"/>
        <v>47000</v>
      </c>
    </row>
  </sheetData>
  <mergeCells count="10">
    <mergeCell ref="A7:D7"/>
    <mergeCell ref="A13:D13"/>
    <mergeCell ref="A18:D18"/>
    <mergeCell ref="A30:D30"/>
    <mergeCell ref="A37:D37"/>
    <mergeCell ref="A86:D86"/>
    <mergeCell ref="A43:D43"/>
    <mergeCell ref="A53:D53"/>
    <mergeCell ref="A57:D57"/>
    <mergeCell ref="A67:D6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E07E-C965-4C96-A37F-760F0E6CBC3F}">
  <dimension ref="A1:I152"/>
  <sheetViews>
    <sheetView topLeftCell="A139" workbookViewId="0">
      <selection activeCell="H156" sqref="H156"/>
    </sheetView>
  </sheetViews>
  <sheetFormatPr defaultRowHeight="15" x14ac:dyDescent="0.25"/>
  <cols>
    <col min="2" max="2" width="10.85546875" customWidth="1"/>
    <col min="5" max="5" width="9.28515625" bestFit="1" customWidth="1"/>
    <col min="6" max="6" width="11.5703125" bestFit="1" customWidth="1"/>
    <col min="7" max="7" width="10.7109375" bestFit="1" customWidth="1"/>
    <col min="8" max="8" width="9.42578125" bestFit="1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8</v>
      </c>
      <c r="B2" s="3">
        <v>46204</v>
      </c>
      <c r="C2" t="s">
        <v>1046</v>
      </c>
      <c r="D2" t="s">
        <v>902</v>
      </c>
      <c r="E2">
        <v>4</v>
      </c>
      <c r="F2" s="79">
        <f>E2*8000</f>
        <v>32000</v>
      </c>
      <c r="G2" s="79">
        <f>E2*5500</f>
        <v>22000</v>
      </c>
      <c r="H2" s="79">
        <f>E2*2500</f>
        <v>10000</v>
      </c>
    </row>
    <row r="3" spans="1:8" x14ac:dyDescent="0.25">
      <c r="B3" s="3"/>
      <c r="D3" t="s">
        <v>918</v>
      </c>
      <c r="E3">
        <v>1</v>
      </c>
      <c r="F3" s="79">
        <v>15000</v>
      </c>
      <c r="G3" s="79">
        <v>10000</v>
      </c>
      <c r="H3" s="79">
        <v>5000</v>
      </c>
    </row>
    <row r="4" spans="1:8" x14ac:dyDescent="0.25">
      <c r="B4" s="3"/>
      <c r="D4" t="s">
        <v>434</v>
      </c>
      <c r="E4">
        <v>1</v>
      </c>
      <c r="F4" s="79">
        <v>18000</v>
      </c>
      <c r="G4" s="79">
        <v>12000</v>
      </c>
      <c r="H4" s="79">
        <v>6000</v>
      </c>
    </row>
    <row r="5" spans="1:8" x14ac:dyDescent="0.25">
      <c r="C5" t="s">
        <v>797</v>
      </c>
      <c r="D5" t="s">
        <v>11</v>
      </c>
      <c r="E5">
        <v>28</v>
      </c>
      <c r="F5" s="79">
        <f>E5*2000</f>
        <v>56000</v>
      </c>
      <c r="G5" s="79">
        <f>E5*500</f>
        <v>14000</v>
      </c>
      <c r="H5" s="79">
        <f>E5*1500</f>
        <v>42000</v>
      </c>
    </row>
    <row r="6" spans="1:8" x14ac:dyDescent="0.25">
      <c r="D6" t="s">
        <v>13</v>
      </c>
      <c r="E6">
        <v>26</v>
      </c>
      <c r="F6" s="79">
        <f>E6*7500</f>
        <v>195000</v>
      </c>
      <c r="G6" s="79">
        <f>E6*5500</f>
        <v>143000</v>
      </c>
      <c r="H6" s="79">
        <f>E6*2000</f>
        <v>52000</v>
      </c>
    </row>
    <row r="7" spans="1:8" x14ac:dyDescent="0.25">
      <c r="D7" t="s">
        <v>14</v>
      </c>
      <c r="E7">
        <v>13</v>
      </c>
      <c r="F7" s="79">
        <f>E7*10000</f>
        <v>130000</v>
      </c>
      <c r="G7" s="79">
        <f>E7*6500</f>
        <v>84500</v>
      </c>
      <c r="H7" s="79">
        <f>E7*4500</f>
        <v>58500</v>
      </c>
    </row>
    <row r="8" spans="1:8" x14ac:dyDescent="0.25">
      <c r="D8" t="s">
        <v>243</v>
      </c>
      <c r="E8">
        <v>0</v>
      </c>
      <c r="F8" s="79">
        <f>E8*15000</f>
        <v>0</v>
      </c>
      <c r="G8" s="79">
        <f>E8*11000</f>
        <v>0</v>
      </c>
      <c r="H8" s="79">
        <f>E8*4000</f>
        <v>0</v>
      </c>
    </row>
    <row r="9" spans="1:8" x14ac:dyDescent="0.25">
      <c r="A9" s="112" t="s">
        <v>17</v>
      </c>
      <c r="B9" s="112"/>
      <c r="C9" s="112"/>
      <c r="D9" s="112"/>
      <c r="E9" s="78">
        <f>SUM(E2:E8)</f>
        <v>73</v>
      </c>
      <c r="F9" s="78">
        <f>SUM(F2:F8)</f>
        <v>446000</v>
      </c>
      <c r="G9" s="78">
        <f t="shared" ref="G9:H9" si="0">SUM(G2:G8)</f>
        <v>285500</v>
      </c>
      <c r="H9" s="78">
        <f t="shared" si="0"/>
        <v>173500</v>
      </c>
    </row>
    <row r="10" spans="1:8" x14ac:dyDescent="0.25">
      <c r="A10" t="s">
        <v>18</v>
      </c>
      <c r="B10" s="3">
        <v>46205</v>
      </c>
      <c r="C10" t="s">
        <v>1046</v>
      </c>
      <c r="D10" t="s">
        <v>902</v>
      </c>
      <c r="E10">
        <v>7</v>
      </c>
      <c r="F10">
        <f>E10*8000</f>
        <v>56000</v>
      </c>
      <c r="G10">
        <f>E10*5500</f>
        <v>38500</v>
      </c>
      <c r="H10">
        <f>E10*2500</f>
        <v>17500</v>
      </c>
    </row>
    <row r="11" spans="1:8" x14ac:dyDescent="0.25">
      <c r="D11" t="s">
        <v>918</v>
      </c>
      <c r="E11">
        <v>1</v>
      </c>
      <c r="F11">
        <v>15000</v>
      </c>
      <c r="G11">
        <v>10000</v>
      </c>
      <c r="H11">
        <v>5000</v>
      </c>
    </row>
    <row r="12" spans="1:8" x14ac:dyDescent="0.25">
      <c r="D12" t="s">
        <v>919</v>
      </c>
      <c r="E12">
        <v>2</v>
      </c>
      <c r="F12" t="s">
        <v>777</v>
      </c>
    </row>
    <row r="13" spans="1:8" x14ac:dyDescent="0.25">
      <c r="A13" s="112" t="s">
        <v>17</v>
      </c>
      <c r="B13" s="112"/>
      <c r="C13" s="112"/>
      <c r="D13" s="112"/>
      <c r="E13" s="78">
        <f>SUM(E10:E12)</f>
        <v>10</v>
      </c>
      <c r="F13" s="78">
        <f t="shared" ref="F13:H13" si="1">SUM(F10:F12)</f>
        <v>71000</v>
      </c>
      <c r="G13" s="78">
        <f t="shared" si="1"/>
        <v>48500</v>
      </c>
      <c r="H13" s="78">
        <f t="shared" si="1"/>
        <v>22500</v>
      </c>
    </row>
    <row r="14" spans="1:8" x14ac:dyDescent="0.25">
      <c r="A14" t="s">
        <v>22</v>
      </c>
      <c r="B14" s="3">
        <v>46206</v>
      </c>
      <c r="C14" t="s">
        <v>797</v>
      </c>
      <c r="D14" t="s">
        <v>13</v>
      </c>
      <c r="E14">
        <v>30</v>
      </c>
      <c r="F14">
        <f>E14*7500</f>
        <v>225000</v>
      </c>
      <c r="G14">
        <f>E14*5500</f>
        <v>165000</v>
      </c>
      <c r="H14">
        <f>E14*2000</f>
        <v>60000</v>
      </c>
    </row>
    <row r="15" spans="1:8" x14ac:dyDescent="0.25">
      <c r="D15" t="s">
        <v>14</v>
      </c>
      <c r="E15">
        <v>9</v>
      </c>
      <c r="F15">
        <f>E15*10000</f>
        <v>90000</v>
      </c>
      <c r="G15">
        <f>E15*6500</f>
        <v>58500</v>
      </c>
      <c r="H15">
        <f>E15*3500</f>
        <v>31500</v>
      </c>
    </row>
    <row r="16" spans="1:8" x14ac:dyDescent="0.25">
      <c r="D16" t="s">
        <v>243</v>
      </c>
      <c r="E16">
        <v>2</v>
      </c>
      <c r="F16">
        <v>30000</v>
      </c>
      <c r="G16">
        <v>20000</v>
      </c>
      <c r="H16">
        <v>10000</v>
      </c>
    </row>
    <row r="17" spans="1:8" x14ac:dyDescent="0.25">
      <c r="C17" t="s">
        <v>1046</v>
      </c>
      <c r="D17" t="s">
        <v>902</v>
      </c>
      <c r="E17">
        <v>1</v>
      </c>
      <c r="F17">
        <v>8000</v>
      </c>
      <c r="G17">
        <v>5500</v>
      </c>
      <c r="H17">
        <v>2500</v>
      </c>
    </row>
    <row r="18" spans="1:8" x14ac:dyDescent="0.25">
      <c r="D18" t="s">
        <v>902</v>
      </c>
      <c r="E18">
        <v>1</v>
      </c>
      <c r="F18" t="s">
        <v>777</v>
      </c>
    </row>
    <row r="19" spans="1:8" x14ac:dyDescent="0.25">
      <c r="D19" t="s">
        <v>918</v>
      </c>
      <c r="E19">
        <v>1</v>
      </c>
      <c r="F19">
        <v>15000</v>
      </c>
      <c r="G19">
        <v>10000</v>
      </c>
      <c r="H19">
        <v>5000</v>
      </c>
    </row>
    <row r="20" spans="1:8" x14ac:dyDescent="0.25">
      <c r="D20" t="s">
        <v>1072</v>
      </c>
      <c r="E20">
        <v>3</v>
      </c>
      <c r="F20">
        <v>24000</v>
      </c>
      <c r="G20">
        <f>E20*5500</f>
        <v>16500</v>
      </c>
      <c r="H20">
        <f>E20*2500</f>
        <v>7500</v>
      </c>
    </row>
    <row r="21" spans="1:8" x14ac:dyDescent="0.25">
      <c r="D21" t="s">
        <v>434</v>
      </c>
      <c r="E21">
        <v>1</v>
      </c>
      <c r="F21">
        <v>18000</v>
      </c>
      <c r="G21">
        <v>12000</v>
      </c>
      <c r="H21">
        <v>6000</v>
      </c>
    </row>
    <row r="22" spans="1:8" x14ac:dyDescent="0.25">
      <c r="C22" t="s">
        <v>1003</v>
      </c>
      <c r="D22" t="s">
        <v>243</v>
      </c>
      <c r="E22">
        <v>100</v>
      </c>
      <c r="F22">
        <f>E22*12500</f>
        <v>1250000</v>
      </c>
      <c r="G22">
        <f>E22*9500</f>
        <v>950000</v>
      </c>
      <c r="H22">
        <f>E22*3000</f>
        <v>300000</v>
      </c>
    </row>
    <row r="23" spans="1:8" x14ac:dyDescent="0.25">
      <c r="A23" s="112" t="s">
        <v>17</v>
      </c>
      <c r="B23" s="112"/>
      <c r="C23" s="112"/>
      <c r="D23" s="112"/>
      <c r="E23" s="78">
        <f>SUM(E14:E22)</f>
        <v>148</v>
      </c>
      <c r="F23" s="78">
        <f>SUM(F14:F21)</f>
        <v>410000</v>
      </c>
      <c r="G23" s="78">
        <f>SUM(G14:G21)</f>
        <v>287500</v>
      </c>
      <c r="H23" s="78">
        <f>SUM(H14:H21)</f>
        <v>122500</v>
      </c>
    </row>
    <row r="24" spans="1:8" x14ac:dyDescent="0.25">
      <c r="A24" t="s">
        <v>26</v>
      </c>
      <c r="B24" s="3">
        <v>46207</v>
      </c>
      <c r="C24" t="s">
        <v>75</v>
      </c>
      <c r="D24" t="s">
        <v>75</v>
      </c>
      <c r="E24" t="s">
        <v>75</v>
      </c>
    </row>
    <row r="25" spans="1:8" x14ac:dyDescent="0.25">
      <c r="A25" t="s">
        <v>28</v>
      </c>
      <c r="B25" s="3">
        <v>46208</v>
      </c>
      <c r="C25" t="s">
        <v>20</v>
      </c>
      <c r="D25" t="s">
        <v>13</v>
      </c>
      <c r="E25">
        <v>30</v>
      </c>
      <c r="F25">
        <f>E25*10000</f>
        <v>300000</v>
      </c>
      <c r="G25">
        <f>E25*5500</f>
        <v>165000</v>
      </c>
      <c r="H25">
        <f>E25*4500</f>
        <v>135000</v>
      </c>
    </row>
    <row r="26" spans="1:8" x14ac:dyDescent="0.25">
      <c r="D26" t="s">
        <v>14</v>
      </c>
      <c r="E26">
        <v>24</v>
      </c>
      <c r="F26">
        <f>E26*12000</f>
        <v>288000</v>
      </c>
      <c r="G26">
        <f>E26*6500</f>
        <v>156000</v>
      </c>
      <c r="H26">
        <f>E26*5500</f>
        <v>132000</v>
      </c>
    </row>
    <row r="27" spans="1:8" x14ac:dyDescent="0.25">
      <c r="D27" t="s">
        <v>243</v>
      </c>
      <c r="E27">
        <v>2</v>
      </c>
      <c r="F27">
        <v>30000</v>
      </c>
      <c r="G27">
        <v>20000</v>
      </c>
      <c r="H27">
        <v>10000</v>
      </c>
    </row>
    <row r="28" spans="1:8" x14ac:dyDescent="0.25">
      <c r="C28" t="s">
        <v>1050</v>
      </c>
      <c r="D28" t="s">
        <v>13</v>
      </c>
      <c r="E28">
        <v>11</v>
      </c>
      <c r="F28">
        <f>E28*10000</f>
        <v>110000</v>
      </c>
      <c r="G28">
        <f>E28*5500</f>
        <v>60500</v>
      </c>
      <c r="H28">
        <f>E28*4500</f>
        <v>49500</v>
      </c>
    </row>
    <row r="29" spans="1:8" x14ac:dyDescent="0.25">
      <c r="D29" t="s">
        <v>14</v>
      </c>
      <c r="E29">
        <v>8</v>
      </c>
      <c r="F29">
        <f>E29*12000</f>
        <v>96000</v>
      </c>
      <c r="G29">
        <f>E29*6500</f>
        <v>52000</v>
      </c>
      <c r="H29">
        <f>E29*5500</f>
        <v>44000</v>
      </c>
    </row>
    <row r="30" spans="1:8" x14ac:dyDescent="0.25">
      <c r="C30" t="s">
        <v>24</v>
      </c>
      <c r="D30" t="s">
        <v>243</v>
      </c>
      <c r="E30">
        <v>3</v>
      </c>
      <c r="F30">
        <f>E30*15000</f>
        <v>45000</v>
      </c>
      <c r="G30">
        <f>E30*12000</f>
        <v>36000</v>
      </c>
      <c r="H30">
        <f>E30*6000</f>
        <v>18000</v>
      </c>
    </row>
    <row r="31" spans="1:8" x14ac:dyDescent="0.25">
      <c r="A31" s="111" t="s">
        <v>17</v>
      </c>
      <c r="B31" s="111"/>
      <c r="C31" s="111"/>
      <c r="D31" s="111"/>
      <c r="E31" s="1">
        <f>SUM(E25:E30)</f>
        <v>78</v>
      </c>
      <c r="F31" s="1">
        <f t="shared" ref="F31:H31" si="2">SUM(F25:F30)</f>
        <v>869000</v>
      </c>
      <c r="G31" s="1">
        <f t="shared" si="2"/>
        <v>489500</v>
      </c>
      <c r="H31" s="1">
        <f t="shared" si="2"/>
        <v>388500</v>
      </c>
    </row>
    <row r="32" spans="1:8" x14ac:dyDescent="0.25">
      <c r="A32" t="s">
        <v>30</v>
      </c>
      <c r="B32" s="3">
        <v>46209</v>
      </c>
      <c r="C32" t="s">
        <v>1046</v>
      </c>
      <c r="D32" t="s">
        <v>902</v>
      </c>
      <c r="E32">
        <v>8</v>
      </c>
      <c r="F32">
        <f>E32*8000</f>
        <v>64000</v>
      </c>
      <c r="G32">
        <f>E32*5500</f>
        <v>44000</v>
      </c>
      <c r="H32">
        <f>E32*2500</f>
        <v>20000</v>
      </c>
    </row>
    <row r="33" spans="1:9" x14ac:dyDescent="0.25">
      <c r="D33" t="s">
        <v>902</v>
      </c>
      <c r="E33">
        <v>2</v>
      </c>
      <c r="F33" t="s">
        <v>777</v>
      </c>
    </row>
    <row r="34" spans="1:9" x14ac:dyDescent="0.25">
      <c r="D34" t="s">
        <v>919</v>
      </c>
      <c r="E34">
        <v>1</v>
      </c>
      <c r="F34" t="s">
        <v>777</v>
      </c>
    </row>
    <row r="35" spans="1:9" x14ac:dyDescent="0.25">
      <c r="A35" s="111" t="s">
        <v>17</v>
      </c>
      <c r="B35" s="111"/>
      <c r="C35" s="111"/>
      <c r="D35" s="111"/>
      <c r="E35" s="1">
        <f>SUM(E32:E34)</f>
        <v>11</v>
      </c>
      <c r="F35" s="1">
        <f t="shared" ref="F35:H35" si="3">SUM(F32:F34)</f>
        <v>64000</v>
      </c>
      <c r="G35" s="1">
        <f t="shared" si="3"/>
        <v>44000</v>
      </c>
      <c r="H35" s="1">
        <f t="shared" si="3"/>
        <v>20000</v>
      </c>
    </row>
    <row r="36" spans="1:9" x14ac:dyDescent="0.25">
      <c r="A36" t="s">
        <v>32</v>
      </c>
      <c r="B36" s="3">
        <v>46210</v>
      </c>
      <c r="C36" t="s">
        <v>797</v>
      </c>
      <c r="D36" t="s">
        <v>13</v>
      </c>
      <c r="E36">
        <v>30</v>
      </c>
      <c r="F36" s="79">
        <f>E36*7500</f>
        <v>225000</v>
      </c>
      <c r="G36" s="79">
        <f>E36*5500</f>
        <v>165000</v>
      </c>
      <c r="H36" s="79">
        <f>E36*2000</f>
        <v>60000</v>
      </c>
      <c r="I36" s="79"/>
    </row>
    <row r="37" spans="1:9" x14ac:dyDescent="0.25">
      <c r="D37" t="s">
        <v>14</v>
      </c>
      <c r="E37">
        <v>17</v>
      </c>
      <c r="F37" s="79">
        <f>E37*10000</f>
        <v>170000</v>
      </c>
      <c r="G37" s="79">
        <f>E37*6500</f>
        <v>110500</v>
      </c>
      <c r="H37" s="79">
        <f>E37*3500</f>
        <v>59500</v>
      </c>
      <c r="I37" s="79"/>
    </row>
    <row r="38" spans="1:9" x14ac:dyDescent="0.25">
      <c r="D38" t="s">
        <v>243</v>
      </c>
      <c r="E38">
        <v>2</v>
      </c>
      <c r="F38" s="79">
        <v>30000</v>
      </c>
      <c r="G38" s="79">
        <v>20000</v>
      </c>
      <c r="H38" s="79">
        <v>10000</v>
      </c>
      <c r="I38" s="79"/>
    </row>
    <row r="39" spans="1:9" x14ac:dyDescent="0.25">
      <c r="C39" t="s">
        <v>1046</v>
      </c>
      <c r="D39" t="s">
        <v>902</v>
      </c>
      <c r="E39">
        <v>3</v>
      </c>
      <c r="F39" s="79">
        <f>E39*8000</f>
        <v>24000</v>
      </c>
      <c r="G39" s="79">
        <f>E39*5500</f>
        <v>16500</v>
      </c>
      <c r="H39" s="79">
        <f>E39*2500</f>
        <v>7500</v>
      </c>
      <c r="I39" s="79"/>
    </row>
    <row r="40" spans="1:9" x14ac:dyDescent="0.25">
      <c r="D40" t="s">
        <v>902</v>
      </c>
      <c r="E40">
        <v>1</v>
      </c>
      <c r="F40" s="79" t="s">
        <v>777</v>
      </c>
      <c r="G40" s="79"/>
      <c r="H40" s="79"/>
      <c r="I40" s="79"/>
    </row>
    <row r="41" spans="1:9" x14ac:dyDescent="0.25">
      <c r="D41" t="s">
        <v>919</v>
      </c>
      <c r="E41">
        <v>2</v>
      </c>
      <c r="F41" s="79" t="s">
        <v>777</v>
      </c>
      <c r="G41" s="79"/>
      <c r="H41" s="79"/>
      <c r="I41" s="79"/>
    </row>
    <row r="42" spans="1:9" x14ac:dyDescent="0.25">
      <c r="D42" t="s">
        <v>966</v>
      </c>
      <c r="E42">
        <v>1</v>
      </c>
      <c r="F42" s="79" t="s">
        <v>777</v>
      </c>
      <c r="G42" s="79"/>
      <c r="H42" s="79"/>
      <c r="I42" s="79"/>
    </row>
    <row r="43" spans="1:9" x14ac:dyDescent="0.25">
      <c r="C43" t="s">
        <v>1003</v>
      </c>
      <c r="D43" t="s">
        <v>243</v>
      </c>
      <c r="E43">
        <v>100</v>
      </c>
      <c r="F43" s="79">
        <f>E43*12500</f>
        <v>1250000</v>
      </c>
      <c r="G43" s="79">
        <f>E43*9500</f>
        <v>950000</v>
      </c>
      <c r="H43" s="79">
        <f>E43*3000</f>
        <v>300000</v>
      </c>
      <c r="I43" s="79"/>
    </row>
    <row r="44" spans="1:9" x14ac:dyDescent="0.25">
      <c r="A44" s="112" t="s">
        <v>17</v>
      </c>
      <c r="B44" s="112"/>
      <c r="C44" s="112"/>
      <c r="D44" s="112"/>
      <c r="E44" s="78">
        <f>SUM(E36:E43)</f>
        <v>156</v>
      </c>
      <c r="F44" s="78">
        <f t="shared" ref="F44:H44" si="4">SUM(F36:F43)</f>
        <v>1699000</v>
      </c>
      <c r="G44" s="78">
        <f t="shared" si="4"/>
        <v>1262000</v>
      </c>
      <c r="H44" s="78">
        <f t="shared" si="4"/>
        <v>437000</v>
      </c>
    </row>
    <row r="45" spans="1:9" x14ac:dyDescent="0.25">
      <c r="A45" t="s">
        <v>8</v>
      </c>
      <c r="B45" s="3">
        <v>46211</v>
      </c>
      <c r="C45" t="s">
        <v>1046</v>
      </c>
      <c r="D45" t="s">
        <v>902</v>
      </c>
      <c r="E45">
        <v>5</v>
      </c>
      <c r="F45">
        <f>E45*8000</f>
        <v>40000</v>
      </c>
      <c r="G45">
        <f>E45*550</f>
        <v>2750</v>
      </c>
      <c r="H45">
        <f>E45*2500</f>
        <v>12500</v>
      </c>
    </row>
    <row r="46" spans="1:9" x14ac:dyDescent="0.25">
      <c r="D46" t="s">
        <v>436</v>
      </c>
      <c r="E46">
        <v>1</v>
      </c>
      <c r="F46">
        <v>8000</v>
      </c>
      <c r="G46">
        <v>4000</v>
      </c>
      <c r="H46">
        <v>4000</v>
      </c>
    </row>
    <row r="47" spans="1:9" x14ac:dyDescent="0.25">
      <c r="A47" s="112" t="s">
        <v>17</v>
      </c>
      <c r="B47" s="112"/>
      <c r="C47" s="112"/>
      <c r="D47" s="112"/>
      <c r="E47" s="78">
        <f>SUM(E45:E46)</f>
        <v>6</v>
      </c>
      <c r="F47" s="78">
        <f t="shared" ref="F47:H47" si="5">SUM(F45:F46)</f>
        <v>48000</v>
      </c>
      <c r="G47" s="78">
        <f t="shared" si="5"/>
        <v>6750</v>
      </c>
      <c r="H47" s="78">
        <f t="shared" si="5"/>
        <v>16500</v>
      </c>
    </row>
    <row r="48" spans="1:9" x14ac:dyDescent="0.25">
      <c r="A48" t="s">
        <v>18</v>
      </c>
      <c r="B48" s="3">
        <v>46212</v>
      </c>
      <c r="C48" s="1" t="s">
        <v>75</v>
      </c>
      <c r="D48" s="1" t="s">
        <v>75</v>
      </c>
      <c r="E48" s="1" t="s">
        <v>75</v>
      </c>
      <c r="F48" s="79"/>
      <c r="G48" s="79"/>
      <c r="H48" s="79"/>
    </row>
    <row r="49" spans="1:8" x14ac:dyDescent="0.25">
      <c r="A49" t="s">
        <v>22</v>
      </c>
      <c r="B49" s="3">
        <v>46213</v>
      </c>
      <c r="C49" t="s">
        <v>1046</v>
      </c>
      <c r="D49" t="s">
        <v>902</v>
      </c>
      <c r="E49">
        <v>3</v>
      </c>
      <c r="F49" s="79">
        <f>E49*8000</f>
        <v>24000</v>
      </c>
      <c r="G49" s="79">
        <f>E49*5500</f>
        <v>16500</v>
      </c>
      <c r="H49" s="79">
        <f>E49*2500</f>
        <v>7500</v>
      </c>
    </row>
    <row r="50" spans="1:8" x14ac:dyDescent="0.25">
      <c r="C50" t="s">
        <v>1003</v>
      </c>
      <c r="D50" t="s">
        <v>243</v>
      </c>
      <c r="E50">
        <v>100</v>
      </c>
      <c r="F50" s="79">
        <f>E50*12500</f>
        <v>1250000</v>
      </c>
      <c r="G50" s="79">
        <f>E50*9500</f>
        <v>950000</v>
      </c>
      <c r="H50" s="79">
        <f>E50*3000</f>
        <v>300000</v>
      </c>
    </row>
    <row r="51" spans="1:8" x14ac:dyDescent="0.25">
      <c r="C51" t="s">
        <v>24</v>
      </c>
      <c r="D51" t="s">
        <v>243</v>
      </c>
      <c r="E51">
        <v>5</v>
      </c>
      <c r="F51" s="79">
        <f>E51*18000</f>
        <v>90000</v>
      </c>
      <c r="G51" s="79">
        <f>E51*12000</f>
        <v>60000</v>
      </c>
      <c r="H51" s="79">
        <f>E51*6000</f>
        <v>30000</v>
      </c>
    </row>
    <row r="52" spans="1:8" x14ac:dyDescent="0.25">
      <c r="A52" s="112" t="s">
        <v>17</v>
      </c>
      <c r="B52" s="112"/>
      <c r="C52" s="112"/>
      <c r="D52" s="112"/>
      <c r="E52" s="78">
        <f>SUM(E49:E51)</f>
        <v>108</v>
      </c>
      <c r="F52" s="78">
        <f t="shared" ref="F52:H52" si="6">SUM(F49:F51)</f>
        <v>1364000</v>
      </c>
      <c r="G52" s="78">
        <f t="shared" si="6"/>
        <v>1026500</v>
      </c>
      <c r="H52" s="78">
        <f t="shared" si="6"/>
        <v>337500</v>
      </c>
    </row>
    <row r="53" spans="1:8" x14ac:dyDescent="0.25">
      <c r="A53" t="s">
        <v>26</v>
      </c>
      <c r="B53" s="3">
        <v>46214</v>
      </c>
      <c r="C53" t="s">
        <v>1046</v>
      </c>
      <c r="D53" t="s">
        <v>902</v>
      </c>
      <c r="E53">
        <v>6</v>
      </c>
      <c r="F53">
        <f>E53*8000</f>
        <v>48000</v>
      </c>
      <c r="G53">
        <f>E53*5500</f>
        <v>33000</v>
      </c>
      <c r="H53">
        <f>E53*2500</f>
        <v>15000</v>
      </c>
    </row>
    <row r="54" spans="1:8" x14ac:dyDescent="0.25">
      <c r="D54" t="s">
        <v>966</v>
      </c>
      <c r="E54">
        <v>1</v>
      </c>
      <c r="F54">
        <v>10000</v>
      </c>
      <c r="G54">
        <v>5000</v>
      </c>
      <c r="H54">
        <v>5000</v>
      </c>
    </row>
    <row r="55" spans="1:8" x14ac:dyDescent="0.25">
      <c r="D55" t="s">
        <v>919</v>
      </c>
      <c r="E55">
        <v>3</v>
      </c>
      <c r="F55">
        <f>E55*12000</f>
        <v>36000</v>
      </c>
      <c r="G55">
        <f>E55*6000</f>
        <v>18000</v>
      </c>
      <c r="H55">
        <v>18000</v>
      </c>
    </row>
    <row r="56" spans="1:8" x14ac:dyDescent="0.25">
      <c r="D56" t="s">
        <v>436</v>
      </c>
      <c r="E56">
        <v>3</v>
      </c>
      <c r="F56">
        <v>24000</v>
      </c>
      <c r="G56">
        <v>12000</v>
      </c>
      <c r="H56">
        <v>12000</v>
      </c>
    </row>
    <row r="57" spans="1:8" x14ac:dyDescent="0.25">
      <c r="D57" t="s">
        <v>918</v>
      </c>
      <c r="E57">
        <v>1</v>
      </c>
      <c r="F57">
        <v>15000</v>
      </c>
      <c r="G57">
        <v>10000</v>
      </c>
      <c r="H57">
        <v>5000</v>
      </c>
    </row>
    <row r="58" spans="1:8" x14ac:dyDescent="0.25">
      <c r="C58" t="s">
        <v>24</v>
      </c>
      <c r="D58" t="s">
        <v>243</v>
      </c>
      <c r="E58">
        <v>2</v>
      </c>
      <c r="F58">
        <v>36000</v>
      </c>
      <c r="G58">
        <v>24000</v>
      </c>
      <c r="H58">
        <v>12000</v>
      </c>
    </row>
    <row r="59" spans="1:8" x14ac:dyDescent="0.25">
      <c r="A59" s="112" t="s">
        <v>17</v>
      </c>
      <c r="B59" s="112"/>
      <c r="C59" s="112"/>
      <c r="D59" s="112"/>
      <c r="E59" s="78">
        <f>SUM(E53:E58)</f>
        <v>16</v>
      </c>
      <c r="F59" s="78">
        <f t="shared" ref="F59:H59" si="7">SUM(F53:F58)</f>
        <v>169000</v>
      </c>
      <c r="G59" s="78">
        <f t="shared" si="7"/>
        <v>102000</v>
      </c>
      <c r="H59" s="78">
        <f t="shared" si="7"/>
        <v>67000</v>
      </c>
    </row>
    <row r="60" spans="1:8" x14ac:dyDescent="0.25">
      <c r="A60" t="s">
        <v>28</v>
      </c>
      <c r="B60" s="3">
        <v>46215</v>
      </c>
      <c r="C60" t="s">
        <v>797</v>
      </c>
      <c r="D60" t="s">
        <v>13</v>
      </c>
      <c r="E60">
        <v>21</v>
      </c>
      <c r="F60">
        <f>E60*7500</f>
        <v>157500</v>
      </c>
      <c r="G60">
        <f>E60*5500</f>
        <v>115500</v>
      </c>
      <c r="H60">
        <f>E60*2000</f>
        <v>42000</v>
      </c>
    </row>
    <row r="61" spans="1:8" x14ac:dyDescent="0.25">
      <c r="D61" t="s">
        <v>14</v>
      </c>
      <c r="E61">
        <v>5</v>
      </c>
      <c r="F61">
        <f>E61*10000</f>
        <v>50000</v>
      </c>
      <c r="G61">
        <f>E61*6500</f>
        <v>32500</v>
      </c>
      <c r="H61">
        <f>E61*3500</f>
        <v>17500</v>
      </c>
    </row>
    <row r="62" spans="1:8" x14ac:dyDescent="0.25">
      <c r="D62" t="s">
        <v>243</v>
      </c>
      <c r="E62">
        <v>3</v>
      </c>
      <c r="F62">
        <f>E62*15000</f>
        <v>45000</v>
      </c>
      <c r="G62">
        <f>E62*10000</f>
        <v>30000</v>
      </c>
      <c r="H62">
        <f>E62*5000</f>
        <v>15000</v>
      </c>
    </row>
    <row r="63" spans="1:8" x14ac:dyDescent="0.25">
      <c r="C63" t="s">
        <v>1046</v>
      </c>
      <c r="D63" t="s">
        <v>13</v>
      </c>
      <c r="E63">
        <v>4</v>
      </c>
      <c r="F63">
        <f>E63*10000</f>
        <v>40000</v>
      </c>
      <c r="G63">
        <f>E63*5500</f>
        <v>22000</v>
      </c>
      <c r="H63">
        <f>E63*4500</f>
        <v>18000</v>
      </c>
    </row>
    <row r="64" spans="1:8" x14ac:dyDescent="0.25">
      <c r="D64" t="s">
        <v>14</v>
      </c>
      <c r="E64">
        <v>5</v>
      </c>
      <c r="F64">
        <f>E64*12000</f>
        <v>60000</v>
      </c>
      <c r="G64">
        <f>E64*6500</f>
        <v>32500</v>
      </c>
      <c r="H64">
        <f>E64*4500</f>
        <v>22500</v>
      </c>
    </row>
    <row r="65" spans="1:8" x14ac:dyDescent="0.25">
      <c r="C65" t="s">
        <v>20</v>
      </c>
      <c r="D65" t="s">
        <v>13</v>
      </c>
      <c r="E65">
        <v>35</v>
      </c>
      <c r="F65">
        <f>E65*10000</f>
        <v>350000</v>
      </c>
      <c r="G65">
        <f>E65*5500</f>
        <v>192500</v>
      </c>
      <c r="H65">
        <f>E65*4500</f>
        <v>157500</v>
      </c>
    </row>
    <row r="66" spans="1:8" x14ac:dyDescent="0.25">
      <c r="D66" t="s">
        <v>14</v>
      </c>
      <c r="E66">
        <v>25</v>
      </c>
      <c r="F66">
        <f>E66*12000</f>
        <v>300000</v>
      </c>
      <c r="G66">
        <f>E66*6500</f>
        <v>162500</v>
      </c>
      <c r="H66">
        <f>E66*5500</f>
        <v>137500</v>
      </c>
    </row>
    <row r="67" spans="1:8" x14ac:dyDescent="0.25">
      <c r="A67" s="112" t="s">
        <v>17</v>
      </c>
      <c r="B67" s="112"/>
      <c r="C67" s="112"/>
      <c r="D67" s="112"/>
      <c r="E67" s="78">
        <f>SUM(E60:E66)</f>
        <v>98</v>
      </c>
      <c r="F67" s="78">
        <f t="shared" ref="F67:H67" si="8">SUM(F60:F66)</f>
        <v>1002500</v>
      </c>
      <c r="G67" s="78">
        <f t="shared" si="8"/>
        <v>587500</v>
      </c>
      <c r="H67" s="78">
        <f t="shared" si="8"/>
        <v>410000</v>
      </c>
    </row>
    <row r="68" spans="1:8" x14ac:dyDescent="0.25">
      <c r="A68" t="s">
        <v>30</v>
      </c>
      <c r="B68" s="3">
        <v>46216</v>
      </c>
      <c r="C68" t="s">
        <v>1046</v>
      </c>
      <c r="D68" t="s">
        <v>902</v>
      </c>
      <c r="E68">
        <v>4</v>
      </c>
      <c r="F68">
        <f>E68*8000</f>
        <v>32000</v>
      </c>
      <c r="G68">
        <f>E68*5500</f>
        <v>22000</v>
      </c>
      <c r="H68">
        <f>E68*2500</f>
        <v>10000</v>
      </c>
    </row>
    <row r="69" spans="1:8" x14ac:dyDescent="0.25">
      <c r="D69" t="s">
        <v>436</v>
      </c>
      <c r="E69">
        <v>1</v>
      </c>
      <c r="F69" t="s">
        <v>777</v>
      </c>
    </row>
    <row r="70" spans="1:8" x14ac:dyDescent="0.25">
      <c r="C70" t="s">
        <v>24</v>
      </c>
      <c r="D70" t="s">
        <v>243</v>
      </c>
      <c r="E70">
        <v>2</v>
      </c>
      <c r="F70">
        <v>36000</v>
      </c>
      <c r="G70">
        <v>24000</v>
      </c>
      <c r="H70">
        <v>12000</v>
      </c>
    </row>
    <row r="71" spans="1:8" x14ac:dyDescent="0.25">
      <c r="A71" s="112" t="s">
        <v>17</v>
      </c>
      <c r="B71" s="112"/>
      <c r="C71" s="112"/>
      <c r="D71" s="112"/>
      <c r="E71" s="78">
        <f>SUM(E68:E70)</f>
        <v>7</v>
      </c>
      <c r="F71" s="78">
        <f t="shared" ref="F71:H71" si="9">SUM(F68:F70)</f>
        <v>68000</v>
      </c>
      <c r="G71" s="78">
        <f t="shared" si="9"/>
        <v>46000</v>
      </c>
      <c r="H71" s="78">
        <f t="shared" si="9"/>
        <v>22000</v>
      </c>
    </row>
    <row r="72" spans="1:8" x14ac:dyDescent="0.25">
      <c r="A72" t="s">
        <v>32</v>
      </c>
      <c r="B72" s="3">
        <v>46217</v>
      </c>
      <c r="C72" t="s">
        <v>338</v>
      </c>
      <c r="D72" t="s">
        <v>11</v>
      </c>
      <c r="E72">
        <v>50</v>
      </c>
      <c r="F72" s="79">
        <f>E72*1500</f>
        <v>75000</v>
      </c>
      <c r="G72" s="79">
        <f>E72*500</f>
        <v>25000</v>
      </c>
      <c r="H72" s="79">
        <f>E72*1000</f>
        <v>50000</v>
      </c>
    </row>
    <row r="73" spans="1:8" x14ac:dyDescent="0.25">
      <c r="C73" t="s">
        <v>581</v>
      </c>
      <c r="D73" t="s">
        <v>11</v>
      </c>
      <c r="E73">
        <v>25</v>
      </c>
      <c r="F73" s="79">
        <f>E73*1600</f>
        <v>40000</v>
      </c>
      <c r="G73" s="79">
        <f>E73*500</f>
        <v>12500</v>
      </c>
      <c r="H73" s="79">
        <f>E73*1100</f>
        <v>27500</v>
      </c>
    </row>
    <row r="74" spans="1:8" x14ac:dyDescent="0.25">
      <c r="C74" t="s">
        <v>1046</v>
      </c>
      <c r="D74" t="s">
        <v>902</v>
      </c>
      <c r="E74">
        <v>5</v>
      </c>
      <c r="F74" s="79">
        <f>E74*8000</f>
        <v>40000</v>
      </c>
      <c r="G74" s="79">
        <f>E74*5500</f>
        <v>27500</v>
      </c>
      <c r="H74" s="79">
        <f>E74*2500</f>
        <v>12500</v>
      </c>
    </row>
    <row r="75" spans="1:8" x14ac:dyDescent="0.25">
      <c r="D75" t="s">
        <v>434</v>
      </c>
      <c r="E75">
        <v>1</v>
      </c>
      <c r="F75" s="79">
        <v>18000</v>
      </c>
      <c r="G75" s="79">
        <v>12000</v>
      </c>
      <c r="H75" s="79">
        <v>6000</v>
      </c>
    </row>
    <row r="76" spans="1:8" x14ac:dyDescent="0.25">
      <c r="C76" t="s">
        <v>1003</v>
      </c>
      <c r="D76" t="s">
        <v>243</v>
      </c>
      <c r="E76">
        <v>100</v>
      </c>
      <c r="F76" s="79">
        <f>E76*12500</f>
        <v>1250000</v>
      </c>
      <c r="G76" s="79">
        <f>E76*9500</f>
        <v>950000</v>
      </c>
      <c r="H76" s="79">
        <f>E76*3000</f>
        <v>300000</v>
      </c>
    </row>
    <row r="77" spans="1:8" x14ac:dyDescent="0.25">
      <c r="A77" s="112" t="s">
        <v>17</v>
      </c>
      <c r="B77" s="112"/>
      <c r="C77" s="112"/>
      <c r="D77" s="112"/>
      <c r="E77" s="78">
        <f>SUM(E72:E76)</f>
        <v>181</v>
      </c>
      <c r="F77" s="78">
        <f t="shared" ref="F77:H77" si="10">SUM(F72:F76)</f>
        <v>1423000</v>
      </c>
      <c r="G77" s="78">
        <f t="shared" si="10"/>
        <v>1027000</v>
      </c>
      <c r="H77" s="78">
        <f t="shared" si="10"/>
        <v>396000</v>
      </c>
    </row>
    <row r="78" spans="1:8" x14ac:dyDescent="0.25">
      <c r="A78" t="s">
        <v>1071</v>
      </c>
      <c r="B78" s="3">
        <v>46218</v>
      </c>
      <c r="C78" t="s">
        <v>1046</v>
      </c>
      <c r="D78" t="s">
        <v>902</v>
      </c>
      <c r="E78">
        <v>8</v>
      </c>
      <c r="F78">
        <f>E78*8000</f>
        <v>64000</v>
      </c>
      <c r="G78">
        <f>E78*5500</f>
        <v>44000</v>
      </c>
      <c r="H78">
        <f>E78*2500</f>
        <v>20000</v>
      </c>
    </row>
    <row r="79" spans="1:8" x14ac:dyDescent="0.25">
      <c r="D79" t="s">
        <v>919</v>
      </c>
      <c r="E79">
        <v>3</v>
      </c>
      <c r="F79">
        <v>36000</v>
      </c>
      <c r="G79">
        <v>18000</v>
      </c>
      <c r="H79">
        <v>18000</v>
      </c>
    </row>
    <row r="80" spans="1:8" x14ac:dyDescent="0.25">
      <c r="D80" t="s">
        <v>966</v>
      </c>
      <c r="E80">
        <v>1</v>
      </c>
      <c r="F80">
        <v>10000</v>
      </c>
      <c r="G80">
        <v>5000</v>
      </c>
      <c r="H80">
        <v>5000</v>
      </c>
    </row>
    <row r="81" spans="1:8" x14ac:dyDescent="0.25">
      <c r="C81" t="s">
        <v>338</v>
      </c>
      <c r="D81" t="s">
        <v>11</v>
      </c>
      <c r="E81">
        <v>50</v>
      </c>
      <c r="F81">
        <f>E81*1500</f>
        <v>75000</v>
      </c>
      <c r="G81">
        <f>E81*500</f>
        <v>25000</v>
      </c>
      <c r="H81">
        <f>E81*1000</f>
        <v>50000</v>
      </c>
    </row>
    <row r="82" spans="1:8" x14ac:dyDescent="0.25">
      <c r="C82" t="s">
        <v>1073</v>
      </c>
      <c r="D82" t="s">
        <v>11</v>
      </c>
      <c r="E82">
        <v>17</v>
      </c>
      <c r="F82">
        <f>E82*1600</f>
        <v>27200</v>
      </c>
      <c r="G82">
        <f>E82*500</f>
        <v>8500</v>
      </c>
      <c r="H82">
        <f>E82*1100</f>
        <v>18700</v>
      </c>
    </row>
    <row r="83" spans="1:8" x14ac:dyDescent="0.25">
      <c r="A83" s="112" t="s">
        <v>17</v>
      </c>
      <c r="B83" s="112"/>
      <c r="C83" s="112"/>
      <c r="D83" s="112"/>
      <c r="E83" s="78">
        <f>SUM(E78:E82)</f>
        <v>79</v>
      </c>
      <c r="F83" s="78">
        <f t="shared" ref="F83:H83" si="11">SUM(F78:F82)</f>
        <v>212200</v>
      </c>
      <c r="G83" s="78">
        <f t="shared" si="11"/>
        <v>100500</v>
      </c>
      <c r="H83" s="78">
        <f t="shared" si="11"/>
        <v>111700</v>
      </c>
    </row>
    <row r="84" spans="1:8" x14ac:dyDescent="0.25">
      <c r="A84" t="s">
        <v>18</v>
      </c>
      <c r="B84" s="3">
        <v>46219</v>
      </c>
      <c r="C84" t="s">
        <v>581</v>
      </c>
      <c r="D84" t="s">
        <v>11</v>
      </c>
      <c r="E84">
        <v>80</v>
      </c>
      <c r="F84" s="79">
        <f>E84*1600</f>
        <v>128000</v>
      </c>
      <c r="G84" s="79">
        <f>E84*500</f>
        <v>40000</v>
      </c>
      <c r="H84" s="79">
        <f>E84*1100</f>
        <v>88000</v>
      </c>
    </row>
    <row r="85" spans="1:8" x14ac:dyDescent="0.25">
      <c r="C85" t="s">
        <v>104</v>
      </c>
      <c r="D85" t="s">
        <v>11</v>
      </c>
      <c r="E85">
        <v>18</v>
      </c>
      <c r="F85" s="79">
        <f>E85*1600</f>
        <v>28800</v>
      </c>
      <c r="G85" s="79">
        <f>E85*500</f>
        <v>9000</v>
      </c>
      <c r="H85" s="79">
        <f>E85*1100</f>
        <v>19800</v>
      </c>
    </row>
    <row r="86" spans="1:8" x14ac:dyDescent="0.25">
      <c r="C86" t="s">
        <v>24</v>
      </c>
      <c r="D86" t="s">
        <v>243</v>
      </c>
      <c r="E86">
        <v>5</v>
      </c>
      <c r="F86" s="79">
        <f>E86*18000</f>
        <v>90000</v>
      </c>
      <c r="G86" s="79">
        <f>E86*10000</f>
        <v>50000</v>
      </c>
      <c r="H86" s="79">
        <f>E86*8000</f>
        <v>40000</v>
      </c>
    </row>
    <row r="87" spans="1:8" x14ac:dyDescent="0.25">
      <c r="C87" t="s">
        <v>1046</v>
      </c>
      <c r="D87" t="s">
        <v>13</v>
      </c>
      <c r="E87">
        <v>1</v>
      </c>
      <c r="F87" s="79">
        <v>10000</v>
      </c>
      <c r="G87" s="79">
        <v>5500</v>
      </c>
      <c r="H87" s="79">
        <v>4500</v>
      </c>
    </row>
    <row r="88" spans="1:8" x14ac:dyDescent="0.25">
      <c r="D88" t="s">
        <v>902</v>
      </c>
      <c r="E88">
        <v>4</v>
      </c>
      <c r="F88" s="79" t="s">
        <v>777</v>
      </c>
      <c r="G88" s="79"/>
      <c r="H88" s="79"/>
    </row>
    <row r="89" spans="1:8" x14ac:dyDescent="0.25">
      <c r="D89" t="s">
        <v>902</v>
      </c>
      <c r="E89">
        <v>1</v>
      </c>
      <c r="F89" s="79">
        <v>8000</v>
      </c>
      <c r="G89" s="79">
        <v>5500</v>
      </c>
      <c r="H89" s="79">
        <v>2500</v>
      </c>
    </row>
    <row r="90" spans="1:8" x14ac:dyDescent="0.25">
      <c r="D90" t="s">
        <v>918</v>
      </c>
      <c r="E90">
        <v>1</v>
      </c>
      <c r="F90" s="79">
        <v>15000</v>
      </c>
      <c r="G90" s="79">
        <v>10000</v>
      </c>
      <c r="H90" s="79">
        <v>5000</v>
      </c>
    </row>
    <row r="91" spans="1:8" x14ac:dyDescent="0.25">
      <c r="D91" t="s">
        <v>919</v>
      </c>
      <c r="E91">
        <v>2</v>
      </c>
      <c r="F91" s="79">
        <v>24000</v>
      </c>
      <c r="G91" s="79">
        <v>12000</v>
      </c>
      <c r="H91" s="79">
        <v>12000</v>
      </c>
    </row>
    <row r="92" spans="1:8" x14ac:dyDescent="0.25">
      <c r="D92" t="s">
        <v>953</v>
      </c>
      <c r="E92">
        <v>1</v>
      </c>
      <c r="F92" s="79">
        <v>10000</v>
      </c>
      <c r="G92" s="79">
        <v>5000</v>
      </c>
      <c r="H92" s="79">
        <v>5000</v>
      </c>
    </row>
    <row r="93" spans="1:8" x14ac:dyDescent="0.25">
      <c r="C93" t="s">
        <v>797</v>
      </c>
      <c r="D93" t="s">
        <v>13</v>
      </c>
      <c r="E93">
        <v>35</v>
      </c>
      <c r="F93" s="79">
        <f>E93*7500</f>
        <v>262500</v>
      </c>
      <c r="G93" s="79">
        <f>E93*5500</f>
        <v>192500</v>
      </c>
      <c r="H93" s="79">
        <f>E93*2000</f>
        <v>70000</v>
      </c>
    </row>
    <row r="94" spans="1:8" x14ac:dyDescent="0.25">
      <c r="D94" t="s">
        <v>14</v>
      </c>
      <c r="E94">
        <v>11</v>
      </c>
      <c r="F94" s="79">
        <f>E94*8000</f>
        <v>88000</v>
      </c>
      <c r="G94" s="79">
        <f>E94*6500</f>
        <v>71500</v>
      </c>
      <c r="H94" s="79">
        <f>E94*1500</f>
        <v>16500</v>
      </c>
    </row>
    <row r="95" spans="1:8" x14ac:dyDescent="0.25">
      <c r="D95" t="s">
        <v>14</v>
      </c>
      <c r="E95">
        <v>19</v>
      </c>
      <c r="F95" s="79">
        <f>E95*10000</f>
        <v>190000</v>
      </c>
      <c r="G95" s="79">
        <f>E95*6500</f>
        <v>123500</v>
      </c>
      <c r="H95" s="79">
        <f>E95*3500</f>
        <v>66500</v>
      </c>
    </row>
    <row r="96" spans="1:8" x14ac:dyDescent="0.25">
      <c r="D96" t="s">
        <v>243</v>
      </c>
      <c r="E96">
        <v>2</v>
      </c>
      <c r="F96" s="79">
        <v>30000</v>
      </c>
      <c r="G96" s="79">
        <v>20000</v>
      </c>
      <c r="H96" s="79">
        <v>10000</v>
      </c>
    </row>
    <row r="97" spans="1:8" x14ac:dyDescent="0.25">
      <c r="A97" s="112" t="s">
        <v>17</v>
      </c>
      <c r="B97" s="112"/>
      <c r="C97" s="112"/>
      <c r="D97" s="112"/>
      <c r="E97" s="78">
        <f>SUM(E84:E96)</f>
        <v>180</v>
      </c>
      <c r="F97" s="78">
        <f t="shared" ref="F97:H97" si="12">SUM(F84:F96)</f>
        <v>884300</v>
      </c>
      <c r="G97" s="78">
        <f t="shared" si="12"/>
        <v>544500</v>
      </c>
      <c r="H97" s="78">
        <f t="shared" si="12"/>
        <v>339800</v>
      </c>
    </row>
    <row r="98" spans="1:8" x14ac:dyDescent="0.25">
      <c r="A98" t="s">
        <v>22</v>
      </c>
      <c r="B98" s="3">
        <v>46220</v>
      </c>
      <c r="C98" t="s">
        <v>338</v>
      </c>
      <c r="D98" t="s">
        <v>11</v>
      </c>
      <c r="E98">
        <v>50</v>
      </c>
      <c r="F98" s="79">
        <f>E98*1500</f>
        <v>75000</v>
      </c>
      <c r="G98" s="79">
        <f>E98*500</f>
        <v>25000</v>
      </c>
      <c r="H98" s="79">
        <f>E98*1000</f>
        <v>50000</v>
      </c>
    </row>
    <row r="99" spans="1:8" x14ac:dyDescent="0.25">
      <c r="C99" t="s">
        <v>581</v>
      </c>
      <c r="D99" t="s">
        <v>11</v>
      </c>
      <c r="E99">
        <v>34</v>
      </c>
      <c r="F99" s="79">
        <f>E99*1600</f>
        <v>54400</v>
      </c>
      <c r="G99" s="79">
        <f>E99*500</f>
        <v>17000</v>
      </c>
      <c r="H99" s="79">
        <f>E99*1100</f>
        <v>37400</v>
      </c>
    </row>
    <row r="100" spans="1:8" x14ac:dyDescent="0.25">
      <c r="C100" t="s">
        <v>104</v>
      </c>
      <c r="D100" t="s">
        <v>11</v>
      </c>
      <c r="E100">
        <v>20</v>
      </c>
      <c r="F100" s="79">
        <f>E100*1600</f>
        <v>32000</v>
      </c>
      <c r="G100" s="79">
        <f>E100*500</f>
        <v>10000</v>
      </c>
      <c r="H100" s="79">
        <f>E100*1100</f>
        <v>22000</v>
      </c>
    </row>
    <row r="101" spans="1:8" x14ac:dyDescent="0.25">
      <c r="C101" t="s">
        <v>1003</v>
      </c>
      <c r="D101" t="s">
        <v>243</v>
      </c>
      <c r="E101">
        <v>100</v>
      </c>
      <c r="F101" s="79">
        <f>E101*12500</f>
        <v>1250000</v>
      </c>
      <c r="G101" s="79">
        <f>E101*9500</f>
        <v>950000</v>
      </c>
      <c r="H101" s="79">
        <f>E101*3000</f>
        <v>300000</v>
      </c>
    </row>
    <row r="102" spans="1:8" x14ac:dyDescent="0.25">
      <c r="C102" t="s">
        <v>1046</v>
      </c>
      <c r="D102" t="s">
        <v>436</v>
      </c>
      <c r="E102">
        <v>4</v>
      </c>
      <c r="F102" s="79">
        <f>E102*8000</f>
        <v>32000</v>
      </c>
      <c r="G102" s="79">
        <f>E102*5500</f>
        <v>22000</v>
      </c>
      <c r="H102" s="79">
        <f>E102*2500</f>
        <v>10000</v>
      </c>
    </row>
    <row r="103" spans="1:8" x14ac:dyDescent="0.25">
      <c r="D103" t="s">
        <v>902</v>
      </c>
      <c r="E103">
        <v>2</v>
      </c>
      <c r="F103" s="79">
        <f>E103*8000</f>
        <v>16000</v>
      </c>
      <c r="G103" s="79">
        <f>E103*5500</f>
        <v>11000</v>
      </c>
      <c r="H103" s="79">
        <f>E103*2500</f>
        <v>5000</v>
      </c>
    </row>
    <row r="104" spans="1:8" x14ac:dyDescent="0.25">
      <c r="D104" t="s">
        <v>919</v>
      </c>
      <c r="E104">
        <v>1</v>
      </c>
      <c r="F104" s="79">
        <v>12000</v>
      </c>
      <c r="G104" s="79">
        <v>6000</v>
      </c>
      <c r="H104" s="79">
        <v>6000</v>
      </c>
    </row>
    <row r="105" spans="1:8" x14ac:dyDescent="0.25">
      <c r="C105" t="s">
        <v>24</v>
      </c>
      <c r="D105" t="s">
        <v>243</v>
      </c>
      <c r="E105">
        <v>2</v>
      </c>
      <c r="F105" s="79">
        <v>30000</v>
      </c>
      <c r="G105" s="79">
        <v>20000</v>
      </c>
      <c r="H105" s="79">
        <v>10000</v>
      </c>
    </row>
    <row r="106" spans="1:8" x14ac:dyDescent="0.25">
      <c r="A106" s="112" t="s">
        <v>17</v>
      </c>
      <c r="B106" s="112"/>
      <c r="C106" s="112"/>
      <c r="D106" s="112"/>
      <c r="E106" s="78">
        <f>SUM(E98:E105)</f>
        <v>213</v>
      </c>
      <c r="F106" s="78">
        <f t="shared" ref="F106:H106" si="13">SUM(F98:F105)</f>
        <v>1501400</v>
      </c>
      <c r="G106" s="78">
        <f t="shared" si="13"/>
        <v>1061000</v>
      </c>
      <c r="H106" s="78">
        <f t="shared" si="13"/>
        <v>440400</v>
      </c>
    </row>
    <row r="107" spans="1:8" x14ac:dyDescent="0.25">
      <c r="A107" t="s">
        <v>26</v>
      </c>
      <c r="B107" s="3">
        <v>46221</v>
      </c>
      <c r="C107" t="s">
        <v>581</v>
      </c>
      <c r="D107" t="s">
        <v>11</v>
      </c>
      <c r="E107">
        <v>30</v>
      </c>
      <c r="F107">
        <f>E107*1600</f>
        <v>48000</v>
      </c>
      <c r="G107">
        <f>E107*500</f>
        <v>15000</v>
      </c>
      <c r="H107">
        <f>E107*1100</f>
        <v>33000</v>
      </c>
    </row>
    <row r="108" spans="1:8" x14ac:dyDescent="0.25">
      <c r="C108" t="s">
        <v>797</v>
      </c>
      <c r="D108" t="s">
        <v>11</v>
      </c>
      <c r="E108">
        <v>13</v>
      </c>
      <c r="F108">
        <f>E108*2000</f>
        <v>26000</v>
      </c>
      <c r="G108">
        <f>E108*500</f>
        <v>6500</v>
      </c>
      <c r="H108">
        <f>E108*1500</f>
        <v>19500</v>
      </c>
    </row>
    <row r="109" spans="1:8" x14ac:dyDescent="0.25">
      <c r="D109" t="s">
        <v>13</v>
      </c>
      <c r="E109">
        <v>29</v>
      </c>
      <c r="F109">
        <f>E109*7500</f>
        <v>217500</v>
      </c>
      <c r="G109">
        <f>E109*5500</f>
        <v>159500</v>
      </c>
      <c r="H109">
        <f>E109*2000</f>
        <v>58000</v>
      </c>
    </row>
    <row r="110" spans="1:8" x14ac:dyDescent="0.25">
      <c r="D110" t="s">
        <v>14</v>
      </c>
      <c r="E110">
        <v>4</v>
      </c>
      <c r="F110">
        <f>E110*10000</f>
        <v>40000</v>
      </c>
      <c r="G110">
        <f>E110*6500</f>
        <v>26000</v>
      </c>
      <c r="H110">
        <f>E110*4500</f>
        <v>18000</v>
      </c>
    </row>
    <row r="111" spans="1:8" x14ac:dyDescent="0.25">
      <c r="D111" t="s">
        <v>243</v>
      </c>
      <c r="E111">
        <v>1</v>
      </c>
      <c r="F111">
        <v>15000</v>
      </c>
      <c r="G111">
        <v>12000</v>
      </c>
      <c r="H111">
        <v>3000</v>
      </c>
    </row>
    <row r="112" spans="1:8" x14ac:dyDescent="0.25">
      <c r="D112" t="s">
        <v>1047</v>
      </c>
      <c r="E112">
        <v>1</v>
      </c>
      <c r="F112">
        <v>20000</v>
      </c>
      <c r="G112">
        <v>15000</v>
      </c>
      <c r="H112">
        <v>5000</v>
      </c>
    </row>
    <row r="113" spans="1:8" x14ac:dyDescent="0.25">
      <c r="C113" t="s">
        <v>1046</v>
      </c>
      <c r="D113" t="s">
        <v>902</v>
      </c>
      <c r="E113">
        <v>12</v>
      </c>
      <c r="F113">
        <f>E113*8000</f>
        <v>96000</v>
      </c>
      <c r="G113">
        <f>E113*5500</f>
        <v>66000</v>
      </c>
      <c r="H113">
        <f>E113*25500</f>
        <v>306000</v>
      </c>
    </row>
    <row r="114" spans="1:8" x14ac:dyDescent="0.25">
      <c r="D114" t="s">
        <v>902</v>
      </c>
      <c r="E114">
        <v>3</v>
      </c>
      <c r="F114" t="s">
        <v>777</v>
      </c>
    </row>
    <row r="115" spans="1:8" x14ac:dyDescent="0.25">
      <c r="A115" s="112" t="s">
        <v>17</v>
      </c>
      <c r="B115" s="112"/>
      <c r="C115" s="112"/>
      <c r="D115" s="112"/>
      <c r="E115" s="78">
        <f>SUM(E107:E114)</f>
        <v>93</v>
      </c>
      <c r="F115" s="78">
        <f t="shared" ref="F115:H115" si="14">SUM(F107:F114)</f>
        <v>462500</v>
      </c>
      <c r="G115" s="78">
        <f t="shared" si="14"/>
        <v>300000</v>
      </c>
      <c r="H115" s="78">
        <f t="shared" si="14"/>
        <v>442500</v>
      </c>
    </row>
    <row r="116" spans="1:8" x14ac:dyDescent="0.25">
      <c r="A116" t="s">
        <v>28</v>
      </c>
      <c r="B116" s="3">
        <v>45857</v>
      </c>
      <c r="C116" t="s">
        <v>20</v>
      </c>
      <c r="D116" t="s">
        <v>13</v>
      </c>
      <c r="E116">
        <v>17</v>
      </c>
      <c r="F116" s="79">
        <f>E116*10000</f>
        <v>170000</v>
      </c>
      <c r="G116" s="79">
        <f>E116*5500</f>
        <v>93500</v>
      </c>
      <c r="H116" s="79">
        <f>E116*4500</f>
        <v>76500</v>
      </c>
    </row>
    <row r="117" spans="1:8" x14ac:dyDescent="0.25">
      <c r="C117" t="s">
        <v>435</v>
      </c>
      <c r="D117" t="s">
        <v>13</v>
      </c>
      <c r="E117">
        <v>30</v>
      </c>
      <c r="F117" s="79">
        <f>E117*8000</f>
        <v>240000</v>
      </c>
      <c r="G117" s="79">
        <f>E117*5500</f>
        <v>165000</v>
      </c>
      <c r="H117" s="79">
        <f>E117*2500</f>
        <v>75000</v>
      </c>
    </row>
    <row r="118" spans="1:8" x14ac:dyDescent="0.25">
      <c r="D118" t="s">
        <v>1075</v>
      </c>
      <c r="E118">
        <v>3</v>
      </c>
      <c r="F118" s="79">
        <f>E118*23000</f>
        <v>69000</v>
      </c>
      <c r="G118" s="79">
        <f>E118*13000</f>
        <v>39000</v>
      </c>
      <c r="H118" s="79">
        <f>E118*10000</f>
        <v>30000</v>
      </c>
    </row>
    <row r="119" spans="1:8" x14ac:dyDescent="0.25">
      <c r="C119" t="s">
        <v>1074</v>
      </c>
      <c r="D119" t="s">
        <v>995</v>
      </c>
      <c r="E119">
        <v>5</v>
      </c>
      <c r="F119" s="79">
        <f t="shared" ref="F119:F120" si="15">E119*23000</f>
        <v>115000</v>
      </c>
      <c r="G119" s="79">
        <f t="shared" ref="G119:G120" si="16">E119*13000</f>
        <v>65000</v>
      </c>
      <c r="H119" s="79">
        <f t="shared" ref="H119:H120" si="17">E119*10000</f>
        <v>50000</v>
      </c>
    </row>
    <row r="120" spans="1:8" x14ac:dyDescent="0.25">
      <c r="D120" t="s">
        <v>1016</v>
      </c>
      <c r="E120">
        <v>5</v>
      </c>
      <c r="F120" s="79">
        <f t="shared" si="15"/>
        <v>115000</v>
      </c>
      <c r="G120" s="79">
        <f t="shared" si="16"/>
        <v>65000</v>
      </c>
      <c r="H120" s="79">
        <f t="shared" si="17"/>
        <v>50000</v>
      </c>
    </row>
    <row r="121" spans="1:8" x14ac:dyDescent="0.25">
      <c r="A121" s="112" t="s">
        <v>17</v>
      </c>
      <c r="B121" s="112"/>
      <c r="C121" s="112"/>
      <c r="D121" s="112"/>
      <c r="E121" s="78">
        <f>SUM(E116:E120)</f>
        <v>60</v>
      </c>
      <c r="F121" s="78">
        <f t="shared" ref="F121:H121" si="18">SUM(F116:F120)</f>
        <v>709000</v>
      </c>
      <c r="G121" s="78">
        <f t="shared" si="18"/>
        <v>427500</v>
      </c>
      <c r="H121" s="78">
        <f t="shared" si="18"/>
        <v>281500</v>
      </c>
    </row>
    <row r="122" spans="1:8" x14ac:dyDescent="0.25">
      <c r="A122" t="s">
        <v>30</v>
      </c>
      <c r="B122" s="3">
        <v>46223</v>
      </c>
      <c r="C122" t="s">
        <v>338</v>
      </c>
      <c r="D122" t="s">
        <v>11</v>
      </c>
      <c r="E122">
        <v>50</v>
      </c>
      <c r="F122" s="79">
        <f>E122*1500</f>
        <v>75000</v>
      </c>
      <c r="G122" s="79">
        <f>E122*500</f>
        <v>25000</v>
      </c>
      <c r="H122" s="79">
        <f>E122*1000</f>
        <v>50000</v>
      </c>
    </row>
    <row r="123" spans="1:8" x14ac:dyDescent="0.25">
      <c r="C123" t="s">
        <v>581</v>
      </c>
      <c r="D123" t="s">
        <v>11</v>
      </c>
      <c r="E123">
        <v>34</v>
      </c>
      <c r="F123" s="79">
        <f>E123*1600</f>
        <v>54400</v>
      </c>
      <c r="G123" s="79">
        <f>E123*500</f>
        <v>17000</v>
      </c>
      <c r="H123" s="79">
        <f>E123*1100</f>
        <v>37400</v>
      </c>
    </row>
    <row r="124" spans="1:8" x14ac:dyDescent="0.25">
      <c r="C124" t="s">
        <v>104</v>
      </c>
      <c r="D124" t="s">
        <v>11</v>
      </c>
      <c r="E124">
        <v>18</v>
      </c>
      <c r="F124" s="79">
        <f>E124*1600</f>
        <v>28800</v>
      </c>
      <c r="G124" s="79">
        <f>E124*500</f>
        <v>9000</v>
      </c>
      <c r="H124" s="79">
        <f>E124*1100</f>
        <v>19800</v>
      </c>
    </row>
    <row r="125" spans="1:8" x14ac:dyDescent="0.25">
      <c r="C125" t="s">
        <v>1046</v>
      </c>
      <c r="D125" t="s">
        <v>902</v>
      </c>
      <c r="E125">
        <v>3</v>
      </c>
      <c r="F125" s="79">
        <f>E125*8000</f>
        <v>24000</v>
      </c>
      <c r="G125" s="79">
        <f>E125*5500</f>
        <v>16500</v>
      </c>
      <c r="H125" s="79">
        <f>E125*2500</f>
        <v>7500</v>
      </c>
    </row>
    <row r="126" spans="1:8" x14ac:dyDescent="0.25">
      <c r="D126" t="s">
        <v>902</v>
      </c>
      <c r="E126">
        <v>1</v>
      </c>
      <c r="F126" s="79" t="s">
        <v>777</v>
      </c>
      <c r="G126" s="79"/>
      <c r="H126" s="79"/>
    </row>
    <row r="127" spans="1:8" x14ac:dyDescent="0.25">
      <c r="D127" t="s">
        <v>13</v>
      </c>
      <c r="E127">
        <v>5</v>
      </c>
      <c r="F127" s="79">
        <f>E127*10000</f>
        <v>50000</v>
      </c>
      <c r="G127" s="79">
        <f>E127*5500</f>
        <v>27500</v>
      </c>
      <c r="H127" s="79">
        <f>E127*4500</f>
        <v>22500</v>
      </c>
    </row>
    <row r="128" spans="1:8" x14ac:dyDescent="0.25">
      <c r="C128" t="s">
        <v>797</v>
      </c>
      <c r="D128" t="s">
        <v>13</v>
      </c>
      <c r="E128">
        <v>28</v>
      </c>
      <c r="F128" s="79">
        <f>E128*7500</f>
        <v>210000</v>
      </c>
      <c r="G128" s="79">
        <f>E128*5500</f>
        <v>154000</v>
      </c>
      <c r="H128" s="79">
        <f>E128*2500</f>
        <v>70000</v>
      </c>
    </row>
    <row r="129" spans="1:8" x14ac:dyDescent="0.25">
      <c r="D129" t="s">
        <v>14</v>
      </c>
      <c r="E129">
        <v>1</v>
      </c>
      <c r="F129" s="79">
        <v>10000</v>
      </c>
      <c r="G129" s="79">
        <v>6500</v>
      </c>
      <c r="H129" s="79">
        <v>3500</v>
      </c>
    </row>
    <row r="130" spans="1:8" x14ac:dyDescent="0.25">
      <c r="D130" t="s">
        <v>243</v>
      </c>
      <c r="E130">
        <v>3</v>
      </c>
      <c r="F130" s="79">
        <v>45000</v>
      </c>
      <c r="G130" s="79">
        <v>30000</v>
      </c>
      <c r="H130" s="79">
        <v>15000</v>
      </c>
    </row>
    <row r="131" spans="1:8" x14ac:dyDescent="0.25">
      <c r="D131" t="s">
        <v>1047</v>
      </c>
      <c r="E131">
        <v>1</v>
      </c>
      <c r="F131" s="79">
        <v>20000</v>
      </c>
      <c r="G131" s="79">
        <v>156000</v>
      </c>
      <c r="H131" s="79">
        <v>5000</v>
      </c>
    </row>
    <row r="132" spans="1:8" x14ac:dyDescent="0.25">
      <c r="A132" s="112" t="s">
        <v>17</v>
      </c>
      <c r="B132" s="112"/>
      <c r="C132" s="112"/>
      <c r="D132" s="112"/>
      <c r="E132" s="78">
        <f>SUM(E122:E131)</f>
        <v>144</v>
      </c>
      <c r="F132" s="78">
        <f t="shared" ref="F132:H132" si="19">SUM(F122:F131)</f>
        <v>517200</v>
      </c>
      <c r="G132" s="78">
        <f t="shared" si="19"/>
        <v>441500</v>
      </c>
      <c r="H132" s="78">
        <f t="shared" si="19"/>
        <v>230700</v>
      </c>
    </row>
    <row r="133" spans="1:8" x14ac:dyDescent="0.25">
      <c r="A133" t="s">
        <v>32</v>
      </c>
      <c r="B133" s="3">
        <v>46224</v>
      </c>
      <c r="C133" t="s">
        <v>338</v>
      </c>
      <c r="D133" t="s">
        <v>11</v>
      </c>
      <c r="E133">
        <v>43</v>
      </c>
      <c r="F133">
        <f>E133*1500</f>
        <v>64500</v>
      </c>
      <c r="G133">
        <f>E133*500</f>
        <v>21500</v>
      </c>
      <c r="H133">
        <f>E133*1000</f>
        <v>43000</v>
      </c>
    </row>
    <row r="134" spans="1:8" x14ac:dyDescent="0.25">
      <c r="C134" t="s">
        <v>581</v>
      </c>
      <c r="D134" t="s">
        <v>11</v>
      </c>
      <c r="E134">
        <v>27</v>
      </c>
      <c r="F134">
        <f>E134*1600</f>
        <v>43200</v>
      </c>
      <c r="G134">
        <f>E134*500</f>
        <v>13500</v>
      </c>
      <c r="H134">
        <f>E134*1100</f>
        <v>29700</v>
      </c>
    </row>
    <row r="135" spans="1:8" x14ac:dyDescent="0.25">
      <c r="C135" t="s">
        <v>571</v>
      </c>
      <c r="D135" t="s">
        <v>11</v>
      </c>
      <c r="E135">
        <v>20</v>
      </c>
      <c r="F135">
        <f>E135*1700</f>
        <v>34000</v>
      </c>
      <c r="G135">
        <f>E135*500</f>
        <v>10000</v>
      </c>
      <c r="H135">
        <f>E135*1200</f>
        <v>24000</v>
      </c>
    </row>
    <row r="136" spans="1:8" x14ac:dyDescent="0.25">
      <c r="C136" t="s">
        <v>104</v>
      </c>
      <c r="D136" t="s">
        <v>11</v>
      </c>
      <c r="E136">
        <v>19</v>
      </c>
      <c r="F136">
        <f>E136*1600</f>
        <v>30400</v>
      </c>
      <c r="G136">
        <f>E136*500</f>
        <v>9500</v>
      </c>
      <c r="H136">
        <f>E136*1100</f>
        <v>20900</v>
      </c>
    </row>
    <row r="137" spans="1:8" x14ac:dyDescent="0.25">
      <c r="C137" t="s">
        <v>1003</v>
      </c>
      <c r="D137" t="s">
        <v>243</v>
      </c>
      <c r="E137">
        <v>100</v>
      </c>
      <c r="F137" s="79">
        <f>E137*12500</f>
        <v>1250000</v>
      </c>
      <c r="G137" s="79">
        <f>E137*9500</f>
        <v>950000</v>
      </c>
      <c r="H137" s="79">
        <f>E137*3000</f>
        <v>300000</v>
      </c>
    </row>
    <row r="138" spans="1:8" x14ac:dyDescent="0.25">
      <c r="C138" t="s">
        <v>960</v>
      </c>
      <c r="D138" t="s">
        <v>243</v>
      </c>
      <c r="E138">
        <v>50</v>
      </c>
      <c r="F138">
        <f>E138*18000</f>
        <v>900000</v>
      </c>
      <c r="G138">
        <f>E138*10000</f>
        <v>500000</v>
      </c>
      <c r="H138">
        <f>E138*8000</f>
        <v>400000</v>
      </c>
    </row>
    <row r="139" spans="1:8" x14ac:dyDescent="0.25">
      <c r="C139" t="s">
        <v>1046</v>
      </c>
      <c r="D139" t="s">
        <v>902</v>
      </c>
      <c r="E139">
        <v>4</v>
      </c>
      <c r="F139">
        <f>E139*8000</f>
        <v>32000</v>
      </c>
      <c r="G139">
        <f>E139*5500</f>
        <v>22000</v>
      </c>
      <c r="H139">
        <f>E139*2500</f>
        <v>10000</v>
      </c>
    </row>
    <row r="140" spans="1:8" x14ac:dyDescent="0.25">
      <c r="D140" t="s">
        <v>902</v>
      </c>
      <c r="E140">
        <v>2</v>
      </c>
      <c r="F140" t="s">
        <v>777</v>
      </c>
    </row>
    <row r="141" spans="1:8" x14ac:dyDescent="0.25">
      <c r="D141" t="s">
        <v>966</v>
      </c>
      <c r="E141">
        <v>4</v>
      </c>
      <c r="F141">
        <f>E141*10000</f>
        <v>40000</v>
      </c>
      <c r="G141">
        <f>E141*5000</f>
        <v>20000</v>
      </c>
      <c r="H141">
        <v>20000</v>
      </c>
    </row>
    <row r="142" spans="1:8" x14ac:dyDescent="0.25">
      <c r="D142" t="s">
        <v>918</v>
      </c>
      <c r="E142">
        <v>1</v>
      </c>
      <c r="F142">
        <v>15000</v>
      </c>
      <c r="G142">
        <v>10000</v>
      </c>
      <c r="H142">
        <v>5000</v>
      </c>
    </row>
    <row r="143" spans="1:8" x14ac:dyDescent="0.25">
      <c r="A143" s="112" t="s">
        <v>17</v>
      </c>
      <c r="B143" s="112"/>
      <c r="C143" s="112"/>
      <c r="D143" s="112"/>
      <c r="E143" s="78">
        <f>SUM(E133:E142)</f>
        <v>270</v>
      </c>
      <c r="F143" s="78">
        <f>SUM(F133:F138)</f>
        <v>2322100</v>
      </c>
      <c r="G143" s="78">
        <f>SUM(G133:G138)</f>
        <v>1504500</v>
      </c>
      <c r="H143" s="78">
        <f>SUM(H133:H138)</f>
        <v>817600</v>
      </c>
    </row>
    <row r="144" spans="1:8" x14ac:dyDescent="0.25">
      <c r="A144" t="s">
        <v>8</v>
      </c>
      <c r="B144" s="3">
        <v>46225</v>
      </c>
      <c r="C144" t="s">
        <v>581</v>
      </c>
      <c r="D144" t="s">
        <v>11</v>
      </c>
      <c r="E144">
        <v>40</v>
      </c>
      <c r="F144" s="79">
        <f>E144*1600</f>
        <v>64000</v>
      </c>
      <c r="G144" s="79">
        <f>E144*500</f>
        <v>20000</v>
      </c>
      <c r="H144" s="79">
        <f>E144*1100</f>
        <v>44000</v>
      </c>
    </row>
    <row r="145" spans="1:8" x14ac:dyDescent="0.25">
      <c r="C145" t="s">
        <v>104</v>
      </c>
      <c r="D145" t="s">
        <v>11</v>
      </c>
      <c r="E145">
        <v>25</v>
      </c>
      <c r="F145" s="79">
        <f>E145*1600</f>
        <v>40000</v>
      </c>
      <c r="G145" s="79">
        <f>E145*500</f>
        <v>12500</v>
      </c>
      <c r="H145" s="79">
        <f>E145*1100</f>
        <v>27500</v>
      </c>
    </row>
    <row r="146" spans="1:8" x14ac:dyDescent="0.25">
      <c r="C146" t="s">
        <v>581</v>
      </c>
      <c r="D146" t="s">
        <v>11</v>
      </c>
      <c r="E146">
        <v>45</v>
      </c>
      <c r="F146" s="79">
        <f t="shared" ref="F146:F147" si="20">E146*1600</f>
        <v>72000</v>
      </c>
      <c r="G146" s="79">
        <f>E146*500</f>
        <v>22500</v>
      </c>
      <c r="H146" s="79">
        <f t="shared" ref="H146:H147" si="21">E146*1100</f>
        <v>49500</v>
      </c>
    </row>
    <row r="147" spans="1:8" x14ac:dyDescent="0.25">
      <c r="C147" t="s">
        <v>104</v>
      </c>
      <c r="D147" t="s">
        <v>11</v>
      </c>
      <c r="E147">
        <v>13</v>
      </c>
      <c r="F147" s="79">
        <f t="shared" si="20"/>
        <v>20800</v>
      </c>
      <c r="G147" s="79">
        <f>E147*500</f>
        <v>6500</v>
      </c>
      <c r="H147" s="79">
        <f t="shared" si="21"/>
        <v>14300</v>
      </c>
    </row>
    <row r="148" spans="1:8" x14ac:dyDescent="0.25">
      <c r="C148" t="s">
        <v>1046</v>
      </c>
      <c r="D148" t="s">
        <v>902</v>
      </c>
      <c r="E148">
        <v>1</v>
      </c>
      <c r="F148" s="79">
        <v>8000</v>
      </c>
      <c r="G148" s="79">
        <v>5500</v>
      </c>
      <c r="H148" s="79">
        <v>2500</v>
      </c>
    </row>
    <row r="149" spans="1:8" x14ac:dyDescent="0.25">
      <c r="D149" t="s">
        <v>902</v>
      </c>
      <c r="E149">
        <v>2</v>
      </c>
      <c r="F149" s="79" t="s">
        <v>777</v>
      </c>
      <c r="G149" s="79"/>
      <c r="H149" s="79"/>
    </row>
    <row r="150" spans="1:8" x14ac:dyDescent="0.25">
      <c r="A150" s="112" t="s">
        <v>17</v>
      </c>
      <c r="B150" s="112"/>
      <c r="C150" s="112"/>
      <c r="D150" s="112"/>
      <c r="E150" s="78">
        <f>SUM(E144:E149)</f>
        <v>126</v>
      </c>
      <c r="F150" s="78">
        <f t="shared" ref="F150:H150" si="22">SUM(F144:F149)</f>
        <v>204800</v>
      </c>
      <c r="G150" s="78">
        <f t="shared" si="22"/>
        <v>67000</v>
      </c>
      <c r="H150" s="78">
        <f t="shared" si="22"/>
        <v>137800</v>
      </c>
    </row>
    <row r="151" spans="1:8" x14ac:dyDescent="0.25">
      <c r="A151" t="s">
        <v>18</v>
      </c>
      <c r="B151" s="3">
        <v>46226</v>
      </c>
      <c r="C151" t="s">
        <v>338</v>
      </c>
      <c r="D151" t="s">
        <v>11</v>
      </c>
      <c r="E151">
        <v>50</v>
      </c>
      <c r="F151">
        <f>E151*1500</f>
        <v>75000</v>
      </c>
      <c r="G151">
        <f>E151*500</f>
        <v>25000</v>
      </c>
      <c r="H151">
        <f>E151*1000</f>
        <v>50000</v>
      </c>
    </row>
    <row r="152" spans="1:8" x14ac:dyDescent="0.25">
      <c r="C152" t="s">
        <v>581</v>
      </c>
      <c r="D152" t="s">
        <v>11</v>
      </c>
      <c r="E152">
        <v>40</v>
      </c>
      <c r="F152">
        <f>E152*1500</f>
        <v>60000</v>
      </c>
      <c r="G152">
        <f>E152*500</f>
        <v>20000</v>
      </c>
      <c r="H152">
        <f>E152*1000</f>
        <v>40000</v>
      </c>
    </row>
  </sheetData>
  <mergeCells count="20">
    <mergeCell ref="A71:D71"/>
    <mergeCell ref="A77:D77"/>
    <mergeCell ref="A150:D150"/>
    <mergeCell ref="A83:D83"/>
    <mergeCell ref="A31:D31"/>
    <mergeCell ref="A143:D143"/>
    <mergeCell ref="A9:D9"/>
    <mergeCell ref="A121:D121"/>
    <mergeCell ref="A132:D132"/>
    <mergeCell ref="A106:D106"/>
    <mergeCell ref="A115:D115"/>
    <mergeCell ref="A97:D97"/>
    <mergeCell ref="A13:D13"/>
    <mergeCell ref="A23:D23"/>
    <mergeCell ref="A35:D35"/>
    <mergeCell ref="A44:D44"/>
    <mergeCell ref="A47:D47"/>
    <mergeCell ref="A52:D52"/>
    <mergeCell ref="A59:D59"/>
    <mergeCell ref="A67:D6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90FF-4292-4984-9EEA-591D92B3D840}">
  <dimension ref="A1:H7"/>
  <sheetViews>
    <sheetView tabSelected="1" workbookViewId="0">
      <selection activeCell="D6" sqref="D6"/>
    </sheetView>
  </sheetViews>
  <sheetFormatPr defaultRowHeight="15" x14ac:dyDescent="0.25"/>
  <cols>
    <col min="2" max="2" width="13.5703125" customWidth="1"/>
  </cols>
  <sheetData>
    <row r="1" spans="1:8" x14ac:dyDescent="0.25">
      <c r="A1" s="36" t="s">
        <v>0</v>
      </c>
      <c r="B1" s="60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x14ac:dyDescent="0.25">
      <c r="A2" t="s">
        <v>26</v>
      </c>
      <c r="B2" s="3">
        <v>46235</v>
      </c>
      <c r="C2" t="s">
        <v>1046</v>
      </c>
      <c r="D2" t="s">
        <v>902</v>
      </c>
      <c r="E2">
        <v>5</v>
      </c>
      <c r="F2" s="79">
        <f>E2*10000</f>
        <v>50000</v>
      </c>
      <c r="G2" s="79">
        <f>E2*5500</f>
        <v>27500</v>
      </c>
      <c r="H2" s="79">
        <f>E2*4500</f>
        <v>22500</v>
      </c>
    </row>
    <row r="3" spans="1:8" x14ac:dyDescent="0.25">
      <c r="B3" s="3"/>
      <c r="D3" t="s">
        <v>918</v>
      </c>
      <c r="E3">
        <v>1</v>
      </c>
      <c r="F3" s="79">
        <v>17000</v>
      </c>
      <c r="G3" s="79">
        <v>10000</v>
      </c>
      <c r="H3" s="79">
        <v>7000</v>
      </c>
    </row>
    <row r="4" spans="1:8" x14ac:dyDescent="0.25">
      <c r="B4" s="3"/>
      <c r="D4" t="s">
        <v>434</v>
      </c>
      <c r="E4">
        <v>0</v>
      </c>
      <c r="F4" s="79">
        <v>0</v>
      </c>
      <c r="G4" s="79">
        <v>0</v>
      </c>
      <c r="H4" s="79">
        <v>0</v>
      </c>
    </row>
    <row r="5" spans="1:8" x14ac:dyDescent="0.25">
      <c r="A5" s="112" t="s">
        <v>17</v>
      </c>
      <c r="B5" s="112"/>
      <c r="C5" s="112"/>
      <c r="D5" s="112"/>
      <c r="E5" s="78">
        <f>SUM(E2:E4)</f>
        <v>6</v>
      </c>
      <c r="F5" s="78">
        <f t="shared" ref="F5:H5" si="0">SUM(F2:F4)</f>
        <v>67000</v>
      </c>
      <c r="G5" s="78">
        <f t="shared" si="0"/>
        <v>37500</v>
      </c>
      <c r="H5" s="78">
        <f t="shared" si="0"/>
        <v>29500</v>
      </c>
    </row>
    <row r="6" spans="1:8" x14ac:dyDescent="0.25">
      <c r="A6" t="s">
        <v>28</v>
      </c>
      <c r="B6" s="3">
        <v>46236</v>
      </c>
      <c r="C6" t="s">
        <v>1046</v>
      </c>
      <c r="F6" s="79"/>
      <c r="G6" s="79"/>
      <c r="H6" s="79"/>
    </row>
    <row r="7" spans="1:8" x14ac:dyDescent="0.25">
      <c r="F7" s="79"/>
      <c r="G7" s="79"/>
      <c r="H7" s="79"/>
    </row>
  </sheetData>
  <mergeCells count="1"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NOP 21</vt:lpstr>
      <vt:lpstr>DES 21</vt:lpstr>
      <vt:lpstr>JAN 22</vt:lpstr>
      <vt:lpstr>PEB 22</vt:lpstr>
      <vt:lpstr>MAR 22</vt:lpstr>
      <vt:lpstr>APR22</vt:lpstr>
      <vt:lpstr>MEI22</vt:lpstr>
      <vt:lpstr>JUNI</vt:lpstr>
      <vt:lpstr>JULI</vt:lpstr>
      <vt:lpstr>AGUSTUS</vt:lpstr>
      <vt:lpstr>SEPTEMBER</vt:lpstr>
      <vt:lpstr>OKTOBER</vt:lpstr>
      <vt:lpstr>NOVEMBER</vt:lpstr>
      <vt:lpstr>DESEMBER</vt:lpstr>
      <vt:lpstr>JANUARI 2023</vt:lpstr>
      <vt:lpstr>FEBRUARI 2023</vt:lpstr>
      <vt:lpstr>MARET2023</vt:lpstr>
      <vt:lpstr>APRIL2023</vt:lpstr>
      <vt:lpstr>MEI2023</vt:lpstr>
      <vt:lpstr>JUNI2023</vt:lpstr>
      <vt:lpstr>JULI2023</vt:lpstr>
      <vt:lpstr>AGUSTUS2023</vt:lpstr>
      <vt:lpstr>SEPTEMBER2023</vt:lpstr>
      <vt:lpstr>OKTOBER 2023</vt:lpstr>
      <vt:lpstr>NOVEMBER2023</vt:lpstr>
      <vt:lpstr>DESEMBER2023</vt:lpstr>
      <vt:lpstr>FEBRUARI2024</vt:lpstr>
      <vt:lpstr>JANUARI2024</vt:lpstr>
      <vt:lpstr>MARET2024</vt:lpstr>
      <vt:lpstr>APRIL2024</vt:lpstr>
      <vt:lpstr>MEI2024</vt:lpstr>
      <vt:lpstr>JUNI2024</vt:lpstr>
      <vt:lpstr>JULI2024</vt:lpstr>
      <vt:lpstr>AGUSTUS2024</vt:lpstr>
      <vt:lpstr>SEPTEMBER2024</vt:lpstr>
      <vt:lpstr>OKTOBER2024</vt:lpstr>
      <vt:lpstr>NOVEMBER2024</vt:lpstr>
      <vt:lpstr>JANUARI2025</vt:lpstr>
      <vt:lpstr>DESEMBER2024</vt:lpstr>
      <vt:lpstr>FEBRUARI2025</vt:lpstr>
      <vt:lpstr>MARET2025</vt:lpstr>
      <vt:lpstr>APRIL2025</vt:lpstr>
      <vt:lpstr>MEI2025</vt:lpstr>
      <vt:lpstr>JUNI2025</vt:lpstr>
      <vt:lpstr>JULI2025</vt:lpstr>
      <vt:lpstr>AGUSTUS2025</vt:lpstr>
      <vt:lpstr>SEPTEMBER2025</vt:lpstr>
      <vt:lpstr>OKTOBER2025</vt:lpstr>
      <vt:lpstr>NOVEMBER2025</vt:lpstr>
      <vt:lpstr>DESEMBER2025</vt:lpstr>
      <vt:lpstr>JANUARI2026</vt:lpstr>
      <vt:lpstr>FEBRUARI2026</vt:lpstr>
      <vt:lpstr>MARET2026</vt:lpstr>
      <vt:lpstr>APRIL2026</vt:lpstr>
      <vt:lpstr>MEI2026</vt:lpstr>
      <vt:lpstr>JUNI2026</vt:lpstr>
      <vt:lpstr>JULI2026</vt:lpstr>
      <vt:lpstr>AGUSTUS2026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2025-09-14T22:26:23Z</cp:lastPrinted>
  <dcterms:created xsi:type="dcterms:W3CDTF">2021-11-17T01:04:38Z</dcterms:created>
  <dcterms:modified xsi:type="dcterms:W3CDTF">2026-08-11T06:04:21Z</dcterms:modified>
</cp:coreProperties>
</file>