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e do Perfil" sheetId="1" r:id="rId4"/>
    <sheet state="visible" name="Analises das asas " sheetId="2" r:id="rId5"/>
    <sheet state="visible" name="Dados da Aeronave" sheetId="3" r:id="rId6"/>
    <sheet state="visible" name="Polar de arrasto" sheetId="4" r:id="rId7"/>
    <sheet state="visible" name="Inputs Estabilidade" sheetId="5" r:id="rId8"/>
    <sheet state="visible" name="Inputs Desempenho" sheetId="6" r:id="rId9"/>
    <sheet state="visible" name="Inputs Estruturas" sheetId="7" r:id="rId10"/>
    <sheet state="visible" name="Inputs Cargas" sheetId="8" r:id="rId11"/>
  </sheets>
  <externalReferences>
    <externalReference r:id="rId12"/>
  </externalReferences>
  <definedNames>
    <definedName localSheetId="0" name="Análise_dos_perfis">'Analise do Perfil'!$B$19</definedName>
    <definedName localSheetId="0" name="Seleção_do_perfil_aerodinâmico_da_asa">'Analise do Perfil'!$B$13</definedName>
  </definedNames>
  <calcPr/>
  <extLst>
    <ext uri="GoogleSheetsCustomDataVersion1">
      <go:sheetsCustomData xmlns:go="http://customooxmlschemas.google.com/" r:id="rId13" roundtripDataSignature="AMtx7mjXXlGpwJBINH7VsUKLZOnwGqeV8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61">
      <text>
        <t xml:space="preserve">======
ID#AAAAsKElI2s
Iasmin S. Maia    (2023-02-27 18:19:22)
Coeficiente de arrasto parasita - Empenagem horizontal</t>
      </text>
    </comment>
    <comment authorId="0" ref="O57">
      <text>
        <t xml:space="preserve">======
ID#AAAAsKElI2o
Iasmin S. Maia    (2023-02-27 18:19:22)
Coeficiente de arrasto da empenagem horizontal em 0°</t>
      </text>
    </comment>
    <comment authorId="0" ref="L63">
      <text>
        <t xml:space="preserve">======
ID#AAAAsKElI2k
Iasmin S. Maia    (2023-02-27 18:19:22)
Coeficiente de arrasto parasita - Empenagem vertical</t>
      </text>
    </comment>
    <comment authorId="0" ref="L59">
      <text>
        <t xml:space="preserve">======
ID#AAAAsKElI2c
Iasmin S. Maia    (2023-02-27 18:19:22)
Coeficiente de proporcionalidade da empenagem horizontal</t>
      </text>
    </comment>
    <comment authorId="0" ref="P61">
      <text>
        <t xml:space="preserve">======
ID#AAAAsKElI2g
Iasmin S. Maia    (2023-02-27 18:19:22)
skin-friction drag coefficient - Empenagem vertical</t>
      </text>
    </comment>
    <comment authorId="0" ref="O61">
      <text>
        <t xml:space="preserve">======
ID#AAAAsKElI2Q
Iasmin S. Maia    (2023-02-27 18:19:22)
skin-friction drag coefficient - Empenagem Horizontal</t>
      </text>
    </comment>
    <comment authorId="0" ref="P63">
      <text>
        <t xml:space="preserve">======
ID#AAAAsKElI2U
Iasmin S. Maia    (2023-02-27 18:19:22)
Área - Empenagem vertical</t>
      </text>
    </comment>
    <comment authorId="0" ref="M59">
      <text>
        <t xml:space="preserve">======
ID#AAAAsKElI2M
Iasmin S. Maia    (2023-02-27 18:19:22)
Razão de aspecto</t>
      </text>
    </comment>
    <comment authorId="0" ref="M57">
      <text>
        <t xml:space="preserve">======
ID#AAAAsKElI2Y
Iasmin S. Maia    (2023-02-27 18:19:22)
Coeficiente de arrasto da asa em 0°</t>
      </text>
    </comment>
    <comment authorId="0" ref="Q63">
      <text>
        <t xml:space="preserve">======
ID#AAAAsKElI2I
Iasmin S. Maia    (2023-02-27 18:19:22)
Arrasto parasita total</t>
      </text>
    </comment>
    <comment authorId="0" ref="Q59">
      <text>
        <t xml:space="preserve">======
ID#AAAAsKElI2A
Iasmin S. Maia    (2023-02-27 18:19:22)
Coeficiente de arrasto parasita - Asa</t>
      </text>
    </comment>
    <comment authorId="0" ref="N63">
      <text>
        <t xml:space="preserve">======
ID#AAAAsKElI2E
Iasmin S. Maia    (2023-02-27 18:19:22)
Área molhada - Empenagem vertical</t>
      </text>
    </comment>
    <comment authorId="0" ref="N59">
      <text>
        <t xml:space="preserve">======
ID#AAAAsKElI10
Iasmin S. Maia    (2023-02-27 18:19:22)
Razão de aspecto da empenagem horizontal</t>
      </text>
    </comment>
    <comment authorId="0" ref="L61">
      <text>
        <t xml:space="preserve">======
ID#AAAAsKElI14
Iasmin S. Maia    (2023-02-27 18:19:22)
Área molhada da asa</t>
      </text>
    </comment>
    <comment authorId="0" ref="N61">
      <text>
        <t xml:space="preserve">======
ID#AAAAsKElI1w
Iasmin S. Maia    (2023-02-27 18:19:22)
skin-friction drag coefficient - Asa</t>
      </text>
    </comment>
    <comment authorId="0" ref="L57">
      <text>
        <t xml:space="preserve">======
ID#AAAAsKElI18
Iasmin S. Maia    (2023-02-27 18:19:22)
Coeficiente de sustentação da asa em 0°</t>
      </text>
    </comment>
    <comment authorId="0" ref="Q57">
      <text>
        <t xml:space="preserve">======
ID#AAAAsKElI1o
Iasmin S. Maia    (2023-02-27 18:19:22)
Coeficiente de proporcionalidade da asa</t>
      </text>
    </comment>
    <comment authorId="0" ref="O63">
      <text>
        <t xml:space="preserve">======
ID#AAAAsKElI1s
Iasmin S. Maia    (2023-02-27 18:19:22)
Área - Empenagem horizontal</t>
      </text>
    </comment>
    <comment authorId="0" ref="N57">
      <text>
        <t xml:space="preserve">======
ID#AAAAsKElI1k
Iasmin S. Maia    (2023-02-27 18:19:22)
Coeficiente de sustentação da empenagem horizontal em 0°</t>
      </text>
    </comment>
    <comment authorId="0" ref="M63">
      <text>
        <t xml:space="preserve">======
ID#AAAAsKA9iBg
Iasmin S. Maia    (2023-02-27 18:19:22)
Área molhada - Empenagem horizontal</t>
      </text>
    </comment>
    <comment authorId="0" ref="O59">
      <text>
        <t xml:space="preserve">======
ID#AAAAsKA9iBk
Iasmin S. Maia    (2023-02-27 18:19:22)
Coeficiente de Oswald da asa</t>
      </text>
    </comment>
    <comment authorId="0" ref="P57">
      <text>
        <t xml:space="preserve">======
ID#AAAAsKA9iBo
Iasmin S. Maia    (2023-02-27 18:19:22)
Coeficiente de arrasto da empenagem vertical em 0°</t>
      </text>
    </comment>
    <comment authorId="0" ref="P59">
      <text>
        <t xml:space="preserve">======
ID#AAAAsKA9iBc
Iasmin S. Maia    (2023-02-27 18:19:22)
Coeficiente de Oswald da EH - pg. 363 Gudmundsson</t>
      </text>
    </comment>
    <comment authorId="0" ref="M61">
      <text>
        <t xml:space="preserve">======
ID#AAAAsKA9iBY
Iasmin S. Maia    (2023-02-27 18:19:22)
Área da asa</t>
      </text>
    </comment>
    <comment authorId="0" ref="P6">
      <text>
        <t xml:space="preserve">======
ID#AAAAsKA9iBU
Higor Jales    (2023-02-27 18:19:22)
fator de eficiencia de envergadura da asa.</t>
      </text>
    </comment>
  </commentList>
  <extLst>
    <ext uri="GoogleSheetsCustomDataVersion1">
      <go:sheetsCustomData xmlns:go="http://customooxmlschemas.google.com/" r:id="rId1" roundtripDataSignature="AMtx7mjGhfozAxxriwEA9ktOz175KCD7TQ=="/>
    </ext>
  </extLst>
</comments>
</file>

<file path=xl/sharedStrings.xml><?xml version="1.0" encoding="utf-8"?>
<sst xmlns="http://schemas.openxmlformats.org/spreadsheetml/2006/main" count="413" uniqueCount="239">
  <si>
    <t>EPPLER</t>
  </si>
  <si>
    <t>FX-74</t>
  </si>
  <si>
    <t>S1210</t>
  </si>
  <si>
    <t>Selig 1223 rtl</t>
  </si>
  <si>
    <t>alpha</t>
  </si>
  <si>
    <t>CL</t>
  </si>
  <si>
    <t>CD</t>
  </si>
  <si>
    <t>CDp</t>
  </si>
  <si>
    <t>Cm</t>
  </si>
  <si>
    <t>asa 1</t>
  </si>
  <si>
    <t>asa 2</t>
  </si>
  <si>
    <t>asa 3</t>
  </si>
  <si>
    <t>asa 4</t>
  </si>
  <si>
    <t>asa 5</t>
  </si>
  <si>
    <t xml:space="preserve"> CL</t>
  </si>
  <si>
    <t xml:space="preserve"> CDi</t>
  </si>
  <si>
    <t xml:space="preserve"> Cm</t>
  </si>
  <si>
    <t xml:space="preserve">  </t>
  </si>
  <si>
    <t>Asa inc. 3°</t>
  </si>
  <si>
    <t>Asa</t>
  </si>
  <si>
    <t>Perfil SELIG 1223 RTL</t>
  </si>
  <si>
    <t>Perfil</t>
  </si>
  <si>
    <t>Re</t>
  </si>
  <si>
    <t>𝑐̅</t>
  </si>
  <si>
    <t>cc</t>
  </si>
  <si>
    <t>cr</t>
  </si>
  <si>
    <t>ct</t>
  </si>
  <si>
    <t>p</t>
  </si>
  <si>
    <t>Visc. Dinâmica</t>
  </si>
  <si>
    <t>v</t>
  </si>
  <si>
    <t>GAP</t>
  </si>
  <si>
    <t>CD0</t>
  </si>
  <si>
    <t>Cdi</t>
  </si>
  <si>
    <t>Alfa</t>
  </si>
  <si>
    <t>Cl</t>
  </si>
  <si>
    <t>Sustentação [N]</t>
  </si>
  <si>
    <t>Cd total (ASA)</t>
  </si>
  <si>
    <t>SELIG 1223 rtl</t>
  </si>
  <si>
    <t>AR</t>
  </si>
  <si>
    <t>b</t>
  </si>
  <si>
    <t>λ</t>
  </si>
  <si>
    <t>e</t>
  </si>
  <si>
    <t>S1</t>
  </si>
  <si>
    <t>a</t>
  </si>
  <si>
    <t>δ</t>
  </si>
  <si>
    <t>a0</t>
  </si>
  <si>
    <t>m0</t>
  </si>
  <si>
    <t>x_ac/c</t>
  </si>
  <si>
    <t>x_ac/c (%)</t>
  </si>
  <si>
    <t>c/4</t>
  </si>
  <si>
    <t>x_ac</t>
  </si>
  <si>
    <t>x_ac_w</t>
  </si>
  <si>
    <t>x_cg_w</t>
  </si>
  <si>
    <t>δ_cg/ca (w)</t>
  </si>
  <si>
    <r>
      <rPr>
        <rFont val="Calibri"/>
        <b/>
        <color theme="1"/>
        <sz val="11.0"/>
      </rPr>
      <t>Cl (</t>
    </r>
    <r>
      <rPr>
        <rFont val="Calibri"/>
        <b/>
        <color theme="1"/>
        <sz val="11.0"/>
      </rPr>
      <t>α=0°)</t>
    </r>
  </si>
  <si>
    <r>
      <rPr>
        <rFont val="Calibri"/>
        <b/>
        <color theme="1"/>
        <sz val="11.0"/>
      </rPr>
      <t>i</t>
    </r>
    <r>
      <rPr>
        <rFont val="Calibri"/>
        <b/>
        <color theme="1"/>
        <sz val="8.0"/>
      </rPr>
      <t>w</t>
    </r>
    <r>
      <rPr>
        <rFont val="Calibri"/>
        <b/>
        <color theme="1"/>
        <sz val="11.0"/>
      </rPr>
      <t>_w</t>
    </r>
  </si>
  <si>
    <r>
      <rPr>
        <rFont val="Calibri"/>
        <b/>
        <color theme="1"/>
        <sz val="11.0"/>
      </rPr>
      <t>C</t>
    </r>
    <r>
      <rPr>
        <rFont val="Calibri"/>
        <b/>
        <color theme="1"/>
        <sz val="8.0"/>
      </rPr>
      <t>mac_w</t>
    </r>
    <r>
      <rPr>
        <rFont val="Calibri"/>
        <b/>
        <color theme="1"/>
        <sz val="11.0"/>
      </rPr>
      <t>(0°)</t>
    </r>
  </si>
  <si>
    <r>
      <rPr>
        <rFont val="Calibri"/>
        <b/>
        <color theme="1"/>
        <sz val="11.0"/>
      </rPr>
      <t>Cm (</t>
    </r>
    <r>
      <rPr>
        <rFont val="Calibri"/>
        <b/>
        <color theme="1"/>
        <sz val="11.0"/>
      </rPr>
      <t>α=0°)</t>
    </r>
  </si>
  <si>
    <t>Sw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</si>
  <si>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8.0"/>
      </rPr>
      <t>i</t>
    </r>
  </si>
  <si>
    <t>S2</t>
  </si>
  <si>
    <t>x_ac_w (%)</t>
  </si>
  <si>
    <t>K</t>
  </si>
  <si>
    <t>Cd (α=0°)</t>
  </si>
  <si>
    <t>e0</t>
  </si>
  <si>
    <t>dε/dα</t>
  </si>
  <si>
    <t>Empenagem Horizontal</t>
  </si>
  <si>
    <t>Sw_ht</t>
  </si>
  <si>
    <t>NACA 6409</t>
  </si>
  <si>
    <t>x_ac_ht (%)</t>
  </si>
  <si>
    <t>Lht</t>
  </si>
  <si>
    <t>Sht</t>
  </si>
  <si>
    <t>Vht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</si>
  <si>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8.0"/>
      </rPr>
      <t>i</t>
    </r>
  </si>
  <si>
    <t>x_ac_ht/c</t>
  </si>
  <si>
    <t>x_ac_ht/c (%)</t>
  </si>
  <si>
    <t>c_ht/4</t>
  </si>
  <si>
    <t>x_ac_ht</t>
  </si>
  <si>
    <r>
      <rPr>
        <rFont val="Calibri"/>
        <b/>
        <color theme="1"/>
        <sz val="11.0"/>
      </rPr>
      <t>Cl (</t>
    </r>
    <r>
      <rPr>
        <rFont val="Calibri"/>
        <b/>
        <color theme="1"/>
        <sz val="11.0"/>
      </rPr>
      <t>α=0°)</t>
    </r>
  </si>
  <si>
    <r>
      <rPr>
        <rFont val="Calibri"/>
        <b/>
        <color theme="1"/>
        <sz val="11.0"/>
      </rPr>
      <t>i</t>
    </r>
    <r>
      <rPr>
        <rFont val="Calibri"/>
        <b/>
        <color theme="1"/>
        <sz val="8.0"/>
      </rPr>
      <t>w</t>
    </r>
    <r>
      <rPr>
        <rFont val="Calibri"/>
        <b/>
        <color theme="1"/>
        <sz val="11.0"/>
      </rPr>
      <t>_ht</t>
    </r>
  </si>
  <si>
    <r>
      <rPr>
        <rFont val="Calibri"/>
        <b/>
        <color theme="1"/>
        <sz val="11.0"/>
      </rPr>
      <t>C</t>
    </r>
    <r>
      <rPr>
        <rFont val="Calibri"/>
        <b/>
        <color theme="1"/>
        <sz val="8.0"/>
      </rPr>
      <t>mac_ht</t>
    </r>
    <r>
      <rPr>
        <rFont val="Calibri"/>
        <b/>
        <color theme="1"/>
        <sz val="11.0"/>
      </rPr>
      <t>(0°)</t>
    </r>
  </si>
  <si>
    <r>
      <rPr>
        <rFont val="Calibri"/>
        <b/>
        <color theme="1"/>
        <sz val="11.0"/>
      </rPr>
      <t>Cm (</t>
    </r>
    <r>
      <rPr>
        <rFont val="Calibri"/>
        <b/>
        <color theme="1"/>
        <sz val="11.0"/>
      </rPr>
      <t>α=0°)</t>
    </r>
  </si>
  <si>
    <t>a0 (1/rad)</t>
  </si>
  <si>
    <t>m0(1/rad)</t>
  </si>
  <si>
    <t xml:space="preserve">Empenagem Horizontal </t>
  </si>
  <si>
    <t>Perfil NACA 6409 inv.</t>
  </si>
  <si>
    <t>ASA inc=3</t>
  </si>
  <si>
    <t>EH inc= 0</t>
  </si>
  <si>
    <t>Cd</t>
  </si>
  <si>
    <t>Cd total(EH)</t>
  </si>
  <si>
    <t>Cl (0°)</t>
  </si>
  <si>
    <t>Cd (0°)</t>
  </si>
  <si>
    <t>Cl_ht (0°)</t>
  </si>
  <si>
    <t>Cd_ht (0°)</t>
  </si>
  <si>
    <t>Cd_vt (0°)</t>
  </si>
  <si>
    <t>Empenagem Vertical (EV)</t>
  </si>
  <si>
    <t>CD total</t>
  </si>
  <si>
    <t>c</t>
  </si>
  <si>
    <t>K_ht</t>
  </si>
  <si>
    <t>AR_ht</t>
  </si>
  <si>
    <t>e0_ht</t>
  </si>
  <si>
    <t>Cd0</t>
  </si>
  <si>
    <t>ρ</t>
  </si>
  <si>
    <t>S</t>
  </si>
  <si>
    <t>Cfe</t>
  </si>
  <si>
    <t>Cfe_ht</t>
  </si>
  <si>
    <t>Cfe_vt</t>
  </si>
  <si>
    <t>Cd0_ht</t>
  </si>
  <si>
    <t>μ</t>
  </si>
  <si>
    <t>V</t>
  </si>
  <si>
    <t>Cd0_vt</t>
  </si>
  <si>
    <t>Sw_vt</t>
  </si>
  <si>
    <t>S_ht</t>
  </si>
  <si>
    <t>S_vt</t>
  </si>
  <si>
    <t>Cd0_Total</t>
  </si>
  <si>
    <t>S_t</t>
  </si>
  <si>
    <t>aCl</t>
  </si>
  <si>
    <t>Cld</t>
  </si>
  <si>
    <t>Cdd</t>
  </si>
  <si>
    <t>aEht</t>
  </si>
  <si>
    <t>Cldht</t>
  </si>
  <si>
    <t>Cddht</t>
  </si>
  <si>
    <t>Vvt</t>
  </si>
  <si>
    <t xml:space="preserve">CD total </t>
  </si>
  <si>
    <t>Polar de Arrasto para alfa=0</t>
  </si>
  <si>
    <t>CD=CD0+K*CL²</t>
  </si>
  <si>
    <t>Coef. de inclinação da curva Sustentação por Alfa EH: a</t>
  </si>
  <si>
    <t xml:space="preserve"> </t>
  </si>
  <si>
    <t>Empenagem Vertical</t>
  </si>
  <si>
    <t>Coef. angular (CLxAlfa EV)</t>
  </si>
  <si>
    <t>Componente/Dimensão</t>
  </si>
  <si>
    <t>Tipo/Valor Adotado</t>
  </si>
  <si>
    <t>Benefícios</t>
  </si>
  <si>
    <t xml:space="preserve">Perfil da asa </t>
  </si>
  <si>
    <t>Boas caracteristicas de cl maximo, cd minimo e eficiencia</t>
  </si>
  <si>
    <t>Perfil da EH</t>
  </si>
  <si>
    <t>Perfil da EV</t>
  </si>
  <si>
    <t>NACA 0010</t>
  </si>
  <si>
    <t>Baixos valores de cd para ângulos de ataque proximos de 0°, além de possuir espessura minima para alocar o servo.</t>
  </si>
  <si>
    <t>Envergadura da asa</t>
  </si>
  <si>
    <t>2,14 m</t>
  </si>
  <si>
    <t>Otimizaram as caraxteristicas aerodinâmicas seguindo a restrição geometrica da competição</t>
  </si>
  <si>
    <t>Relação de aspecto da asa</t>
  </si>
  <si>
    <t xml:space="preserve">Área da asa </t>
  </si>
  <si>
    <t>0,984 m²</t>
  </si>
  <si>
    <t>Incidência das asas</t>
  </si>
  <si>
    <t>3°</t>
  </si>
  <si>
    <t>Apresentaram maiores valores de carga para a aeronave</t>
  </si>
  <si>
    <t>Envergadura da EH</t>
  </si>
  <si>
    <t>0,8 m</t>
  </si>
  <si>
    <t>Valores que garantiram as melhores caracteristicas aerodinâmicas e de estabilidade</t>
  </si>
  <si>
    <t>Relação de aspecto da EH</t>
  </si>
  <si>
    <t>Área da EH</t>
  </si>
  <si>
    <t>0,16 m²</t>
  </si>
  <si>
    <t>Envergadura da EV</t>
  </si>
  <si>
    <t>0,15 m</t>
  </si>
  <si>
    <t>Relação de aspecto da EV</t>
  </si>
  <si>
    <t>Área da EV</t>
  </si>
  <si>
    <t>0,045 m²</t>
  </si>
  <si>
    <t>CDt</t>
  </si>
  <si>
    <t>Parâmetros</t>
  </si>
  <si>
    <t>Unidade</t>
  </si>
  <si>
    <t>Valor</t>
  </si>
  <si>
    <t>Coeficiente angular da curva CL versus alfa da asa.</t>
  </si>
  <si>
    <t>1/rad</t>
  </si>
  <si>
    <t>Posição do centro aerodinâmico da asa em porcentagem da corda média aerodinâmica da asa.</t>
  </si>
  <si>
    <t>Adimensional</t>
  </si>
  <si>
    <t>Coeficiente do momento característico ao redor do centro aerodinâmico da asa.</t>
  </si>
  <si>
    <t>Coeficiente de sustentação da asa para o ângulo de ataque nulo.</t>
  </si>
  <si>
    <t>Volume de cauda horizontal.</t>
  </si>
  <si>
    <t>Coeficiente angular da curva CL versus alfa da empenagem horizontal.</t>
  </si>
  <si>
    <t>Derivada da curva do ângulo de ataque induzido em relação ao ângulo de ataque.</t>
  </si>
  <si>
    <t>Ângulo de incidência da asa.</t>
  </si>
  <si>
    <t>graus</t>
  </si>
  <si>
    <t>Ângulo de incidência da empenagem horizontal.</t>
  </si>
  <si>
    <t>Ângulo de ataque induzido (downwash) para ângulo de ataque nulo.</t>
  </si>
  <si>
    <t>Coeficiente de sustentação da empenagem h. para o ângulo de ataque nulo.</t>
  </si>
  <si>
    <t>Corda média aerodinâmica da empenagem h.</t>
  </si>
  <si>
    <t>m</t>
  </si>
  <si>
    <t>Distância horizontal do centro aerodinâmico da empenagem h. até o centro de gravidade.</t>
  </si>
  <si>
    <t>Coeficiente do momento característico ao redor do centro aerodinâmico da empenagem h.</t>
  </si>
  <si>
    <t>Área da asa.</t>
  </si>
  <si>
    <t>m^2</t>
  </si>
  <si>
    <t>Corda média aerodinâmica da asa.</t>
  </si>
  <si>
    <t>Volume de cauda Vertical</t>
  </si>
  <si>
    <t>Adm</t>
  </si>
  <si>
    <t>Coeficiente angular da cursa Cl x Alfa da Empenagem Vertical</t>
  </si>
  <si>
    <t>1/Rad</t>
  </si>
  <si>
    <t>Gravidade / (g)</t>
  </si>
  <si>
    <t>m/s^2</t>
  </si>
  <si>
    <t>Área TOTAL</t>
  </si>
  <si>
    <t>Área da asa (Biplano) / (S)</t>
  </si>
  <si>
    <t>Área da empenagem horizontal (EH) / (S_ht)</t>
  </si>
  <si>
    <t>Área da empenagem vertical (EV) / (S_vt)</t>
  </si>
  <si>
    <t>Coeficiente de sustentação da asa (0°) / (Cl0)</t>
  </si>
  <si>
    <t>Adm.</t>
  </si>
  <si>
    <t>Coeficiente de sustentação da empenagem horizontal (0°) / (Cl_ht)</t>
  </si>
  <si>
    <t>Coeficiente de arrasto da empenagem horizontal (0°) / (Cd_ht)</t>
  </si>
  <si>
    <t>Arrasto PARASITA</t>
  </si>
  <si>
    <t>Coeficiente de arrasto da empenagem vertical (0°) / (Cd_vt)</t>
  </si>
  <si>
    <t>Coeficiente de arrasto parasita total / (Cd0)</t>
  </si>
  <si>
    <t>Coeficiente de proporcionalidade da asa / (K)</t>
  </si>
  <si>
    <t>Coeficiente de proporcionalidade da empenagem horizontal / (K_ht)</t>
  </si>
  <si>
    <r>
      <rPr>
        <rFont val="Calibri"/>
        <color theme="1"/>
        <sz val="11.0"/>
      </rPr>
      <t>Fator de atrito cinético / (</t>
    </r>
    <r>
      <rPr>
        <rFont val="Calibri"/>
        <color theme="1"/>
        <sz val="11.0"/>
      </rPr>
      <t>μ</t>
    </r>
    <r>
      <rPr>
        <rFont val="Calibri"/>
        <color theme="1"/>
        <sz val="12.0"/>
      </rPr>
      <t>)</t>
    </r>
  </si>
  <si>
    <t>-</t>
  </si>
  <si>
    <r>
      <rPr>
        <rFont val="Calibri"/>
        <color theme="1"/>
        <sz val="11.0"/>
      </rPr>
      <t>Densidade do ar (h=649m / Altura do aeroporto de SJC) / (</t>
    </r>
    <r>
      <rPr>
        <rFont val="Calibri"/>
        <color theme="1"/>
        <sz val="11.0"/>
      </rPr>
      <t>ρ</t>
    </r>
    <r>
      <rPr>
        <rFont val="Calibri"/>
        <color theme="1"/>
        <sz val="12.0"/>
      </rPr>
      <t>)</t>
    </r>
  </si>
  <si>
    <t>kg/m^3</t>
  </si>
  <si>
    <t>Coeficiente angular da curva Cl x Alpha - Asa / (aCl)</t>
  </si>
  <si>
    <t>Coeficiente de sustentação da asa na decolagem - 13° / (Cld)</t>
  </si>
  <si>
    <t>Coeficiente de arrasto da asa na decolagem - 13° / (Cdd)</t>
  </si>
  <si>
    <t>Coeficiente angular da curva Cl x Alpha - EH / (aEht)</t>
  </si>
  <si>
    <t>Coeficiente de sustentação da empenagem horizontal na decolagem - 13° / (Cldht)</t>
  </si>
  <si>
    <t>Coeficiente de arrasto da empenagem horizontal na decolagem - 13° / (Cddht)</t>
  </si>
  <si>
    <t>Coeficiente de Sustentação maxima (CL maximo)</t>
  </si>
  <si>
    <t>ASA VOADORA</t>
  </si>
  <si>
    <t>Área da asa / (S)</t>
  </si>
  <si>
    <r>
      <rPr>
        <rFont val="Calibri"/>
        <color theme="1"/>
        <sz val="11.0"/>
      </rPr>
      <t>Fator de atrito cinético / (</t>
    </r>
    <r>
      <rPr>
        <rFont val="Calibri"/>
        <color theme="1"/>
        <sz val="11.0"/>
      </rPr>
      <t>μ</t>
    </r>
    <r>
      <rPr>
        <rFont val="Calibri"/>
        <color theme="1"/>
        <sz val="12.0"/>
      </rPr>
      <t>)</t>
    </r>
  </si>
  <si>
    <r>
      <rPr>
        <rFont val="Calibri"/>
        <color theme="1"/>
        <sz val="11.0"/>
      </rPr>
      <t>Densidade do ar (h=649m / Altura do aeroporto de SJC) / (</t>
    </r>
    <r>
      <rPr>
        <rFont val="Calibri"/>
        <color theme="1"/>
        <sz val="11.0"/>
      </rPr>
      <t>ρ</t>
    </r>
    <r>
      <rPr>
        <rFont val="Calibri"/>
        <color theme="1"/>
        <sz val="12.0"/>
      </rPr>
      <t>)</t>
    </r>
  </si>
  <si>
    <t>INPUTS CARGAS</t>
  </si>
  <si>
    <t>OBS: distribuição de pressao sobre o perfil na Raiz, na ponta , CMA (com equações), na ASA</t>
  </si>
  <si>
    <t>Nome</t>
  </si>
  <si>
    <t>Craiz(m)</t>
  </si>
  <si>
    <t>Cponta(m)</t>
  </si>
  <si>
    <t>CMA</t>
  </si>
  <si>
    <t>Sht (m²)</t>
  </si>
  <si>
    <t>Ângulo para sustentação nula (graus)</t>
  </si>
  <si>
    <t>Indidência Raiz  (graus)</t>
  </si>
  <si>
    <t>Indidência Ponta  (graus)</t>
  </si>
  <si>
    <t>Diferença entre os angulos Inc.- sust. Nula</t>
  </si>
  <si>
    <t>Coef. agular dCl/Dalpha Raiz Perfil (adm)</t>
  </si>
  <si>
    <t>Coef. agular dCl/Dalpha ponta Perfil (adm)</t>
  </si>
  <si>
    <t>Envergadura b(m) (m)</t>
  </si>
  <si>
    <t>Distribuição de sustentação ASA (incidencia de cruzeiro)</t>
  </si>
  <si>
    <t xml:space="preserve">Empenagem Horisontal </t>
  </si>
  <si>
    <t>Alfa (-20 a 20)</t>
  </si>
  <si>
    <t>CM</t>
  </si>
  <si>
    <t>Envergadura [m]</t>
  </si>
  <si>
    <t>Envergadura [%]</t>
  </si>
  <si>
    <t>Distribuição de sustentação EH (incidencia de cruzeiro)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</si>
</sst>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0.000"/>
    <numFmt numFmtId="166" formatCode="0.000000"/>
    <numFmt numFmtId="167" formatCode="0.00000"/>
    <numFmt numFmtId="168" formatCode="0.0000%"/>
    <numFmt numFmtId="169" formatCode="0.0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b/>
      <sz val="11.0"/>
      <color theme="1"/>
      <name val="Calibri"/>
    </font>
    <font>
      <b/>
      <sz val="11.0"/>
      <color theme="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7F7F7F"/>
        <bgColor rgb="FF7F7F7F"/>
      </patternFill>
    </fill>
    <fill>
      <patternFill patternType="solid">
        <fgColor rgb="FFA8D08D"/>
        <bgColor rgb="FFA8D08D"/>
      </patternFill>
    </fill>
    <fill>
      <patternFill patternType="solid">
        <fgColor rgb="FFA5A5A5"/>
        <bgColor rgb="FFA5A5A5"/>
      </patternFill>
    </fill>
    <fill>
      <patternFill patternType="solid">
        <fgColor rgb="FFDADADA"/>
        <bgColor rgb="FFDADADA"/>
      </patternFill>
    </fill>
    <fill>
      <patternFill patternType="solid">
        <fgColor rgb="FF00B0F0"/>
        <bgColor rgb="FF00B0F0"/>
      </patternFill>
    </fill>
    <fill>
      <patternFill patternType="solid">
        <fgColor theme="4"/>
        <bgColor theme="4"/>
      </patternFill>
    </fill>
    <fill>
      <patternFill patternType="solid">
        <fgColor rgb="FF757070"/>
        <bgColor rgb="FF757070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0070C0"/>
        <bgColor rgb="FF0070C0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/>
    </xf>
    <xf borderId="0" fillId="0" fontId="3" numFmtId="0" xfId="0" applyFont="1"/>
    <xf borderId="1" fillId="3" fontId="4" numFmtId="0" xfId="0" applyAlignment="1" applyBorder="1" applyFill="1" applyFont="1">
      <alignment horizontal="center"/>
    </xf>
    <xf borderId="5" fillId="4" fontId="5" numFmtId="0" xfId="0" applyAlignment="1" applyBorder="1" applyFill="1" applyFont="1">
      <alignment horizontal="center"/>
    </xf>
    <xf borderId="6" fillId="4" fontId="5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4" fillId="4" fontId="5" numFmtId="0" xfId="0" applyAlignment="1" applyBorder="1" applyFont="1">
      <alignment horizontal="center"/>
    </xf>
    <xf borderId="4" fillId="5" fontId="4" numFmtId="0" xfId="0" applyAlignment="1" applyBorder="1" applyFill="1" applyFont="1">
      <alignment horizontal="center"/>
    </xf>
    <xf borderId="4" fillId="6" fontId="4" numFmtId="0" xfId="0" applyAlignment="1" applyBorder="1" applyFill="1" applyFont="1">
      <alignment horizontal="center"/>
    </xf>
    <xf borderId="4" fillId="7" fontId="4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4" fillId="8" fontId="4" numFmtId="0" xfId="0" applyAlignment="1" applyBorder="1" applyFill="1" applyFont="1">
      <alignment horizontal="center"/>
    </xf>
    <xf borderId="4" fillId="2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4" fillId="2" fontId="1" numFmtId="11" xfId="0" applyAlignment="1" applyBorder="1" applyFont="1" applyNumberFormat="1">
      <alignment horizontal="center"/>
    </xf>
    <xf borderId="4" fillId="0" fontId="1" numFmtId="0" xfId="0" applyBorder="1" applyFont="1"/>
    <xf borderId="4" fillId="0" fontId="1" numFmtId="165" xfId="0" applyAlignment="1" applyBorder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4" fillId="0" fontId="1" numFmtId="2" xfId="0" applyAlignment="1" applyBorder="1" applyFont="1" applyNumberFormat="1">
      <alignment horizontal="center"/>
    </xf>
    <xf borderId="4" fillId="0" fontId="1" numFmtId="167" xfId="0" applyAlignment="1" applyBorder="1" applyFont="1" applyNumberFormat="1">
      <alignment horizontal="center"/>
    </xf>
    <xf borderId="4" fillId="0" fontId="1" numFmtId="166" xfId="0" applyAlignment="1" applyBorder="1" applyFont="1" applyNumberFormat="1">
      <alignment horizontal="center"/>
    </xf>
    <xf borderId="4" fillId="0" fontId="1" numFmtId="168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4" fillId="2" fontId="1" numFmtId="167" xfId="0" applyAlignment="1" applyBorder="1" applyFont="1" applyNumberFormat="1">
      <alignment horizontal="center"/>
    </xf>
    <xf borderId="4" fillId="2" fontId="1" numFmtId="164" xfId="0" applyAlignment="1" applyBorder="1" applyFont="1" applyNumberFormat="1">
      <alignment horizontal="center"/>
    </xf>
    <xf borderId="4" fillId="9" fontId="1" numFmtId="0" xfId="0" applyAlignment="1" applyBorder="1" applyFill="1" applyFont="1">
      <alignment horizontal="center"/>
    </xf>
    <xf borderId="4" fillId="9" fontId="1" numFmtId="165" xfId="0" applyAlignment="1" applyBorder="1" applyFont="1" applyNumberFormat="1">
      <alignment horizontal="center"/>
    </xf>
    <xf borderId="9" fillId="0" fontId="1" numFmtId="0" xfId="0" applyAlignment="1" applyBorder="1" applyFont="1">
      <alignment horizontal="center"/>
    </xf>
    <xf borderId="0" fillId="0" fontId="1" numFmtId="167" xfId="0" applyFont="1" applyNumberFormat="1"/>
    <xf borderId="10" fillId="4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4" fillId="7" fontId="4" numFmtId="169" xfId="0" applyAlignment="1" applyBorder="1" applyFont="1" applyNumberFormat="1">
      <alignment horizontal="center"/>
    </xf>
    <xf borderId="4" fillId="7" fontId="4" numFmtId="164" xfId="0" applyAlignment="1" applyBorder="1" applyFont="1" applyNumberFormat="1">
      <alignment horizontal="center"/>
    </xf>
    <xf borderId="4" fillId="10" fontId="1" numFmtId="0" xfId="0" applyAlignment="1" applyBorder="1" applyFill="1" applyFont="1">
      <alignment horizontal="center"/>
    </xf>
    <xf borderId="4" fillId="0" fontId="1" numFmtId="166" xfId="0" applyBorder="1" applyFont="1" applyNumberFormat="1"/>
    <xf borderId="4" fillId="2" fontId="1" numFmtId="166" xfId="0" applyAlignment="1" applyBorder="1" applyFont="1" applyNumberFormat="1">
      <alignment horizontal="center"/>
    </xf>
    <xf borderId="4" fillId="11" fontId="4" numFmtId="0" xfId="0" applyAlignment="1" applyBorder="1" applyFill="1" applyFont="1">
      <alignment horizontal="center"/>
    </xf>
    <xf borderId="4" fillId="12" fontId="1" numFmtId="0" xfId="0" applyAlignment="1" applyBorder="1" applyFill="1" applyFont="1">
      <alignment horizontal="center"/>
    </xf>
    <xf borderId="1" fillId="11" fontId="1" numFmtId="0" xfId="0" applyAlignment="1" applyBorder="1" applyFont="1">
      <alignment horizontal="center"/>
    </xf>
    <xf borderId="1" fillId="0" fontId="1" numFmtId="166" xfId="0" applyAlignment="1" applyBorder="1" applyFont="1" applyNumberFormat="1">
      <alignment horizontal="center"/>
    </xf>
    <xf borderId="11" fillId="13" fontId="1" numFmtId="0" xfId="0" applyAlignment="1" applyBorder="1" applyFill="1" applyFont="1">
      <alignment horizontal="center" shrinkToFit="0" vertical="top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1" numFmtId="166" xfId="0" applyFont="1" applyNumberFormat="1"/>
    <xf borderId="1" fillId="0" fontId="1" numFmtId="0" xfId="0" applyAlignment="1" applyBorder="1" applyFont="1">
      <alignment horizontal="center" shrinkToFit="0" vertical="top" wrapText="1"/>
    </xf>
    <xf borderId="1" fillId="9" fontId="1" numFmtId="0" xfId="0" applyAlignment="1" applyBorder="1" applyFont="1">
      <alignment horizontal="center"/>
    </xf>
    <xf borderId="4" fillId="14" fontId="1" numFmtId="0" xfId="0" applyAlignment="1" applyBorder="1" applyFill="1" applyFont="1">
      <alignment horizontal="center"/>
    </xf>
    <xf borderId="4" fillId="15" fontId="1" numFmtId="0" xfId="0" applyAlignment="1" applyBorder="1" applyFill="1" applyFont="1">
      <alignment horizontal="center"/>
    </xf>
    <xf borderId="15" fillId="0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4" fillId="15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5" fillId="15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shrinkToFit="0" wrapText="1"/>
    </xf>
    <xf borderId="15" fillId="0" fontId="1" numFmtId="0" xfId="0" applyAlignment="1" applyBorder="1" applyFont="1">
      <alignment horizontal="center" shrinkToFit="0" vertical="center" wrapText="1"/>
    </xf>
    <xf borderId="4" fillId="13" fontId="4" numFmtId="0" xfId="0" applyAlignment="1" applyBorder="1" applyFont="1">
      <alignment horizontal="center"/>
    </xf>
    <xf borderId="4" fillId="0" fontId="1" numFmtId="0" xfId="0" applyAlignment="1" applyBorder="1" applyFont="1">
      <alignment vertical="center"/>
    </xf>
    <xf borderId="4" fillId="0" fontId="1" numFmtId="168" xfId="0" applyAlignment="1" applyBorder="1" applyFont="1" applyNumberFormat="1">
      <alignment horizontal="right"/>
    </xf>
    <xf borderId="4" fillId="0" fontId="1" numFmtId="164" xfId="0" applyBorder="1" applyFont="1" applyNumberFormat="1"/>
    <xf borderId="4" fillId="16" fontId="4" numFmtId="0" xfId="0" applyAlignment="1" applyBorder="1" applyFill="1" applyFont="1">
      <alignment horizontal="center"/>
    </xf>
    <xf borderId="4" fillId="0" fontId="1" numFmtId="164" xfId="0" applyAlignment="1" applyBorder="1" applyFont="1" applyNumberFormat="1">
      <alignment horizontal="right"/>
    </xf>
    <xf borderId="4" fillId="0" fontId="1" numFmtId="165" xfId="0" applyBorder="1" applyFont="1" applyNumberFormat="1"/>
    <xf borderId="4" fillId="0" fontId="1" numFmtId="166" xfId="0" applyAlignment="1" applyBorder="1" applyFont="1" applyNumberFormat="1">
      <alignment horizontal="right"/>
    </xf>
    <xf borderId="4" fillId="0" fontId="1" numFmtId="167" xfId="0" applyBorder="1" applyFont="1" applyNumberFormat="1"/>
    <xf borderId="4" fillId="0" fontId="1" numFmtId="0" xfId="0" applyAlignment="1" applyBorder="1" applyFont="1">
      <alignment horizontal="right"/>
    </xf>
    <xf borderId="0" fillId="0" fontId="3" numFmtId="0" xfId="0" applyAlignment="1" applyFont="1">
      <alignment readingOrder="0"/>
    </xf>
    <xf borderId="4" fillId="0" fontId="1" numFmtId="0" xfId="0" applyAlignment="1" applyBorder="1" applyFont="1">
      <alignment readingOrder="0" vertical="center"/>
    </xf>
    <xf borderId="0" fillId="0" fontId="3" numFmtId="164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horizontal="right" readingOrder="0"/>
    </xf>
    <xf borderId="4" fillId="12" fontId="1" numFmtId="0" xfId="0" applyBorder="1" applyFont="1"/>
    <xf borderId="1" fillId="17" fontId="1" numFmtId="0" xfId="0" applyAlignment="1" applyBorder="1" applyFill="1" applyFont="1">
      <alignment horizontal="center"/>
    </xf>
    <xf borderId="4" fillId="18" fontId="1" numFmtId="0" xfId="0" applyAlignment="1" applyBorder="1" applyFill="1" applyFont="1">
      <alignment horizontal="center"/>
    </xf>
    <xf borderId="4" fillId="12" fontId="1" numFmtId="2" xfId="0" applyAlignment="1" applyBorder="1" applyFont="1" applyNumberFormat="1">
      <alignment horizontal="center"/>
    </xf>
    <xf borderId="4" fillId="2" fontId="1" numFmtId="2" xfId="0" applyAlignment="1" applyBorder="1" applyFont="1" applyNumberFormat="1">
      <alignment horizontal="center"/>
    </xf>
    <xf borderId="4" fillId="2" fontId="1" numFmtId="1" xfId="0" applyAlignment="1" applyBorder="1" applyFont="1" applyNumberFormat="1">
      <alignment horizontal="center"/>
    </xf>
    <xf borderId="4" fillId="0" fontId="1" numFmtId="1" xfId="0" applyAlignment="1" applyBorder="1" applyFont="1" applyNumberFormat="1">
      <alignment horizontal="center"/>
    </xf>
    <xf borderId="11" fillId="14" fontId="1" numFmtId="0" xfId="0" applyAlignment="1" applyBorder="1" applyFont="1">
      <alignment horizontal="center" shrinkToFit="0" wrapText="1"/>
    </xf>
    <xf borderId="17" fillId="0" fontId="2" numFmtId="0" xfId="0" applyBorder="1" applyFont="1"/>
    <xf borderId="1" fillId="14" fontId="1" numFmtId="0" xfId="0" applyAlignment="1" applyBorder="1" applyFont="1">
      <alignment horizontal="center"/>
    </xf>
    <xf borderId="18" fillId="0" fontId="2" numFmtId="0" xfId="0" applyBorder="1" applyFont="1"/>
    <xf borderId="4" fillId="1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 x Alpha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asa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'Analises das asas '!$D$6:$D$31</c:f>
            </c:numRef>
          </c:xVal>
          <c:yVal>
            <c:numRef>
              <c:f>'Analises das asas '!$E$6:$E$31</c:f>
              <c:numCache/>
            </c:numRef>
          </c:yVal>
        </c:ser>
        <c:ser>
          <c:idx val="1"/>
          <c:order val="1"/>
          <c:tx>
            <c:v>asa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'Analises das asas '!$D$6:$D$31</c:f>
            </c:numRef>
          </c:xVal>
          <c:yVal>
            <c:numRef>
              <c:f>'Analises das asas '!$H$6:$H$31</c:f>
              <c:numCache/>
            </c:numRef>
          </c:yVal>
        </c:ser>
        <c:ser>
          <c:idx val="2"/>
          <c:order val="2"/>
          <c:tx>
            <c:v>asa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'Analises das asas '!$D$6:$D$31</c:f>
            </c:numRef>
          </c:xVal>
          <c:yVal>
            <c:numRef>
              <c:f>'Analises das asas '!$K$6:$K$31</c:f>
              <c:numCache/>
            </c:numRef>
          </c:yVal>
        </c:ser>
        <c:ser>
          <c:idx val="3"/>
          <c:order val="3"/>
          <c:tx>
            <c:v>asa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'Analises das asas '!$D$6:$D$31</c:f>
            </c:numRef>
          </c:xVal>
          <c:yVal>
            <c:numRef>
              <c:f>'Analises das asas '!$N$6:$N$31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22709"/>
        <c:axId val="763690542"/>
      </c:scatterChart>
      <c:valAx>
        <c:axId val="1090522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α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3690542"/>
      </c:valAx>
      <c:valAx>
        <c:axId val="763690542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0522709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Sustentação x Alfa (EH) </a:t>
            </a:r>
          </a:p>
        </c:rich>
      </c:tx>
      <c:overlay val="0"/>
    </c:title>
    <c:plotArea>
      <c:layout>
        <c:manualLayout>
          <c:xMode val="edge"/>
          <c:yMode val="edge"/>
          <c:x val="0.0331596675415573"/>
          <c:y val="0.19721055701370663"/>
          <c:w val="0.9097292213473316"/>
          <c:h val="0.777361111111111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'Dados da Aeronave'!$B$58:$B$108</c:f>
            </c:numRef>
          </c:xVal>
          <c:yVal>
            <c:numRef>
              <c:f>'Dados da Aeronave'!$D$58:$D$108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12342"/>
        <c:axId val="906467995"/>
      </c:scatterChart>
      <c:valAx>
        <c:axId val="7016123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6467995"/>
      </c:valAx>
      <c:valAx>
        <c:axId val="906467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1612342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Cl x Alfa (ASA)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(Cl x Alfa (ASA))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'Dados da Aeronave'!$C$5:$C$55</c:f>
            </c:numRef>
          </c:xVal>
          <c:yVal>
            <c:numRef>
              <c:f>'Dados da Aeronave'!$D$5:$D$55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123309"/>
        <c:axId val="454117171"/>
      </c:scatterChart>
      <c:valAx>
        <c:axId val="8211233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4117171"/>
      </c:valAx>
      <c:valAx>
        <c:axId val="454117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1123309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CD x Alfa (Asa)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da Aeronave'!$C$5:$C$55</c:f>
            </c:numRef>
          </c:xVal>
          <c:yVal>
            <c:numRef>
              <c:f>'Dados da Aeronave'!$J$5:$J$55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12278"/>
        <c:axId val="2104007420"/>
      </c:scatterChart>
      <c:valAx>
        <c:axId val="1449512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4007420"/>
      </c:valAx>
      <c:valAx>
        <c:axId val="210400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9512278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Cl x Alfa (EV)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(Cl x Alfa (EV))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'Dados da Aeronave'!$B$111:$B$161</c:f>
            </c:numRef>
          </c:xVal>
          <c:yVal>
            <c:numRef>
              <c:f>'Dados da Aeronave'!$C$111:$C$161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0583"/>
        <c:axId val="1886587422"/>
      </c:scatterChart>
      <c:valAx>
        <c:axId val="183390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6587422"/>
      </c:valAx>
      <c:valAx>
        <c:axId val="1886587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390583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Polar de arrasto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da Aeronave'!$W$58:$W$108</c:f>
            </c:numRef>
          </c:xVal>
          <c:yVal>
            <c:numRef>
              <c:f>'Dados da Aeronave'!$V$58:$V$108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75753"/>
        <c:axId val="2044674343"/>
      </c:scatterChart>
      <c:valAx>
        <c:axId val="158277575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Coeficiente de arrasto total [CD]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4674343"/>
        <c:majorUnit val="0.1"/>
      </c:valAx>
      <c:valAx>
        <c:axId val="2044674343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Coeficiente de sustentação [CL]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2775753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'Polar de arrasto'!$D$14:$D$84</c:f>
            </c:numRef>
          </c:xVal>
          <c:yVal>
            <c:numRef>
              <c:f>'Polar de arrasto'!$B$14:$B$84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46304"/>
        <c:axId val="1438299875"/>
      </c:scatterChart>
      <c:valAx>
        <c:axId val="1324146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8299875"/>
      </c:valAx>
      <c:valAx>
        <c:axId val="1438299875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4146304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Distribuição de Sustentação da ASA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'Inputs Cargas'!$H$20:$H$57</c:f>
            </c:numRef>
          </c:xVal>
          <c:yVal>
            <c:numRef>
              <c:f>'Inputs Cargas'!$F$20:$F$57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'Inputs Cargas'!$H$20:$H$57</c:f>
            </c:numRef>
          </c:xVal>
          <c:yVal>
            <c:numRef>
              <c:f>'Inputs Cargas'!$F$20:$F$57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81186"/>
        <c:axId val="1537246649"/>
      </c:scatterChart>
      <c:valAx>
        <c:axId val="904081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Envergadura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7246649"/>
      </c:valAx>
      <c:valAx>
        <c:axId val="153724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4081186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Distribuição de Sustentação EH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'Inputs Cargas'!$H$69:$H$106</c:f>
            </c:numRef>
          </c:xVal>
          <c:yVal>
            <c:numRef>
              <c:f>'Inputs Cargas'!$F$69:$F$106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94510"/>
        <c:axId val="205357079"/>
      </c:scatterChart>
      <c:valAx>
        <c:axId val="584894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Envergadura [%]</a:t>
                </a:r>
              </a:p>
            </c:rich>
          </c:tx>
          <c:layout>
            <c:manualLayout>
              <c:xMode val="edge"/>
              <c:yMode val="edge"/>
              <c:x val="0.41277496777827116"/>
              <c:y val="0.90182852143482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357079"/>
      </c:valAx>
      <c:valAx>
        <c:axId val="205357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489451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 x CDi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asa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'Analises das asas '!$F$6:$F$31</c:f>
            </c:numRef>
          </c:xVal>
          <c:yVal>
            <c:numRef>
              <c:f>'Analises das asas '!$E$6:$E$31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50515"/>
        <c:axId val="2046780915"/>
      </c:scatterChart>
      <c:valAx>
        <c:axId val="1848150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CDi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6780915"/>
      </c:valAx>
      <c:valAx>
        <c:axId val="2046780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8150515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CL x CM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asa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'Analises das asas '!$G$6:$G$31</c:f>
            </c:numRef>
          </c:xVal>
          <c:yVal>
            <c:numRef>
              <c:f>'Analises das asas '!$E$6:$E$31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58089"/>
        <c:axId val="348513539"/>
      </c:scatterChart>
      <c:valAx>
        <c:axId val="1050958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Alpha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8513539"/>
      </c:valAx>
      <c:valAx>
        <c:axId val="348513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0958089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Perfil - Cl x Alfa (ASA)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(Perfil - Cl x Alfa (ASA))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'Dados da Aeronave'!$G$5:$G$36</c:f>
            </c:numRef>
          </c:xVal>
          <c:yVal>
            <c:numRef>
              <c:f>'Dados da Aeronave'!$H$5:$H$36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348080"/>
        <c:axId val="1273526232"/>
      </c:scatterChart>
      <c:valAx>
        <c:axId val="1097348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3526232"/>
      </c:valAx>
      <c:valAx>
        <c:axId val="1273526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734808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perfil- cm x alfa</a:t>
            </a:r>
          </a:p>
        </c:rich>
      </c:tx>
      <c:overlay val="0"/>
    </c:title>
    <c:plotArea>
      <c:layout>
        <c:manualLayout>
          <c:xMode val="edge"/>
          <c:yMode val="edge"/>
          <c:x val="0.08758114610673666"/>
          <c:y val="0.1439351851851852"/>
          <c:w val="0.8636410761154856"/>
          <c:h val="0.7773611111111111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'Dados da Aeronave'!$G$5:$G$54</c:f>
            </c:numRef>
          </c:xVal>
          <c:yVal>
            <c:numRef>
              <c:f>'Dados da Aeronave'!$I$5:$I$54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15946"/>
        <c:axId val="1907824039"/>
      </c:scatterChart>
      <c:valAx>
        <c:axId val="14942159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alfa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7824039"/>
      </c:valAx>
      <c:valAx>
        <c:axId val="1907824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cm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421594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Perfil - Cl x Alfa (EH)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(Perfil - Cl x Alfa (EH))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'Dados da Aeronave'!$F$58:$F$87</c:f>
            </c:numRef>
          </c:xVal>
          <c:yVal>
            <c:numRef>
              <c:f>'Dados da Aeronave'!$G$58:$G$87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43754"/>
        <c:axId val="267307921"/>
      </c:scatterChart>
      <c:valAx>
        <c:axId val="10449437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7307921"/>
      </c:valAx>
      <c:valAx>
        <c:axId val="267307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4943754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435892388451443"/>
          <c:y val="0.19486111111111112"/>
          <c:w val="0.8763077427821522"/>
          <c:h val="0.7773611111111111"/>
        </c:manualLayout>
      </c:layout>
      <c:scatterChart>
        <c:scatterStyle val="lineMarker"/>
        <c:varyColors val="0"/>
        <c:ser>
          <c:idx val="0"/>
          <c:order val="0"/>
          <c:tx>
            <c:v>Perfil - Cm x Alfa (EH)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(Perfil - Cm x Alfa (EH))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'Dados da Aeronave'!$F$58:$F$108</c:f>
            </c:numRef>
          </c:xVal>
          <c:yVal>
            <c:numRef>
              <c:f>'Dados da Aeronave'!$H$58:$H$108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9346"/>
        <c:axId val="1045029898"/>
      </c:scatterChart>
      <c:valAx>
        <c:axId val="61479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5029898"/>
      </c:valAx>
      <c:valAx>
        <c:axId val="1045029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479346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Cl x Alfa (EH)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da Aeronave'!$B$58:$B$108</c:f>
            </c:numRef>
          </c:xVal>
          <c:yVal>
            <c:numRef>
              <c:f>'Dados da Aeronave'!$C$58:$C$108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15581"/>
        <c:axId val="802892714"/>
      </c:scatterChart>
      <c:valAx>
        <c:axId val="12069155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2892714"/>
      </c:valAx>
      <c:valAx>
        <c:axId val="802892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6915581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Cd total x Alfa (EH)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Cd x Alfa (EH)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da Aeronave'!$B$58:$B$108</c:f>
            </c:numRef>
          </c:xVal>
          <c:yVal>
            <c:numRef>
              <c:f>'Dados da Aeronave'!$J$58:$J$108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79741"/>
        <c:axId val="878569867"/>
      </c:scatterChart>
      <c:valAx>
        <c:axId val="7446797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8569867"/>
      </c:valAx>
      <c:valAx>
        <c:axId val="878569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467974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1" Type="http://schemas.openxmlformats.org/officeDocument/2006/relationships/chart" Target="../charts/chart14.xml"/><Relationship Id="rId10" Type="http://schemas.openxmlformats.org/officeDocument/2006/relationships/chart" Target="../charts/chart13.xml"/><Relationship Id="rId9" Type="http://schemas.openxmlformats.org/officeDocument/2006/relationships/chart" Target="../charts/chart12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123825</xdr:colOff>
      <xdr:row>4</xdr:row>
      <xdr:rowOff>85725</xdr:rowOff>
    </xdr:from>
    <xdr:ext cx="4371975" cy="2876550"/>
    <xdr:graphicFrame>
      <xdr:nvGraphicFramePr>
        <xdr:cNvPr id="19883196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152400</xdr:colOff>
      <xdr:row>19</xdr:row>
      <xdr:rowOff>123825</xdr:rowOff>
    </xdr:from>
    <xdr:ext cx="4371975" cy="2886075"/>
    <xdr:graphicFrame>
      <xdr:nvGraphicFramePr>
        <xdr:cNvPr id="133371040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161925</xdr:colOff>
      <xdr:row>35</xdr:row>
      <xdr:rowOff>9525</xdr:rowOff>
    </xdr:from>
    <xdr:ext cx="4352925" cy="2895600"/>
    <xdr:graphicFrame>
      <xdr:nvGraphicFramePr>
        <xdr:cNvPr id="50628161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24</xdr:row>
      <xdr:rowOff>19050</xdr:rowOff>
    </xdr:from>
    <xdr:ext cx="8143875" cy="2876550"/>
    <xdr:graphicFrame>
      <xdr:nvGraphicFramePr>
        <xdr:cNvPr id="212980147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19050</xdr:colOff>
      <xdr:row>24</xdr:row>
      <xdr:rowOff>0</xdr:rowOff>
    </xdr:from>
    <xdr:ext cx="4391025" cy="2876550"/>
    <xdr:graphicFrame>
      <xdr:nvGraphicFramePr>
        <xdr:cNvPr id="152739059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38100</xdr:colOff>
      <xdr:row>40</xdr:row>
      <xdr:rowOff>104775</xdr:rowOff>
    </xdr:from>
    <xdr:ext cx="7962900" cy="2876550"/>
    <xdr:graphicFrame>
      <xdr:nvGraphicFramePr>
        <xdr:cNvPr id="195669927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257175</xdr:colOff>
      <xdr:row>39</xdr:row>
      <xdr:rowOff>142875</xdr:rowOff>
    </xdr:from>
    <xdr:ext cx="4391025" cy="2886075"/>
    <xdr:graphicFrame>
      <xdr:nvGraphicFramePr>
        <xdr:cNvPr id="185293072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27</xdr:col>
      <xdr:colOff>361950</xdr:colOff>
      <xdr:row>17</xdr:row>
      <xdr:rowOff>9525</xdr:rowOff>
    </xdr:from>
    <xdr:ext cx="4343400" cy="2876550"/>
    <xdr:graphicFrame>
      <xdr:nvGraphicFramePr>
        <xdr:cNvPr id="164339776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35</xdr:col>
      <xdr:colOff>180975</xdr:colOff>
      <xdr:row>16</xdr:row>
      <xdr:rowOff>171450</xdr:rowOff>
    </xdr:from>
    <xdr:ext cx="4381500" cy="2886075"/>
    <xdr:graphicFrame>
      <xdr:nvGraphicFramePr>
        <xdr:cNvPr id="22236153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0</xdr:colOff>
      <xdr:row>72</xdr:row>
      <xdr:rowOff>19050</xdr:rowOff>
    </xdr:from>
    <xdr:ext cx="5667375" cy="2828925"/>
    <xdr:graphicFrame>
      <xdr:nvGraphicFramePr>
        <xdr:cNvPr id="13565819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22</xdr:col>
      <xdr:colOff>266700</xdr:colOff>
      <xdr:row>1</xdr:row>
      <xdr:rowOff>9525</xdr:rowOff>
    </xdr:from>
    <xdr:ext cx="4362450" cy="2876550"/>
    <xdr:graphicFrame>
      <xdr:nvGraphicFramePr>
        <xdr:cNvPr id="1117574369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29</xdr:col>
      <xdr:colOff>590550</xdr:colOff>
      <xdr:row>1</xdr:row>
      <xdr:rowOff>9525</xdr:rowOff>
    </xdr:from>
    <xdr:ext cx="4343400" cy="2876550"/>
    <xdr:graphicFrame>
      <xdr:nvGraphicFramePr>
        <xdr:cNvPr id="43661486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533400</xdr:colOff>
      <xdr:row>109</xdr:row>
      <xdr:rowOff>0</xdr:rowOff>
    </xdr:from>
    <xdr:ext cx="4486275" cy="3467100"/>
    <xdr:graphicFrame>
      <xdr:nvGraphicFramePr>
        <xdr:cNvPr id="213773447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23</xdr:col>
      <xdr:colOff>600075</xdr:colOff>
      <xdr:row>56</xdr:row>
      <xdr:rowOff>9525</xdr:rowOff>
    </xdr:from>
    <xdr:ext cx="4343400" cy="2876550"/>
    <xdr:graphicFrame>
      <xdr:nvGraphicFramePr>
        <xdr:cNvPr id="164058928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2</xdr:row>
      <xdr:rowOff>47625</xdr:rowOff>
    </xdr:from>
    <xdr:ext cx="4343400" cy="2876550"/>
    <xdr:graphicFrame>
      <xdr:nvGraphicFramePr>
        <xdr:cNvPr id="1703689509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76200</xdr:colOff>
      <xdr:row>3</xdr:row>
      <xdr:rowOff>123825</xdr:rowOff>
    </xdr:from>
    <xdr:ext cx="4371975" cy="3076575"/>
    <xdr:graphicFrame>
      <xdr:nvGraphicFramePr>
        <xdr:cNvPr id="50614886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552450</xdr:colOff>
      <xdr:row>65</xdr:row>
      <xdr:rowOff>76200</xdr:rowOff>
    </xdr:from>
    <xdr:ext cx="5391150" cy="2867025"/>
    <xdr:graphicFrame>
      <xdr:nvGraphicFramePr>
        <xdr:cNvPr id="496696839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Higor%20Jales/Desktop/aerodinamica/Projeto%202022/Avi&#227;o%20Asa%205/Distribui&#231;&#227;o%20de%20press&#227;o%20perfil%20S1223rt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lanilha1"/>
      <sheetName val="Cr = 0,5"/>
      <sheetName val="Ccma = 0,464 "/>
      <sheetName val="Ct = 0,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4">
      <c r="A4" s="1" t="s">
        <v>0</v>
      </c>
      <c r="B4" s="2"/>
      <c r="C4" s="2"/>
      <c r="D4" s="2"/>
      <c r="E4" s="3"/>
      <c r="G4" s="1" t="s">
        <v>1</v>
      </c>
      <c r="H4" s="2"/>
      <c r="I4" s="2"/>
      <c r="J4" s="2"/>
      <c r="K4" s="3"/>
      <c r="M4" s="1" t="s">
        <v>2</v>
      </c>
      <c r="N4" s="2"/>
      <c r="O4" s="2"/>
      <c r="P4" s="2"/>
      <c r="Q4" s="3"/>
      <c r="S4" s="1" t="s">
        <v>3</v>
      </c>
      <c r="T4" s="2"/>
      <c r="U4" s="2"/>
      <c r="V4" s="2"/>
      <c r="W4" s="3"/>
    </row>
    <row r="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M5" s="4" t="s">
        <v>4</v>
      </c>
      <c r="N5" s="4" t="s">
        <v>5</v>
      </c>
      <c r="O5" s="4" t="s">
        <v>6</v>
      </c>
      <c r="P5" s="4" t="s">
        <v>7</v>
      </c>
      <c r="Q5" s="4" t="s">
        <v>8</v>
      </c>
      <c r="S5" s="4" t="s">
        <v>4</v>
      </c>
      <c r="T5" s="4" t="s">
        <v>5</v>
      </c>
      <c r="U5" s="4" t="s">
        <v>6</v>
      </c>
      <c r="V5" s="4" t="s">
        <v>7</v>
      </c>
      <c r="W5" s="4" t="s">
        <v>8</v>
      </c>
    </row>
    <row r="6">
      <c r="A6" s="4">
        <v>-5.0</v>
      </c>
      <c r="B6" s="4">
        <v>0.4949</v>
      </c>
      <c r="C6" s="4">
        <v>0.05497</v>
      </c>
      <c r="D6" s="4">
        <v>0.05102</v>
      </c>
      <c r="E6" s="4">
        <v>-0.175</v>
      </c>
      <c r="G6" s="4">
        <v>-5.0</v>
      </c>
      <c r="H6" s="4">
        <v>0.4422</v>
      </c>
      <c r="I6" s="4">
        <v>0.06277</v>
      </c>
      <c r="J6" s="4">
        <v>0.0585</v>
      </c>
      <c r="K6" s="4">
        <v>-0.1492</v>
      </c>
      <c r="M6" s="4">
        <v>-5.0</v>
      </c>
      <c r="N6" s="4">
        <v>0.2692</v>
      </c>
      <c r="O6" s="4">
        <v>0.02691</v>
      </c>
      <c r="P6" s="4">
        <v>0.02395</v>
      </c>
      <c r="Q6" s="4">
        <v>-0.187</v>
      </c>
      <c r="S6" s="4">
        <v>-5.0</v>
      </c>
      <c r="T6" s="4">
        <v>0.258</v>
      </c>
      <c r="U6" s="4">
        <v>0.06716</v>
      </c>
      <c r="V6" s="4">
        <v>0.06237</v>
      </c>
      <c r="W6" s="4">
        <v>-0.1108</v>
      </c>
    </row>
    <row r="7">
      <c r="A7" s="4">
        <v>-4.5</v>
      </c>
      <c r="B7" s="4">
        <v>0.5148</v>
      </c>
      <c r="C7" s="4">
        <v>0.04548</v>
      </c>
      <c r="D7" s="4">
        <v>0.04147</v>
      </c>
      <c r="E7" s="4">
        <v>-0.1828</v>
      </c>
      <c r="G7" s="4">
        <v>-4.5</v>
      </c>
      <c r="H7" s="4">
        <v>0.4834</v>
      </c>
      <c r="I7" s="4">
        <v>0.05756</v>
      </c>
      <c r="J7" s="4">
        <v>0.05325</v>
      </c>
      <c r="K7" s="4">
        <v>-0.1564</v>
      </c>
      <c r="M7" s="4">
        <v>-4.0</v>
      </c>
      <c r="N7" s="4">
        <v>0.5194</v>
      </c>
      <c r="O7" s="4">
        <v>0.01732</v>
      </c>
      <c r="P7" s="4">
        <v>0.01285</v>
      </c>
      <c r="Q7" s="4">
        <v>-0.228</v>
      </c>
      <c r="S7" s="4">
        <v>-4.5</v>
      </c>
      <c r="T7" s="4">
        <v>0.2582</v>
      </c>
      <c r="U7" s="4">
        <v>0.06244</v>
      </c>
      <c r="V7" s="4">
        <v>0.05771</v>
      </c>
      <c r="W7" s="4">
        <v>-0.1108</v>
      </c>
    </row>
    <row r="8">
      <c r="A8" s="4">
        <v>-4.0</v>
      </c>
      <c r="B8" s="4">
        <v>0.6644</v>
      </c>
      <c r="C8" s="4">
        <v>0.01536</v>
      </c>
      <c r="D8" s="4">
        <v>0.00967</v>
      </c>
      <c r="E8" s="4">
        <v>-0.2378</v>
      </c>
      <c r="G8" s="4">
        <v>-4.0</v>
      </c>
      <c r="H8" s="4">
        <v>0.5336</v>
      </c>
      <c r="I8" s="4">
        <v>0.05172</v>
      </c>
      <c r="J8" s="4">
        <v>0.04742</v>
      </c>
      <c r="K8" s="4">
        <v>-0.1657</v>
      </c>
      <c r="M8" s="4">
        <v>-3.5</v>
      </c>
      <c r="N8" s="4">
        <v>0.5956</v>
      </c>
      <c r="O8" s="4">
        <v>0.01512</v>
      </c>
      <c r="P8" s="4">
        <v>0.01012</v>
      </c>
      <c r="Q8" s="4">
        <v>-0.2341</v>
      </c>
      <c r="S8" s="4">
        <v>-4.0</v>
      </c>
      <c r="T8" s="4">
        <v>0.2817</v>
      </c>
      <c r="U8" s="4">
        <v>0.05584</v>
      </c>
      <c r="V8" s="4">
        <v>0.05116</v>
      </c>
      <c r="W8" s="4">
        <v>-0.1179</v>
      </c>
    </row>
    <row r="9">
      <c r="A9" s="4">
        <v>-3.5</v>
      </c>
      <c r="B9" s="4">
        <v>0.7216</v>
      </c>
      <c r="C9" s="4">
        <v>0.01417</v>
      </c>
      <c r="D9" s="4">
        <v>0.00818</v>
      </c>
      <c r="E9" s="4">
        <v>-0.2385</v>
      </c>
      <c r="G9" s="4">
        <v>-3.5</v>
      </c>
      <c r="H9" s="4">
        <v>0.6004</v>
      </c>
      <c r="I9" s="4">
        <v>0.04497</v>
      </c>
      <c r="J9" s="4">
        <v>0.04061</v>
      </c>
      <c r="K9" s="4">
        <v>-0.1791</v>
      </c>
      <c r="M9" s="4">
        <v>-2.5</v>
      </c>
      <c r="N9" s="4">
        <v>0.7643</v>
      </c>
      <c r="O9" s="4">
        <v>0.0109</v>
      </c>
      <c r="P9" s="4">
        <v>0.00426</v>
      </c>
      <c r="Q9" s="4">
        <v>-0.2432</v>
      </c>
      <c r="S9" s="4">
        <v>-3.5</v>
      </c>
      <c r="T9" s="4">
        <v>0.3144</v>
      </c>
      <c r="U9" s="4">
        <v>0.04814</v>
      </c>
      <c r="V9" s="4">
        <v>0.04344</v>
      </c>
      <c r="W9" s="4">
        <v>-0.1261</v>
      </c>
    </row>
    <row r="10">
      <c r="A10" s="4">
        <v>-3.0</v>
      </c>
      <c r="B10" s="4">
        <v>0.781</v>
      </c>
      <c r="C10" s="4">
        <v>0.01248</v>
      </c>
      <c r="D10" s="4">
        <v>0.0061</v>
      </c>
      <c r="E10" s="4">
        <v>-0.2397</v>
      </c>
      <c r="G10" s="4">
        <v>-1.5</v>
      </c>
      <c r="H10" s="4">
        <v>0.9672</v>
      </c>
      <c r="I10" s="4">
        <v>0.0215</v>
      </c>
      <c r="J10" s="4">
        <v>0.01584</v>
      </c>
      <c r="K10" s="4">
        <v>-0.2371</v>
      </c>
      <c r="M10" s="4">
        <v>-2.0</v>
      </c>
      <c r="N10" s="4">
        <v>0.8333</v>
      </c>
      <c r="O10" s="4">
        <v>0.0106</v>
      </c>
      <c r="P10" s="4">
        <v>0.00351</v>
      </c>
      <c r="Q10" s="4">
        <v>-0.2457</v>
      </c>
      <c r="S10" s="4">
        <v>-3.0</v>
      </c>
      <c r="T10" s="4">
        <v>0.3655</v>
      </c>
      <c r="U10" s="4">
        <v>0.04342</v>
      </c>
      <c r="V10" s="4">
        <v>0.03861</v>
      </c>
      <c r="W10" s="4">
        <v>-0.1338</v>
      </c>
    </row>
    <row r="11">
      <c r="A11" s="4">
        <v>-2.5</v>
      </c>
      <c r="B11" s="4">
        <v>0.8361</v>
      </c>
      <c r="C11" s="4">
        <v>0.01239</v>
      </c>
      <c r="D11" s="4">
        <v>0.00595</v>
      </c>
      <c r="E11" s="4">
        <v>-0.2395</v>
      </c>
      <c r="G11" s="4">
        <v>-1.0</v>
      </c>
      <c r="H11" s="4">
        <v>1.0365</v>
      </c>
      <c r="I11" s="4">
        <v>0.02081</v>
      </c>
      <c r="J11" s="4">
        <v>0.01474</v>
      </c>
      <c r="K11" s="4">
        <v>-0.2399</v>
      </c>
      <c r="M11" s="4">
        <v>-1.5</v>
      </c>
      <c r="N11" s="4">
        <v>0.9063</v>
      </c>
      <c r="O11" s="4">
        <v>0.01018</v>
      </c>
      <c r="P11" s="4">
        <v>0.00359</v>
      </c>
      <c r="Q11" s="4">
        <v>-0.2498</v>
      </c>
      <c r="S11" s="4">
        <v>-2.0</v>
      </c>
      <c r="T11" s="4">
        <v>0.829</v>
      </c>
      <c r="U11" s="4">
        <v>0.01567</v>
      </c>
      <c r="V11" s="4">
        <v>0.00783</v>
      </c>
      <c r="W11" s="4">
        <v>-0.2351</v>
      </c>
    </row>
    <row r="12">
      <c r="A12" s="4">
        <v>-2.0</v>
      </c>
      <c r="B12" s="4">
        <v>0.8928</v>
      </c>
      <c r="C12" s="4">
        <v>0.0119</v>
      </c>
      <c r="D12" s="4">
        <v>0.00535</v>
      </c>
      <c r="E12" s="4">
        <v>-0.2398</v>
      </c>
      <c r="G12" s="4">
        <v>0.5</v>
      </c>
      <c r="H12" s="4">
        <v>1.2514</v>
      </c>
      <c r="I12" s="4">
        <v>0.01493</v>
      </c>
      <c r="J12" s="4">
        <v>0.00781</v>
      </c>
      <c r="K12" s="4">
        <v>-0.2529</v>
      </c>
      <c r="M12" s="4">
        <v>-1.0</v>
      </c>
      <c r="N12" s="4">
        <v>0.9624</v>
      </c>
      <c r="O12" s="4">
        <v>0.01046</v>
      </c>
      <c r="P12" s="4">
        <v>0.00365</v>
      </c>
      <c r="Q12" s="4">
        <v>-0.2495</v>
      </c>
      <c r="S12" s="4">
        <v>-1.5</v>
      </c>
      <c r="T12" s="4">
        <v>0.8978</v>
      </c>
      <c r="U12" s="4">
        <v>0.01533</v>
      </c>
      <c r="V12" s="4">
        <v>0.00732</v>
      </c>
      <c r="W12" s="4">
        <v>-0.2375</v>
      </c>
    </row>
    <row r="13">
      <c r="A13" s="4">
        <v>-1.5</v>
      </c>
      <c r="B13" s="4">
        <v>0.9467</v>
      </c>
      <c r="C13" s="4">
        <v>0.01211</v>
      </c>
      <c r="D13" s="4">
        <v>0.0055</v>
      </c>
      <c r="E13" s="4">
        <v>-0.2393</v>
      </c>
      <c r="G13" s="4">
        <v>1.0</v>
      </c>
      <c r="H13" s="4">
        <v>1.3216</v>
      </c>
      <c r="I13" s="4">
        <v>0.01349</v>
      </c>
      <c r="J13" s="4">
        <v>0.00605</v>
      </c>
      <c r="K13" s="4">
        <v>-0.2548</v>
      </c>
      <c r="M13" s="4">
        <v>-0.5</v>
      </c>
      <c r="N13" s="4">
        <v>1.0205</v>
      </c>
      <c r="O13" s="4">
        <v>0.01067</v>
      </c>
      <c r="P13" s="4">
        <v>0.00385</v>
      </c>
      <c r="Q13" s="4">
        <v>-0.2497</v>
      </c>
      <c r="S13" s="4">
        <v>-1.0</v>
      </c>
      <c r="T13" s="4">
        <v>0.9666</v>
      </c>
      <c r="U13" s="4">
        <v>0.01522</v>
      </c>
      <c r="V13" s="4">
        <v>0.00703</v>
      </c>
      <c r="W13" s="4">
        <v>-0.2401</v>
      </c>
    </row>
    <row r="14">
      <c r="A14" s="4">
        <v>-1.0</v>
      </c>
      <c r="B14" s="4">
        <v>1.0022</v>
      </c>
      <c r="C14" s="4">
        <v>0.01188</v>
      </c>
      <c r="D14" s="4">
        <v>0.00518</v>
      </c>
      <c r="E14" s="4">
        <v>-0.2392</v>
      </c>
      <c r="G14" s="4">
        <v>1.5</v>
      </c>
      <c r="H14" s="4">
        <v>1.3805</v>
      </c>
      <c r="I14" s="4">
        <v>0.01336</v>
      </c>
      <c r="J14" s="4">
        <v>0.00584</v>
      </c>
      <c r="K14" s="4">
        <v>-0.2557</v>
      </c>
      <c r="M14" s="4">
        <v>0.0</v>
      </c>
      <c r="N14" s="4">
        <v>1.0758</v>
      </c>
      <c r="O14" s="4">
        <v>0.01097</v>
      </c>
      <c r="P14" s="4">
        <v>0.00415</v>
      </c>
      <c r="Q14" s="4">
        <v>-0.2493</v>
      </c>
      <c r="S14" s="4">
        <v>-0.5</v>
      </c>
      <c r="T14" s="4">
        <v>1.0391</v>
      </c>
      <c r="U14" s="4">
        <v>0.01524</v>
      </c>
      <c r="V14" s="4">
        <v>0.00708</v>
      </c>
      <c r="W14" s="4">
        <v>-0.2436</v>
      </c>
    </row>
    <row r="15">
      <c r="A15" s="4">
        <v>-0.5</v>
      </c>
      <c r="B15" s="4">
        <v>1.06</v>
      </c>
      <c r="C15" s="4">
        <v>0.01206</v>
      </c>
      <c r="D15" s="4">
        <v>0.00523</v>
      </c>
      <c r="E15" s="4">
        <v>-0.2398</v>
      </c>
      <c r="G15" s="4">
        <v>2.0</v>
      </c>
      <c r="H15" s="4">
        <v>1.4422</v>
      </c>
      <c r="I15" s="4">
        <v>0.01257</v>
      </c>
      <c r="J15" s="4">
        <v>0.00647</v>
      </c>
      <c r="K15" s="4">
        <v>-0.2578</v>
      </c>
      <c r="M15" s="4">
        <v>0.5</v>
      </c>
      <c r="N15" s="4">
        <v>1.1323</v>
      </c>
      <c r="O15" s="4">
        <v>0.0113</v>
      </c>
      <c r="P15" s="4">
        <v>0.00439</v>
      </c>
      <c r="Q15" s="4">
        <v>-0.2493</v>
      </c>
      <c r="S15" s="4">
        <v>0.0</v>
      </c>
      <c r="T15" s="4">
        <v>1.103</v>
      </c>
      <c r="U15" s="4">
        <v>0.01518</v>
      </c>
      <c r="V15" s="4">
        <v>0.00738</v>
      </c>
      <c r="W15" s="4">
        <v>-0.2453</v>
      </c>
    </row>
    <row r="16">
      <c r="A16" s="4">
        <v>0.0</v>
      </c>
      <c r="B16" s="4">
        <v>1.1165</v>
      </c>
      <c r="C16" s="4">
        <v>0.0124</v>
      </c>
      <c r="D16" s="4">
        <v>0.00565</v>
      </c>
      <c r="E16" s="4">
        <v>-0.24</v>
      </c>
      <c r="G16" s="4">
        <v>2.5</v>
      </c>
      <c r="H16" s="4">
        <v>1.4886</v>
      </c>
      <c r="I16" s="4">
        <v>0.01254</v>
      </c>
      <c r="J16" s="4">
        <v>0.00655</v>
      </c>
      <c r="K16" s="4">
        <v>-0.256</v>
      </c>
      <c r="M16" s="4">
        <v>1.0</v>
      </c>
      <c r="N16" s="4">
        <v>1.1898</v>
      </c>
      <c r="O16" s="4">
        <v>0.01153</v>
      </c>
      <c r="P16" s="4">
        <v>0.00461</v>
      </c>
      <c r="Q16" s="4">
        <v>-0.2494</v>
      </c>
      <c r="S16" s="4">
        <v>0.5</v>
      </c>
      <c r="T16" s="4">
        <v>1.1581</v>
      </c>
      <c r="U16" s="4">
        <v>0.01545</v>
      </c>
      <c r="V16" s="4">
        <v>0.00767</v>
      </c>
      <c r="W16" s="4">
        <v>-0.2448</v>
      </c>
    </row>
    <row r="17">
      <c r="A17" s="4">
        <v>0.5</v>
      </c>
      <c r="B17" s="4">
        <v>1.1686</v>
      </c>
      <c r="C17" s="4">
        <v>0.01245</v>
      </c>
      <c r="D17" s="4">
        <v>0.00569</v>
      </c>
      <c r="E17" s="4">
        <v>-0.2392</v>
      </c>
      <c r="G17" s="4">
        <v>3.0</v>
      </c>
      <c r="H17" s="4">
        <v>1.54</v>
      </c>
      <c r="I17" s="4">
        <v>0.01295</v>
      </c>
      <c r="J17" s="4">
        <v>0.00679</v>
      </c>
      <c r="K17" s="4">
        <v>-0.2556</v>
      </c>
      <c r="M17" s="4">
        <v>1.5</v>
      </c>
      <c r="N17" s="4">
        <v>1.2472</v>
      </c>
      <c r="O17" s="4">
        <v>0.01169</v>
      </c>
      <c r="P17" s="4">
        <v>0.00484</v>
      </c>
      <c r="Q17" s="4">
        <v>-0.2495</v>
      </c>
      <c r="S17" s="4">
        <v>1.0</v>
      </c>
      <c r="T17" s="4">
        <v>1.212</v>
      </c>
      <c r="U17" s="4">
        <v>0.0158</v>
      </c>
      <c r="V17" s="4">
        <v>0.00807</v>
      </c>
      <c r="W17" s="4">
        <v>-0.2441</v>
      </c>
    </row>
    <row r="18">
      <c r="A18" s="4">
        <v>1.0</v>
      </c>
      <c r="B18" s="4">
        <v>1.2212</v>
      </c>
      <c r="C18" s="4">
        <v>0.01242</v>
      </c>
      <c r="D18" s="4">
        <v>0.00574</v>
      </c>
      <c r="E18" s="4">
        <v>-0.2387</v>
      </c>
      <c r="G18" s="4">
        <v>3.5</v>
      </c>
      <c r="H18" s="4">
        <v>1.5919</v>
      </c>
      <c r="I18" s="4">
        <v>0.01363</v>
      </c>
      <c r="J18" s="4">
        <v>0.00739</v>
      </c>
      <c r="K18" s="4">
        <v>-0.2554</v>
      </c>
      <c r="M18" s="4">
        <v>2.0</v>
      </c>
      <c r="N18" s="4">
        <v>1.3032</v>
      </c>
      <c r="O18" s="4">
        <v>0.01195</v>
      </c>
      <c r="P18" s="4">
        <v>0.00509</v>
      </c>
      <c r="Q18" s="4">
        <v>-0.2494</v>
      </c>
      <c r="S18" s="4">
        <v>1.5</v>
      </c>
      <c r="T18" s="4">
        <v>1.2657</v>
      </c>
      <c r="U18" s="4">
        <v>0.01616</v>
      </c>
      <c r="V18" s="4">
        <v>0.00842</v>
      </c>
      <c r="W18" s="4">
        <v>-0.2434</v>
      </c>
    </row>
    <row r="19">
      <c r="A19" s="4">
        <v>1.5</v>
      </c>
      <c r="B19" s="4">
        <v>1.2728</v>
      </c>
      <c r="C19" s="4">
        <v>0.01258</v>
      </c>
      <c r="D19" s="4">
        <v>0.0059</v>
      </c>
      <c r="E19" s="4">
        <v>-0.2379</v>
      </c>
      <c r="G19" s="4">
        <v>4.0</v>
      </c>
      <c r="H19" s="4">
        <v>1.6438</v>
      </c>
      <c r="I19" s="4">
        <v>0.01405</v>
      </c>
      <c r="J19" s="4">
        <v>0.00778</v>
      </c>
      <c r="K19" s="4">
        <v>-0.2551</v>
      </c>
      <c r="M19" s="4">
        <v>2.5</v>
      </c>
      <c r="N19" s="4">
        <v>1.3598</v>
      </c>
      <c r="O19" s="4">
        <v>0.01239</v>
      </c>
      <c r="P19" s="4">
        <v>0.0055</v>
      </c>
      <c r="Q19" s="4">
        <v>-0.2495</v>
      </c>
      <c r="S19" s="4">
        <v>2.0</v>
      </c>
      <c r="T19" s="4">
        <v>1.3187</v>
      </c>
      <c r="U19" s="4">
        <v>0.01658</v>
      </c>
      <c r="V19" s="4">
        <v>0.00881</v>
      </c>
      <c r="W19" s="4">
        <v>-0.2426</v>
      </c>
    </row>
    <row r="20">
      <c r="A20" s="4">
        <v>2.0</v>
      </c>
      <c r="B20" s="4">
        <v>1.325</v>
      </c>
      <c r="C20" s="4">
        <v>0.01262</v>
      </c>
      <c r="D20" s="4">
        <v>0.00594</v>
      </c>
      <c r="E20" s="4">
        <v>-0.2373</v>
      </c>
      <c r="G20" s="4">
        <v>4.5</v>
      </c>
      <c r="H20" s="4">
        <v>1.6942</v>
      </c>
      <c r="I20" s="4">
        <v>0.01436</v>
      </c>
      <c r="J20" s="4">
        <v>0.0081</v>
      </c>
      <c r="K20" s="4">
        <v>-0.2546</v>
      </c>
      <c r="M20" s="4">
        <v>3.0</v>
      </c>
      <c r="N20" s="4">
        <v>1.4162</v>
      </c>
      <c r="O20" s="4">
        <v>0.01255</v>
      </c>
      <c r="P20" s="4">
        <v>0.0058</v>
      </c>
      <c r="Q20" s="4">
        <v>-0.2495</v>
      </c>
      <c r="S20" s="4">
        <v>2.5</v>
      </c>
      <c r="T20" s="4">
        <v>1.3715</v>
      </c>
      <c r="U20" s="4">
        <v>0.01713</v>
      </c>
      <c r="V20" s="4">
        <v>0.00931</v>
      </c>
      <c r="W20" s="4">
        <v>-0.2418</v>
      </c>
    </row>
    <row r="21" ht="15.75" customHeight="1">
      <c r="A21" s="4">
        <v>2.5</v>
      </c>
      <c r="B21" s="4">
        <v>1.3753</v>
      </c>
      <c r="C21" s="4">
        <v>0.01271</v>
      </c>
      <c r="D21" s="4">
        <v>0.00609</v>
      </c>
      <c r="E21" s="4">
        <v>-0.2364</v>
      </c>
      <c r="G21" s="4">
        <v>5.0</v>
      </c>
      <c r="H21" s="4">
        <v>1.7435</v>
      </c>
      <c r="I21" s="4">
        <v>0.01473</v>
      </c>
      <c r="J21" s="4">
        <v>0.00849</v>
      </c>
      <c r="K21" s="4">
        <v>-0.2539</v>
      </c>
      <c r="M21" s="4">
        <v>3.5</v>
      </c>
      <c r="N21" s="4">
        <v>1.4717</v>
      </c>
      <c r="O21" s="4">
        <v>0.01272</v>
      </c>
      <c r="P21" s="4">
        <v>0.00611</v>
      </c>
      <c r="Q21" s="4">
        <v>-0.2493</v>
      </c>
      <c r="S21" s="4">
        <v>3.0</v>
      </c>
      <c r="T21" s="4">
        <v>1.4309</v>
      </c>
      <c r="U21" s="4">
        <v>0.01807</v>
      </c>
      <c r="V21" s="4">
        <v>0.01024</v>
      </c>
      <c r="W21" s="4">
        <v>-0.2425</v>
      </c>
    </row>
    <row r="22" ht="15.75" customHeight="1">
      <c r="A22" s="4">
        <v>3.0</v>
      </c>
      <c r="B22" s="4">
        <v>1.4244</v>
      </c>
      <c r="C22" s="4">
        <v>0.01292</v>
      </c>
      <c r="D22" s="4">
        <v>0.00625</v>
      </c>
      <c r="E22" s="4">
        <v>-0.2352</v>
      </c>
      <c r="G22" s="4">
        <v>5.5</v>
      </c>
      <c r="H22" s="4">
        <v>1.7915</v>
      </c>
      <c r="I22" s="4">
        <v>0.01512</v>
      </c>
      <c r="J22" s="4">
        <v>0.00889</v>
      </c>
      <c r="K22" s="4">
        <v>-0.2529</v>
      </c>
      <c r="M22" s="4">
        <v>4.0</v>
      </c>
      <c r="N22" s="4">
        <v>1.5252</v>
      </c>
      <c r="O22" s="4">
        <v>0.01312</v>
      </c>
      <c r="P22" s="4">
        <v>0.00662</v>
      </c>
      <c r="Q22" s="4">
        <v>-0.2488</v>
      </c>
      <c r="S22" s="4">
        <v>3.5</v>
      </c>
      <c r="T22" s="4">
        <v>1.4816</v>
      </c>
      <c r="U22" s="4">
        <v>0.01842</v>
      </c>
      <c r="V22" s="4">
        <v>0.01066</v>
      </c>
      <c r="W22" s="4">
        <v>-0.2412</v>
      </c>
    </row>
    <row r="23" ht="15.75" customHeight="1">
      <c r="A23" s="4">
        <v>3.5</v>
      </c>
      <c r="B23" s="4">
        <v>1.4781</v>
      </c>
      <c r="C23" s="4">
        <v>0.01329</v>
      </c>
      <c r="D23" s="4">
        <v>0.00668</v>
      </c>
      <c r="E23" s="4">
        <v>-0.2352</v>
      </c>
      <c r="G23" s="4">
        <v>6.0</v>
      </c>
      <c r="H23" s="4">
        <v>1.8368</v>
      </c>
      <c r="I23" s="4">
        <v>0.01555</v>
      </c>
      <c r="J23" s="4">
        <v>0.0093</v>
      </c>
      <c r="K23" s="4">
        <v>-0.2515</v>
      </c>
      <c r="M23" s="4">
        <v>4.5</v>
      </c>
      <c r="N23" s="4">
        <v>1.5804</v>
      </c>
      <c r="O23" s="4">
        <v>0.01339</v>
      </c>
      <c r="P23" s="4">
        <v>0.00708</v>
      </c>
      <c r="Q23" s="4">
        <v>-0.2486</v>
      </c>
      <c r="S23" s="4">
        <v>4.0</v>
      </c>
      <c r="T23" s="4">
        <v>1.5321</v>
      </c>
      <c r="U23" s="4">
        <v>0.01882</v>
      </c>
      <c r="V23" s="4">
        <v>0.01114</v>
      </c>
      <c r="W23" s="4">
        <v>-0.24</v>
      </c>
    </row>
    <row r="24" ht="15.75" customHeight="1">
      <c r="A24" s="4">
        <v>4.0</v>
      </c>
      <c r="B24" s="4">
        <v>1.5344</v>
      </c>
      <c r="C24" s="4">
        <v>0.01375</v>
      </c>
      <c r="D24" s="4">
        <v>0.00737</v>
      </c>
      <c r="E24" s="4">
        <v>-0.2359</v>
      </c>
      <c r="G24" s="4">
        <v>6.5</v>
      </c>
      <c r="H24" s="4">
        <v>1.8792</v>
      </c>
      <c r="I24" s="4">
        <v>0.01617</v>
      </c>
      <c r="J24" s="4">
        <v>0.01</v>
      </c>
      <c r="K24" s="4">
        <v>-0.2496</v>
      </c>
      <c r="M24" s="4">
        <v>5.0</v>
      </c>
      <c r="N24" s="4">
        <v>1.6354</v>
      </c>
      <c r="O24" s="4">
        <v>0.01357</v>
      </c>
      <c r="P24" s="4">
        <v>0.00752</v>
      </c>
      <c r="Q24" s="4">
        <v>-0.2484</v>
      </c>
      <c r="S24" s="4">
        <v>4.5</v>
      </c>
      <c r="T24" s="4">
        <v>1.5826</v>
      </c>
      <c r="U24" s="4">
        <v>0.01927</v>
      </c>
      <c r="V24" s="4">
        <v>0.01167</v>
      </c>
      <c r="W24" s="4">
        <v>-0.2389</v>
      </c>
    </row>
    <row r="25" ht="15.75" customHeight="1">
      <c r="A25" s="4">
        <v>4.5</v>
      </c>
      <c r="B25" s="4">
        <v>1.5768</v>
      </c>
      <c r="C25" s="4">
        <v>0.01318</v>
      </c>
      <c r="D25" s="4">
        <v>0.00767</v>
      </c>
      <c r="E25" s="4">
        <v>-0.2334</v>
      </c>
      <c r="G25" s="4">
        <v>7.0</v>
      </c>
      <c r="H25" s="4">
        <v>1.9257</v>
      </c>
      <c r="I25" s="4">
        <v>0.01718</v>
      </c>
      <c r="J25" s="4">
        <v>0.011</v>
      </c>
      <c r="K25" s="4">
        <v>-0.2487</v>
      </c>
      <c r="M25" s="4">
        <v>5.5</v>
      </c>
      <c r="N25" s="4">
        <v>1.6752</v>
      </c>
      <c r="O25" s="4">
        <v>0.01367</v>
      </c>
      <c r="P25" s="4">
        <v>0.00788</v>
      </c>
      <c r="Q25" s="4">
        <v>-0.2447</v>
      </c>
      <c r="S25" s="4">
        <v>5.0</v>
      </c>
      <c r="T25" s="4">
        <v>1.6328</v>
      </c>
      <c r="U25" s="4">
        <v>0.01977</v>
      </c>
      <c r="V25" s="4">
        <v>0.01229</v>
      </c>
      <c r="W25" s="4">
        <v>-0.2377</v>
      </c>
    </row>
    <row r="26" ht="15.75" customHeight="1">
      <c r="A26" s="4">
        <v>5.0</v>
      </c>
      <c r="B26" s="4">
        <v>1.6187</v>
      </c>
      <c r="C26" s="4">
        <v>0.01337</v>
      </c>
      <c r="D26" s="4">
        <v>0.00788</v>
      </c>
      <c r="E26" s="4">
        <v>-0.2308</v>
      </c>
      <c r="G26" s="4">
        <v>7.5</v>
      </c>
      <c r="H26" s="4">
        <v>1.9663</v>
      </c>
      <c r="I26" s="4">
        <v>0.01761</v>
      </c>
      <c r="J26" s="4">
        <v>0.01155</v>
      </c>
      <c r="K26" s="4">
        <v>-0.2465</v>
      </c>
      <c r="M26" s="4">
        <v>6.0</v>
      </c>
      <c r="N26" s="4">
        <v>1.7242</v>
      </c>
      <c r="O26" s="4">
        <v>0.01415</v>
      </c>
      <c r="P26" s="4">
        <v>0.00835</v>
      </c>
      <c r="Q26" s="4">
        <v>-0.2433</v>
      </c>
      <c r="S26" s="4">
        <v>5.5</v>
      </c>
      <c r="T26" s="4">
        <v>1.6831</v>
      </c>
      <c r="U26" s="4">
        <v>0.02028</v>
      </c>
      <c r="V26" s="4">
        <v>0.01295</v>
      </c>
      <c r="W26" s="4">
        <v>-0.2367</v>
      </c>
    </row>
    <row r="27" ht="15.75" customHeight="1">
      <c r="A27" s="4">
        <v>5.5</v>
      </c>
      <c r="B27" s="4">
        <v>1.6606</v>
      </c>
      <c r="C27" s="4">
        <v>0.01362</v>
      </c>
      <c r="D27" s="4">
        <v>0.00814</v>
      </c>
      <c r="E27" s="4">
        <v>-0.2283</v>
      </c>
      <c r="G27" s="4">
        <v>8.0</v>
      </c>
      <c r="H27" s="4">
        <v>2.0033</v>
      </c>
      <c r="I27" s="4">
        <v>0.01813</v>
      </c>
      <c r="J27" s="4">
        <v>0.01221</v>
      </c>
      <c r="K27" s="4">
        <v>-0.2437</v>
      </c>
      <c r="M27" s="4">
        <v>6.5</v>
      </c>
      <c r="N27" s="4">
        <v>1.7747</v>
      </c>
      <c r="O27" s="4">
        <v>0.0145</v>
      </c>
      <c r="P27" s="4">
        <v>0.00885</v>
      </c>
      <c r="Q27" s="4">
        <v>-0.2422</v>
      </c>
      <c r="S27" s="4">
        <v>6.0</v>
      </c>
      <c r="T27" s="4">
        <v>1.723</v>
      </c>
      <c r="U27" s="4">
        <v>0.0205</v>
      </c>
      <c r="V27" s="4">
        <v>0.01352</v>
      </c>
      <c r="W27" s="4">
        <v>-0.2335</v>
      </c>
    </row>
    <row r="28" ht="15.75" customHeight="1">
      <c r="A28" s="4">
        <v>6.0</v>
      </c>
      <c r="B28" s="4">
        <v>1.7013</v>
      </c>
      <c r="C28" s="4">
        <v>0.01389</v>
      </c>
      <c r="D28" s="4">
        <v>0.00841</v>
      </c>
      <c r="E28" s="4">
        <v>-0.2256</v>
      </c>
      <c r="G28" s="4">
        <v>8.5</v>
      </c>
      <c r="H28" s="4">
        <v>2.0371</v>
      </c>
      <c r="I28" s="4">
        <v>0.01869</v>
      </c>
      <c r="J28" s="4">
        <v>0.01288</v>
      </c>
      <c r="K28" s="4">
        <v>-0.2403</v>
      </c>
      <c r="M28" s="4">
        <v>7.0</v>
      </c>
      <c r="N28" s="4">
        <v>1.8194</v>
      </c>
      <c r="O28" s="4">
        <v>0.01517</v>
      </c>
      <c r="P28" s="4">
        <v>0.00946</v>
      </c>
      <c r="Q28" s="4">
        <v>-0.24</v>
      </c>
      <c r="S28" s="4">
        <v>6.5</v>
      </c>
      <c r="T28" s="4">
        <v>1.7683</v>
      </c>
      <c r="U28" s="4">
        <v>0.02119</v>
      </c>
      <c r="V28" s="4">
        <v>0.01416</v>
      </c>
      <c r="W28" s="4">
        <v>-0.2315</v>
      </c>
    </row>
    <row r="29" ht="15.75" customHeight="1">
      <c r="A29" s="4">
        <v>6.5</v>
      </c>
      <c r="B29" s="4">
        <v>1.7402</v>
      </c>
      <c r="C29" s="4">
        <v>0.01426</v>
      </c>
      <c r="D29" s="4">
        <v>0.00874</v>
      </c>
      <c r="E29" s="4">
        <v>-0.2226</v>
      </c>
      <c r="G29" s="4">
        <v>9.0</v>
      </c>
      <c r="H29" s="4">
        <v>2.0641</v>
      </c>
      <c r="I29" s="4">
        <v>0.01929</v>
      </c>
      <c r="J29" s="4">
        <v>0.01352</v>
      </c>
      <c r="K29" s="4">
        <v>-0.2357</v>
      </c>
      <c r="M29" s="4">
        <v>7.5</v>
      </c>
      <c r="N29" s="4">
        <v>1.8626</v>
      </c>
      <c r="O29" s="4">
        <v>0.01583</v>
      </c>
      <c r="P29" s="4">
        <v>0.01007</v>
      </c>
      <c r="Q29" s="4">
        <v>-0.2375</v>
      </c>
      <c r="S29" s="4">
        <v>7.0</v>
      </c>
      <c r="T29" s="4">
        <v>1.8158</v>
      </c>
      <c r="U29" s="4">
        <v>0.02212</v>
      </c>
      <c r="V29" s="4">
        <v>0.01507</v>
      </c>
      <c r="W29" s="4">
        <v>-0.2301</v>
      </c>
    </row>
    <row r="30" ht="15.75" customHeight="1">
      <c r="A30" s="4">
        <v>7.0</v>
      </c>
      <c r="B30" s="4">
        <v>1.7885</v>
      </c>
      <c r="C30" s="4">
        <v>0.01502</v>
      </c>
      <c r="D30" s="4">
        <v>0.00942</v>
      </c>
      <c r="E30" s="4">
        <v>-0.2218</v>
      </c>
      <c r="G30" s="4">
        <v>9.5</v>
      </c>
      <c r="H30" s="4">
        <v>2.0865</v>
      </c>
      <c r="I30" s="4">
        <v>0.02048</v>
      </c>
      <c r="J30" s="4">
        <v>0.01469</v>
      </c>
      <c r="K30" s="4">
        <v>-0.2307</v>
      </c>
      <c r="M30" s="4">
        <v>8.0</v>
      </c>
      <c r="N30" s="4">
        <v>1.8925</v>
      </c>
      <c r="O30" s="4">
        <v>0.01715</v>
      </c>
      <c r="P30" s="4">
        <v>0.01113</v>
      </c>
      <c r="Q30" s="4">
        <v>-0.2326</v>
      </c>
      <c r="S30" s="4">
        <v>7.5</v>
      </c>
      <c r="T30" s="4">
        <v>1.8727</v>
      </c>
      <c r="U30" s="4">
        <v>0.02346</v>
      </c>
      <c r="V30" s="4">
        <v>0.01644</v>
      </c>
      <c r="W30" s="4">
        <v>-0.2308</v>
      </c>
    </row>
    <row r="31" ht="15.75" customHeight="1">
      <c r="A31" s="4">
        <v>7.5</v>
      </c>
      <c r="B31" s="4">
        <v>1.8234</v>
      </c>
      <c r="C31" s="4">
        <v>0.01537</v>
      </c>
      <c r="D31" s="4">
        <v>0.00989</v>
      </c>
      <c r="E31" s="4">
        <v>-0.2183</v>
      </c>
      <c r="G31" s="4">
        <v>10.0</v>
      </c>
      <c r="H31" s="4">
        <v>2.1114</v>
      </c>
      <c r="I31" s="4">
        <v>0.02151</v>
      </c>
      <c r="J31" s="4">
        <v>0.01595</v>
      </c>
      <c r="K31" s="4">
        <v>-0.2263</v>
      </c>
      <c r="M31" s="4">
        <v>8.5</v>
      </c>
      <c r="N31" s="4">
        <v>1.9089</v>
      </c>
      <c r="O31" s="4">
        <v>0.01946</v>
      </c>
      <c r="P31" s="4">
        <v>0.01299</v>
      </c>
      <c r="Q31" s="4">
        <v>-0.2256</v>
      </c>
      <c r="S31" s="4">
        <v>8.0</v>
      </c>
      <c r="T31" s="4">
        <v>1.9148</v>
      </c>
      <c r="U31" s="4">
        <v>0.02413</v>
      </c>
      <c r="V31" s="4">
        <v>0.01721</v>
      </c>
      <c r="W31" s="4">
        <v>-0.2283</v>
      </c>
    </row>
    <row r="32" ht="15.75" customHeight="1">
      <c r="A32" s="4">
        <v>8.0</v>
      </c>
      <c r="B32" s="4">
        <v>1.8576</v>
      </c>
      <c r="C32" s="4">
        <v>0.01581</v>
      </c>
      <c r="D32" s="4">
        <v>0.01043</v>
      </c>
      <c r="E32" s="4">
        <v>-0.2147</v>
      </c>
      <c r="G32" s="4">
        <v>10.5</v>
      </c>
      <c r="H32" s="4">
        <v>2.1352</v>
      </c>
      <c r="I32" s="4">
        <v>0.02267</v>
      </c>
      <c r="J32" s="4">
        <v>0.01723</v>
      </c>
      <c r="K32" s="4">
        <v>-0.2221</v>
      </c>
      <c r="M32" s="4">
        <v>9.0</v>
      </c>
      <c r="N32" s="4">
        <v>1.9268</v>
      </c>
      <c r="O32" s="4">
        <v>0.02169</v>
      </c>
      <c r="P32" s="4">
        <v>0.01495</v>
      </c>
      <c r="Q32" s="4">
        <v>-0.2192</v>
      </c>
      <c r="S32" s="4">
        <v>8.5</v>
      </c>
      <c r="T32" s="4">
        <v>1.9564</v>
      </c>
      <c r="U32" s="4">
        <v>0.02488</v>
      </c>
      <c r="V32" s="4">
        <v>0.01806</v>
      </c>
      <c r="W32" s="4">
        <v>-0.2259</v>
      </c>
    </row>
    <row r="33" ht="15.75" customHeight="1">
      <c r="A33" s="4">
        <v>8.5</v>
      </c>
      <c r="B33" s="4">
        <v>1.8926</v>
      </c>
      <c r="C33" s="4">
        <v>0.01634</v>
      </c>
      <c r="D33" s="4">
        <v>0.01103</v>
      </c>
      <c r="E33" s="4">
        <v>-0.2114</v>
      </c>
      <c r="G33" s="4">
        <v>11.0</v>
      </c>
      <c r="H33" s="4">
        <v>2.1399</v>
      </c>
      <c r="I33" s="4">
        <v>0.02512</v>
      </c>
      <c r="J33" s="4">
        <v>0.01966</v>
      </c>
      <c r="K33" s="4">
        <v>-0.2156</v>
      </c>
      <c r="M33" s="4">
        <v>9.5</v>
      </c>
      <c r="N33" s="4">
        <v>1.9439</v>
      </c>
      <c r="O33" s="4">
        <v>0.02393</v>
      </c>
      <c r="P33" s="4">
        <v>0.01707</v>
      </c>
      <c r="Q33" s="4">
        <v>-0.2128</v>
      </c>
      <c r="S33" s="4">
        <v>9.0</v>
      </c>
      <c r="T33" s="4">
        <v>1.9975</v>
      </c>
      <c r="U33" s="4">
        <v>0.02572</v>
      </c>
      <c r="V33" s="4">
        <v>0.01901</v>
      </c>
      <c r="W33" s="4">
        <v>-0.2234</v>
      </c>
    </row>
    <row r="34" ht="15.75" customHeight="1">
      <c r="A34" s="4">
        <v>9.0</v>
      </c>
      <c r="B34" s="4">
        <v>1.919</v>
      </c>
      <c r="C34" s="4">
        <v>0.01716</v>
      </c>
      <c r="D34" s="4">
        <v>0.01182</v>
      </c>
      <c r="E34" s="4">
        <v>-0.2067</v>
      </c>
      <c r="G34" s="4">
        <v>11.5</v>
      </c>
      <c r="H34" s="4">
        <v>2.1559</v>
      </c>
      <c r="I34" s="4">
        <v>0.02729</v>
      </c>
      <c r="J34" s="4">
        <v>0.02196</v>
      </c>
      <c r="K34" s="4">
        <v>-0.2113</v>
      </c>
      <c r="M34" s="4">
        <v>10.0</v>
      </c>
      <c r="N34" s="4">
        <v>1.9636</v>
      </c>
      <c r="O34" s="4">
        <v>0.02604</v>
      </c>
      <c r="P34" s="4">
        <v>0.01915</v>
      </c>
      <c r="Q34" s="4">
        <v>-0.2071</v>
      </c>
      <c r="S34" s="4">
        <v>9.5</v>
      </c>
      <c r="T34" s="4">
        <v>2.0372</v>
      </c>
      <c r="U34" s="4">
        <v>0.02666</v>
      </c>
      <c r="V34" s="4">
        <v>0.02007</v>
      </c>
      <c r="W34" s="4">
        <v>-0.2208</v>
      </c>
    </row>
    <row r="35" ht="15.75" customHeight="1">
      <c r="A35" s="4">
        <v>9.5</v>
      </c>
      <c r="B35" s="4">
        <v>1.9511</v>
      </c>
      <c r="C35" s="4">
        <v>0.01817</v>
      </c>
      <c r="D35" s="4">
        <v>0.01285</v>
      </c>
      <c r="E35" s="4">
        <v>-0.2033</v>
      </c>
      <c r="G35" s="4">
        <v>12.0</v>
      </c>
      <c r="H35" s="4">
        <v>2.1387</v>
      </c>
      <c r="I35" s="4">
        <v>0.03207</v>
      </c>
      <c r="J35" s="4">
        <v>0.02669</v>
      </c>
      <c r="K35" s="4">
        <v>-0.204</v>
      </c>
      <c r="M35" s="4">
        <v>10.5</v>
      </c>
      <c r="N35" s="4">
        <v>1.9782</v>
      </c>
      <c r="O35" s="4">
        <v>0.02856</v>
      </c>
      <c r="P35" s="4">
        <v>0.02164</v>
      </c>
      <c r="Q35" s="4">
        <v>-0.2011</v>
      </c>
      <c r="S35" s="4">
        <v>10.0</v>
      </c>
      <c r="T35" s="4">
        <v>2.0747</v>
      </c>
      <c r="U35" s="4">
        <v>0.02762</v>
      </c>
      <c r="V35" s="4">
        <v>0.02112</v>
      </c>
      <c r="W35" s="4">
        <v>-0.2178</v>
      </c>
    </row>
    <row r="36" ht="15.75" customHeight="1">
      <c r="A36" s="4">
        <v>10.0</v>
      </c>
      <c r="B36" s="4">
        <v>1.978</v>
      </c>
      <c r="C36" s="4">
        <v>0.01912</v>
      </c>
      <c r="D36" s="4">
        <v>0.01397</v>
      </c>
      <c r="E36" s="4">
        <v>-0.1992</v>
      </c>
      <c r="G36" s="4">
        <v>12.5</v>
      </c>
      <c r="H36" s="4">
        <v>2.0921</v>
      </c>
      <c r="I36" s="4">
        <v>0.04065</v>
      </c>
      <c r="J36" s="4">
        <v>0.03511</v>
      </c>
      <c r="K36" s="4">
        <v>-0.1962</v>
      </c>
      <c r="M36" s="4">
        <v>11.0</v>
      </c>
      <c r="N36" s="4">
        <v>1.9918</v>
      </c>
      <c r="O36" s="4">
        <v>0.0312</v>
      </c>
      <c r="P36" s="4">
        <v>0.02434</v>
      </c>
      <c r="Q36" s="4">
        <v>-0.1954</v>
      </c>
      <c r="S36" s="4">
        <v>10.5</v>
      </c>
      <c r="T36" s="4">
        <v>2.1107</v>
      </c>
      <c r="U36" s="4">
        <v>0.0286</v>
      </c>
      <c r="V36" s="4">
        <v>0.02221</v>
      </c>
      <c r="W36" s="4">
        <v>-0.2147</v>
      </c>
    </row>
    <row r="37" ht="15.75" customHeight="1">
      <c r="A37" s="4">
        <v>10.5</v>
      </c>
      <c r="B37" s="4">
        <v>2.0016</v>
      </c>
      <c r="C37" s="4">
        <v>0.02037</v>
      </c>
      <c r="D37" s="4">
        <v>0.01527</v>
      </c>
      <c r="E37" s="4">
        <v>-0.1947</v>
      </c>
      <c r="G37" s="4">
        <v>13.0</v>
      </c>
      <c r="H37" s="4">
        <v>2.0324</v>
      </c>
      <c r="I37" s="4">
        <v>0.05188</v>
      </c>
      <c r="J37" s="4">
        <v>0.04626</v>
      </c>
      <c r="K37" s="4">
        <v>-0.1897</v>
      </c>
      <c r="M37" s="4">
        <v>11.5</v>
      </c>
      <c r="N37" s="4">
        <v>2.0017</v>
      </c>
      <c r="O37" s="4">
        <v>0.03437</v>
      </c>
      <c r="P37" s="4">
        <v>0.02757</v>
      </c>
      <c r="Q37" s="4">
        <v>-0.1898</v>
      </c>
      <c r="S37" s="4">
        <v>11.0</v>
      </c>
      <c r="T37" s="4">
        <v>2.1453</v>
      </c>
      <c r="U37" s="4">
        <v>0.02977</v>
      </c>
      <c r="V37" s="4">
        <v>0.02347</v>
      </c>
      <c r="W37" s="4">
        <v>-0.2115</v>
      </c>
    </row>
    <row r="38" ht="15.75" customHeight="1">
      <c r="A38" s="4">
        <v>11.0</v>
      </c>
      <c r="B38" s="4">
        <v>2.0104</v>
      </c>
      <c r="C38" s="4">
        <v>0.02248</v>
      </c>
      <c r="D38" s="4">
        <v>0.01733</v>
      </c>
      <c r="E38" s="4">
        <v>-0.1884</v>
      </c>
      <c r="G38" s="4">
        <v>13.5</v>
      </c>
      <c r="H38" s="4">
        <v>1.9705</v>
      </c>
      <c r="I38" s="4">
        <v>0.06424</v>
      </c>
      <c r="J38" s="4">
        <v>0.05863</v>
      </c>
      <c r="K38" s="4">
        <v>-0.1849</v>
      </c>
      <c r="M38" s="4">
        <v>12.0</v>
      </c>
      <c r="N38" s="4">
        <v>2.0074</v>
      </c>
      <c r="O38" s="4">
        <v>0.03824</v>
      </c>
      <c r="P38" s="4">
        <v>0.0315</v>
      </c>
      <c r="Q38" s="4">
        <v>-0.1846</v>
      </c>
      <c r="S38" s="4">
        <v>11.5</v>
      </c>
      <c r="T38" s="4">
        <v>2.1797</v>
      </c>
      <c r="U38" s="4">
        <v>0.03112</v>
      </c>
      <c r="V38" s="4">
        <v>0.02492</v>
      </c>
      <c r="W38" s="4">
        <v>-0.2085</v>
      </c>
    </row>
    <row r="39" ht="15.75" customHeight="1">
      <c r="A39" s="4">
        <v>11.5</v>
      </c>
      <c r="B39" s="4">
        <v>2.0303</v>
      </c>
      <c r="C39" s="4">
        <v>0.02432</v>
      </c>
      <c r="D39" s="4">
        <v>0.01932</v>
      </c>
      <c r="E39" s="4">
        <v>-0.1843</v>
      </c>
      <c r="G39" s="4">
        <v>14.0</v>
      </c>
      <c r="H39" s="4">
        <v>1.909</v>
      </c>
      <c r="I39" s="4">
        <v>0.0768</v>
      </c>
      <c r="J39" s="4">
        <v>0.07121</v>
      </c>
      <c r="K39" s="4">
        <v>-0.1811</v>
      </c>
      <c r="M39" s="4">
        <v>12.5</v>
      </c>
      <c r="N39" s="4">
        <v>2.0061</v>
      </c>
      <c r="O39" s="4">
        <v>0.0432</v>
      </c>
      <c r="P39" s="4">
        <v>0.03649</v>
      </c>
      <c r="Q39" s="4">
        <v>-0.1799</v>
      </c>
      <c r="S39" s="4">
        <v>12.0</v>
      </c>
      <c r="T39" s="4">
        <v>2.2206</v>
      </c>
      <c r="U39" s="4">
        <v>0.03303</v>
      </c>
      <c r="V39" s="4">
        <v>0.02694</v>
      </c>
      <c r="W39" s="4">
        <v>-0.2069</v>
      </c>
    </row>
    <row r="40" ht="15.75" customHeight="1">
      <c r="A40" s="4">
        <v>12.0</v>
      </c>
      <c r="B40" s="4">
        <v>2.0379</v>
      </c>
      <c r="C40" s="4">
        <v>0.02709</v>
      </c>
      <c r="D40" s="4">
        <v>0.02211</v>
      </c>
      <c r="E40" s="4">
        <v>-0.179</v>
      </c>
      <c r="G40" s="4">
        <v>14.5</v>
      </c>
      <c r="H40" s="4">
        <v>1.8488</v>
      </c>
      <c r="I40" s="4">
        <v>0.09026</v>
      </c>
      <c r="J40" s="4">
        <v>0.08465</v>
      </c>
      <c r="K40" s="4">
        <v>-0.1788</v>
      </c>
      <c r="M40" s="4">
        <v>13.0</v>
      </c>
      <c r="N40" s="4">
        <v>1.9777</v>
      </c>
      <c r="O40" s="4">
        <v>0.05182</v>
      </c>
      <c r="P40" s="4">
        <v>0.045</v>
      </c>
      <c r="Q40" s="4">
        <v>-0.1751</v>
      </c>
      <c r="S40" s="4">
        <v>12.5</v>
      </c>
      <c r="T40" s="4">
        <v>2.2542</v>
      </c>
      <c r="U40" s="4">
        <v>0.03484</v>
      </c>
      <c r="V40" s="4">
        <v>0.02897</v>
      </c>
      <c r="W40" s="4">
        <v>-0.2041</v>
      </c>
    </row>
    <row r="41" ht="15.75" customHeight="1">
      <c r="A41" s="4">
        <v>12.5</v>
      </c>
      <c r="B41" s="4">
        <v>2.0354</v>
      </c>
      <c r="C41" s="4">
        <v>0.03092</v>
      </c>
      <c r="D41" s="4">
        <v>0.02596</v>
      </c>
      <c r="E41" s="4">
        <v>-0.1732</v>
      </c>
      <c r="G41" s="4">
        <v>15.0</v>
      </c>
      <c r="H41" s="4">
        <v>1.7901</v>
      </c>
      <c r="I41" s="4">
        <v>0.104</v>
      </c>
      <c r="J41" s="4">
        <v>0.09835</v>
      </c>
      <c r="K41" s="4">
        <v>-0.1778</v>
      </c>
      <c r="M41" s="4">
        <v>13.5</v>
      </c>
      <c r="N41" s="4">
        <v>1.9236</v>
      </c>
      <c r="O41" s="4">
        <v>0.0648</v>
      </c>
      <c r="P41" s="4">
        <v>0.05795</v>
      </c>
      <c r="Q41" s="4">
        <v>-0.1721</v>
      </c>
      <c r="S41" s="4">
        <v>13.0</v>
      </c>
      <c r="T41" s="4">
        <v>2.2796</v>
      </c>
      <c r="U41" s="4">
        <v>0.03646</v>
      </c>
      <c r="V41" s="4">
        <v>0.03081</v>
      </c>
      <c r="W41" s="4">
        <v>-0.2</v>
      </c>
    </row>
    <row r="42" ht="15.75" customHeight="1">
      <c r="A42" s="4">
        <v>13.0</v>
      </c>
      <c r="B42" s="4">
        <v>2.0378</v>
      </c>
      <c r="C42" s="4">
        <v>0.03476</v>
      </c>
      <c r="D42" s="4">
        <v>0.02986</v>
      </c>
      <c r="E42" s="4">
        <v>-0.1686</v>
      </c>
      <c r="G42" s="4">
        <v>15.5</v>
      </c>
      <c r="H42" s="4">
        <v>1.7338</v>
      </c>
      <c r="I42" s="4">
        <v>0.11769</v>
      </c>
      <c r="J42" s="4">
        <v>0.11195</v>
      </c>
      <c r="K42" s="4">
        <v>-0.178</v>
      </c>
      <c r="M42" s="4">
        <v>14.0</v>
      </c>
      <c r="N42" s="4">
        <v>1.8925</v>
      </c>
      <c r="O42" s="4">
        <v>0.07584</v>
      </c>
      <c r="P42" s="4">
        <v>0.06922</v>
      </c>
      <c r="Q42" s="4">
        <v>-0.1713</v>
      </c>
      <c r="S42" s="4">
        <v>13.5</v>
      </c>
      <c r="T42" s="4">
        <v>2.3019</v>
      </c>
      <c r="U42" s="4">
        <v>0.03827</v>
      </c>
      <c r="V42" s="4">
        <v>0.03286</v>
      </c>
      <c r="W42" s="4">
        <v>-0.1957</v>
      </c>
    </row>
    <row r="43" ht="15.75" customHeight="1">
      <c r="A43" s="4">
        <v>13.5</v>
      </c>
      <c r="B43" s="4">
        <v>2.018</v>
      </c>
      <c r="C43" s="4">
        <v>0.04082</v>
      </c>
      <c r="D43" s="4">
        <v>0.03591</v>
      </c>
      <c r="E43" s="4">
        <v>-0.1629</v>
      </c>
      <c r="G43" s="4">
        <v>16.0</v>
      </c>
      <c r="H43" s="4">
        <v>1.6812</v>
      </c>
      <c r="I43" s="4">
        <v>0.13113</v>
      </c>
      <c r="J43" s="4">
        <v>0.12527</v>
      </c>
      <c r="K43" s="4">
        <v>-0.1796</v>
      </c>
      <c r="M43" s="4">
        <v>14.5</v>
      </c>
      <c r="N43" s="4">
        <v>1.8765</v>
      </c>
      <c r="O43" s="4">
        <v>0.08532</v>
      </c>
      <c r="P43" s="4">
        <v>0.07893</v>
      </c>
      <c r="Q43" s="4">
        <v>-0.1715</v>
      </c>
      <c r="S43" s="4">
        <v>14.0</v>
      </c>
      <c r="T43" s="4">
        <v>2.3217</v>
      </c>
      <c r="U43" s="4">
        <v>0.04011</v>
      </c>
      <c r="V43" s="4">
        <v>0.0349</v>
      </c>
      <c r="W43" s="4">
        <v>-0.1912</v>
      </c>
    </row>
    <row r="44" ht="15.75" customHeight="1">
      <c r="A44" s="4">
        <v>14.0</v>
      </c>
      <c r="B44" s="4">
        <v>2.0077</v>
      </c>
      <c r="C44" s="4">
        <v>0.04659</v>
      </c>
      <c r="D44" s="4">
        <v>0.04168</v>
      </c>
      <c r="E44" s="4">
        <v>-0.1587</v>
      </c>
      <c r="G44" s="4">
        <v>16.5</v>
      </c>
      <c r="H44" s="4">
        <v>1.6454</v>
      </c>
      <c r="I44" s="4">
        <v>0.1418</v>
      </c>
      <c r="J44" s="4">
        <v>0.13594</v>
      </c>
      <c r="K44" s="4">
        <v>-0.1817</v>
      </c>
      <c r="M44" s="4">
        <v>15.0</v>
      </c>
      <c r="N44" s="4">
        <v>1.8669</v>
      </c>
      <c r="O44" s="4">
        <v>0.09396</v>
      </c>
      <c r="P44" s="4">
        <v>0.08782</v>
      </c>
      <c r="Q44" s="4">
        <v>-0.172</v>
      </c>
      <c r="S44" s="4">
        <v>14.5</v>
      </c>
      <c r="T44" s="4">
        <v>2.34</v>
      </c>
      <c r="U44" s="4">
        <v>0.04203</v>
      </c>
      <c r="V44" s="4">
        <v>0.03697</v>
      </c>
      <c r="W44" s="4">
        <v>-0.1869</v>
      </c>
    </row>
    <row r="45" ht="15.75" customHeight="1">
      <c r="A45" s="4">
        <v>14.5</v>
      </c>
      <c r="B45" s="4">
        <v>1.9891</v>
      </c>
      <c r="C45" s="4">
        <v>0.05371</v>
      </c>
      <c r="D45" s="4">
        <v>0.04885</v>
      </c>
      <c r="E45" s="4">
        <v>-0.1548</v>
      </c>
      <c r="G45" s="4">
        <v>17.0</v>
      </c>
      <c r="H45" s="4">
        <v>1.6309</v>
      </c>
      <c r="I45" s="4">
        <v>0.14996</v>
      </c>
      <c r="J45" s="4">
        <v>0.14446</v>
      </c>
      <c r="K45" s="4">
        <v>-0.1833</v>
      </c>
      <c r="M45" s="4">
        <v>15.5</v>
      </c>
      <c r="N45" s="4">
        <v>1.857</v>
      </c>
      <c r="O45" s="4">
        <v>0.10266</v>
      </c>
      <c r="P45" s="4">
        <v>0.09678</v>
      </c>
      <c r="Q45" s="4">
        <v>-0.1731</v>
      </c>
      <c r="S45" s="4">
        <v>15.0</v>
      </c>
      <c r="T45" s="4">
        <v>2.3571</v>
      </c>
      <c r="U45" s="4">
        <v>0.0443</v>
      </c>
      <c r="V45" s="4">
        <v>0.03942</v>
      </c>
      <c r="W45" s="4">
        <v>-0.1829</v>
      </c>
    </row>
    <row r="46" ht="15.75" customHeight="1">
      <c r="A46" s="4">
        <v>15.0</v>
      </c>
      <c r="B46" s="4">
        <v>1.9622</v>
      </c>
      <c r="C46" s="4">
        <v>0.06212</v>
      </c>
      <c r="D46" s="4">
        <v>0.05724</v>
      </c>
      <c r="E46" s="4">
        <v>-0.1514</v>
      </c>
      <c r="G46" s="4">
        <v>17.5</v>
      </c>
      <c r="H46" s="4">
        <v>1.612</v>
      </c>
      <c r="I46" s="4">
        <v>0.1595</v>
      </c>
      <c r="J46" s="4">
        <v>0.15432</v>
      </c>
      <c r="K46" s="4">
        <v>-0.1859</v>
      </c>
      <c r="M46" s="4">
        <v>16.0</v>
      </c>
      <c r="N46" s="4">
        <v>1.8454</v>
      </c>
      <c r="O46" s="4">
        <v>0.11171</v>
      </c>
      <c r="P46" s="4">
        <v>0.1061</v>
      </c>
      <c r="Q46" s="4">
        <v>-0.1747</v>
      </c>
      <c r="S46" s="4">
        <v>15.5</v>
      </c>
      <c r="T46" s="4">
        <v>2.3719</v>
      </c>
      <c r="U46" s="4">
        <v>0.04706</v>
      </c>
      <c r="V46" s="4">
        <v>0.04231</v>
      </c>
      <c r="W46" s="4">
        <v>-0.179</v>
      </c>
    </row>
    <row r="47" ht="15.75" customHeight="1">
      <c r="A47" s="4">
        <v>15.5</v>
      </c>
      <c r="B47" s="4">
        <v>1.9486</v>
      </c>
      <c r="C47" s="4">
        <v>0.06925</v>
      </c>
      <c r="D47" s="4">
        <v>0.06443</v>
      </c>
      <c r="E47" s="4">
        <v>-0.149</v>
      </c>
      <c r="G47" s="4">
        <v>18.0</v>
      </c>
      <c r="H47" s="4">
        <v>1.6028</v>
      </c>
      <c r="I47" s="4">
        <v>0.16776</v>
      </c>
      <c r="J47" s="4">
        <v>0.16279</v>
      </c>
      <c r="K47" s="4">
        <v>-0.1882</v>
      </c>
      <c r="M47" s="4">
        <v>16.5</v>
      </c>
      <c r="N47" s="4">
        <v>1.8329</v>
      </c>
      <c r="O47" s="4">
        <v>0.12093</v>
      </c>
      <c r="P47" s="4">
        <v>0.11559</v>
      </c>
      <c r="Q47" s="4">
        <v>-0.177</v>
      </c>
      <c r="S47" s="4">
        <v>16.0</v>
      </c>
      <c r="T47" s="4">
        <v>2.3842</v>
      </c>
      <c r="U47" s="4">
        <v>0.0505</v>
      </c>
      <c r="V47" s="4">
        <v>0.04591</v>
      </c>
      <c r="W47" s="4">
        <v>-0.1754</v>
      </c>
    </row>
    <row r="48" ht="15.75" customHeight="1">
      <c r="A48" s="4">
        <v>16.0</v>
      </c>
      <c r="B48" s="4">
        <v>1.9238</v>
      </c>
      <c r="C48" s="4">
        <v>0.07776</v>
      </c>
      <c r="D48" s="4">
        <v>0.07301</v>
      </c>
      <c r="E48" s="4">
        <v>-0.1468</v>
      </c>
      <c r="G48" s="4">
        <v>18.5</v>
      </c>
      <c r="H48" s="4">
        <v>1.5968</v>
      </c>
      <c r="I48" s="4">
        <v>0.17564</v>
      </c>
      <c r="J48" s="4">
        <v>0.1709</v>
      </c>
      <c r="K48" s="4">
        <v>-0.1905</v>
      </c>
      <c r="S48" s="4">
        <v>16.5</v>
      </c>
      <c r="T48" s="4">
        <v>2.3872</v>
      </c>
      <c r="U48" s="4">
        <v>0.05383</v>
      </c>
      <c r="V48" s="4">
        <v>0.04947</v>
      </c>
      <c r="W48" s="4">
        <v>-0.1715</v>
      </c>
    </row>
    <row r="49" ht="15.75" customHeight="1">
      <c r="A49" s="4">
        <v>16.5</v>
      </c>
      <c r="B49" s="4">
        <v>1.9123</v>
      </c>
      <c r="C49" s="4">
        <v>0.08511</v>
      </c>
      <c r="D49" s="4">
        <v>0.0805</v>
      </c>
      <c r="E49" s="4">
        <v>-0.1456</v>
      </c>
      <c r="G49" s="4">
        <v>19.0</v>
      </c>
      <c r="H49" s="4">
        <v>1.5911</v>
      </c>
      <c r="I49" s="4">
        <v>0.18391</v>
      </c>
      <c r="J49" s="4">
        <v>0.17935</v>
      </c>
      <c r="K49" s="4">
        <v>-0.1931</v>
      </c>
      <c r="S49" s="4">
        <v>17.0</v>
      </c>
      <c r="T49" s="4">
        <v>2.3919</v>
      </c>
      <c r="U49" s="4">
        <v>0.05777</v>
      </c>
      <c r="V49" s="4">
        <v>0.05354</v>
      </c>
      <c r="W49" s="4">
        <v>-0.1685</v>
      </c>
    </row>
    <row r="50" ht="15.75" customHeight="1">
      <c r="A50" s="4">
        <v>17.0</v>
      </c>
      <c r="B50" s="4">
        <v>1.9012</v>
      </c>
      <c r="C50" s="4">
        <v>0.0925</v>
      </c>
      <c r="D50" s="4">
        <v>0.08788</v>
      </c>
      <c r="E50" s="4">
        <v>-0.1447</v>
      </c>
      <c r="G50" s="4">
        <v>19.5</v>
      </c>
      <c r="H50" s="4">
        <v>1.5939</v>
      </c>
      <c r="I50" s="4">
        <v>0.19047</v>
      </c>
      <c r="J50" s="4">
        <v>0.18603</v>
      </c>
      <c r="K50" s="4">
        <v>-0.1951</v>
      </c>
      <c r="S50" s="4">
        <v>17.5</v>
      </c>
      <c r="T50" s="4">
        <v>2.3843</v>
      </c>
      <c r="U50" s="4">
        <v>0.06385</v>
      </c>
      <c r="V50" s="4">
        <v>0.05974</v>
      </c>
      <c r="W50" s="4">
        <v>-0.1657</v>
      </c>
    </row>
    <row r="51" ht="15.75" customHeight="1">
      <c r="A51" s="4">
        <v>17.5</v>
      </c>
      <c r="B51" s="4">
        <v>1.8957</v>
      </c>
      <c r="C51" s="4">
        <v>0.09919</v>
      </c>
      <c r="D51" s="4">
        <v>0.09464</v>
      </c>
      <c r="E51" s="4">
        <v>-0.1442</v>
      </c>
      <c r="G51" s="4">
        <v>20.0</v>
      </c>
      <c r="H51" s="4">
        <v>1.5973</v>
      </c>
      <c r="I51" s="4">
        <v>0.19692</v>
      </c>
      <c r="J51" s="4">
        <v>0.19261</v>
      </c>
      <c r="K51" s="4">
        <v>-0.197</v>
      </c>
      <c r="S51" s="4">
        <v>18.0</v>
      </c>
      <c r="T51" s="4">
        <v>2.3855</v>
      </c>
      <c r="U51" s="4">
        <v>0.06938</v>
      </c>
      <c r="V51" s="4">
        <v>0.06559</v>
      </c>
      <c r="W51" s="4">
        <v>-0.1641</v>
      </c>
    </row>
    <row r="52" ht="15.75" customHeight="1">
      <c r="A52" s="4">
        <v>18.0</v>
      </c>
      <c r="B52" s="4">
        <v>1.8796</v>
      </c>
      <c r="C52" s="4">
        <v>0.10758</v>
      </c>
      <c r="D52" s="4">
        <v>0.10308</v>
      </c>
      <c r="E52" s="4">
        <v>-0.1444</v>
      </c>
      <c r="S52" s="4">
        <v>18.5</v>
      </c>
      <c r="T52" s="4">
        <v>2.3718</v>
      </c>
      <c r="U52" s="4">
        <v>0.07722</v>
      </c>
      <c r="V52" s="4">
        <v>0.07364</v>
      </c>
      <c r="W52" s="4">
        <v>-0.1631</v>
      </c>
    </row>
    <row r="53" ht="15.75" customHeight="1">
      <c r="A53" s="4">
        <v>18.5</v>
      </c>
      <c r="B53" s="4">
        <v>1.8719</v>
      </c>
      <c r="C53" s="4">
        <v>0.1145</v>
      </c>
      <c r="D53" s="4">
        <v>0.11001</v>
      </c>
      <c r="E53" s="4">
        <v>-0.1446</v>
      </c>
      <c r="S53" s="4">
        <v>19.0</v>
      </c>
      <c r="T53" s="4">
        <v>2.3283</v>
      </c>
      <c r="U53" s="4">
        <v>0.09018</v>
      </c>
      <c r="V53" s="4">
        <v>0.08683</v>
      </c>
      <c r="W53" s="4">
        <v>-0.1643</v>
      </c>
    </row>
    <row r="54" ht="15.75" customHeight="1">
      <c r="A54" s="4">
        <v>19.0</v>
      </c>
      <c r="B54" s="4">
        <v>1.8723</v>
      </c>
      <c r="C54" s="4">
        <v>0.12036</v>
      </c>
      <c r="D54" s="4">
        <v>0.11599</v>
      </c>
      <c r="E54" s="4">
        <v>-0.1452</v>
      </c>
      <c r="S54" s="4">
        <v>19.5</v>
      </c>
      <c r="T54" s="4">
        <v>2.285</v>
      </c>
      <c r="U54" s="4">
        <v>0.10437</v>
      </c>
      <c r="V54" s="4">
        <v>0.10142</v>
      </c>
      <c r="W54" s="4">
        <v>-0.1679</v>
      </c>
    </row>
    <row r="55" ht="15.75" customHeight="1">
      <c r="A55" s="4">
        <v>19.5</v>
      </c>
      <c r="B55" s="4">
        <v>1.854</v>
      </c>
      <c r="C55" s="4">
        <v>0.12895</v>
      </c>
      <c r="D55" s="4">
        <v>0.12459</v>
      </c>
      <c r="E55" s="4">
        <v>-0.1467</v>
      </c>
      <c r="S55" s="4">
        <v>20.0</v>
      </c>
      <c r="T55" s="4">
        <v>2.2017</v>
      </c>
      <c r="U55" s="4">
        <v>0.12594</v>
      </c>
      <c r="V55" s="4">
        <v>0.12334</v>
      </c>
      <c r="W55" s="4">
        <v>-0.176</v>
      </c>
    </row>
    <row r="56" ht="15.75" customHeight="1">
      <c r="A56" s="4">
        <v>20.0</v>
      </c>
      <c r="B56" s="4">
        <v>1.8576</v>
      </c>
      <c r="C56" s="4">
        <v>0.13406</v>
      </c>
      <c r="D56" s="4">
        <v>0.12982</v>
      </c>
      <c r="E56" s="4">
        <v>-0.1477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E4"/>
    <mergeCell ref="G4:K4"/>
    <mergeCell ref="M4:Q4"/>
    <mergeCell ref="S4:W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4">
      <c r="E4" s="5" t="s">
        <v>9</v>
      </c>
      <c r="F4" s="2"/>
      <c r="G4" s="3"/>
      <c r="H4" s="1" t="s">
        <v>10</v>
      </c>
      <c r="I4" s="2"/>
      <c r="J4" s="3"/>
      <c r="K4" s="1" t="s">
        <v>11</v>
      </c>
      <c r="L4" s="2"/>
      <c r="M4" s="3"/>
      <c r="N4" s="1" t="s">
        <v>12</v>
      </c>
      <c r="O4" s="2"/>
      <c r="P4" s="3"/>
      <c r="Q4" s="1" t="s">
        <v>13</v>
      </c>
      <c r="R4" s="2"/>
      <c r="S4" s="3"/>
    </row>
    <row r="5">
      <c r="D5" s="4" t="s">
        <v>4</v>
      </c>
      <c r="E5" s="4" t="s">
        <v>14</v>
      </c>
      <c r="F5" s="4" t="s">
        <v>15</v>
      </c>
      <c r="G5" s="4" t="s">
        <v>16</v>
      </c>
      <c r="H5" s="4" t="s">
        <v>14</v>
      </c>
      <c r="I5" s="4" t="s">
        <v>15</v>
      </c>
      <c r="J5" s="4" t="s">
        <v>16</v>
      </c>
      <c r="K5" s="4" t="s">
        <v>14</v>
      </c>
      <c r="L5" s="4" t="s">
        <v>15</v>
      </c>
      <c r="M5" s="4" t="s">
        <v>16</v>
      </c>
      <c r="N5" s="4" t="s">
        <v>14</v>
      </c>
      <c r="O5" s="4" t="s">
        <v>15</v>
      </c>
      <c r="P5" s="4" t="s">
        <v>16</v>
      </c>
      <c r="Q5" s="4" t="s">
        <v>14</v>
      </c>
      <c r="R5" s="4" t="s">
        <v>15</v>
      </c>
      <c r="S5" s="4" t="s">
        <v>16</v>
      </c>
    </row>
    <row r="6">
      <c r="D6" s="4">
        <v>-5.0</v>
      </c>
      <c r="E6" s="4">
        <v>0.872139</v>
      </c>
      <c r="F6" s="4">
        <v>0.02439</v>
      </c>
      <c r="G6" s="1">
        <v>-0.424656</v>
      </c>
      <c r="H6" s="4">
        <v>1.169348</v>
      </c>
      <c r="I6" s="4">
        <v>0.037003</v>
      </c>
      <c r="J6" s="4">
        <v>-0.553096</v>
      </c>
      <c r="K6" s="4">
        <v>0.883636</v>
      </c>
      <c r="L6" s="4">
        <v>0.023251</v>
      </c>
      <c r="M6" s="4">
        <v>-0.41848</v>
      </c>
      <c r="N6" s="4">
        <v>0.866042</v>
      </c>
      <c r="O6" s="4">
        <v>0.02113</v>
      </c>
      <c r="P6" s="4">
        <v>-0.42346</v>
      </c>
      <c r="Q6" s="6"/>
      <c r="R6" s="4"/>
      <c r="S6" s="4"/>
    </row>
    <row r="7">
      <c r="D7" s="4">
        <v>-4.0</v>
      </c>
      <c r="E7" s="4">
        <v>1.017436</v>
      </c>
      <c r="F7" s="4">
        <v>0.032498</v>
      </c>
      <c r="G7" s="1">
        <v>-0.418476</v>
      </c>
      <c r="H7" s="4">
        <v>1.246633</v>
      </c>
      <c r="I7" s="4">
        <v>0.041874</v>
      </c>
      <c r="J7" s="4">
        <v>-0.558206</v>
      </c>
      <c r="K7" s="4">
        <v>0.957973</v>
      </c>
      <c r="L7" s="4">
        <v>0.027034</v>
      </c>
      <c r="M7" s="4">
        <v>-0.414457</v>
      </c>
      <c r="N7" s="4">
        <v>0.94024</v>
      </c>
      <c r="O7" s="4">
        <v>0.025033</v>
      </c>
      <c r="P7" s="4">
        <v>-0.41935</v>
      </c>
      <c r="Q7" s="6"/>
      <c r="R7" s="4"/>
      <c r="S7" s="4"/>
    </row>
    <row r="8">
      <c r="D8" s="4">
        <v>-3.0</v>
      </c>
      <c r="E8" s="4">
        <v>1.162199</v>
      </c>
      <c r="F8" s="4">
        <v>0.04183</v>
      </c>
      <c r="G8" s="1">
        <v>-0.416405</v>
      </c>
      <c r="H8" s="4">
        <v>1.323758</v>
      </c>
      <c r="I8" s="4">
        <v>0.047049</v>
      </c>
      <c r="J8" s="4">
        <v>-0.564845</v>
      </c>
      <c r="K8" s="4">
        <v>1.032191</v>
      </c>
      <c r="L8" s="4">
        <v>0.031117</v>
      </c>
      <c r="M8" s="4">
        <v>-0.411499</v>
      </c>
      <c r="N8" s="4">
        <v>1.014317</v>
      </c>
      <c r="O8" s="4">
        <v>0.029222</v>
      </c>
      <c r="P8" s="4">
        <v>-0.416304</v>
      </c>
      <c r="Q8" s="6"/>
      <c r="R8" s="4"/>
      <c r="S8" s="4"/>
    </row>
    <row r="9">
      <c r="D9" s="4">
        <v>-2.0</v>
      </c>
      <c r="E9" s="4">
        <v>1.30632</v>
      </c>
      <c r="F9" s="4">
        <v>0.052369</v>
      </c>
      <c r="G9" s="1">
        <v>-0.418445</v>
      </c>
      <c r="H9" s="4">
        <v>1.400709</v>
      </c>
      <c r="I9" s="4">
        <v>0.052527</v>
      </c>
      <c r="J9" s="4">
        <v>-0.573012</v>
      </c>
      <c r="K9" s="4">
        <v>1.106276</v>
      </c>
      <c r="L9" s="4">
        <v>0.0355</v>
      </c>
      <c r="M9" s="4">
        <v>-0.409609</v>
      </c>
      <c r="N9" s="4">
        <v>1.088261</v>
      </c>
      <c r="O9" s="4">
        <v>0.033695</v>
      </c>
      <c r="P9" s="4">
        <v>-0.41432</v>
      </c>
      <c r="Q9" s="6"/>
      <c r="R9" s="4"/>
      <c r="S9" s="4"/>
    </row>
    <row r="10">
      <c r="D10" s="4">
        <v>-1.0</v>
      </c>
      <c r="E10" s="4">
        <v>1.449693</v>
      </c>
      <c r="F10" s="4">
        <v>0.064096</v>
      </c>
      <c r="G10" s="1">
        <v>-0.424594</v>
      </c>
      <c r="H10" s="4">
        <v>1.477473</v>
      </c>
      <c r="I10" s="4">
        <v>0.058304</v>
      </c>
      <c r="J10" s="4">
        <v>-0.582704</v>
      </c>
      <c r="K10" s="4">
        <v>1.180214</v>
      </c>
      <c r="L10" s="4">
        <v>0.04018</v>
      </c>
      <c r="M10" s="4">
        <v>-0.408786</v>
      </c>
      <c r="N10" s="4">
        <v>1.162058</v>
      </c>
      <c r="O10" s="4">
        <v>0.038452</v>
      </c>
      <c r="P10" s="4">
        <v>-0.413401</v>
      </c>
      <c r="Q10" s="6"/>
      <c r="R10" s="4"/>
      <c r="S10" s="4"/>
    </row>
    <row r="11">
      <c r="D11" s="4">
        <v>0.0</v>
      </c>
      <c r="E11" s="4">
        <v>1.59221</v>
      </c>
      <c r="F11" s="4">
        <v>0.076986</v>
      </c>
      <c r="G11" s="1">
        <v>-0.434844</v>
      </c>
      <c r="H11" s="4">
        <v>1.554035</v>
      </c>
      <c r="I11" s="4">
        <v>0.064379</v>
      </c>
      <c r="J11" s="4">
        <v>-0.593918</v>
      </c>
      <c r="K11" s="4">
        <v>1.253994</v>
      </c>
      <c r="L11" s="4">
        <v>0.045156</v>
      </c>
      <c r="M11" s="4">
        <v>-0.409032</v>
      </c>
      <c r="N11" s="4">
        <v>1.235696</v>
      </c>
      <c r="O11" s="4">
        <v>0.043489</v>
      </c>
      <c r="P11" s="4">
        <v>-0.413546</v>
      </c>
      <c r="Q11" s="6"/>
      <c r="R11" s="4"/>
      <c r="S11" s="4"/>
    </row>
    <row r="12">
      <c r="D12" s="4">
        <v>1.0</v>
      </c>
      <c r="E12" s="4">
        <v>1.733767</v>
      </c>
      <c r="F12" s="4">
        <v>0.091013</v>
      </c>
      <c r="G12" s="1">
        <v>-0.449183</v>
      </c>
      <c r="H12" s="4">
        <v>1.630382</v>
      </c>
      <c r="I12" s="4">
        <v>0.070749</v>
      </c>
      <c r="J12" s="4">
        <v>-0.606651</v>
      </c>
      <c r="K12" s="4">
        <v>1.3276</v>
      </c>
      <c r="L12" s="4">
        <v>0.050425</v>
      </c>
      <c r="M12" s="4">
        <v>-0.410346</v>
      </c>
      <c r="N12" s="4">
        <v>1.309161</v>
      </c>
      <c r="O12" s="4">
        <v>0.048804</v>
      </c>
      <c r="P12" s="4">
        <v>-0.414756</v>
      </c>
      <c r="Q12" s="6"/>
      <c r="R12" s="4"/>
      <c r="S12" s="4"/>
    </row>
    <row r="13">
      <c r="D13" s="4">
        <v>2.0</v>
      </c>
      <c r="E13" s="4">
        <v>1.87426</v>
      </c>
      <c r="F13" s="4">
        <v>0.106146</v>
      </c>
      <c r="G13" s="1">
        <v>-0.467594</v>
      </c>
      <c r="H13" s="4">
        <v>1.7065</v>
      </c>
      <c r="I13" s="4">
        <v>0.077409</v>
      </c>
      <c r="J13" s="4">
        <v>-0.620898</v>
      </c>
      <c r="K13" s="4">
        <v>1.401019</v>
      </c>
      <c r="L13" s="4">
        <v>0.055985</v>
      </c>
      <c r="M13" s="4">
        <v>-0.412727</v>
      </c>
      <c r="N13" s="4">
        <v>1.38244</v>
      </c>
      <c r="O13" s="4">
        <v>0.054395</v>
      </c>
      <c r="P13" s="4">
        <v>-0.417029</v>
      </c>
      <c r="Q13" s="6"/>
      <c r="R13" s="4"/>
      <c r="S13" s="4"/>
    </row>
    <row r="14">
      <c r="D14" s="4">
        <v>3.0</v>
      </c>
      <c r="E14" s="4">
        <v>2.013589</v>
      </c>
      <c r="F14" s="4">
        <v>0.12235</v>
      </c>
      <c r="G14" s="1">
        <v>-0.490054</v>
      </c>
      <c r="H14" s="4">
        <v>1.782376</v>
      </c>
      <c r="I14" s="4">
        <v>0.084358</v>
      </c>
      <c r="J14" s="4">
        <v>-0.636655</v>
      </c>
      <c r="K14" s="4">
        <v>1.474239</v>
      </c>
      <c r="L14" s="4">
        <v>0.061833</v>
      </c>
      <c r="M14" s="4">
        <v>-0.416175</v>
      </c>
      <c r="N14" s="4">
        <v>1.45552</v>
      </c>
      <c r="O14" s="4">
        <v>0.060259</v>
      </c>
      <c r="P14" s="4">
        <v>-0.420366</v>
      </c>
      <c r="Q14" s="6"/>
      <c r="R14" s="4"/>
      <c r="S14" s="4"/>
    </row>
    <row r="15">
      <c r="D15" s="4">
        <v>4.0</v>
      </c>
      <c r="E15" s="4">
        <v>2.151654</v>
      </c>
      <c r="F15" s="4">
        <v>0.139588</v>
      </c>
      <c r="G15" s="1">
        <v>-0.516535</v>
      </c>
      <c r="H15" s="4">
        <v>1.857997</v>
      </c>
      <c r="I15" s="4">
        <v>0.09159</v>
      </c>
      <c r="J15" s="4">
        <v>-0.653919</v>
      </c>
      <c r="K15" s="4">
        <v>1.547246</v>
      </c>
      <c r="L15" s="4">
        <v>0.067966</v>
      </c>
      <c r="M15" s="4">
        <v>-0.420688</v>
      </c>
      <c r="N15" s="4">
        <v>1.528389</v>
      </c>
      <c r="O15" s="4">
        <v>0.066393</v>
      </c>
      <c r="P15" s="4">
        <v>-0.424765</v>
      </c>
      <c r="Q15" s="6"/>
      <c r="R15" s="4"/>
      <c r="S15" s="4"/>
    </row>
    <row r="16">
      <c r="D16" s="4">
        <v>5.0</v>
      </c>
      <c r="E16" s="4">
        <v>2.288358</v>
      </c>
      <c r="F16" s="4">
        <v>0.15782</v>
      </c>
      <c r="G16" s="1">
        <v>-0.547005</v>
      </c>
      <c r="H16" s="4">
        <v>1.933348</v>
      </c>
      <c r="I16" s="4">
        <v>0.099104</v>
      </c>
      <c r="J16" s="4">
        <v>-0.672682</v>
      </c>
      <c r="K16" s="4">
        <v>1.620027</v>
      </c>
      <c r="L16" s="4">
        <v>0.07438</v>
      </c>
      <c r="M16" s="4">
        <v>-0.426267</v>
      </c>
      <c r="N16" s="4">
        <v>1.601034</v>
      </c>
      <c r="O16" s="4">
        <v>0.072794</v>
      </c>
      <c r="P16" s="4">
        <v>-0.430225</v>
      </c>
      <c r="Q16" s="6"/>
      <c r="R16" s="4"/>
      <c r="S16" s="4"/>
    </row>
    <row r="17">
      <c r="D17" s="4">
        <v>6.0</v>
      </c>
      <c r="E17" s="4">
        <v>2.423605</v>
      </c>
      <c r="F17" s="4">
        <v>0.177001</v>
      </c>
      <c r="G17" s="1">
        <v>-0.581428</v>
      </c>
      <c r="H17" s="4">
        <v>2.008417</v>
      </c>
      <c r="I17" s="4">
        <v>0.106894</v>
      </c>
      <c r="J17" s="4">
        <v>-0.69294</v>
      </c>
      <c r="K17" s="4">
        <v>1.692569</v>
      </c>
      <c r="L17" s="4">
        <v>0.081073</v>
      </c>
      <c r="M17" s="4">
        <v>-0.432908</v>
      </c>
      <c r="N17" s="4">
        <v>1.673443</v>
      </c>
      <c r="O17" s="4">
        <v>0.079458</v>
      </c>
      <c r="P17" s="4">
        <v>-0.436744</v>
      </c>
      <c r="Q17" s="6"/>
      <c r="R17" s="4"/>
      <c r="S17" s="4"/>
    </row>
    <row r="18">
      <c r="D18" s="4">
        <v>7.0</v>
      </c>
      <c r="E18" s="4">
        <v>2.557304</v>
      </c>
      <c r="F18" s="4">
        <v>0.197084</v>
      </c>
      <c r="G18" s="1">
        <v>-0.619761</v>
      </c>
      <c r="H18" s="4">
        <v>2.083191</v>
      </c>
      <c r="I18" s="4">
        <v>0.114956</v>
      </c>
      <c r="J18" s="4">
        <v>-0.714687</v>
      </c>
      <c r="K18" s="4">
        <v>1.764858</v>
      </c>
      <c r="L18" s="4">
        <v>0.088041</v>
      </c>
      <c r="M18" s="4">
        <v>-0.440609</v>
      </c>
      <c r="N18" s="4">
        <v>1.745602</v>
      </c>
      <c r="O18" s="4">
        <v>0.086382</v>
      </c>
      <c r="P18" s="4">
        <v>-0.444321</v>
      </c>
      <c r="Q18" s="6"/>
      <c r="R18" s="4"/>
      <c r="S18" s="4"/>
    </row>
    <row r="19">
      <c r="D19" s="4">
        <v>8.0</v>
      </c>
      <c r="E19" s="4">
        <v>2.689364</v>
      </c>
      <c r="F19" s="4">
        <v>0.21802</v>
      </c>
      <c r="G19" s="1">
        <v>-0.661958</v>
      </c>
      <c r="H19" s="4">
        <v>2.157657</v>
      </c>
      <c r="I19" s="4">
        <v>0.123286</v>
      </c>
      <c r="J19" s="4">
        <v>-0.737915</v>
      </c>
      <c r="K19" s="4">
        <v>1.836884</v>
      </c>
      <c r="L19" s="4">
        <v>0.095279</v>
      </c>
      <c r="M19" s="4">
        <v>-0.449369</v>
      </c>
      <c r="N19" s="4">
        <v>1.8175</v>
      </c>
      <c r="O19" s="4">
        <v>0.093561</v>
      </c>
      <c r="P19" s="4">
        <v>-0.452953</v>
      </c>
      <c r="Q19" s="6"/>
      <c r="R19" s="4"/>
      <c r="S19" s="4"/>
    </row>
    <row r="20">
      <c r="D20" s="4">
        <v>9.0</v>
      </c>
      <c r="E20" s="4">
        <v>2.8197</v>
      </c>
      <c r="F20" s="4">
        <v>0.239756</v>
      </c>
      <c r="G20" s="1">
        <v>-0.707966</v>
      </c>
      <c r="H20" s="4">
        <v>2.231801</v>
      </c>
      <c r="I20" s="4">
        <v>0.13188</v>
      </c>
      <c r="J20" s="4">
        <v>-0.762618</v>
      </c>
      <c r="K20" s="4">
        <v>1.908631</v>
      </c>
      <c r="L20" s="4">
        <v>0.102784</v>
      </c>
      <c r="M20" s="4">
        <v>-0.459185</v>
      </c>
      <c r="N20" s="4">
        <v>1.889123</v>
      </c>
      <c r="O20" s="4">
        <v>0.100993</v>
      </c>
      <c r="P20" s="4">
        <v>-0.462636</v>
      </c>
      <c r="Q20" s="6"/>
      <c r="R20" s="4"/>
      <c r="S20" s="4"/>
    </row>
    <row r="21" ht="15.75" customHeight="1">
      <c r="D21" s="4">
        <v>10.0</v>
      </c>
      <c r="E21" s="4">
        <v>2.948227</v>
      </c>
      <c r="F21" s="4">
        <v>0.262237</v>
      </c>
      <c r="G21" s="1">
        <v>-0.757731</v>
      </c>
      <c r="H21" s="4">
        <v>2.305612</v>
      </c>
      <c r="I21" s="4">
        <v>0.140732</v>
      </c>
      <c r="J21" s="4">
        <v>-0.788789</v>
      </c>
      <c r="K21" s="4">
        <v>1.980089</v>
      </c>
      <c r="L21" s="4">
        <v>0.110552</v>
      </c>
      <c r="M21" s="4">
        <v>-0.470053</v>
      </c>
      <c r="N21" s="4">
        <v>1.960461</v>
      </c>
      <c r="O21" s="4">
        <v>0.108672</v>
      </c>
      <c r="P21" s="4">
        <v>-0.47337</v>
      </c>
      <c r="Q21" s="6"/>
      <c r="R21" s="4"/>
      <c r="S21" s="4"/>
    </row>
    <row r="22" ht="15.75" customHeight="1">
      <c r="D22" s="4">
        <v>11.0</v>
      </c>
      <c r="E22" s="4">
        <v>3.074864</v>
      </c>
      <c r="F22" s="4">
        <v>0.285405</v>
      </c>
      <c r="G22" s="1">
        <v>-0.811192</v>
      </c>
      <c r="H22" s="4">
        <v>2.379076</v>
      </c>
      <c r="I22" s="4">
        <v>0.149837</v>
      </c>
      <c r="J22" s="4">
        <v>-0.816418</v>
      </c>
      <c r="K22" s="4">
        <v>2.051244</v>
      </c>
      <c r="L22" s="4">
        <v>0.118578</v>
      </c>
      <c r="M22" s="4">
        <v>-0.481971</v>
      </c>
      <c r="N22" s="4">
        <v>2.031501</v>
      </c>
      <c r="O22" s="4">
        <v>0.116595</v>
      </c>
      <c r="P22" s="4">
        <v>-0.485149</v>
      </c>
      <c r="Q22" s="6"/>
      <c r="R22" s="4"/>
      <c r="S22" s="4"/>
    </row>
    <row r="23" ht="15.75" customHeight="1">
      <c r="D23" s="4">
        <v>12.0</v>
      </c>
      <c r="E23" s="4">
        <v>3.199535</v>
      </c>
      <c r="F23" s="4">
        <v>0.309201</v>
      </c>
      <c r="G23" s="1">
        <v>-0.868282</v>
      </c>
      <c r="H23" s="4">
        <v>2.452181</v>
      </c>
      <c r="I23" s="4">
        <v>0.15919</v>
      </c>
      <c r="J23" s="4">
        <v>-0.845499</v>
      </c>
      <c r="K23" s="4">
        <v>2.122084</v>
      </c>
      <c r="L23" s="4">
        <v>0.126857</v>
      </c>
      <c r="M23" s="4">
        <v>-0.494935</v>
      </c>
      <c r="N23" s="4">
        <v>2.10223</v>
      </c>
      <c r="O23" s="4">
        <v>0.124757</v>
      </c>
      <c r="P23" s="4">
        <v>-0.497971</v>
      </c>
      <c r="Q23" s="6"/>
      <c r="R23" s="4"/>
      <c r="S23" s="4"/>
    </row>
    <row r="24" ht="15.75" customHeight="1">
      <c r="D24" s="4">
        <v>13.0</v>
      </c>
      <c r="E24" s="4">
        <v>3.322164</v>
      </c>
      <c r="F24" s="4">
        <v>0.333561</v>
      </c>
      <c r="G24" s="1">
        <v>-0.928934</v>
      </c>
      <c r="H24" s="4">
        <v>2.524914</v>
      </c>
      <c r="I24" s="4">
        <v>0.168786</v>
      </c>
      <c r="J24" s="4">
        <v>-0.876021</v>
      </c>
      <c r="K24" s="4">
        <v>2.192598</v>
      </c>
      <c r="L24" s="4">
        <v>0.135385</v>
      </c>
      <c r="M24" s="4">
        <v>-0.50894</v>
      </c>
      <c r="N24" s="4">
        <v>2.172637</v>
      </c>
      <c r="O24" s="4">
        <v>0.133152</v>
      </c>
      <c r="P24" s="4">
        <v>-0.511832</v>
      </c>
      <c r="Q24" s="6"/>
      <c r="R24" s="4"/>
      <c r="S24" s="4"/>
    </row>
    <row r="25" ht="15.75" customHeight="1">
      <c r="D25" s="4">
        <v>14.0</v>
      </c>
      <c r="E25" s="4">
        <v>3.442683</v>
      </c>
      <c r="F25" s="4">
        <v>0.358422</v>
      </c>
      <c r="G25" s="1">
        <v>-0.993072</v>
      </c>
      <c r="H25" s="4">
        <v>2.597265</v>
      </c>
      <c r="I25" s="4">
        <v>0.178619</v>
      </c>
      <c r="J25" s="4">
        <v>-0.907976</v>
      </c>
      <c r="K25" s="4">
        <v>2.262772</v>
      </c>
      <c r="L25" s="4">
        <v>0.144156</v>
      </c>
      <c r="M25" s="4">
        <v>-0.523983</v>
      </c>
      <c r="N25" s="4">
        <v>2.242711</v>
      </c>
      <c r="O25" s="4">
        <v>0.141777</v>
      </c>
      <c r="P25" s="4">
        <v>-0.526727</v>
      </c>
      <c r="Q25" s="6"/>
      <c r="R25" s="4"/>
      <c r="S25" s="4"/>
    </row>
    <row r="26" ht="15.75" customHeight="1">
      <c r="D26" s="4">
        <v>15.0</v>
      </c>
      <c r="E26" s="4">
        <v>3.561023</v>
      </c>
      <c r="F26" s="4">
        <v>0.383718</v>
      </c>
      <c r="G26" s="1">
        <v>-1.060619</v>
      </c>
      <c r="H26" s="4">
        <v>2.66922</v>
      </c>
      <c r="I26" s="4">
        <v>0.188682</v>
      </c>
      <c r="J26" s="4">
        <v>-0.941354</v>
      </c>
      <c r="K26" s="4">
        <v>2.332594</v>
      </c>
      <c r="L26" s="4">
        <v>0.153165</v>
      </c>
      <c r="M26" s="4">
        <v>-0.540059</v>
      </c>
      <c r="N26" s="4">
        <v>2.31244</v>
      </c>
      <c r="O26" s="4">
        <v>0.150625</v>
      </c>
      <c r="P26" s="4">
        <v>-0.542651</v>
      </c>
      <c r="Q26" s="6"/>
      <c r="R26" s="4"/>
      <c r="S26" s="4"/>
    </row>
    <row r="27" ht="15.75" customHeight="1">
      <c r="D27" s="4">
        <v>16.0</v>
      </c>
      <c r="E27" s="4">
        <v>3.677123</v>
      </c>
      <c r="F27" s="4">
        <v>0.409381</v>
      </c>
      <c r="G27" s="1">
        <v>-1.131493</v>
      </c>
      <c r="H27" s="4">
        <v>2.740767</v>
      </c>
      <c r="I27" s="4">
        <v>0.198971</v>
      </c>
      <c r="J27" s="4">
        <v>-0.976145</v>
      </c>
      <c r="K27" s="4">
        <v>2.402055</v>
      </c>
      <c r="L27" s="4">
        <v>0.162407</v>
      </c>
      <c r="M27" s="4">
        <v>-0.557163</v>
      </c>
      <c r="N27" s="4">
        <v>2.381812</v>
      </c>
      <c r="O27" s="4">
        <v>0.159692</v>
      </c>
      <c r="P27" s="4">
        <v>-0.559601</v>
      </c>
      <c r="Q27" s="6"/>
      <c r="R27" s="4"/>
      <c r="S27" s="4"/>
    </row>
    <row r="28" ht="15.75" customHeight="1">
      <c r="D28" s="4">
        <v>17.0</v>
      </c>
      <c r="E28" s="4">
        <v>3.790922</v>
      </c>
      <c r="F28" s="4">
        <v>0.435343</v>
      </c>
      <c r="G28" s="1">
        <v>-1.205607</v>
      </c>
      <c r="H28" s="4">
        <v>2.811896</v>
      </c>
      <c r="I28" s="4">
        <v>0.209479</v>
      </c>
      <c r="J28" s="4">
        <v>-1.012338</v>
      </c>
      <c r="K28" s="4">
        <v>2.47114</v>
      </c>
      <c r="L28" s="4">
        <v>0.171877</v>
      </c>
      <c r="M28" s="4">
        <v>-0.575289</v>
      </c>
      <c r="N28" s="4">
        <v>2.450816</v>
      </c>
      <c r="O28" s="4">
        <v>0.168973</v>
      </c>
      <c r="P28" s="4">
        <v>-0.577571</v>
      </c>
      <c r="Q28" s="6"/>
      <c r="R28" s="4"/>
      <c r="S28" s="4"/>
    </row>
    <row r="29" ht="15.75" customHeight="1">
      <c r="D29" s="4">
        <v>18.0</v>
      </c>
      <c r="E29" s="4">
        <v>3.902367</v>
      </c>
      <c r="F29" s="4">
        <v>0.461533</v>
      </c>
      <c r="G29" s="1">
        <v>-1.28287</v>
      </c>
      <c r="H29" s="4">
        <v>2.882595</v>
      </c>
      <c r="I29" s="4">
        <v>0.2202</v>
      </c>
      <c r="J29" s="4">
        <v>-1.049922</v>
      </c>
      <c r="K29" s="4">
        <v>2.53984</v>
      </c>
      <c r="L29" s="4">
        <v>0.181567</v>
      </c>
      <c r="M29" s="4">
        <v>-0.594433</v>
      </c>
      <c r="N29" s="4">
        <v>2.519442</v>
      </c>
      <c r="O29" s="4">
        <v>0.17846</v>
      </c>
      <c r="P29" s="4">
        <v>-0.596555</v>
      </c>
      <c r="Q29" s="6"/>
      <c r="R29" s="4"/>
      <c r="S29" s="4"/>
    </row>
    <row r="30" ht="15.75" customHeight="1">
      <c r="D30" s="4">
        <v>19.0</v>
      </c>
      <c r="E30" s="4">
        <v>4.011405</v>
      </c>
      <c r="F30" s="4">
        <v>0.48788</v>
      </c>
      <c r="G30" s="1">
        <v>-1.363189</v>
      </c>
      <c r="H30" s="4">
        <v>2.952852</v>
      </c>
      <c r="I30" s="4">
        <v>0.231126</v>
      </c>
      <c r="J30" s="4">
        <v>-1.088885</v>
      </c>
      <c r="K30" s="4">
        <v>2.608142</v>
      </c>
      <c r="L30" s="4">
        <v>0.191473</v>
      </c>
      <c r="M30" s="4">
        <v>-0.614589</v>
      </c>
      <c r="N30" s="4">
        <v>2.587678</v>
      </c>
      <c r="O30" s="4">
        <v>0.188149</v>
      </c>
      <c r="P30" s="4">
        <v>-0.616548</v>
      </c>
      <c r="Q30" s="6"/>
      <c r="R30" s="4"/>
      <c r="S30" s="4"/>
    </row>
    <row r="31" ht="15.75" customHeight="1">
      <c r="D31" s="4">
        <v>20.0</v>
      </c>
      <c r="E31" s="4">
        <v>4.117989</v>
      </c>
      <c r="F31" s="4">
        <v>0.514312</v>
      </c>
      <c r="G31" s="1">
        <v>-1.446466</v>
      </c>
      <c r="H31" s="4">
        <v>3.022656</v>
      </c>
      <c r="I31" s="4">
        <v>0.242252</v>
      </c>
      <c r="J31" s="4">
        <v>-1.129217</v>
      </c>
      <c r="K31" s="4">
        <v>2.676036</v>
      </c>
      <c r="L31" s="4">
        <v>0.201588</v>
      </c>
      <c r="M31" s="4">
        <v>-0.63575</v>
      </c>
      <c r="N31" s="4">
        <v>2.655513</v>
      </c>
      <c r="O31" s="4">
        <v>0.198034</v>
      </c>
      <c r="P31" s="4">
        <v>-0.637543</v>
      </c>
      <c r="Q31" s="6"/>
      <c r="R31" s="4"/>
      <c r="S31" s="4"/>
    </row>
    <row r="32" ht="15.75" customHeight="1">
      <c r="H32" s="4">
        <v>3.091997</v>
      </c>
      <c r="I32" s="4">
        <v>0.25357</v>
      </c>
      <c r="J32" s="4">
        <v>-1.170904</v>
      </c>
      <c r="K32" s="4">
        <v>2.743511</v>
      </c>
      <c r="L32" s="4">
        <v>0.211905</v>
      </c>
      <c r="M32" s="4">
        <v>-0.65791</v>
      </c>
      <c r="N32" s="4">
        <v>2.722937</v>
      </c>
      <c r="O32" s="4">
        <v>0.208108</v>
      </c>
      <c r="P32" s="4">
        <v>-0.659535</v>
      </c>
    </row>
    <row r="33" ht="15.75" customHeight="1">
      <c r="H33" s="4">
        <v>3.160863</v>
      </c>
      <c r="I33" s="4">
        <v>0.265073</v>
      </c>
      <c r="J33" s="4">
        <v>-1.213934</v>
      </c>
      <c r="K33" s="4">
        <v>2.810555</v>
      </c>
      <c r="L33" s="4">
        <v>0.222419</v>
      </c>
      <c r="M33" s="4">
        <v>-0.681062</v>
      </c>
      <c r="N33" s="4">
        <v>2.789939</v>
      </c>
      <c r="O33" s="4">
        <v>0.218365</v>
      </c>
      <c r="P33" s="4">
        <v>-0.682515</v>
      </c>
    </row>
    <row r="34" ht="15.75" customHeight="1">
      <c r="H34" s="4">
        <v>3.229245</v>
      </c>
      <c r="I34" s="4">
        <v>0.276755</v>
      </c>
      <c r="J34" s="4">
        <v>-1.258294</v>
      </c>
      <c r="K34" s="4">
        <v>2.877159</v>
      </c>
      <c r="L34" s="4">
        <v>0.233123</v>
      </c>
      <c r="M34" s="4">
        <v>-0.705199</v>
      </c>
      <c r="N34" s="4">
        <v>2.85651</v>
      </c>
      <c r="O34" s="4">
        <v>0.228799</v>
      </c>
      <c r="P34" s="4">
        <v>-0.706479</v>
      </c>
    </row>
    <row r="35" ht="15.75" customHeight="1">
      <c r="H35" s="4">
        <v>3.297131</v>
      </c>
      <c r="I35" s="4">
        <v>0.288607</v>
      </c>
      <c r="J35" s="4">
        <v>-1.30397</v>
      </c>
      <c r="K35" s="4">
        <v>2.943312</v>
      </c>
      <c r="L35" s="4">
        <v>0.244009</v>
      </c>
      <c r="M35" s="4">
        <v>-0.730314</v>
      </c>
      <c r="N35" s="4">
        <v>2.922639</v>
      </c>
      <c r="O35" s="4">
        <v>0.239403</v>
      </c>
      <c r="P35" s="4">
        <v>-0.731417</v>
      </c>
    </row>
    <row r="36" ht="15.75" customHeight="1">
      <c r="H36" s="4">
        <v>3.364512</v>
      </c>
      <c r="I36" s="4">
        <v>0.300623</v>
      </c>
      <c r="J36" s="4">
        <v>-1.350948</v>
      </c>
      <c r="K36" s="4">
        <v>3.009004</v>
      </c>
      <c r="L36" s="4">
        <v>0.255071</v>
      </c>
      <c r="M36" s="4">
        <v>-0.756399</v>
      </c>
      <c r="N36" s="4">
        <v>2.988316</v>
      </c>
      <c r="O36" s="4">
        <v>0.250171</v>
      </c>
      <c r="P36" s="4">
        <v>-0.757323</v>
      </c>
    </row>
    <row r="37" ht="15.75" customHeight="1">
      <c r="H37" s="4">
        <v>3.431378</v>
      </c>
      <c r="I37" s="4">
        <v>0.312794</v>
      </c>
      <c r="J37" s="4">
        <v>-1.399214</v>
      </c>
      <c r="K37" s="4">
        <v>3.074224</v>
      </c>
      <c r="L37" s="4">
        <v>0.266302</v>
      </c>
      <c r="M37" s="4">
        <v>-0.783446</v>
      </c>
      <c r="N37" s="4">
        <v>3.053532</v>
      </c>
      <c r="O37" s="4">
        <v>0.261095</v>
      </c>
      <c r="P37" s="4">
        <v>-0.784188</v>
      </c>
    </row>
    <row r="38" ht="15.75" customHeight="1">
      <c r="H38" s="4">
        <v>3.497719</v>
      </c>
      <c r="I38" s="4">
        <v>0.325113</v>
      </c>
      <c r="J38" s="4">
        <v>-1.448754</v>
      </c>
      <c r="K38" s="4">
        <v>3.138963</v>
      </c>
      <c r="L38" s="4">
        <v>0.277694</v>
      </c>
      <c r="M38" s="4">
        <v>-0.811447</v>
      </c>
      <c r="N38" s="4">
        <v>3.118277</v>
      </c>
      <c r="O38" s="4">
        <v>0.272168</v>
      </c>
      <c r="P38" s="4">
        <v>-0.812005</v>
      </c>
    </row>
    <row r="39" ht="15.75" customHeight="1">
      <c r="H39" s="4">
        <v>3.563525</v>
      </c>
      <c r="I39" s="4">
        <v>0.337572</v>
      </c>
      <c r="J39" s="4">
        <v>-1.499552</v>
      </c>
      <c r="K39" s="4">
        <v>3.203211</v>
      </c>
      <c r="L39" s="4">
        <v>0.289241</v>
      </c>
      <c r="M39" s="4">
        <v>-0.840394</v>
      </c>
      <c r="N39" s="4">
        <v>3.182541</v>
      </c>
      <c r="O39" s="4">
        <v>0.283384</v>
      </c>
      <c r="P39" s="4">
        <v>-0.840765</v>
      </c>
    </row>
    <row r="40" ht="15.75" customHeight="1">
      <c r="H40" s="4">
        <v>3.628788</v>
      </c>
      <c r="I40" s="4">
        <v>0.350163</v>
      </c>
      <c r="J40" s="4">
        <v>-1.551592</v>
      </c>
      <c r="K40" s="4">
        <v>3.26696</v>
      </c>
      <c r="L40" s="4">
        <v>0.300934</v>
      </c>
      <c r="M40" s="4">
        <v>-0.870277</v>
      </c>
      <c r="N40" s="4">
        <v>3.246317</v>
      </c>
      <c r="O40" s="4">
        <v>0.294734</v>
      </c>
      <c r="P40" s="4">
        <v>-0.870459</v>
      </c>
    </row>
    <row r="41" ht="15.75" customHeight="1">
      <c r="H41" s="4">
        <v>3.693499</v>
      </c>
      <c r="I41" s="4">
        <v>0.362878</v>
      </c>
      <c r="J41" s="4">
        <v>-1.604859</v>
      </c>
      <c r="K41" s="4">
        <v>3.330199</v>
      </c>
      <c r="L41" s="4">
        <v>0.312765</v>
      </c>
      <c r="M41" s="4">
        <v>-0.901088</v>
      </c>
      <c r="N41" s="4">
        <v>3.309594</v>
      </c>
      <c r="O41" s="4">
        <v>0.306213</v>
      </c>
      <c r="P41" s="4">
        <v>-0.901079</v>
      </c>
    </row>
    <row r="42" ht="15.75" customHeight="1">
      <c r="H42" s="4">
        <v>3.757648</v>
      </c>
      <c r="I42" s="4">
        <v>0.375708</v>
      </c>
      <c r="J42" s="4">
        <v>-1.659337</v>
      </c>
      <c r="K42" s="4">
        <v>3.392919</v>
      </c>
      <c r="L42" s="4">
        <v>0.324728</v>
      </c>
      <c r="M42" s="4">
        <v>-0.932816</v>
      </c>
      <c r="N42" s="4">
        <v>3.372365</v>
      </c>
      <c r="O42" s="4">
        <v>0.317811</v>
      </c>
      <c r="P42" s="4">
        <v>-0.932614</v>
      </c>
    </row>
    <row r="43" ht="15.75" customHeight="1">
      <c r="H43" s="4">
        <v>3.821227</v>
      </c>
      <c r="I43" s="4">
        <v>0.388646</v>
      </c>
      <c r="J43" s="4">
        <v>-1.71501</v>
      </c>
      <c r="K43" s="4">
        <v>3.455113</v>
      </c>
      <c r="L43" s="4">
        <v>0.336814</v>
      </c>
      <c r="M43" s="4">
        <v>-0.965453</v>
      </c>
      <c r="N43" s="4">
        <v>3.43462</v>
      </c>
      <c r="O43" s="4">
        <v>0.329522</v>
      </c>
      <c r="P43" s="4">
        <v>-0.965055</v>
      </c>
    </row>
    <row r="44" ht="15.75" customHeight="1">
      <c r="H44" s="4">
        <v>3.884229</v>
      </c>
      <c r="I44" s="4">
        <v>0.401682</v>
      </c>
      <c r="J44" s="4">
        <v>-1.771859</v>
      </c>
      <c r="K44" s="4">
        <v>3.516771</v>
      </c>
      <c r="L44" s="4">
        <v>0.349015</v>
      </c>
      <c r="M44" s="4">
        <v>-0.998989</v>
      </c>
      <c r="N44" s="4">
        <v>3.496352</v>
      </c>
      <c r="O44" s="4">
        <v>0.341338</v>
      </c>
      <c r="P44" s="4">
        <v>-0.998393</v>
      </c>
    </row>
    <row r="45" ht="15.75" customHeight="1">
      <c r="H45" s="4">
        <v>3.946644</v>
      </c>
      <c r="I45" s="4">
        <v>0.414809</v>
      </c>
      <c r="J45" s="4">
        <v>-1.829868</v>
      </c>
      <c r="K45" s="4">
        <v>3.577885</v>
      </c>
      <c r="L45" s="4">
        <v>0.361324</v>
      </c>
      <c r="M45" s="4">
        <v>-1.033413</v>
      </c>
      <c r="N45" s="4">
        <v>3.557552</v>
      </c>
      <c r="O45" s="4">
        <v>0.353251</v>
      </c>
      <c r="P45" s="4">
        <v>-1.032617</v>
      </c>
    </row>
    <row r="46" ht="15.75" customHeight="1">
      <c r="H46" s="4">
        <v>4.008464</v>
      </c>
      <c r="I46" s="4">
        <v>0.428017</v>
      </c>
      <c r="J46" s="4">
        <v>-1.889019</v>
      </c>
      <c r="K46" s="4">
        <v>3.638448</v>
      </c>
      <c r="L46" s="4">
        <v>0.373731</v>
      </c>
      <c r="M46" s="4">
        <v>-1.068714</v>
      </c>
      <c r="N46" s="4">
        <v>3.618214</v>
      </c>
      <c r="O46" s="4">
        <v>0.365253</v>
      </c>
      <c r="P46" s="4">
        <v>-1.067716</v>
      </c>
    </row>
    <row r="47" ht="15.75" customHeight="1">
      <c r="H47" s="4">
        <v>4.069684</v>
      </c>
      <c r="I47" s="4">
        <v>0.441298</v>
      </c>
      <c r="J47" s="4">
        <v>-1.949294</v>
      </c>
      <c r="K47" s="4">
        <v>3.698451</v>
      </c>
      <c r="L47" s="4">
        <v>0.386229</v>
      </c>
      <c r="M47" s="4">
        <v>-1.104883</v>
      </c>
      <c r="N47" s="4">
        <v>3.678328</v>
      </c>
      <c r="O47" s="4">
        <v>0.377336</v>
      </c>
      <c r="P47" s="4">
        <v>-1.103681</v>
      </c>
    </row>
    <row r="48" ht="15.75" customHeight="1">
      <c r="H48" s="4">
        <v>4.130294</v>
      </c>
      <c r="I48" s="4">
        <v>0.454643</v>
      </c>
      <c r="J48" s="4">
        <v>-2.010675</v>
      </c>
      <c r="K48" s="4">
        <v>3.757886</v>
      </c>
      <c r="L48" s="4">
        <v>0.398808</v>
      </c>
      <c r="M48" s="4">
        <v>-1.141908</v>
      </c>
      <c r="N48" s="4">
        <v>3.737888</v>
      </c>
      <c r="O48" s="4">
        <v>0.389493</v>
      </c>
      <c r="P48" s="4">
        <v>-1.1405</v>
      </c>
    </row>
    <row r="49" ht="15.75" customHeight="1">
      <c r="H49" s="4">
        <v>4.190289</v>
      </c>
      <c r="I49" s="4">
        <v>0.468043</v>
      </c>
      <c r="J49" s="4">
        <v>-2.073143</v>
      </c>
      <c r="K49" s="4">
        <v>3.816747</v>
      </c>
      <c r="L49" s="4">
        <v>0.411462</v>
      </c>
      <c r="M49" s="4">
        <v>-1.179777</v>
      </c>
      <c r="N49" s="4">
        <v>3.796887</v>
      </c>
      <c r="O49" s="4">
        <v>0.401714</v>
      </c>
      <c r="P49" s="4">
        <v>-1.178162</v>
      </c>
    </row>
    <row r="50" ht="15.75" customHeight="1">
      <c r="H50" s="4">
        <v>4.24966</v>
      </c>
      <c r="I50" s="4">
        <v>0.481489</v>
      </c>
      <c r="J50" s="4">
        <v>-2.136679</v>
      </c>
      <c r="K50" s="4">
        <v>3.875026</v>
      </c>
      <c r="L50" s="4">
        <v>0.424181</v>
      </c>
      <c r="M50" s="4">
        <v>-1.21848</v>
      </c>
      <c r="N50" s="4">
        <v>3.855318</v>
      </c>
      <c r="O50" s="4">
        <v>0.413992</v>
      </c>
      <c r="P50" s="4">
        <v>-1.216655</v>
      </c>
    </row>
    <row r="51" ht="15.75" customHeight="1">
      <c r="H51" s="4">
        <v>4.308402</v>
      </c>
      <c r="I51" s="4">
        <v>0.494973</v>
      </c>
      <c r="J51" s="4">
        <v>-2.201264</v>
      </c>
      <c r="K51" s="4">
        <v>3.932717</v>
      </c>
      <c r="L51" s="4">
        <v>0.436956</v>
      </c>
      <c r="M51" s="4">
        <v>-1.258004</v>
      </c>
      <c r="N51" s="4">
        <v>3.913174</v>
      </c>
      <c r="O51" s="4">
        <v>0.426319</v>
      </c>
      <c r="P51" s="4">
        <v>-1.255968</v>
      </c>
    </row>
    <row r="52" ht="15.75" customHeight="1">
      <c r="H52" s="4">
        <v>4.366509</v>
      </c>
      <c r="I52" s="4">
        <v>0.508485</v>
      </c>
      <c r="J52" s="4">
        <v>-2.266877</v>
      </c>
      <c r="K52" s="4">
        <v>3.989812</v>
      </c>
      <c r="L52" s="4">
        <v>0.44978</v>
      </c>
      <c r="M52" s="4">
        <v>-1.298337</v>
      </c>
      <c r="N52" s="4">
        <v>3.970449</v>
      </c>
      <c r="O52" s="4">
        <v>0.438686</v>
      </c>
      <c r="P52" s="4">
        <v>-1.296089</v>
      </c>
    </row>
    <row r="53" ht="15.75" customHeight="1">
      <c r="H53" s="4">
        <v>4.423974</v>
      </c>
      <c r="I53" s="4">
        <v>0.522015</v>
      </c>
      <c r="J53" s="4">
        <v>-2.3335</v>
      </c>
      <c r="K53" s="4">
        <v>4.046306</v>
      </c>
      <c r="L53" s="4">
        <v>0.462642</v>
      </c>
      <c r="M53" s="4">
        <v>-1.339468</v>
      </c>
      <c r="N53" s="4">
        <v>4.027136</v>
      </c>
      <c r="O53" s="4">
        <v>0.451085</v>
      </c>
      <c r="P53" s="4">
        <v>-1.337005</v>
      </c>
    </row>
    <row r="54" ht="15.75" customHeight="1">
      <c r="H54" s="4">
        <v>4.480791</v>
      </c>
      <c r="I54" s="4">
        <v>0.535556</v>
      </c>
      <c r="J54" s="4">
        <v>-2.401111</v>
      </c>
      <c r="K54" s="4">
        <v>4.102192</v>
      </c>
      <c r="L54" s="4">
        <v>0.475535</v>
      </c>
      <c r="M54" s="4">
        <v>-1.381383</v>
      </c>
      <c r="N54" s="4">
        <v>4.08323</v>
      </c>
      <c r="O54" s="4">
        <v>0.463507</v>
      </c>
      <c r="P54" s="4">
        <v>-1.378705</v>
      </c>
    </row>
    <row r="55" ht="15.75" customHeight="1">
      <c r="H55" s="4">
        <v>4.536955</v>
      </c>
      <c r="I55" s="4">
        <v>0.549097</v>
      </c>
      <c r="J55" s="4">
        <v>-2.469691</v>
      </c>
      <c r="K55" s="4">
        <v>4.157465</v>
      </c>
      <c r="L55" s="4">
        <v>0.488449</v>
      </c>
      <c r="M55" s="4">
        <v>-1.42407</v>
      </c>
      <c r="N55" s="4">
        <v>4.138725</v>
      </c>
      <c r="O55" s="4">
        <v>0.475944</v>
      </c>
      <c r="P55" s="4">
        <v>-1.421174</v>
      </c>
    </row>
    <row r="56" ht="15.75" customHeight="1">
      <c r="H56" s="4">
        <v>4.592462</v>
      </c>
      <c r="I56" s="4">
        <v>0.56263</v>
      </c>
      <c r="J56" s="4">
        <v>-2.539217</v>
      </c>
      <c r="K56" s="4">
        <v>4.212118</v>
      </c>
      <c r="L56" s="4">
        <v>0.501376</v>
      </c>
      <c r="M56" s="4">
        <v>-1.467515</v>
      </c>
      <c r="N56" s="4">
        <v>4.193616</v>
      </c>
      <c r="O56" s="4">
        <v>0.488388</v>
      </c>
      <c r="P56" s="4">
        <v>-1.464401</v>
      </c>
      <c r="S56" s="7" t="s">
        <v>9</v>
      </c>
      <c r="T56" s="7">
        <v>11.7</v>
      </c>
    </row>
    <row r="57" ht="15.75" customHeight="1">
      <c r="S57" s="7" t="s">
        <v>10</v>
      </c>
      <c r="T57" s="7">
        <v>11.8</v>
      </c>
    </row>
    <row r="58" ht="15.75" customHeight="1">
      <c r="S58" s="7" t="s">
        <v>11</v>
      </c>
      <c r="T58" s="7">
        <v>11.9</v>
      </c>
    </row>
    <row r="59" ht="15.75" customHeight="1">
      <c r="S59" s="7" t="s">
        <v>12</v>
      </c>
      <c r="T59" s="7">
        <v>12.0</v>
      </c>
    </row>
    <row r="60" ht="15.75" customHeight="1">
      <c r="S60" s="7" t="s">
        <v>13</v>
      </c>
      <c r="T60" s="7">
        <v>12.1</v>
      </c>
    </row>
    <row r="61" ht="15.75" customHeight="1">
      <c r="T61" s="7" t="s">
        <v>17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E4:G4"/>
    <mergeCell ref="H4:J4"/>
    <mergeCell ref="K4:M4"/>
    <mergeCell ref="N4:P4"/>
    <mergeCell ref="Q4:S4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0.57"/>
    <col customWidth="1" min="3" max="3" width="10.71"/>
    <col customWidth="1" min="4" max="4" width="15.57"/>
    <col customWidth="1" min="5" max="5" width="15.29"/>
    <col customWidth="1" min="6" max="8" width="8.71"/>
    <col customWidth="1" min="9" max="10" width="14.29"/>
    <col customWidth="1" min="11" max="11" width="8.71"/>
    <col customWidth="1" min="12" max="12" width="13.57"/>
    <col customWidth="1" min="13" max="13" width="13.0"/>
    <col customWidth="1" min="14" max="14" width="14.57"/>
    <col customWidth="1" min="15" max="15" width="23.57"/>
    <col customWidth="1" min="16" max="16" width="17.43"/>
    <col customWidth="1" min="17" max="17" width="37.0"/>
    <col customWidth="1" min="18" max="18" width="11.43"/>
    <col customWidth="1" min="19" max="19" width="13.71"/>
    <col customWidth="1" min="20" max="20" width="11.57"/>
    <col customWidth="1" min="21" max="21" width="11.43"/>
    <col customWidth="1" min="22" max="43" width="8.71"/>
  </cols>
  <sheetData>
    <row r="2">
      <c r="A2" s="8" t="s">
        <v>18</v>
      </c>
      <c r="B2" s="2"/>
      <c r="C2" s="2"/>
      <c r="D2" s="2"/>
      <c r="E2" s="2"/>
      <c r="F2" s="2"/>
      <c r="G2" s="2"/>
      <c r="H2" s="3"/>
      <c r="L2" s="8" t="s">
        <v>19</v>
      </c>
      <c r="M2" s="2"/>
      <c r="N2" s="2"/>
      <c r="O2" s="2"/>
      <c r="P2" s="2"/>
      <c r="Q2" s="2"/>
      <c r="R2" s="2"/>
      <c r="S2" s="2"/>
      <c r="T2" s="3"/>
    </row>
    <row r="3">
      <c r="A3" s="9" t="s">
        <v>19</v>
      </c>
      <c r="B3" s="2"/>
      <c r="C3" s="2"/>
      <c r="D3" s="2"/>
      <c r="E3" s="2"/>
      <c r="F3" s="3"/>
      <c r="G3" s="10" t="s">
        <v>20</v>
      </c>
      <c r="H3" s="11"/>
      <c r="I3" s="12"/>
      <c r="L3" s="13" t="s">
        <v>21</v>
      </c>
      <c r="M3" s="14" t="s">
        <v>22</v>
      </c>
      <c r="N3" s="15" t="s">
        <v>23</v>
      </c>
      <c r="O3" s="14" t="s">
        <v>24</v>
      </c>
      <c r="P3" s="14" t="s">
        <v>25</v>
      </c>
      <c r="Q3" s="14" t="s">
        <v>26</v>
      </c>
      <c r="R3" s="14" t="s">
        <v>27</v>
      </c>
      <c r="S3" s="14" t="s">
        <v>28</v>
      </c>
      <c r="T3" s="14" t="s">
        <v>29</v>
      </c>
      <c r="U3" s="14" t="s">
        <v>30</v>
      </c>
    </row>
    <row r="4">
      <c r="A4" s="16" t="s">
        <v>31</v>
      </c>
      <c r="B4" s="16" t="s">
        <v>32</v>
      </c>
      <c r="C4" s="16" t="s">
        <v>33</v>
      </c>
      <c r="D4" s="16" t="s">
        <v>34</v>
      </c>
      <c r="E4" s="16" t="s">
        <v>35</v>
      </c>
      <c r="F4" s="16" t="s">
        <v>8</v>
      </c>
      <c r="G4" s="16" t="s">
        <v>33</v>
      </c>
      <c r="H4" s="16" t="s">
        <v>34</v>
      </c>
      <c r="I4" s="16" t="s">
        <v>8</v>
      </c>
      <c r="J4" s="16" t="s">
        <v>36</v>
      </c>
      <c r="K4" s="17"/>
      <c r="L4" s="18" t="s">
        <v>37</v>
      </c>
      <c r="M4" s="19">
        <v>426000.0</v>
      </c>
      <c r="N4" s="20">
        <f>((2/3)*P4*((1+O7+(O7*O7))/(1+O7)))</f>
        <v>0.4083333333</v>
      </c>
      <c r="O4" s="19">
        <v>0.0</v>
      </c>
      <c r="P4" s="19">
        <v>0.5</v>
      </c>
      <c r="Q4" s="19">
        <v>0.3</v>
      </c>
      <c r="R4" s="19">
        <v>1.1115</v>
      </c>
      <c r="S4" s="21">
        <v>1.82E-5</v>
      </c>
      <c r="T4" s="19">
        <v>16.0</v>
      </c>
      <c r="U4" s="19">
        <v>0.0</v>
      </c>
    </row>
    <row r="5">
      <c r="A5" s="22"/>
      <c r="B5" s="4">
        <v>0.016694</v>
      </c>
      <c r="C5" s="23">
        <v>-5.0</v>
      </c>
      <c r="D5" s="4">
        <v>0.523571</v>
      </c>
      <c r="E5" s="23">
        <f t="shared" ref="E5:E55" si="1">0.5*$R$4*$T$4*$T$4*$M$62*D5</f>
        <v>72.99970345</v>
      </c>
      <c r="F5" s="4">
        <v>-0.3097</v>
      </c>
      <c r="G5" s="23">
        <v>-5.0</v>
      </c>
      <c r="H5" s="4">
        <v>0.258</v>
      </c>
      <c r="I5" s="4">
        <v>-0.232663</v>
      </c>
      <c r="J5" s="23">
        <f t="shared" ref="J5:J55" si="2">B5+$Q$60</f>
        <v>0.028434</v>
      </c>
      <c r="K5" s="24"/>
      <c r="M5" s="4"/>
      <c r="N5" s="4"/>
      <c r="O5" s="4"/>
      <c r="P5" s="4"/>
      <c r="Q5" s="4"/>
      <c r="R5" s="4"/>
      <c r="S5" s="4"/>
      <c r="T5" s="4"/>
      <c r="U5" s="4"/>
    </row>
    <row r="6">
      <c r="A6" s="22"/>
      <c r="B6" s="4">
        <v>0.019167</v>
      </c>
      <c r="C6" s="23">
        <v>-4.5</v>
      </c>
      <c r="D6" s="4">
        <v>0.560776</v>
      </c>
      <c r="E6" s="23">
        <f t="shared" si="1"/>
        <v>78.18706861</v>
      </c>
      <c r="F6" s="4">
        <v>-0.30945</v>
      </c>
      <c r="G6" s="23">
        <v>-4.5</v>
      </c>
      <c r="H6" s="4">
        <v>0.2582</v>
      </c>
      <c r="I6" s="4">
        <v>-0.230329</v>
      </c>
      <c r="J6" s="23">
        <f t="shared" si="2"/>
        <v>0.030907</v>
      </c>
      <c r="K6" s="24"/>
      <c r="M6" s="14" t="s">
        <v>38</v>
      </c>
      <c r="N6" s="14" t="s">
        <v>39</v>
      </c>
      <c r="O6" s="14" t="s">
        <v>40</v>
      </c>
      <c r="P6" s="14" t="s">
        <v>41</v>
      </c>
      <c r="Q6" s="15" t="s">
        <v>42</v>
      </c>
      <c r="R6" s="15" t="s">
        <v>43</v>
      </c>
      <c r="S6" s="14" t="s">
        <v>44</v>
      </c>
      <c r="T6" s="14" t="s">
        <v>45</v>
      </c>
      <c r="U6" s="14" t="s">
        <v>46</v>
      </c>
    </row>
    <row r="7">
      <c r="A7" s="22"/>
      <c r="B7" s="4">
        <v>0.021803</v>
      </c>
      <c r="C7" s="23">
        <v>-4.0</v>
      </c>
      <c r="D7" s="4">
        <v>0.597906</v>
      </c>
      <c r="E7" s="23">
        <f t="shared" si="1"/>
        <v>83.36397678</v>
      </c>
      <c r="F7" s="4">
        <v>-0.3091</v>
      </c>
      <c r="G7" s="23">
        <v>-4.0</v>
      </c>
      <c r="H7" s="4">
        <v>0.2817</v>
      </c>
      <c r="I7" s="4">
        <v>-0.227981</v>
      </c>
      <c r="J7" s="23">
        <f t="shared" si="2"/>
        <v>0.033543</v>
      </c>
      <c r="K7" s="24"/>
      <c r="M7" s="25">
        <f>((N7^2)/(Q7))</f>
        <v>4.93877551</v>
      </c>
      <c r="N7" s="19">
        <v>2.2</v>
      </c>
      <c r="O7" s="26">
        <f>Q4/P4</f>
        <v>0.6</v>
      </c>
      <c r="P7" s="4">
        <f>(1.78*(1-0.045*($M$7^0.68)))-0.64</f>
        <v>0.9027022444</v>
      </c>
      <c r="Q7" s="19">
        <v>0.98</v>
      </c>
      <c r="R7" s="4">
        <f>T7/(1+(T7/(PI()*P7*M7)))</f>
        <v>4.900768651</v>
      </c>
      <c r="S7" s="19">
        <v>0.0104</v>
      </c>
      <c r="T7" s="26">
        <f>T28</f>
        <v>7.538545767</v>
      </c>
      <c r="U7" s="4">
        <f>ABS(T32)</f>
        <v>0.234912696</v>
      </c>
    </row>
    <row r="8">
      <c r="A8" s="22"/>
      <c r="B8" s="4">
        <v>0.024601</v>
      </c>
      <c r="C8" s="23">
        <v>-3.5</v>
      </c>
      <c r="D8" s="4">
        <v>0.634954</v>
      </c>
      <c r="E8" s="23">
        <f t="shared" si="1"/>
        <v>88.52945198</v>
      </c>
      <c r="F8" s="4">
        <v>-0.30866</v>
      </c>
      <c r="G8" s="23">
        <v>-3.5</v>
      </c>
      <c r="H8" s="4">
        <v>0.5988</v>
      </c>
      <c r="I8" s="4">
        <v>-0.225621</v>
      </c>
      <c r="J8" s="23">
        <f t="shared" si="2"/>
        <v>0.036341</v>
      </c>
      <c r="K8" s="24"/>
      <c r="M8" s="4"/>
      <c r="N8" s="4"/>
      <c r="O8" s="4"/>
      <c r="P8" s="4"/>
      <c r="Q8" s="4"/>
      <c r="R8" s="4"/>
      <c r="S8" s="4"/>
      <c r="T8" s="4"/>
      <c r="U8" s="4"/>
    </row>
    <row r="9">
      <c r="A9" s="22"/>
      <c r="B9" s="4">
        <v>0.027561</v>
      </c>
      <c r="C9" s="23">
        <v>-3.0</v>
      </c>
      <c r="D9" s="4">
        <v>0.671912</v>
      </c>
      <c r="E9" s="23">
        <f t="shared" si="1"/>
        <v>93.68237878</v>
      </c>
      <c r="F9" s="4">
        <v>-0.30812</v>
      </c>
      <c r="G9" s="23">
        <v>-3.0</v>
      </c>
      <c r="H9" s="4">
        <v>0.7548</v>
      </c>
      <c r="I9" s="4">
        <v>-0.223249</v>
      </c>
      <c r="J9" s="23">
        <f t="shared" si="2"/>
        <v>0.039301</v>
      </c>
      <c r="K9" s="24"/>
      <c r="M9" s="14" t="s">
        <v>47</v>
      </c>
      <c r="N9" s="15" t="s">
        <v>48</v>
      </c>
      <c r="O9" s="14" t="s">
        <v>49</v>
      </c>
      <c r="P9" s="14" t="s">
        <v>50</v>
      </c>
      <c r="Q9" s="14" t="s">
        <v>51</v>
      </c>
      <c r="R9" s="14" t="s">
        <v>52</v>
      </c>
      <c r="S9" s="14" t="s">
        <v>53</v>
      </c>
      <c r="T9" s="15" t="s">
        <v>54</v>
      </c>
      <c r="U9" s="15" t="s">
        <v>55</v>
      </c>
    </row>
    <row r="10">
      <c r="A10" s="22"/>
      <c r="B10" s="4">
        <v>0.03068</v>
      </c>
      <c r="C10" s="23">
        <v>-2.5</v>
      </c>
      <c r="D10" s="4">
        <v>0.708774</v>
      </c>
      <c r="E10" s="23">
        <f t="shared" si="1"/>
        <v>98.82192064</v>
      </c>
      <c r="F10" s="4">
        <v>-0.30749</v>
      </c>
      <c r="G10" s="23">
        <v>-2.5</v>
      </c>
      <c r="H10" s="4">
        <v>0.829</v>
      </c>
      <c r="I10" s="4">
        <v>-0.220866</v>
      </c>
      <c r="J10" s="23">
        <f t="shared" si="2"/>
        <v>0.04242</v>
      </c>
      <c r="K10" s="24"/>
      <c r="M10" s="27">
        <f>(-U7*(PI()/180))/(T7*(PI()/180))</f>
        <v>-0.03116154007</v>
      </c>
      <c r="N10" s="28">
        <f>ABS(M10)</f>
        <v>0.03116154007</v>
      </c>
      <c r="O10" s="4">
        <f>N4/4</f>
        <v>0.1020833333</v>
      </c>
      <c r="P10" s="4">
        <f>M10*P4</f>
        <v>-0.01558077004</v>
      </c>
      <c r="Q10" s="4">
        <f>O10+ABS(P10)</f>
        <v>0.1176641034</v>
      </c>
      <c r="R10" s="20">
        <f>P4/3</f>
        <v>0.1666666667</v>
      </c>
      <c r="S10" s="20">
        <f>R10-Q10</f>
        <v>0.0490025633</v>
      </c>
      <c r="T10" s="20">
        <f>D15</f>
        <v>0.891394</v>
      </c>
      <c r="U10" s="19">
        <v>0.0</v>
      </c>
    </row>
    <row r="11">
      <c r="A11" s="22"/>
      <c r="B11" s="4">
        <v>0.033958</v>
      </c>
      <c r="C11" s="23">
        <v>-2.0</v>
      </c>
      <c r="D11" s="4">
        <v>0.745533</v>
      </c>
      <c r="E11" s="23">
        <f t="shared" si="1"/>
        <v>103.9471016</v>
      </c>
      <c r="F11" s="4">
        <v>-0.30676</v>
      </c>
      <c r="G11" s="23">
        <v>-2.0</v>
      </c>
      <c r="H11" s="4">
        <v>0.8978</v>
      </c>
      <c r="I11" s="4">
        <v>-0.218472</v>
      </c>
      <c r="J11" s="23">
        <f t="shared" si="2"/>
        <v>0.045698</v>
      </c>
      <c r="K11" s="24"/>
      <c r="M11" s="29"/>
      <c r="N11" s="29"/>
      <c r="O11" s="29"/>
      <c r="P11" s="29"/>
      <c r="Q11" s="29"/>
      <c r="R11" s="29"/>
      <c r="S11" s="29"/>
      <c r="T11" s="29"/>
      <c r="U11" s="29"/>
    </row>
    <row r="12">
      <c r="A12" s="22"/>
      <c r="B12" s="4">
        <v>0.037392</v>
      </c>
      <c r="C12" s="23">
        <v>-1.5</v>
      </c>
      <c r="D12" s="4">
        <v>0.782181</v>
      </c>
      <c r="E12" s="23">
        <f t="shared" si="1"/>
        <v>109.0568061</v>
      </c>
      <c r="F12" s="4">
        <v>-0.30594</v>
      </c>
      <c r="G12" s="23">
        <v>-1.5</v>
      </c>
      <c r="H12" s="4">
        <v>0.9666</v>
      </c>
      <c r="I12" s="4">
        <v>-0.216069</v>
      </c>
      <c r="J12" s="23">
        <f t="shared" si="2"/>
        <v>0.049132</v>
      </c>
      <c r="K12" s="24"/>
      <c r="M12" s="15" t="s">
        <v>56</v>
      </c>
      <c r="N12" s="14" t="s">
        <v>57</v>
      </c>
      <c r="O12" s="15" t="s">
        <v>58</v>
      </c>
      <c r="P12" s="15" t="s">
        <v>59</v>
      </c>
      <c r="Q12" s="14" t="s">
        <v>60</v>
      </c>
      <c r="R12" s="14" t="s">
        <v>61</v>
      </c>
      <c r="S12" s="14" t="s">
        <v>62</v>
      </c>
      <c r="T12" s="14" t="s">
        <v>63</v>
      </c>
      <c r="U12" s="14" t="s">
        <v>64</v>
      </c>
      <c r="V12" s="15" t="s">
        <v>65</v>
      </c>
    </row>
    <row r="13">
      <c r="A13" s="22"/>
      <c r="B13" s="4">
        <v>0.040981</v>
      </c>
      <c r="C13" s="23">
        <v>-1.0</v>
      </c>
      <c r="D13" s="4">
        <v>0.818712</v>
      </c>
      <c r="E13" s="23">
        <f t="shared" si="1"/>
        <v>114.1501978</v>
      </c>
      <c r="F13" s="4">
        <v>-0.30502</v>
      </c>
      <c r="G13" s="23">
        <v>-1.0</v>
      </c>
      <c r="H13" s="4">
        <v>1.0391</v>
      </c>
      <c r="I13" s="4">
        <v>-0.213656</v>
      </c>
      <c r="J13" s="23">
        <f t="shared" si="2"/>
        <v>0.052721</v>
      </c>
      <c r="K13" s="24"/>
      <c r="M13" s="20">
        <f>F15</f>
        <v>-0.30292</v>
      </c>
      <c r="N13" s="20">
        <f>F15</f>
        <v>-0.30292</v>
      </c>
      <c r="O13" s="30">
        <v>2.15</v>
      </c>
      <c r="P13" s="4">
        <f>T10/(PI()*M7)</f>
        <v>0.05745139096</v>
      </c>
      <c r="Q13" s="31">
        <v>0.0</v>
      </c>
      <c r="R13" s="28">
        <f>Q10/N4</f>
        <v>0.2881569878</v>
      </c>
      <c r="S13" s="20">
        <f>(1/(PI()*M7*P7*0.75))</f>
        <v>0.09519739308</v>
      </c>
      <c r="T13" s="20">
        <f>B15</f>
        <v>0.048616</v>
      </c>
      <c r="U13" s="4">
        <f>0.75*P7</f>
        <v>0.6770266833</v>
      </c>
      <c r="V13" s="22">
        <f>(2*T10)/(PI()*M7)</f>
        <v>0.1149027819</v>
      </c>
    </row>
    <row r="14">
      <c r="A14" s="22"/>
      <c r="B14" s="4">
        <v>0.044723</v>
      </c>
      <c r="C14" s="23">
        <v>-0.5</v>
      </c>
      <c r="D14" s="4">
        <v>0.855118</v>
      </c>
      <c r="E14" s="23">
        <f t="shared" si="1"/>
        <v>119.2261611</v>
      </c>
      <c r="F14" s="4">
        <v>-0.30402</v>
      </c>
      <c r="G14" s="23">
        <v>-0.5</v>
      </c>
      <c r="H14" s="4">
        <v>1.1029</v>
      </c>
      <c r="I14" s="4">
        <v>-0.211235</v>
      </c>
      <c r="J14" s="23">
        <f t="shared" si="2"/>
        <v>0.056463</v>
      </c>
      <c r="K14" s="24"/>
    </row>
    <row r="15">
      <c r="A15" s="32"/>
      <c r="B15" s="4">
        <v>0.048616</v>
      </c>
      <c r="C15" s="33">
        <v>0.0</v>
      </c>
      <c r="D15" s="4">
        <v>0.891394</v>
      </c>
      <c r="E15" s="33">
        <f t="shared" si="1"/>
        <v>124.283999</v>
      </c>
      <c r="F15" s="32">
        <v>-0.30291999999999997</v>
      </c>
      <c r="G15" s="33">
        <v>0.0</v>
      </c>
      <c r="H15" s="32">
        <v>1.158</v>
      </c>
      <c r="I15" s="4">
        <v>-0.208807</v>
      </c>
      <c r="J15" s="33">
        <f t="shared" si="2"/>
        <v>0.060356</v>
      </c>
      <c r="K15" s="24"/>
      <c r="M15" s="8" t="s">
        <v>66</v>
      </c>
      <c r="N15" s="2"/>
      <c r="O15" s="2"/>
      <c r="P15" s="2"/>
      <c r="Q15" s="2"/>
      <c r="R15" s="2"/>
      <c r="S15" s="2"/>
      <c r="T15" s="2"/>
      <c r="U15" s="2"/>
      <c r="V15" s="3"/>
    </row>
    <row r="16">
      <c r="A16" s="22"/>
      <c r="B16" s="4">
        <v>0.052658</v>
      </c>
      <c r="C16" s="23">
        <v>0.5</v>
      </c>
      <c r="D16" s="4">
        <v>0.927532</v>
      </c>
      <c r="E16" s="23">
        <f t="shared" si="1"/>
        <v>129.322596</v>
      </c>
      <c r="F16" s="4">
        <v>-0.30174</v>
      </c>
      <c r="G16" s="23">
        <v>0.5</v>
      </c>
      <c r="H16" s="4">
        <v>1.2119</v>
      </c>
      <c r="I16" s="4">
        <v>-0.206372</v>
      </c>
      <c r="J16" s="23">
        <f t="shared" si="2"/>
        <v>0.064398</v>
      </c>
      <c r="K16" s="24"/>
      <c r="M16" s="13" t="s">
        <v>21</v>
      </c>
      <c r="N16" s="14" t="s">
        <v>22</v>
      </c>
      <c r="O16" s="14" t="s">
        <v>41</v>
      </c>
      <c r="P16" s="14" t="s">
        <v>40</v>
      </c>
      <c r="Q16" s="15" t="s">
        <v>25</v>
      </c>
      <c r="R16" s="14" t="s">
        <v>26</v>
      </c>
      <c r="S16" s="14" t="s">
        <v>27</v>
      </c>
      <c r="T16" s="14" t="s">
        <v>28</v>
      </c>
      <c r="U16" s="14" t="s">
        <v>29</v>
      </c>
      <c r="V16" s="14" t="s">
        <v>67</v>
      </c>
    </row>
    <row r="17">
      <c r="A17" s="22"/>
      <c r="B17" s="4">
        <v>0.056847</v>
      </c>
      <c r="C17" s="23">
        <v>1.0</v>
      </c>
      <c r="D17" s="4">
        <v>0.963525</v>
      </c>
      <c r="E17" s="23">
        <f t="shared" si="1"/>
        <v>134.3409762</v>
      </c>
      <c r="F17" s="4">
        <v>-0.30046</v>
      </c>
      <c r="G17" s="23">
        <v>1.0</v>
      </c>
      <c r="H17" s="4">
        <v>1.2656</v>
      </c>
      <c r="I17" s="4">
        <v>-0.203931</v>
      </c>
      <c r="J17" s="23">
        <f t="shared" si="2"/>
        <v>0.068587</v>
      </c>
      <c r="K17" s="24"/>
      <c r="M17" s="18" t="s">
        <v>68</v>
      </c>
      <c r="N17" s="20">
        <f>(S17*U17*Q17)/T17</f>
        <v>195396.9231</v>
      </c>
      <c r="O17" s="4">
        <f>(1.78*(1-(0.045*($M$20^0.68))))-0.64</f>
        <v>0.9343951712</v>
      </c>
      <c r="P17" s="4">
        <f>R17/Q17</f>
        <v>1</v>
      </c>
      <c r="Q17" s="19">
        <v>0.2</v>
      </c>
      <c r="R17" s="19">
        <v>0.2</v>
      </c>
      <c r="S17" s="19">
        <v>1.11132</v>
      </c>
      <c r="T17" s="21">
        <v>1.82E-5</v>
      </c>
      <c r="U17" s="19">
        <v>16.0</v>
      </c>
      <c r="V17" s="19">
        <v>0.344</v>
      </c>
    </row>
    <row r="18">
      <c r="A18" s="22"/>
      <c r="B18" s="4">
        <v>0.06118</v>
      </c>
      <c r="C18" s="23">
        <v>1.5</v>
      </c>
      <c r="D18" s="4">
        <v>0.999367</v>
      </c>
      <c r="E18" s="23">
        <f t="shared" si="1"/>
        <v>139.338303</v>
      </c>
      <c r="F18" s="4">
        <v>-0.2991</v>
      </c>
      <c r="G18" s="23">
        <v>1.5</v>
      </c>
      <c r="H18" s="4">
        <v>1.3186</v>
      </c>
      <c r="I18" s="4">
        <v>-0.201485</v>
      </c>
      <c r="J18" s="23">
        <f t="shared" si="2"/>
        <v>0.07292</v>
      </c>
      <c r="K18" s="24"/>
      <c r="M18" s="4"/>
      <c r="N18" s="4"/>
      <c r="O18" s="4"/>
      <c r="P18" s="4"/>
      <c r="Q18" s="4"/>
      <c r="R18" s="4"/>
      <c r="S18" s="4"/>
      <c r="T18" s="4"/>
      <c r="U18" s="34"/>
    </row>
    <row r="19">
      <c r="A19" s="22"/>
      <c r="B19" s="4">
        <v>0.065656</v>
      </c>
      <c r="C19" s="23">
        <v>2.0</v>
      </c>
      <c r="D19" s="4">
        <v>1.035051</v>
      </c>
      <c r="E19" s="23">
        <f t="shared" si="1"/>
        <v>144.3136004</v>
      </c>
      <c r="F19" s="4">
        <v>-0.29766</v>
      </c>
      <c r="G19" s="23">
        <v>2.0</v>
      </c>
      <c r="H19" s="4">
        <v>1.3714</v>
      </c>
      <c r="I19" s="4">
        <v>-0.199034</v>
      </c>
      <c r="J19" s="23">
        <f t="shared" si="2"/>
        <v>0.077396</v>
      </c>
      <c r="K19" s="24"/>
      <c r="M19" s="14" t="s">
        <v>38</v>
      </c>
      <c r="N19" s="14" t="s">
        <v>39</v>
      </c>
      <c r="O19" s="14" t="s">
        <v>69</v>
      </c>
      <c r="P19" s="15" t="s">
        <v>70</v>
      </c>
      <c r="Q19" s="14" t="s">
        <v>71</v>
      </c>
      <c r="R19" s="15" t="s">
        <v>72</v>
      </c>
      <c r="S19" s="15" t="s">
        <v>43</v>
      </c>
      <c r="T19" s="14" t="s">
        <v>45</v>
      </c>
      <c r="U19" s="14" t="s">
        <v>46</v>
      </c>
      <c r="V19" s="15" t="s">
        <v>73</v>
      </c>
      <c r="W19" s="14" t="s">
        <v>44</v>
      </c>
      <c r="X19" s="14" t="s">
        <v>64</v>
      </c>
    </row>
    <row r="20">
      <c r="A20" s="22"/>
      <c r="B20" s="4">
        <v>0.070271</v>
      </c>
      <c r="C20" s="23">
        <v>2.5</v>
      </c>
      <c r="D20" s="4">
        <v>1.070571</v>
      </c>
      <c r="E20" s="23">
        <f t="shared" si="1"/>
        <v>149.2660318</v>
      </c>
      <c r="F20" s="4">
        <v>-0.29613</v>
      </c>
      <c r="G20" s="23">
        <v>2.5</v>
      </c>
      <c r="H20" s="4">
        <v>1.4308</v>
      </c>
      <c r="I20" s="4">
        <v>-0.196579</v>
      </c>
      <c r="J20" s="23">
        <f t="shared" si="2"/>
        <v>0.082011</v>
      </c>
      <c r="K20" s="24"/>
      <c r="M20" s="25">
        <f>N20^2/Q20</f>
        <v>4</v>
      </c>
      <c r="N20" s="19">
        <v>0.8</v>
      </c>
      <c r="O20" s="28">
        <f>Q23/Q17</f>
        <v>0.4216109585</v>
      </c>
      <c r="P20" s="19">
        <v>1.2</v>
      </c>
      <c r="Q20" s="19">
        <v>0.16</v>
      </c>
      <c r="R20" s="20">
        <f>(P20*Q20)/((Q7)*N4)</f>
        <v>0.4798000833</v>
      </c>
      <c r="S20" s="26">
        <f>((T20)/SQRT(1+(((T20)/(PI()*M20))^2)+((T20)/(PI()*M20))))</f>
        <v>4.66300627</v>
      </c>
      <c r="T20" s="26">
        <f>T45</f>
        <v>6.124066085</v>
      </c>
      <c r="U20" s="4">
        <f>T49</f>
        <v>-1.050956851</v>
      </c>
      <c r="V20" s="4">
        <f>R23/(PI()*M20)</f>
        <v>-0.03250986403</v>
      </c>
      <c r="W20" s="19">
        <v>0.0422</v>
      </c>
      <c r="X20" s="4">
        <f>0.75*O17</f>
        <v>0.7007963784</v>
      </c>
    </row>
    <row r="21" ht="15.75" customHeight="1">
      <c r="A21" s="22"/>
      <c r="B21" s="4">
        <v>0.075023</v>
      </c>
      <c r="C21" s="23">
        <v>3.0</v>
      </c>
      <c r="D21" s="4">
        <v>1.10592</v>
      </c>
      <c r="E21" s="23">
        <f t="shared" si="1"/>
        <v>154.1946212</v>
      </c>
      <c r="F21" s="4">
        <v>-0.29453</v>
      </c>
      <c r="G21" s="23">
        <v>3.0</v>
      </c>
      <c r="H21" s="4">
        <v>1.4815</v>
      </c>
      <c r="I21" s="4">
        <v>-0.194122</v>
      </c>
      <c r="J21" s="23">
        <f t="shared" si="2"/>
        <v>0.086763</v>
      </c>
      <c r="K21" s="24"/>
      <c r="M21" s="4"/>
      <c r="N21" s="4"/>
      <c r="O21" s="4"/>
      <c r="P21" s="4"/>
      <c r="Q21" s="4"/>
      <c r="R21" s="4"/>
      <c r="S21" s="4"/>
      <c r="T21" s="4"/>
      <c r="U21" s="4"/>
    </row>
    <row r="22" ht="15.75" customHeight="1">
      <c r="A22" s="22"/>
      <c r="B22" s="4">
        <v>0.079909</v>
      </c>
      <c r="C22" s="23">
        <v>3.5</v>
      </c>
      <c r="D22" s="4">
        <v>1.141092</v>
      </c>
      <c r="E22" s="23">
        <f t="shared" si="1"/>
        <v>159.0985322</v>
      </c>
      <c r="F22" s="4">
        <v>-0.29284</v>
      </c>
      <c r="G22" s="23">
        <v>3.5</v>
      </c>
      <c r="H22" s="4">
        <v>1.532</v>
      </c>
      <c r="I22" s="4">
        <v>-0.191662</v>
      </c>
      <c r="J22" s="23">
        <f t="shared" si="2"/>
        <v>0.091649</v>
      </c>
      <c r="K22" s="24"/>
      <c r="M22" s="14" t="s">
        <v>74</v>
      </c>
      <c r="N22" s="15" t="s">
        <v>75</v>
      </c>
      <c r="O22" s="14" t="s">
        <v>76</v>
      </c>
      <c r="P22" s="14" t="s">
        <v>77</v>
      </c>
      <c r="Q22" s="14" t="s">
        <v>77</v>
      </c>
      <c r="R22" s="15" t="s">
        <v>78</v>
      </c>
      <c r="S22" s="15" t="s">
        <v>79</v>
      </c>
      <c r="T22" s="15" t="s">
        <v>80</v>
      </c>
      <c r="U22" s="14" t="s">
        <v>81</v>
      </c>
      <c r="V22" s="15" t="s">
        <v>65</v>
      </c>
    </row>
    <row r="23" ht="15.75" customHeight="1">
      <c r="A23" s="22"/>
      <c r="B23" s="4">
        <v>0.084927</v>
      </c>
      <c r="C23" s="23">
        <v>4.0</v>
      </c>
      <c r="D23" s="4">
        <v>1.176081</v>
      </c>
      <c r="E23" s="23">
        <f t="shared" si="1"/>
        <v>163.9769281</v>
      </c>
      <c r="F23" s="4">
        <v>-0.29107</v>
      </c>
      <c r="G23" s="23">
        <v>4.0</v>
      </c>
      <c r="H23" s="4">
        <v>1.5825</v>
      </c>
      <c r="I23" s="4">
        <v>-0.1892</v>
      </c>
      <c r="J23" s="23">
        <f t="shared" si="2"/>
        <v>0.096667</v>
      </c>
      <c r="K23" s="24"/>
      <c r="M23" s="4">
        <f>(-U20*(PI()/180))/(T20*(PI()/180))</f>
        <v>0.1716109585</v>
      </c>
      <c r="N23" s="28">
        <f>ABS(M23)</f>
        <v>0.1716109585</v>
      </c>
      <c r="O23" s="23">
        <f>Q17/4</f>
        <v>0.05</v>
      </c>
      <c r="P23" s="4">
        <f>M23*Q17</f>
        <v>0.0343221917</v>
      </c>
      <c r="Q23" s="23">
        <f>O23+ABS(P23)</f>
        <v>0.0843221917</v>
      </c>
      <c r="R23" s="4">
        <f>C68</f>
        <v>-0.408531</v>
      </c>
      <c r="S23" s="19">
        <v>0.0</v>
      </c>
      <c r="T23" s="4">
        <f>E68</f>
        <v>0.122146</v>
      </c>
      <c r="U23" s="4">
        <f>E68</f>
        <v>0.122146</v>
      </c>
      <c r="V23" s="26">
        <f>(2*R23)/(PI()*M20)</f>
        <v>-0.06501972806</v>
      </c>
    </row>
    <row r="24" ht="15.75" customHeight="1">
      <c r="A24" s="22"/>
      <c r="B24" s="4">
        <v>0.090073</v>
      </c>
      <c r="C24" s="23">
        <v>4.5</v>
      </c>
      <c r="D24" s="4">
        <v>1.210879</v>
      </c>
      <c r="E24" s="23">
        <f t="shared" si="1"/>
        <v>168.8286935</v>
      </c>
      <c r="F24" s="4">
        <v>-0.28923</v>
      </c>
      <c r="G24" s="23">
        <v>4.5</v>
      </c>
      <c r="H24" s="4">
        <v>1.6327</v>
      </c>
      <c r="I24" s="4">
        <v>-0.186737</v>
      </c>
      <c r="J24" s="23">
        <f t="shared" si="2"/>
        <v>0.101813</v>
      </c>
      <c r="K24" s="24"/>
    </row>
    <row r="25" ht="15.75" customHeight="1">
      <c r="A25" s="22"/>
      <c r="B25" s="4">
        <v>0.095344</v>
      </c>
      <c r="C25" s="23">
        <v>5.0</v>
      </c>
      <c r="D25" s="4">
        <v>1.245482</v>
      </c>
      <c r="E25" s="23">
        <f t="shared" si="1"/>
        <v>173.6532708</v>
      </c>
      <c r="F25" s="4">
        <v>-0.28731</v>
      </c>
      <c r="G25" s="23">
        <v>5.0</v>
      </c>
      <c r="H25" s="4">
        <v>1.683</v>
      </c>
      <c r="I25" s="4">
        <v>-0.184275</v>
      </c>
      <c r="J25" s="23">
        <f t="shared" si="2"/>
        <v>0.107084</v>
      </c>
      <c r="K25" s="24"/>
    </row>
    <row r="26" ht="15.75" customHeight="1">
      <c r="A26" s="22"/>
      <c r="B26" s="4">
        <v>0.100737</v>
      </c>
      <c r="C26" s="23">
        <v>5.5</v>
      </c>
      <c r="D26" s="4">
        <v>1.279883</v>
      </c>
      <c r="E26" s="23">
        <f t="shared" si="1"/>
        <v>178.4496839</v>
      </c>
      <c r="F26" s="4">
        <v>-0.28531999999999996</v>
      </c>
      <c r="G26" s="23">
        <v>5.5</v>
      </c>
      <c r="H26" s="4">
        <v>1.7681</v>
      </c>
      <c r="I26" s="4">
        <v>-0.181813</v>
      </c>
      <c r="J26" s="23">
        <f t="shared" si="2"/>
        <v>0.112477</v>
      </c>
      <c r="K26" s="24"/>
      <c r="T26" s="7">
        <f>SLOPE(H5:H30,G5:G30)</f>
        <v>0.1315724444</v>
      </c>
    </row>
    <row r="27" ht="15.75" customHeight="1">
      <c r="A27" s="22"/>
      <c r="B27" s="4">
        <v>0.106249</v>
      </c>
      <c r="C27" s="23">
        <v>6.0</v>
      </c>
      <c r="D27" s="4">
        <v>1.314076</v>
      </c>
      <c r="E27" s="23">
        <f t="shared" si="1"/>
        <v>183.2170963</v>
      </c>
      <c r="F27" s="4">
        <v>-0.28326</v>
      </c>
      <c r="G27" s="23">
        <v>6.0</v>
      </c>
      <c r="H27" s="4">
        <v>1.8156</v>
      </c>
      <c r="I27" s="4">
        <v>-0.179353</v>
      </c>
      <c r="J27" s="23">
        <f t="shared" si="2"/>
        <v>0.117989</v>
      </c>
      <c r="K27" s="24"/>
      <c r="T27" s="17" t="s">
        <v>82</v>
      </c>
    </row>
    <row r="28" ht="15.75" customHeight="1">
      <c r="A28" s="22"/>
      <c r="B28" s="4">
        <v>0.111877</v>
      </c>
      <c r="C28" s="23">
        <v>6.5</v>
      </c>
      <c r="D28" s="4">
        <v>1.348055</v>
      </c>
      <c r="E28" s="23">
        <f t="shared" si="1"/>
        <v>187.9546713</v>
      </c>
      <c r="F28" s="4">
        <v>-0.28113</v>
      </c>
      <c r="G28" s="23">
        <v>6.5</v>
      </c>
      <c r="H28" s="4">
        <v>1.8725</v>
      </c>
      <c r="I28" s="4">
        <v>-0.176895</v>
      </c>
      <c r="J28" s="23">
        <f t="shared" si="2"/>
        <v>0.123617</v>
      </c>
      <c r="K28" s="24"/>
      <c r="T28" s="35">
        <f>T26*(180/PI())</f>
        <v>7.538545767</v>
      </c>
    </row>
    <row r="29" ht="15.75" customHeight="1">
      <c r="A29" s="22"/>
      <c r="B29" s="4">
        <v>0.117617</v>
      </c>
      <c r="C29" s="23">
        <v>7.0</v>
      </c>
      <c r="D29" s="4">
        <v>1.381815</v>
      </c>
      <c r="E29" s="23">
        <f t="shared" si="1"/>
        <v>192.661712</v>
      </c>
      <c r="F29" s="4">
        <v>-0.27893</v>
      </c>
      <c r="G29" s="23">
        <v>7.0</v>
      </c>
      <c r="H29" s="4">
        <v>1.9146</v>
      </c>
      <c r="I29" s="4">
        <v>-0.174439</v>
      </c>
      <c r="J29" s="23">
        <f t="shared" si="2"/>
        <v>0.129357</v>
      </c>
      <c r="K29" s="24"/>
    </row>
    <row r="30" ht="15.75" customHeight="1">
      <c r="A30" s="22"/>
      <c r="B30" s="4">
        <v>0.123465</v>
      </c>
      <c r="C30" s="23">
        <v>7.5</v>
      </c>
      <c r="D30" s="4">
        <v>1.415349</v>
      </c>
      <c r="E30" s="23">
        <f t="shared" si="1"/>
        <v>197.3372423</v>
      </c>
      <c r="F30" s="4">
        <v>-0.27665999999999996</v>
      </c>
      <c r="G30" s="23">
        <v>7.5</v>
      </c>
      <c r="H30" s="4">
        <v>1.9562</v>
      </c>
      <c r="I30" s="4">
        <v>-0.171988</v>
      </c>
      <c r="J30" s="23">
        <f t="shared" si="2"/>
        <v>0.135205</v>
      </c>
      <c r="K30" s="24"/>
      <c r="T30" s="7">
        <v>0.0041</v>
      </c>
    </row>
    <row r="31" ht="15.75" customHeight="1">
      <c r="A31" s="22"/>
      <c r="B31" s="4">
        <v>0.129419</v>
      </c>
      <c r="C31" s="23">
        <v>8.0</v>
      </c>
      <c r="D31" s="4">
        <v>1.448653</v>
      </c>
      <c r="E31" s="23">
        <f t="shared" si="1"/>
        <v>201.9807044</v>
      </c>
      <c r="F31" s="4">
        <v>-0.27434</v>
      </c>
      <c r="G31" s="23">
        <v>8.0</v>
      </c>
      <c r="H31" s="4">
        <v>1.9974</v>
      </c>
      <c r="I31" s="4">
        <v>-0.169541</v>
      </c>
      <c r="J31" s="23">
        <f t="shared" si="2"/>
        <v>0.141159</v>
      </c>
      <c r="K31" s="24"/>
      <c r="T31" s="17" t="s">
        <v>83</v>
      </c>
    </row>
    <row r="32" ht="15.75" customHeight="1">
      <c r="A32" s="22"/>
      <c r="B32" s="4">
        <v>0.135473</v>
      </c>
      <c r="C32" s="23">
        <v>8.5</v>
      </c>
      <c r="D32" s="4">
        <v>1.48172</v>
      </c>
      <c r="E32" s="23">
        <f t="shared" si="1"/>
        <v>206.5911225</v>
      </c>
      <c r="F32" s="4">
        <v>-0.27194999999999997</v>
      </c>
      <c r="G32" s="23">
        <v>8.5</v>
      </c>
      <c r="H32" s="4">
        <v>2.037</v>
      </c>
      <c r="I32" s="4">
        <v>-0.167099</v>
      </c>
      <c r="J32" s="23">
        <f t="shared" si="2"/>
        <v>0.147213</v>
      </c>
      <c r="K32" s="24"/>
      <c r="T32" s="7">
        <f>T30*(180/PI())</f>
        <v>0.234912696</v>
      </c>
    </row>
    <row r="33" ht="15.75" customHeight="1">
      <c r="A33" s="22"/>
      <c r="B33" s="4">
        <v>0.141625</v>
      </c>
      <c r="C33" s="23">
        <v>9.0</v>
      </c>
      <c r="D33" s="4">
        <v>1.514545</v>
      </c>
      <c r="E33" s="23">
        <f t="shared" si="1"/>
        <v>211.1677993</v>
      </c>
      <c r="F33" s="4">
        <v>-0.26950999999999997</v>
      </c>
      <c r="G33" s="23">
        <v>9.0</v>
      </c>
      <c r="H33" s="4">
        <v>2.0745</v>
      </c>
      <c r="I33" s="4">
        <v>-0.164663</v>
      </c>
      <c r="J33" s="23">
        <f t="shared" si="2"/>
        <v>0.153365</v>
      </c>
      <c r="K33" s="24"/>
    </row>
    <row r="34" ht="15.75" customHeight="1">
      <c r="A34" s="22"/>
      <c r="B34" s="4">
        <v>0.147871</v>
      </c>
      <c r="C34" s="23">
        <v>9.5</v>
      </c>
      <c r="D34" s="4">
        <v>1.547124</v>
      </c>
      <c r="E34" s="23">
        <f t="shared" si="1"/>
        <v>215.7101772</v>
      </c>
      <c r="F34" s="4">
        <v>-0.26700999999999997</v>
      </c>
      <c r="G34" s="23">
        <v>9.5</v>
      </c>
      <c r="H34" s="4">
        <v>2.1106</v>
      </c>
      <c r="I34" s="4">
        <v>-0.162233</v>
      </c>
      <c r="J34" s="23">
        <f t="shared" si="2"/>
        <v>0.159611</v>
      </c>
      <c r="K34" s="24"/>
    </row>
    <row r="35" ht="15.75" customHeight="1">
      <c r="A35" s="22"/>
      <c r="B35" s="4">
        <v>0.154206</v>
      </c>
      <c r="C35" s="23">
        <v>10.0</v>
      </c>
      <c r="D35" s="4">
        <v>1.57945</v>
      </c>
      <c r="E35" s="23">
        <f t="shared" si="1"/>
        <v>220.2172802</v>
      </c>
      <c r="F35" s="4">
        <v>-0.26444999999999996</v>
      </c>
      <c r="G35" s="23">
        <v>10.0</v>
      </c>
      <c r="H35" s="4">
        <v>2.1451</v>
      </c>
      <c r="I35" s="4">
        <v>-0.159812</v>
      </c>
      <c r="J35" s="23">
        <f t="shared" si="2"/>
        <v>0.165946</v>
      </c>
      <c r="K35" s="24"/>
    </row>
    <row r="36" ht="15.75" customHeight="1">
      <c r="A36" s="22"/>
      <c r="B36" s="4">
        <v>0.160626</v>
      </c>
      <c r="C36" s="23">
        <v>10.5</v>
      </c>
      <c r="D36" s="4">
        <v>1.611519</v>
      </c>
      <c r="E36" s="23">
        <f t="shared" si="1"/>
        <v>224.6885505</v>
      </c>
      <c r="F36" s="4">
        <v>-0.26183999999999996</v>
      </c>
      <c r="G36" s="23">
        <v>10.5</v>
      </c>
      <c r="H36" s="4">
        <v>2.1795</v>
      </c>
      <c r="I36" s="4">
        <v>-0.157398</v>
      </c>
      <c r="J36" s="23">
        <f t="shared" si="2"/>
        <v>0.172366</v>
      </c>
      <c r="K36" s="24"/>
    </row>
    <row r="37" ht="15.75" customHeight="1">
      <c r="A37" s="22"/>
      <c r="B37" s="4">
        <v>0.167128</v>
      </c>
      <c r="C37" s="23">
        <v>11.0</v>
      </c>
      <c r="D37" s="4">
        <v>1.643326</v>
      </c>
      <c r="E37" s="23">
        <f t="shared" si="1"/>
        <v>229.1232911</v>
      </c>
      <c r="F37" s="4">
        <v>-0.25919</v>
      </c>
      <c r="G37" s="23">
        <v>11.0</v>
      </c>
      <c r="H37" s="4">
        <v>2.2203</v>
      </c>
      <c r="I37" s="4">
        <v>-0.154993</v>
      </c>
      <c r="J37" s="23">
        <f t="shared" si="2"/>
        <v>0.178868</v>
      </c>
      <c r="K37" s="24"/>
    </row>
    <row r="38" ht="15.75" customHeight="1">
      <c r="A38" s="22"/>
      <c r="B38" s="4">
        <v>0.173708</v>
      </c>
      <c r="C38" s="23">
        <v>11.5</v>
      </c>
      <c r="D38" s="4">
        <v>1.674866</v>
      </c>
      <c r="E38" s="23">
        <f t="shared" si="1"/>
        <v>233.5208048</v>
      </c>
      <c r="F38" s="4">
        <v>-0.25648</v>
      </c>
      <c r="G38" s="23">
        <v>11.5</v>
      </c>
      <c r="H38" s="4">
        <v>2.2541</v>
      </c>
      <c r="I38" s="4">
        <v>-0.152597</v>
      </c>
      <c r="J38" s="23">
        <f t="shared" si="2"/>
        <v>0.185448</v>
      </c>
      <c r="K38" s="24"/>
    </row>
    <row r="39" ht="15.75" customHeight="1">
      <c r="A39" s="22"/>
      <c r="B39" s="4">
        <v>0.18036</v>
      </c>
      <c r="C39" s="23">
        <v>12.0</v>
      </c>
      <c r="D39" s="4">
        <v>1.706134</v>
      </c>
      <c r="E39" s="23">
        <f t="shared" si="1"/>
        <v>237.8803945</v>
      </c>
      <c r="F39" s="4">
        <v>-0.25373999999999997</v>
      </c>
      <c r="G39" s="23">
        <v>12.0</v>
      </c>
      <c r="H39" s="4">
        <v>2.2795</v>
      </c>
      <c r="I39" s="4">
        <v>-0.150212</v>
      </c>
      <c r="J39" s="23">
        <f t="shared" si="2"/>
        <v>0.1921</v>
      </c>
      <c r="K39" s="24"/>
    </row>
    <row r="40" ht="15.75" customHeight="1">
      <c r="A40" s="22"/>
      <c r="B40" s="4">
        <v>0.187081</v>
      </c>
      <c r="C40" s="23">
        <v>12.5</v>
      </c>
      <c r="D40" s="4">
        <v>1.737126</v>
      </c>
      <c r="E40" s="23">
        <f t="shared" si="1"/>
        <v>242.2015025</v>
      </c>
      <c r="F40" s="4">
        <v>-0.25094</v>
      </c>
      <c r="G40" s="23">
        <v>12.5</v>
      </c>
      <c r="H40" s="4">
        <v>2.3019</v>
      </c>
      <c r="I40" s="4">
        <v>-0.147839</v>
      </c>
      <c r="J40" s="23">
        <f t="shared" si="2"/>
        <v>0.198821</v>
      </c>
      <c r="K40" s="24"/>
    </row>
    <row r="41" ht="15.75" customHeight="1">
      <c r="A41" s="22"/>
      <c r="B41" s="4">
        <v>0.193866</v>
      </c>
      <c r="C41" s="23">
        <v>13.0</v>
      </c>
      <c r="D41" s="4">
        <v>1.767838</v>
      </c>
      <c r="E41" s="23">
        <f t="shared" si="1"/>
        <v>246.483571</v>
      </c>
      <c r="F41" s="4">
        <v>-0.24811</v>
      </c>
      <c r="G41" s="23">
        <v>13.0</v>
      </c>
      <c r="H41" s="4">
        <v>2.3216</v>
      </c>
      <c r="I41" s="4">
        <v>-0.145476</v>
      </c>
      <c r="J41" s="23">
        <f t="shared" si="2"/>
        <v>0.205606</v>
      </c>
      <c r="K41" s="24"/>
    </row>
    <row r="42" ht="15.75" customHeight="1">
      <c r="A42" s="22"/>
      <c r="B42" s="4">
        <v>0.200711</v>
      </c>
      <c r="C42" s="23">
        <v>13.5</v>
      </c>
      <c r="D42" s="4">
        <v>1.798264</v>
      </c>
      <c r="E42" s="23">
        <f t="shared" si="1"/>
        <v>250.7257635</v>
      </c>
      <c r="F42" s="4">
        <v>-0.24523999999999999</v>
      </c>
      <c r="G42" s="23">
        <v>13.5</v>
      </c>
      <c r="H42" s="4">
        <v>2.34</v>
      </c>
      <c r="I42" s="4">
        <v>-0.143127</v>
      </c>
      <c r="J42" s="23">
        <f t="shared" si="2"/>
        <v>0.212451</v>
      </c>
      <c r="K42" s="24"/>
    </row>
    <row r="43" ht="15.75" customHeight="1">
      <c r="A43" s="22"/>
      <c r="B43" s="4">
        <v>0.207612</v>
      </c>
      <c r="C43" s="23">
        <v>14.0</v>
      </c>
      <c r="D43" s="4">
        <v>1.828401</v>
      </c>
      <c r="E43" s="23">
        <f t="shared" si="1"/>
        <v>254.9276617</v>
      </c>
      <c r="F43" s="4">
        <v>-0.24234</v>
      </c>
      <c r="G43" s="23">
        <v>14.0</v>
      </c>
      <c r="H43" s="4">
        <v>2.357</v>
      </c>
      <c r="I43" s="4">
        <v>-0.14079</v>
      </c>
      <c r="J43" s="23">
        <f t="shared" si="2"/>
        <v>0.219352</v>
      </c>
      <c r="K43" s="24"/>
      <c r="T43" s="7">
        <f>SLOPE(G58:G87,F58:F87)</f>
        <v>0.1068851168</v>
      </c>
    </row>
    <row r="44" ht="15.75" customHeight="1">
      <c r="A44" s="22"/>
      <c r="B44" s="4">
        <v>0.214564</v>
      </c>
      <c r="C44" s="23">
        <v>14.5</v>
      </c>
      <c r="D44" s="4">
        <v>1.858244</v>
      </c>
      <c r="E44" s="23">
        <f t="shared" si="1"/>
        <v>259.0885686</v>
      </c>
      <c r="F44" s="4">
        <v>-0.2394</v>
      </c>
      <c r="G44" s="23">
        <v>14.5</v>
      </c>
      <c r="H44" s="4">
        <v>2.3718</v>
      </c>
      <c r="I44" s="4">
        <v>-0.138468</v>
      </c>
      <c r="J44" s="23">
        <f t="shared" si="2"/>
        <v>0.226304</v>
      </c>
      <c r="K44" s="24"/>
      <c r="T44" s="17" t="s">
        <v>82</v>
      </c>
    </row>
    <row r="45" ht="15.75" customHeight="1">
      <c r="A45" s="22"/>
      <c r="B45" s="4">
        <v>0.221561</v>
      </c>
      <c r="C45" s="23">
        <v>15.0</v>
      </c>
      <c r="D45" s="4">
        <v>1.88779</v>
      </c>
      <c r="E45" s="23">
        <f t="shared" si="1"/>
        <v>263.2080657</v>
      </c>
      <c r="F45" s="4">
        <v>-0.23643</v>
      </c>
      <c r="G45" s="23">
        <v>15.0</v>
      </c>
      <c r="H45" s="4">
        <v>2.3842</v>
      </c>
      <c r="I45" s="4">
        <v>-0.13616</v>
      </c>
      <c r="J45" s="23">
        <f t="shared" si="2"/>
        <v>0.233301</v>
      </c>
      <c r="K45" s="24"/>
      <c r="T45" s="35">
        <f>T43*(180/PI())</f>
        <v>6.124066085</v>
      </c>
    </row>
    <row r="46" ht="15.75" customHeight="1">
      <c r="A46" s="22"/>
      <c r="B46" s="4">
        <v>0.228601</v>
      </c>
      <c r="C46" s="23">
        <v>15.5</v>
      </c>
      <c r="D46" s="4">
        <v>1.917035</v>
      </c>
      <c r="E46" s="23">
        <f t="shared" si="1"/>
        <v>267.2855954</v>
      </c>
      <c r="F46" s="4">
        <v>-0.23343999999999998</v>
      </c>
      <c r="G46" s="23">
        <v>15.5</v>
      </c>
      <c r="H46" s="4">
        <v>2.3873</v>
      </c>
      <c r="I46" s="4">
        <v>-0.133868</v>
      </c>
      <c r="J46" s="23">
        <f t="shared" si="2"/>
        <v>0.240341</v>
      </c>
      <c r="K46" s="24"/>
    </row>
    <row r="47" ht="15.75" customHeight="1">
      <c r="A47" s="22"/>
      <c r="B47" s="4">
        <v>0.235677</v>
      </c>
      <c r="C47" s="23">
        <v>16.0</v>
      </c>
      <c r="D47" s="4">
        <v>1.945975</v>
      </c>
      <c r="E47" s="23">
        <f t="shared" si="1"/>
        <v>271.3206001</v>
      </c>
      <c r="F47" s="4">
        <v>-0.23041999999999999</v>
      </c>
      <c r="G47" s="23">
        <v>16.0</v>
      </c>
      <c r="H47" s="4">
        <v>2.392</v>
      </c>
      <c r="I47" s="4">
        <v>-0.131591</v>
      </c>
      <c r="J47" s="23">
        <f t="shared" si="2"/>
        <v>0.247417</v>
      </c>
      <c r="K47" s="24"/>
      <c r="T47" s="7">
        <f>SLOPE(H75:H86,F75:F86)</f>
        <v>-0.01834265734</v>
      </c>
    </row>
    <row r="48" ht="15.75" customHeight="1">
      <c r="A48" s="22"/>
      <c r="B48" s="4">
        <v>0.242786</v>
      </c>
      <c r="C48" s="23">
        <v>16.5</v>
      </c>
      <c r="D48" s="4">
        <v>1.974607</v>
      </c>
      <c r="E48" s="23">
        <f t="shared" si="1"/>
        <v>275.3126614</v>
      </c>
      <c r="F48" s="4">
        <v>-0.22738</v>
      </c>
      <c r="G48" s="23">
        <v>16.5</v>
      </c>
      <c r="H48" s="4">
        <v>2.3844</v>
      </c>
      <c r="I48" s="4">
        <v>-0.129332</v>
      </c>
      <c r="J48" s="23">
        <f t="shared" si="2"/>
        <v>0.254526</v>
      </c>
      <c r="K48" s="24"/>
      <c r="T48" s="17" t="s">
        <v>83</v>
      </c>
    </row>
    <row r="49" ht="15.75" customHeight="1">
      <c r="A49" s="22"/>
      <c r="B49" s="4">
        <v>0.249922</v>
      </c>
      <c r="C49" s="23">
        <v>17.0</v>
      </c>
      <c r="D49" s="4">
        <v>2.002926</v>
      </c>
      <c r="E49" s="23">
        <f t="shared" si="1"/>
        <v>279.2610821</v>
      </c>
      <c r="F49" s="4">
        <v>-0.22432</v>
      </c>
      <c r="G49" s="23">
        <v>17.0</v>
      </c>
      <c r="H49" s="4">
        <v>2.3856</v>
      </c>
      <c r="I49" s="4">
        <v>-0.127089</v>
      </c>
      <c r="J49" s="23">
        <f t="shared" si="2"/>
        <v>0.261662</v>
      </c>
      <c r="K49" s="24"/>
      <c r="T49" s="7">
        <f>T47*(180/PI())</f>
        <v>-1.050956851</v>
      </c>
    </row>
    <row r="50" ht="15.75" customHeight="1">
      <c r="A50" s="22"/>
      <c r="B50" s="4">
        <v>0.257081</v>
      </c>
      <c r="C50" s="23">
        <v>17.5</v>
      </c>
      <c r="D50" s="4">
        <v>2.030931</v>
      </c>
      <c r="E50" s="23">
        <f t="shared" si="1"/>
        <v>283.1657229</v>
      </c>
      <c r="F50" s="4">
        <v>-0.22124</v>
      </c>
      <c r="G50" s="23">
        <v>17.5</v>
      </c>
      <c r="H50" s="4">
        <v>2.3721</v>
      </c>
      <c r="I50" s="4">
        <v>-0.124865</v>
      </c>
      <c r="J50" s="23">
        <f t="shared" si="2"/>
        <v>0.268821</v>
      </c>
      <c r="K50" s="24"/>
    </row>
    <row r="51" ht="15.75" customHeight="1">
      <c r="A51" s="22"/>
      <c r="B51" s="4">
        <v>0.264258</v>
      </c>
      <c r="C51" s="23">
        <v>18.0</v>
      </c>
      <c r="D51" s="4">
        <v>2.058617</v>
      </c>
      <c r="E51" s="23">
        <f t="shared" si="1"/>
        <v>287.0258867</v>
      </c>
      <c r="F51" s="4">
        <v>-0.21814</v>
      </c>
      <c r="G51" s="23">
        <v>18.0</v>
      </c>
      <c r="H51" s="4">
        <v>2.3288</v>
      </c>
      <c r="I51" s="4">
        <v>-0.12266</v>
      </c>
      <c r="J51" s="23">
        <f t="shared" si="2"/>
        <v>0.275998</v>
      </c>
      <c r="K51" s="24"/>
    </row>
    <row r="52" ht="15.75" customHeight="1">
      <c r="A52" s="22"/>
      <c r="B52" s="4">
        <v>0.271448</v>
      </c>
      <c r="C52" s="23">
        <v>18.5</v>
      </c>
      <c r="D52" s="4">
        <v>2.085981</v>
      </c>
      <c r="E52" s="23">
        <f t="shared" si="1"/>
        <v>290.8411551</v>
      </c>
      <c r="F52" s="4">
        <v>-0.21503999999999998</v>
      </c>
      <c r="G52" s="23">
        <v>18.5</v>
      </c>
      <c r="H52" s="4">
        <v>2.2857</v>
      </c>
      <c r="I52" s="4">
        <v>-0.120474</v>
      </c>
      <c r="J52" s="23">
        <f t="shared" si="2"/>
        <v>0.283188</v>
      </c>
      <c r="K52" s="24"/>
    </row>
    <row r="53" ht="15.75" customHeight="1">
      <c r="A53" s="22"/>
      <c r="B53" s="4">
        <v>0.278646</v>
      </c>
      <c r="C53" s="23">
        <v>19.0</v>
      </c>
      <c r="D53" s="4">
        <v>2.113021</v>
      </c>
      <c r="E53" s="23">
        <f t="shared" si="1"/>
        <v>294.6112492</v>
      </c>
      <c r="F53" s="4">
        <v>-0.21192</v>
      </c>
      <c r="G53" s="23">
        <v>19.0</v>
      </c>
      <c r="H53" s="4">
        <v>2.2026</v>
      </c>
      <c r="I53" s="4">
        <v>-0.118308</v>
      </c>
      <c r="J53" s="23">
        <f t="shared" si="2"/>
        <v>0.290386</v>
      </c>
      <c r="K53" s="24"/>
    </row>
    <row r="54" ht="15.75" customHeight="1">
      <c r="A54" s="22"/>
      <c r="B54" s="4">
        <v>0.285847</v>
      </c>
      <c r="C54" s="23">
        <v>19.5</v>
      </c>
      <c r="D54" s="4">
        <v>2.139734</v>
      </c>
      <c r="E54" s="23">
        <f t="shared" si="1"/>
        <v>298.3357509</v>
      </c>
      <c r="F54" s="4">
        <v>-0.20879999999999999</v>
      </c>
      <c r="G54" s="23">
        <v>19.5</v>
      </c>
      <c r="H54" s="4">
        <v>1.8541</v>
      </c>
      <c r="I54" s="4">
        <v>-0.116163</v>
      </c>
      <c r="J54" s="23">
        <f t="shared" si="2"/>
        <v>0.297587</v>
      </c>
      <c r="K54" s="24"/>
    </row>
    <row r="55" ht="15.75" customHeight="1">
      <c r="A55" s="22"/>
      <c r="B55" s="4">
        <v>0.293047</v>
      </c>
      <c r="C55" s="23">
        <v>20.0</v>
      </c>
      <c r="D55" s="4">
        <v>2.166118</v>
      </c>
      <c r="E55" s="23">
        <f t="shared" si="1"/>
        <v>302.0143813</v>
      </c>
      <c r="F55" s="4">
        <v>-0.20567</v>
      </c>
      <c r="G55" s="23">
        <v>20.0</v>
      </c>
      <c r="H55" s="4">
        <v>1.8576</v>
      </c>
      <c r="I55" s="4">
        <v>-0.11404</v>
      </c>
      <c r="J55" s="23">
        <f t="shared" si="2"/>
        <v>0.304787</v>
      </c>
      <c r="K55" s="24"/>
    </row>
    <row r="56" ht="15.75" customHeight="1">
      <c r="A56" s="36" t="s">
        <v>84</v>
      </c>
      <c r="B56" s="11"/>
      <c r="C56" s="11"/>
      <c r="D56" s="11"/>
      <c r="E56" s="12"/>
      <c r="F56" s="37" t="s">
        <v>85</v>
      </c>
      <c r="G56" s="2"/>
      <c r="H56" s="2"/>
      <c r="I56" s="3"/>
      <c r="J56" s="38"/>
      <c r="M56" s="29" t="s">
        <v>86</v>
      </c>
      <c r="N56" s="29" t="s">
        <v>87</v>
      </c>
    </row>
    <row r="57" ht="15.75" customHeight="1">
      <c r="A57" s="16" t="s">
        <v>32</v>
      </c>
      <c r="B57" s="16" t="s">
        <v>33</v>
      </c>
      <c r="C57" s="16" t="s">
        <v>34</v>
      </c>
      <c r="D57" s="16" t="s">
        <v>35</v>
      </c>
      <c r="E57" s="16" t="s">
        <v>8</v>
      </c>
      <c r="F57" s="39" t="s">
        <v>33</v>
      </c>
      <c r="G57" s="40" t="s">
        <v>34</v>
      </c>
      <c r="H57" s="40" t="s">
        <v>8</v>
      </c>
      <c r="I57" s="40" t="s">
        <v>88</v>
      </c>
      <c r="J57" s="40" t="s">
        <v>89</v>
      </c>
      <c r="L57" s="14" t="s">
        <v>90</v>
      </c>
      <c r="M57" s="14" t="s">
        <v>91</v>
      </c>
      <c r="N57" s="14" t="s">
        <v>92</v>
      </c>
      <c r="O57" s="14" t="s">
        <v>93</v>
      </c>
      <c r="P57" s="14" t="s">
        <v>94</v>
      </c>
      <c r="Q57" s="14" t="s">
        <v>62</v>
      </c>
      <c r="S57" s="37" t="s">
        <v>95</v>
      </c>
      <c r="T57" s="3"/>
      <c r="V57" s="41" t="s">
        <v>5</v>
      </c>
      <c r="W57" s="41" t="s">
        <v>96</v>
      </c>
    </row>
    <row r="58" ht="15.75" customHeight="1">
      <c r="A58" s="4">
        <v>0.041904</v>
      </c>
      <c r="B58" s="4">
        <v>-5.0</v>
      </c>
      <c r="C58" s="4">
        <v>-0.729325</v>
      </c>
      <c r="D58" s="23">
        <f t="shared" ref="D58:D108" si="3">0.5*$R$4*$T$4*$T$4*$O$64*C58</f>
        <v>-16.60200422</v>
      </c>
      <c r="E58" s="4">
        <v>0.091366</v>
      </c>
      <c r="F58" s="23">
        <v>-5.0</v>
      </c>
      <c r="G58" s="23">
        <v>-1.1894</v>
      </c>
      <c r="H58" s="23">
        <v>0.1399</v>
      </c>
      <c r="I58" s="23">
        <v>0.01275</v>
      </c>
      <c r="J58" s="20">
        <f t="shared" ref="J58:J108" si="4">A58+$Q$62</f>
        <v>0.04836318427</v>
      </c>
      <c r="L58" s="20">
        <f>D15</f>
        <v>0.891394</v>
      </c>
      <c r="M58" s="27">
        <f>B15+Q60</f>
        <v>0.060356</v>
      </c>
      <c r="N58" s="4">
        <f>R23</f>
        <v>-0.408531</v>
      </c>
      <c r="O58" s="27">
        <f>A68+Q62</f>
        <v>0.02031918427</v>
      </c>
      <c r="P58" s="26">
        <f>L64</f>
        <v>0.0079</v>
      </c>
      <c r="Q58" s="26">
        <f>1/(PI()*P7*M60)</f>
        <v>0.07139804481</v>
      </c>
      <c r="S58" s="14" t="s">
        <v>97</v>
      </c>
      <c r="T58" s="4">
        <v>0.15</v>
      </c>
      <c r="V58" s="19">
        <v>0.7603</v>
      </c>
      <c r="W58" s="42">
        <f t="shared" ref="W58:W108" si="5">$Q$64+($Q$58*V58*V58)</f>
        <v>0.07259109575</v>
      </c>
    </row>
    <row r="59" ht="15.75" customHeight="1">
      <c r="A59" s="4">
        <v>0.038433</v>
      </c>
      <c r="B59" s="4">
        <v>-4.5</v>
      </c>
      <c r="C59" s="4">
        <v>-0.697731</v>
      </c>
      <c r="D59" s="23">
        <f t="shared" si="3"/>
        <v>-15.88281357</v>
      </c>
      <c r="E59" s="4">
        <v>0.094421</v>
      </c>
      <c r="F59" s="23">
        <v>-4.5</v>
      </c>
      <c r="G59" s="23">
        <v>-1.1386</v>
      </c>
      <c r="H59" s="23">
        <v>0.1407</v>
      </c>
      <c r="I59" s="23">
        <v>0.0122</v>
      </c>
      <c r="J59" s="20">
        <f t="shared" si="4"/>
        <v>0.04489218427</v>
      </c>
      <c r="L59" s="14" t="s">
        <v>98</v>
      </c>
      <c r="M59" s="14" t="s">
        <v>38</v>
      </c>
      <c r="N59" s="14" t="s">
        <v>99</v>
      </c>
      <c r="O59" s="14" t="s">
        <v>64</v>
      </c>
      <c r="P59" s="14" t="s">
        <v>100</v>
      </c>
      <c r="Q59" s="14" t="s">
        <v>101</v>
      </c>
      <c r="S59" s="14" t="s">
        <v>39</v>
      </c>
      <c r="T59" s="4">
        <v>0.15</v>
      </c>
      <c r="V59" s="19">
        <v>0.7928499999999999</v>
      </c>
      <c r="W59" s="42">
        <f t="shared" si="5"/>
        <v>0.07620062622</v>
      </c>
    </row>
    <row r="60" ht="15.75" customHeight="1">
      <c r="A60" s="4">
        <v>0.035105</v>
      </c>
      <c r="B60" s="4">
        <v>-4.0</v>
      </c>
      <c r="C60" s="4">
        <v>-0.666012</v>
      </c>
      <c r="D60" s="23">
        <f t="shared" si="3"/>
        <v>-15.16077748</v>
      </c>
      <c r="E60" s="4">
        <v>0.097484</v>
      </c>
      <c r="F60" s="23">
        <v>-4.0</v>
      </c>
      <c r="G60" s="23">
        <v>-1.0902</v>
      </c>
      <c r="H60" s="23">
        <v>0.1421</v>
      </c>
      <c r="I60" s="23">
        <v>0.01179</v>
      </c>
      <c r="J60" s="20">
        <f t="shared" si="4"/>
        <v>0.04156418427</v>
      </c>
      <c r="L60" s="26">
        <f>1/(PI()*P60*N60)</f>
        <v>0.1135529149</v>
      </c>
      <c r="M60" s="25">
        <f>M7</f>
        <v>4.93877551</v>
      </c>
      <c r="N60" s="25">
        <f>M20</f>
        <v>4</v>
      </c>
      <c r="O60" s="20">
        <f>0.75*P7</f>
        <v>0.6770266833</v>
      </c>
      <c r="P60" s="20">
        <f>(1.78*(1-0.045*(M20^0.68))-0.64)*0.75</f>
        <v>0.7007963784</v>
      </c>
      <c r="Q60" s="43">
        <v>0.01174</v>
      </c>
      <c r="S60" s="14" t="s">
        <v>102</v>
      </c>
      <c r="T60" s="4">
        <v>1.11132</v>
      </c>
      <c r="V60" s="19">
        <v>0.82563</v>
      </c>
      <c r="W60" s="42">
        <f t="shared" si="5"/>
        <v>0.07998856198</v>
      </c>
    </row>
    <row r="61" ht="15.75" customHeight="1">
      <c r="A61" s="4">
        <v>0.031922</v>
      </c>
      <c r="B61" s="4">
        <v>-3.5</v>
      </c>
      <c r="C61" s="4">
        <v>-0.634175</v>
      </c>
      <c r="D61" s="23">
        <f t="shared" si="3"/>
        <v>-14.4360553</v>
      </c>
      <c r="E61" s="4">
        <v>0.100553</v>
      </c>
      <c r="F61" s="23">
        <v>-3.5</v>
      </c>
      <c r="G61" s="23">
        <v>-1.038</v>
      </c>
      <c r="H61" s="23">
        <v>0.1428</v>
      </c>
      <c r="I61" s="23">
        <v>0.01128</v>
      </c>
      <c r="J61" s="20">
        <f t="shared" si="4"/>
        <v>0.03838118427</v>
      </c>
      <c r="L61" s="14" t="s">
        <v>58</v>
      </c>
      <c r="M61" s="14" t="s">
        <v>103</v>
      </c>
      <c r="N61" s="14" t="s">
        <v>104</v>
      </c>
      <c r="O61" s="14" t="s">
        <v>105</v>
      </c>
      <c r="P61" s="14" t="s">
        <v>106</v>
      </c>
      <c r="Q61" s="14" t="s">
        <v>107</v>
      </c>
      <c r="S61" s="14" t="s">
        <v>108</v>
      </c>
      <c r="T61" s="4">
        <v>1.82E-5</v>
      </c>
      <c r="V61" s="19">
        <v>0.8586199999999999</v>
      </c>
      <c r="W61" s="42">
        <f t="shared" si="5"/>
        <v>0.08395568064</v>
      </c>
    </row>
    <row r="62" ht="15.75" customHeight="1">
      <c r="A62" s="4">
        <v>0.028886</v>
      </c>
      <c r="B62" s="4">
        <v>-3.0</v>
      </c>
      <c r="C62" s="4">
        <v>-0.602225</v>
      </c>
      <c r="D62" s="23">
        <f t="shared" si="3"/>
        <v>-13.70876083</v>
      </c>
      <c r="E62" s="4">
        <v>0.103629</v>
      </c>
      <c r="F62" s="23">
        <v>-3.0</v>
      </c>
      <c r="G62" s="23">
        <v>-0.9871</v>
      </c>
      <c r="H62" s="23">
        <v>0.1437</v>
      </c>
      <c r="I62" s="23">
        <v>0.01083</v>
      </c>
      <c r="J62" s="20">
        <f t="shared" si="4"/>
        <v>0.03534518427</v>
      </c>
      <c r="L62" s="26">
        <f>O13</f>
        <v>2.15</v>
      </c>
      <c r="M62" s="23">
        <f>Q7+Q13</f>
        <v>0.98</v>
      </c>
      <c r="N62" s="26">
        <f>1.328/(SQRT(M4))</f>
        <v>0.002034666691</v>
      </c>
      <c r="O62" s="26">
        <f>1.328/(SQRT(N17))</f>
        <v>0.003004271755</v>
      </c>
      <c r="P62" s="26">
        <f>1.328/(SQRT(T63))</f>
        <v>0.003469034213</v>
      </c>
      <c r="Q62" s="27">
        <f>O62*(V17/(Q20))</f>
        <v>0.006459184273</v>
      </c>
      <c r="S62" s="14" t="s">
        <v>109</v>
      </c>
      <c r="T62" s="4">
        <v>16.0</v>
      </c>
      <c r="V62" s="19">
        <v>0.89182</v>
      </c>
      <c r="W62" s="42">
        <f t="shared" si="5"/>
        <v>0.08810495003</v>
      </c>
    </row>
    <row r="63" ht="15.75" customHeight="1">
      <c r="A63" s="4">
        <v>0.026</v>
      </c>
      <c r="B63" s="4">
        <v>-2.5</v>
      </c>
      <c r="C63" s="4">
        <v>-0.57017</v>
      </c>
      <c r="D63" s="23">
        <f t="shared" si="3"/>
        <v>-12.9790762</v>
      </c>
      <c r="E63" s="4">
        <v>0.106709</v>
      </c>
      <c r="F63" s="23">
        <v>-2.5</v>
      </c>
      <c r="G63" s="23">
        <v>-0.9367</v>
      </c>
      <c r="H63" s="23">
        <v>0.1448</v>
      </c>
      <c r="I63" s="23">
        <v>0.01042</v>
      </c>
      <c r="J63" s="20">
        <f t="shared" si="4"/>
        <v>0.03245918427</v>
      </c>
      <c r="L63" s="14" t="s">
        <v>110</v>
      </c>
      <c r="M63" s="14" t="s">
        <v>67</v>
      </c>
      <c r="N63" s="14" t="s">
        <v>111</v>
      </c>
      <c r="O63" s="14" t="s">
        <v>112</v>
      </c>
      <c r="P63" s="14" t="s">
        <v>113</v>
      </c>
      <c r="Q63" s="14" t="s">
        <v>114</v>
      </c>
      <c r="S63" s="14" t="s">
        <v>22</v>
      </c>
      <c r="T63" s="4">
        <f>(T60*T62*T58)/T61</f>
        <v>146547.6923</v>
      </c>
      <c r="V63" s="19">
        <v>0.9252199999999999</v>
      </c>
      <c r="W63" s="42">
        <f t="shared" si="5"/>
        <v>0.09243803568</v>
      </c>
    </row>
    <row r="64" ht="15.75" customHeight="1">
      <c r="A64" s="4">
        <v>0.023264</v>
      </c>
      <c r="B64" s="4">
        <v>-2.0</v>
      </c>
      <c r="C64" s="4">
        <v>-0.538015</v>
      </c>
      <c r="D64" s="23">
        <f t="shared" si="3"/>
        <v>-12.24711521</v>
      </c>
      <c r="E64" s="4">
        <v>0.109792</v>
      </c>
      <c r="F64" s="23">
        <v>-2.0</v>
      </c>
      <c r="G64" s="23">
        <v>-0.8863</v>
      </c>
      <c r="H64" s="23">
        <v>0.146</v>
      </c>
      <c r="I64" s="23">
        <v>0.01005</v>
      </c>
      <c r="J64" s="20">
        <f t="shared" si="4"/>
        <v>0.02972318427</v>
      </c>
      <c r="L64" s="26">
        <f>0.0079</f>
        <v>0.0079</v>
      </c>
      <c r="M64" s="23">
        <f>V17</f>
        <v>0.344</v>
      </c>
      <c r="N64" s="20">
        <f>T65</f>
        <v>0.0967</v>
      </c>
      <c r="O64" s="20">
        <f>Q20</f>
        <v>0.16</v>
      </c>
      <c r="P64" s="20">
        <f>T64</f>
        <v>0.045</v>
      </c>
      <c r="Q64" s="27">
        <f>(Q60+Q62+L64)*1.2</f>
        <v>0.03131902113</v>
      </c>
      <c r="S64" s="14" t="s">
        <v>115</v>
      </c>
      <c r="T64" s="4">
        <v>0.045</v>
      </c>
      <c r="V64" s="19">
        <v>0.9588</v>
      </c>
      <c r="W64" s="42">
        <f t="shared" si="5"/>
        <v>0.09695506095</v>
      </c>
    </row>
    <row r="65" ht="15.75" customHeight="1">
      <c r="A65" s="4">
        <v>0.020681</v>
      </c>
      <c r="B65" s="4">
        <v>-1.5</v>
      </c>
      <c r="C65" s="4">
        <v>-0.505767</v>
      </c>
      <c r="D65" s="23">
        <f t="shared" si="3"/>
        <v>-11.51303722</v>
      </c>
      <c r="E65" s="4">
        <v>0.112879</v>
      </c>
      <c r="F65" s="23">
        <v>-1.5</v>
      </c>
      <c r="G65" s="23">
        <v>-0.8354</v>
      </c>
      <c r="H65" s="23">
        <v>0.1471</v>
      </c>
      <c r="I65" s="23">
        <v>0.00972</v>
      </c>
      <c r="J65" s="20">
        <f t="shared" si="4"/>
        <v>0.02714018427</v>
      </c>
      <c r="L65" s="14" t="s">
        <v>116</v>
      </c>
      <c r="M65" s="14" t="s">
        <v>117</v>
      </c>
      <c r="N65" s="14" t="s">
        <v>118</v>
      </c>
      <c r="O65" s="14" t="s">
        <v>119</v>
      </c>
      <c r="P65" s="14" t="s">
        <v>120</v>
      </c>
      <c r="Q65" s="14" t="s">
        <v>121</v>
      </c>
      <c r="S65" s="14" t="s">
        <v>111</v>
      </c>
      <c r="T65" s="22">
        <v>0.0967</v>
      </c>
      <c r="V65" s="19">
        <v>0.9925499999999999</v>
      </c>
      <c r="W65" s="42">
        <f t="shared" si="5"/>
        <v>0.1016571978</v>
      </c>
    </row>
    <row r="66" ht="15.75" customHeight="1">
      <c r="A66" s="4">
        <v>0.018252</v>
      </c>
      <c r="B66" s="4">
        <v>-1.0</v>
      </c>
      <c r="C66" s="4">
        <v>-0.473433</v>
      </c>
      <c r="D66" s="23">
        <f t="shared" si="3"/>
        <v>-10.77700156</v>
      </c>
      <c r="E66" s="4">
        <v>0.115967</v>
      </c>
      <c r="F66" s="23">
        <v>-1.0</v>
      </c>
      <c r="G66" s="23">
        <v>-0.7839</v>
      </c>
      <c r="H66" s="23">
        <v>0.1483</v>
      </c>
      <c r="I66" s="23">
        <v>0.00944</v>
      </c>
      <c r="J66" s="20">
        <f t="shared" si="4"/>
        <v>0.02471118427</v>
      </c>
      <c r="L66" s="22">
        <f>R7</f>
        <v>4.900768651</v>
      </c>
      <c r="M66" s="25">
        <f>D36</f>
        <v>1.611519</v>
      </c>
      <c r="N66" s="42">
        <f>B36+Q60</f>
        <v>0.172366</v>
      </c>
      <c r="O66" s="26">
        <f>S20</f>
        <v>4.66300627</v>
      </c>
      <c r="P66" s="27">
        <f>C94</f>
        <v>0.439921</v>
      </c>
      <c r="Q66" s="27">
        <f>A89+Q62</f>
        <v>0.01297918427</v>
      </c>
      <c r="S66" s="44" t="s">
        <v>122</v>
      </c>
      <c r="T66" s="45">
        <f>(P20*T64)/(N7*M62)</f>
        <v>0.02504638219</v>
      </c>
      <c r="V66" s="19">
        <v>1.02646</v>
      </c>
      <c r="W66" s="42">
        <f t="shared" si="5"/>
        <v>0.1065454385</v>
      </c>
    </row>
    <row r="67" ht="15.75" customHeight="1">
      <c r="A67" s="4">
        <v>0.015978</v>
      </c>
      <c r="B67" s="4">
        <v>-0.5</v>
      </c>
      <c r="C67" s="4">
        <v>-0.441019</v>
      </c>
      <c r="D67" s="23">
        <f t="shared" si="3"/>
        <v>-10.03914483</v>
      </c>
      <c r="E67" s="4">
        <v>0.119057</v>
      </c>
      <c r="F67" s="23">
        <v>-0.5</v>
      </c>
      <c r="G67" s="23">
        <v>-0.7315</v>
      </c>
      <c r="H67" s="23">
        <v>0.1493</v>
      </c>
      <c r="I67" s="23">
        <v>0.00921</v>
      </c>
      <c r="J67" s="20">
        <f t="shared" si="4"/>
        <v>0.02243718427</v>
      </c>
      <c r="S67" s="14" t="s">
        <v>43</v>
      </c>
      <c r="T67" s="22">
        <f>SLOPE(C111:C161,B111:B161)*(180/PI())</f>
        <v>2.850167756</v>
      </c>
      <c r="V67" s="19">
        <v>1.0605099999999998</v>
      </c>
      <c r="W67" s="42">
        <f t="shared" si="5"/>
        <v>0.1116190784</v>
      </c>
    </row>
    <row r="68" ht="15.75" customHeight="1">
      <c r="A68" s="4">
        <v>0.01386</v>
      </c>
      <c r="B68" s="4">
        <v>0.0</v>
      </c>
      <c r="C68" s="4">
        <v>-0.408531</v>
      </c>
      <c r="D68" s="23">
        <f t="shared" si="3"/>
        <v>-9.299603589</v>
      </c>
      <c r="E68" s="4">
        <v>0.122146</v>
      </c>
      <c r="F68" s="23">
        <v>0.0</v>
      </c>
      <c r="G68" s="23">
        <v>-0.6713</v>
      </c>
      <c r="H68" s="23">
        <v>0.1486</v>
      </c>
      <c r="I68" s="23">
        <v>0.01066</v>
      </c>
      <c r="J68" s="20">
        <f t="shared" si="4"/>
        <v>0.02031918427</v>
      </c>
      <c r="L68" s="1" t="s">
        <v>123</v>
      </c>
      <c r="M68" s="3"/>
      <c r="S68" s="14" t="s">
        <v>38</v>
      </c>
      <c r="T68" s="22">
        <f>T59^2/T69</f>
        <v>1</v>
      </c>
      <c r="V68" s="19">
        <v>1.0947099999999998</v>
      </c>
      <c r="W68" s="42">
        <f t="shared" si="5"/>
        <v>0.1168817229</v>
      </c>
    </row>
    <row r="69" ht="15.75" customHeight="1">
      <c r="A69" s="4">
        <v>0.011901</v>
      </c>
      <c r="B69" s="4">
        <v>0.5</v>
      </c>
      <c r="C69" s="4">
        <v>-0.375977</v>
      </c>
      <c r="D69" s="23">
        <f t="shared" si="3"/>
        <v>-8.558559959</v>
      </c>
      <c r="E69" s="4">
        <v>0.125234</v>
      </c>
      <c r="F69" s="23">
        <v>0.5</v>
      </c>
      <c r="G69" s="23">
        <v>-0.6189</v>
      </c>
      <c r="H69" s="23">
        <v>0.1495</v>
      </c>
      <c r="I69" s="23">
        <v>0.01103</v>
      </c>
      <c r="J69" s="20">
        <f t="shared" si="4"/>
        <v>0.01836018427</v>
      </c>
      <c r="L69" s="46" t="s">
        <v>124</v>
      </c>
      <c r="M69" s="3"/>
      <c r="S69" s="14" t="s">
        <v>113</v>
      </c>
      <c r="T69" s="22">
        <f>T59*T58</f>
        <v>0.0225</v>
      </c>
      <c r="V69" s="19">
        <v>1.12902</v>
      </c>
      <c r="W69" s="42">
        <f t="shared" si="5"/>
        <v>0.1223291207</v>
      </c>
    </row>
    <row r="70" ht="15.75" customHeight="1">
      <c r="A70" s="4">
        <v>0.0101</v>
      </c>
      <c r="B70" s="4">
        <v>1.0</v>
      </c>
      <c r="C70" s="4">
        <v>-0.343363</v>
      </c>
      <c r="D70" s="23">
        <f t="shared" si="3"/>
        <v>-7.816150518</v>
      </c>
      <c r="E70" s="4">
        <v>0.128321</v>
      </c>
      <c r="F70" s="23">
        <v>1.0</v>
      </c>
      <c r="G70" s="23">
        <v>-0.5657</v>
      </c>
      <c r="H70" s="23">
        <v>0.1503</v>
      </c>
      <c r="I70" s="23">
        <v>0.0114</v>
      </c>
      <c r="J70" s="20">
        <f t="shared" si="4"/>
        <v>0.01655918427</v>
      </c>
      <c r="L70" s="1" t="s">
        <v>125</v>
      </c>
      <c r="M70" s="3"/>
      <c r="V70" s="19">
        <v>1.1634499999999999</v>
      </c>
      <c r="W70" s="42">
        <f t="shared" si="5"/>
        <v>0.12796455</v>
      </c>
    </row>
    <row r="71" ht="15.75" customHeight="1">
      <c r="A71" s="4">
        <v>0.008459</v>
      </c>
      <c r="B71" s="4">
        <v>1.5</v>
      </c>
      <c r="C71" s="4">
        <v>-0.310695</v>
      </c>
      <c r="D71" s="23">
        <f t="shared" si="3"/>
        <v>-7.072511846</v>
      </c>
      <c r="E71" s="4">
        <v>0.131405</v>
      </c>
      <c r="F71" s="23">
        <v>1.5</v>
      </c>
      <c r="G71" s="23">
        <v>-0.5063</v>
      </c>
      <c r="H71" s="23">
        <v>0.15</v>
      </c>
      <c r="I71" s="23">
        <v>0.01199</v>
      </c>
      <c r="J71" s="20">
        <f t="shared" si="4"/>
        <v>0.01491818427</v>
      </c>
      <c r="L71" s="47">
        <f>Q64+Q58*L58*L58</f>
        <v>0.08805071256</v>
      </c>
      <c r="M71" s="3"/>
      <c r="V71" s="19">
        <v>1.19798</v>
      </c>
      <c r="W71" s="42">
        <f t="shared" si="5"/>
        <v>0.1337863593</v>
      </c>
    </row>
    <row r="72" ht="15.75" customHeight="1">
      <c r="A72" s="4">
        <v>0.006978</v>
      </c>
      <c r="B72" s="4">
        <v>2.0</v>
      </c>
      <c r="C72" s="4">
        <v>-0.277981</v>
      </c>
      <c r="D72" s="23">
        <f t="shared" si="3"/>
        <v>-6.327826053</v>
      </c>
      <c r="E72" s="4">
        <v>0.134485</v>
      </c>
      <c r="F72" s="23">
        <v>2.0</v>
      </c>
      <c r="G72" s="23">
        <v>-0.4479</v>
      </c>
      <c r="H72" s="23">
        <v>0.1499</v>
      </c>
      <c r="I72" s="23">
        <v>0.01265</v>
      </c>
      <c r="J72" s="20">
        <f t="shared" si="4"/>
        <v>0.01343718427</v>
      </c>
      <c r="V72" s="19">
        <v>1.2326</v>
      </c>
      <c r="W72" s="42">
        <f t="shared" si="5"/>
        <v>0.1397942677</v>
      </c>
    </row>
    <row r="73" ht="15.0" customHeight="1">
      <c r="A73" s="4">
        <v>0.005659</v>
      </c>
      <c r="B73" s="4">
        <v>2.5</v>
      </c>
      <c r="C73" s="4">
        <v>-0.245227</v>
      </c>
      <c r="D73" s="23">
        <f t="shared" si="3"/>
        <v>-5.582229719</v>
      </c>
      <c r="E73" s="4">
        <v>0.13756</v>
      </c>
      <c r="F73" s="23">
        <v>2.5</v>
      </c>
      <c r="G73" s="23">
        <v>-0.3943</v>
      </c>
      <c r="H73" s="23">
        <v>0.1507</v>
      </c>
      <c r="I73" s="23">
        <v>0.01412</v>
      </c>
      <c r="J73" s="20">
        <f t="shared" si="4"/>
        <v>0.01211818427</v>
      </c>
      <c r="R73" s="48" t="s">
        <v>126</v>
      </c>
      <c r="S73" s="49"/>
      <c r="V73" s="19">
        <v>1.26729</v>
      </c>
      <c r="W73" s="42">
        <f t="shared" si="5"/>
        <v>0.1459859907</v>
      </c>
    </row>
    <row r="74" ht="15.75" customHeight="1">
      <c r="A74" s="4">
        <v>0.004501</v>
      </c>
      <c r="B74" s="4">
        <v>3.0</v>
      </c>
      <c r="C74" s="4">
        <v>-0.21244</v>
      </c>
      <c r="D74" s="23">
        <f t="shared" si="3"/>
        <v>-4.835882189</v>
      </c>
      <c r="E74" s="4">
        <v>0.14063</v>
      </c>
      <c r="F74" s="23">
        <v>3.0</v>
      </c>
      <c r="G74" s="23">
        <v>-0.3276</v>
      </c>
      <c r="H74" s="23">
        <v>0.1493</v>
      </c>
      <c r="I74" s="23">
        <v>0.01577</v>
      </c>
      <c r="J74" s="20">
        <f t="shared" si="4"/>
        <v>0.01096018427</v>
      </c>
      <c r="R74" s="50"/>
      <c r="S74" s="51"/>
      <c r="V74" s="19">
        <v>1.3020399999999999</v>
      </c>
      <c r="W74" s="42">
        <f t="shared" si="5"/>
        <v>0.1523607092</v>
      </c>
    </row>
    <row r="75" ht="15.75" customHeight="1">
      <c r="A75" s="4">
        <v>0.003505</v>
      </c>
      <c r="B75" s="4">
        <v>3.5</v>
      </c>
      <c r="C75" s="4">
        <v>-0.179626</v>
      </c>
      <c r="D75" s="23">
        <f t="shared" si="3"/>
        <v>-4.088920044</v>
      </c>
      <c r="E75" s="4">
        <v>0.143693</v>
      </c>
      <c r="F75" s="23">
        <v>3.5</v>
      </c>
      <c r="G75" s="23">
        <v>-0.272</v>
      </c>
      <c r="H75" s="23">
        <v>0.1497</v>
      </c>
      <c r="I75" s="23">
        <v>0.01841</v>
      </c>
      <c r="J75" s="20">
        <f t="shared" si="4"/>
        <v>0.009964184273</v>
      </c>
      <c r="L75" s="52"/>
      <c r="R75" s="53">
        <f>SLOPE(D58:D108,B58:B108)</f>
        <v>1.472195112</v>
      </c>
      <c r="S75" s="3"/>
      <c r="V75" s="19">
        <v>1.33684</v>
      </c>
      <c r="W75" s="42">
        <f t="shared" si="5"/>
        <v>0.1589174076</v>
      </c>
    </row>
    <row r="76" ht="15.75" customHeight="1">
      <c r="A76" s="4">
        <v>0.002672</v>
      </c>
      <c r="B76" s="4">
        <v>4.0</v>
      </c>
      <c r="C76" s="4">
        <v>-0.146792</v>
      </c>
      <c r="D76" s="23">
        <f t="shared" si="3"/>
        <v>-3.341502628</v>
      </c>
      <c r="E76" s="4">
        <v>0.146749</v>
      </c>
      <c r="F76" s="23">
        <v>4.0</v>
      </c>
      <c r="G76" s="23">
        <v>-0.2011</v>
      </c>
      <c r="H76" s="23">
        <v>0.1462</v>
      </c>
      <c r="I76" s="23">
        <v>0.02166</v>
      </c>
      <c r="J76" s="20">
        <f t="shared" si="4"/>
        <v>0.009131184273</v>
      </c>
      <c r="L76" s="52"/>
      <c r="R76" s="7">
        <f>R75*(180/PI())</f>
        <v>84.35056653</v>
      </c>
      <c r="V76" s="19">
        <v>1.37168</v>
      </c>
      <c r="W76" s="42">
        <f t="shared" si="5"/>
        <v>0.1656548724</v>
      </c>
    </row>
    <row r="77" ht="15.75" customHeight="1">
      <c r="A77" s="4">
        <v>0.002001</v>
      </c>
      <c r="B77" s="4">
        <v>4.5</v>
      </c>
      <c r="C77" s="4">
        <v>-0.113946</v>
      </c>
      <c r="D77" s="23">
        <f t="shared" si="3"/>
        <v>-2.59381205</v>
      </c>
      <c r="E77" s="4">
        <v>0.149796</v>
      </c>
      <c r="F77" s="23">
        <v>4.5</v>
      </c>
      <c r="G77" s="23">
        <v>-0.1546</v>
      </c>
      <c r="H77" s="23">
        <v>0.1071</v>
      </c>
      <c r="I77" s="23">
        <v>0.00272</v>
      </c>
      <c r="J77" s="20">
        <f t="shared" si="4"/>
        <v>0.008460184273</v>
      </c>
      <c r="L77" s="52"/>
      <c r="V77" s="19">
        <v>1.40654</v>
      </c>
      <c r="W77" s="42">
        <f t="shared" si="5"/>
        <v>0.1725696838</v>
      </c>
    </row>
    <row r="78" ht="15.0" customHeight="1">
      <c r="A78" s="4">
        <v>0.001493</v>
      </c>
      <c r="B78" s="4">
        <v>5.0</v>
      </c>
      <c r="C78" s="4">
        <v>-0.081093</v>
      </c>
      <c r="D78" s="23">
        <f t="shared" si="3"/>
        <v>-1.845962127</v>
      </c>
      <c r="E78" s="4">
        <v>0.152834</v>
      </c>
      <c r="F78" s="23">
        <v>5.0</v>
      </c>
      <c r="G78" s="23">
        <v>-0.13</v>
      </c>
      <c r="H78" s="23">
        <v>0.1035</v>
      </c>
      <c r="I78" s="23">
        <v>0.00513</v>
      </c>
      <c r="J78" s="20">
        <f t="shared" si="4"/>
        <v>0.007952184273</v>
      </c>
      <c r="L78" s="52"/>
      <c r="V78" s="19">
        <v>1.4414099999999999</v>
      </c>
      <c r="W78" s="42">
        <f t="shared" si="5"/>
        <v>0.179660082</v>
      </c>
    </row>
    <row r="79" ht="15.75" customHeight="1">
      <c r="A79" s="4">
        <v>0.001147</v>
      </c>
      <c r="B79" s="4">
        <v>5.5</v>
      </c>
      <c r="C79" s="4">
        <v>-0.048241</v>
      </c>
      <c r="D79" s="23">
        <f t="shared" si="3"/>
        <v>-1.098134968</v>
      </c>
      <c r="E79" s="4">
        <v>0.155862</v>
      </c>
      <c r="F79" s="23">
        <v>5.5</v>
      </c>
      <c r="G79" s="23">
        <v>-0.1136</v>
      </c>
      <c r="H79" s="23">
        <v>0.1041</v>
      </c>
      <c r="I79" s="23">
        <v>0.00746</v>
      </c>
      <c r="J79" s="20">
        <f t="shared" si="4"/>
        <v>0.007606184273</v>
      </c>
      <c r="V79" s="19">
        <v>1.47628</v>
      </c>
      <c r="W79" s="42">
        <f t="shared" si="5"/>
        <v>0.1869241084</v>
      </c>
    </row>
    <row r="80" ht="15.75" customHeight="1">
      <c r="A80" s="4">
        <v>9.63E-4</v>
      </c>
      <c r="B80" s="4">
        <v>6.0</v>
      </c>
      <c r="C80" s="4">
        <v>-0.015396</v>
      </c>
      <c r="D80" s="23">
        <f t="shared" si="3"/>
        <v>-0.3504671539</v>
      </c>
      <c r="E80" s="4">
        <v>0.158878</v>
      </c>
      <c r="F80" s="23">
        <v>6.0</v>
      </c>
      <c r="G80" s="23">
        <v>-0.113</v>
      </c>
      <c r="H80" s="23">
        <v>0.1045</v>
      </c>
      <c r="I80" s="23">
        <v>0.01313</v>
      </c>
      <c r="J80" s="20">
        <f t="shared" si="4"/>
        <v>0.007422184273</v>
      </c>
      <c r="V80" s="19">
        <v>1.51112</v>
      </c>
      <c r="W80" s="42">
        <f t="shared" si="5"/>
        <v>0.1943552894</v>
      </c>
    </row>
    <row r="81" ht="15.0" customHeight="1">
      <c r="A81" s="4">
        <v>9.42E-4</v>
      </c>
      <c r="B81" s="4">
        <v>6.5</v>
      </c>
      <c r="C81" s="4">
        <v>0.017435</v>
      </c>
      <c r="D81" s="23">
        <f t="shared" si="3"/>
        <v>0.3968819712</v>
      </c>
      <c r="E81" s="4">
        <v>0.161883</v>
      </c>
      <c r="F81" s="23">
        <v>6.5</v>
      </c>
      <c r="G81" s="23">
        <v>0.0894</v>
      </c>
      <c r="H81" s="23">
        <v>0.094</v>
      </c>
      <c r="I81" s="23">
        <v>0.07519</v>
      </c>
      <c r="J81" s="20">
        <f t="shared" si="4"/>
        <v>0.007401184273</v>
      </c>
      <c r="R81" s="7" t="s">
        <v>127</v>
      </c>
      <c r="V81" s="19">
        <v>1.5459399999999999</v>
      </c>
      <c r="W81" s="42">
        <f t="shared" si="5"/>
        <v>0.2019553849</v>
      </c>
    </row>
    <row r="82" ht="15.75" customHeight="1">
      <c r="A82" s="4">
        <v>0.001082</v>
      </c>
      <c r="B82" s="4">
        <v>7.0</v>
      </c>
      <c r="C82" s="4">
        <v>0.050245</v>
      </c>
      <c r="D82" s="23">
        <f t="shared" si="3"/>
        <v>1.143753062</v>
      </c>
      <c r="E82" s="4">
        <v>0.164874</v>
      </c>
      <c r="F82" s="23">
        <v>7.0</v>
      </c>
      <c r="G82" s="23">
        <v>0.1261</v>
      </c>
      <c r="H82" s="23">
        <v>0.0834</v>
      </c>
      <c r="I82" s="23">
        <v>0.08288</v>
      </c>
      <c r="J82" s="20">
        <f t="shared" si="4"/>
        <v>0.007541184273</v>
      </c>
      <c r="V82" s="19">
        <v>1.58072</v>
      </c>
      <c r="W82" s="42">
        <f t="shared" si="5"/>
        <v>0.209719582</v>
      </c>
    </row>
    <row r="83" ht="15.75" customHeight="1">
      <c r="A83" s="4">
        <v>0.001383</v>
      </c>
      <c r="B83" s="4">
        <v>7.5</v>
      </c>
      <c r="C83" s="4">
        <v>0.083028</v>
      </c>
      <c r="D83" s="23">
        <f t="shared" si="3"/>
        <v>1.890009539</v>
      </c>
      <c r="E83" s="4">
        <v>0.167852</v>
      </c>
      <c r="F83" s="23">
        <v>7.5</v>
      </c>
      <c r="G83" s="23">
        <v>0.1702</v>
      </c>
      <c r="H83" s="23">
        <v>0.0661</v>
      </c>
      <c r="I83" s="23">
        <v>0.08908</v>
      </c>
      <c r="J83" s="20">
        <f t="shared" si="4"/>
        <v>0.007842184273</v>
      </c>
      <c r="V83" s="19">
        <v>1.61544</v>
      </c>
      <c r="W83" s="42">
        <f t="shared" si="5"/>
        <v>0.2176426713</v>
      </c>
    </row>
    <row r="84" ht="15.0" customHeight="1">
      <c r="A84" s="4">
        <v>0.001844</v>
      </c>
      <c r="B84" s="4">
        <v>8.0</v>
      </c>
      <c r="C84" s="4">
        <v>0.115776</v>
      </c>
      <c r="D84" s="23">
        <f t="shared" si="3"/>
        <v>2.635469292</v>
      </c>
      <c r="E84" s="4">
        <v>0.170814</v>
      </c>
      <c r="F84" s="23">
        <v>8.0</v>
      </c>
      <c r="G84" s="23">
        <v>0.2067</v>
      </c>
      <c r="H84" s="23">
        <v>0.0556</v>
      </c>
      <c r="I84" s="23">
        <v>0.09558</v>
      </c>
      <c r="J84" s="20">
        <f t="shared" si="4"/>
        <v>0.008303184273</v>
      </c>
      <c r="V84" s="19">
        <v>1.6500899999999998</v>
      </c>
      <c r="W84" s="42">
        <f t="shared" si="5"/>
        <v>0.2257214039</v>
      </c>
    </row>
    <row r="85" ht="15.75" customHeight="1">
      <c r="A85" s="4">
        <v>0.002464</v>
      </c>
      <c r="B85" s="4">
        <v>8.5</v>
      </c>
      <c r="C85" s="4">
        <v>0.148483</v>
      </c>
      <c r="D85" s="23">
        <f t="shared" si="3"/>
        <v>3.37999574</v>
      </c>
      <c r="E85" s="4">
        <v>0.173761</v>
      </c>
      <c r="F85" s="23">
        <v>8.5</v>
      </c>
      <c r="G85" s="23">
        <v>0.2482</v>
      </c>
      <c r="H85" s="23">
        <v>0.0504</v>
      </c>
      <c r="I85" s="23">
        <v>0.10255</v>
      </c>
      <c r="J85" s="20">
        <f t="shared" si="4"/>
        <v>0.008923184273</v>
      </c>
      <c r="V85" s="19">
        <v>1.68465</v>
      </c>
      <c r="W85" s="42">
        <f t="shared" si="5"/>
        <v>0.2339499297</v>
      </c>
    </row>
    <row r="86" ht="15.0" customHeight="1">
      <c r="A86" s="4">
        <v>0.003243</v>
      </c>
      <c r="B86" s="4">
        <v>9.0</v>
      </c>
      <c r="C86" s="4">
        <v>0.181143</v>
      </c>
      <c r="D86" s="23">
        <f t="shared" si="3"/>
        <v>4.123452303</v>
      </c>
      <c r="E86" s="4">
        <v>0.176691</v>
      </c>
      <c r="F86" s="23">
        <v>9.0</v>
      </c>
      <c r="G86" s="23">
        <v>0.2688</v>
      </c>
      <c r="H86" s="23">
        <v>0.046</v>
      </c>
      <c r="I86" s="23">
        <v>0.11396</v>
      </c>
      <c r="J86" s="20">
        <f t="shared" si="4"/>
        <v>0.009702184273</v>
      </c>
      <c r="V86" s="19">
        <v>1.71912</v>
      </c>
      <c r="W86" s="42">
        <f t="shared" si="5"/>
        <v>0.242326916</v>
      </c>
    </row>
    <row r="87" ht="15.75" customHeight="1">
      <c r="A87" s="4">
        <v>0.00418</v>
      </c>
      <c r="B87" s="4">
        <v>9.5</v>
      </c>
      <c r="C87" s="4">
        <v>0.213749</v>
      </c>
      <c r="D87" s="23">
        <f t="shared" si="3"/>
        <v>4.865679636</v>
      </c>
      <c r="E87" s="4">
        <v>0.179604</v>
      </c>
      <c r="F87" s="23">
        <v>9.5</v>
      </c>
      <c r="G87" s="23">
        <v>0.3021</v>
      </c>
      <c r="H87" s="23">
        <v>0.0353</v>
      </c>
      <c r="I87" s="23">
        <v>0.12135</v>
      </c>
      <c r="J87" s="20">
        <f t="shared" si="4"/>
        <v>0.01063918427</v>
      </c>
      <c r="V87" s="19">
        <v>1.75348</v>
      </c>
      <c r="W87" s="42">
        <f t="shared" si="5"/>
        <v>0.2508460262</v>
      </c>
    </row>
    <row r="88" ht="15.75" customHeight="1">
      <c r="A88" s="4">
        <v>0.005272</v>
      </c>
      <c r="B88" s="4">
        <v>10.0</v>
      </c>
      <c r="C88" s="4">
        <v>0.246293</v>
      </c>
      <c r="D88" s="23">
        <f t="shared" si="3"/>
        <v>5.606495631</v>
      </c>
      <c r="E88" s="4">
        <v>0.182498</v>
      </c>
      <c r="F88" s="23">
        <v>10.0</v>
      </c>
      <c r="G88" s="23">
        <v>0.3077</v>
      </c>
      <c r="H88" s="23">
        <v>0.0293</v>
      </c>
      <c r="I88" s="23">
        <v>0.12485</v>
      </c>
      <c r="J88" s="20">
        <f t="shared" si="4"/>
        <v>0.01173118427</v>
      </c>
      <c r="V88" s="19">
        <v>1.78771</v>
      </c>
      <c r="W88" s="42">
        <f t="shared" si="5"/>
        <v>0.2595005355</v>
      </c>
    </row>
    <row r="89" ht="15.75" customHeight="1">
      <c r="A89" s="4">
        <v>0.00652</v>
      </c>
      <c r="B89" s="4">
        <v>10.5</v>
      </c>
      <c r="C89" s="4">
        <v>0.278771</v>
      </c>
      <c r="D89" s="23">
        <f t="shared" si="3"/>
        <v>6.345809234</v>
      </c>
      <c r="E89" s="4">
        <v>0.185373</v>
      </c>
      <c r="F89" s="23">
        <v>10.5</v>
      </c>
      <c r="G89" s="23">
        <v>0.3013</v>
      </c>
      <c r="H89" s="23">
        <v>0.0311</v>
      </c>
      <c r="I89" s="23">
        <v>0.12831</v>
      </c>
      <c r="J89" s="20">
        <f t="shared" si="4"/>
        <v>0.01297918427</v>
      </c>
      <c r="V89" s="19">
        <v>1.8217999999999999</v>
      </c>
      <c r="W89" s="42">
        <f t="shared" si="5"/>
        <v>0.2682859361</v>
      </c>
    </row>
    <row r="90" ht="15.75" customHeight="1">
      <c r="A90" s="4">
        <v>0.007921</v>
      </c>
      <c r="B90" s="4">
        <v>11.0</v>
      </c>
      <c r="C90" s="4">
        <v>0.311174</v>
      </c>
      <c r="D90" s="23">
        <f t="shared" si="3"/>
        <v>7.083415572</v>
      </c>
      <c r="E90" s="4">
        <v>0.188228</v>
      </c>
      <c r="F90" s="23">
        <v>11.0</v>
      </c>
      <c r="G90" s="23">
        <v>0.2982</v>
      </c>
      <c r="H90" s="23">
        <v>0.0329</v>
      </c>
      <c r="I90" s="23">
        <v>0.13229</v>
      </c>
      <c r="J90" s="20">
        <f t="shared" si="4"/>
        <v>0.01438018427</v>
      </c>
      <c r="V90" s="19">
        <v>1.85575</v>
      </c>
      <c r="W90" s="42">
        <f t="shared" si="5"/>
        <v>0.2772001835</v>
      </c>
    </row>
    <row r="91" ht="15.75" customHeight="1">
      <c r="A91" s="4">
        <v>0.009474</v>
      </c>
      <c r="B91" s="4">
        <v>11.5</v>
      </c>
      <c r="C91" s="4">
        <v>0.343498</v>
      </c>
      <c r="D91" s="23">
        <f t="shared" si="3"/>
        <v>7.819223593</v>
      </c>
      <c r="E91" s="4">
        <v>0.191061</v>
      </c>
      <c r="F91" s="23">
        <v>11.5</v>
      </c>
      <c r="G91" s="23">
        <v>0.2974</v>
      </c>
      <c r="H91" s="23">
        <v>0.0345</v>
      </c>
      <c r="I91" s="23">
        <v>0.13649</v>
      </c>
      <c r="J91" s="20">
        <f t="shared" si="4"/>
        <v>0.01593318427</v>
      </c>
      <c r="V91" s="19">
        <v>1.8895199999999999</v>
      </c>
      <c r="W91" s="42">
        <f t="shared" si="5"/>
        <v>0.2862304488</v>
      </c>
    </row>
    <row r="92" ht="15.75" customHeight="1">
      <c r="A92" s="4">
        <v>0.011177</v>
      </c>
      <c r="B92" s="4">
        <v>12.0</v>
      </c>
      <c r="C92" s="4">
        <v>0.375734</v>
      </c>
      <c r="D92" s="23">
        <f t="shared" si="3"/>
        <v>8.553028424</v>
      </c>
      <c r="E92" s="4">
        <v>0.193873</v>
      </c>
      <c r="F92" s="23">
        <v>12.0</v>
      </c>
      <c r="G92" s="23">
        <v>0.299</v>
      </c>
      <c r="H92" s="23">
        <v>0.0357</v>
      </c>
      <c r="I92" s="23">
        <v>0.14088</v>
      </c>
      <c r="J92" s="20">
        <f t="shared" si="4"/>
        <v>0.01763618427</v>
      </c>
      <c r="V92" s="19">
        <v>1.92312</v>
      </c>
      <c r="W92" s="42">
        <f t="shared" si="5"/>
        <v>0.2953768742</v>
      </c>
    </row>
    <row r="93" ht="15.75" customHeight="1">
      <c r="A93" s="4">
        <v>0.013029</v>
      </c>
      <c r="B93" s="4">
        <v>12.5</v>
      </c>
      <c r="C93" s="4">
        <v>0.407877</v>
      </c>
      <c r="D93" s="23">
        <f t="shared" si="3"/>
        <v>9.284716247</v>
      </c>
      <c r="E93" s="4">
        <v>0.196662</v>
      </c>
      <c r="F93" s="23">
        <v>12.5</v>
      </c>
      <c r="G93" s="23">
        <v>0.3028</v>
      </c>
      <c r="H93" s="23">
        <v>0.0367</v>
      </c>
      <c r="I93" s="23">
        <v>0.14549</v>
      </c>
      <c r="J93" s="20">
        <f t="shared" si="4"/>
        <v>0.01948818427</v>
      </c>
      <c r="V93" s="19">
        <v>1.9564899999999998</v>
      </c>
      <c r="W93" s="42">
        <f t="shared" si="5"/>
        <v>0.3046202497</v>
      </c>
    </row>
    <row r="94" ht="15.75" customHeight="1">
      <c r="A94" s="4">
        <v>0.015028</v>
      </c>
      <c r="B94" s="4">
        <v>13.0</v>
      </c>
      <c r="C94" s="4">
        <v>0.439921</v>
      </c>
      <c r="D94" s="23">
        <f t="shared" si="3"/>
        <v>10.01415048</v>
      </c>
      <c r="E94" s="4">
        <v>0.199427</v>
      </c>
      <c r="F94" s="23">
        <v>13.0</v>
      </c>
      <c r="G94" s="23">
        <v>0.3091</v>
      </c>
      <c r="H94" s="23">
        <v>0.0376</v>
      </c>
      <c r="I94" s="23">
        <v>0.15048</v>
      </c>
      <c r="J94" s="20">
        <f t="shared" si="4"/>
        <v>0.02148718427</v>
      </c>
      <c r="V94" s="19">
        <v>1.98968</v>
      </c>
      <c r="W94" s="42">
        <f t="shared" si="5"/>
        <v>0.3139714932</v>
      </c>
    </row>
    <row r="95" ht="15.75" customHeight="1">
      <c r="A95" s="4">
        <v>0.017171</v>
      </c>
      <c r="B95" s="4">
        <v>13.5</v>
      </c>
      <c r="C95" s="4">
        <v>0.471859</v>
      </c>
      <c r="D95" s="23">
        <f t="shared" si="3"/>
        <v>10.74117178</v>
      </c>
      <c r="E95" s="4">
        <v>0.202168</v>
      </c>
      <c r="F95" s="23">
        <v>13.5</v>
      </c>
      <c r="G95" s="23">
        <v>0.3214</v>
      </c>
      <c r="H95" s="23">
        <v>0.039</v>
      </c>
      <c r="I95" s="23">
        <v>0.15762</v>
      </c>
      <c r="J95" s="20">
        <f t="shared" si="4"/>
        <v>0.02363018427</v>
      </c>
      <c r="V95" s="19">
        <v>2.02265</v>
      </c>
      <c r="W95" s="42">
        <f t="shared" si="5"/>
        <v>0.323416492</v>
      </c>
    </row>
    <row r="96" ht="15.75" customHeight="1">
      <c r="A96" s="4">
        <v>0.019456</v>
      </c>
      <c r="B96" s="4">
        <v>14.0</v>
      </c>
      <c r="C96" s="4">
        <v>0.503685</v>
      </c>
      <c r="D96" s="23">
        <f t="shared" si="3"/>
        <v>11.46564357</v>
      </c>
      <c r="E96" s="4">
        <v>0.204884</v>
      </c>
      <c r="F96" s="23">
        <v>14.0</v>
      </c>
      <c r="G96" s="23">
        <v>0.3313</v>
      </c>
      <c r="H96" s="23">
        <v>0.0393</v>
      </c>
      <c r="I96" s="23">
        <v>0.16688</v>
      </c>
      <c r="J96" s="20">
        <f t="shared" si="4"/>
        <v>0.02591518427</v>
      </c>
      <c r="V96" s="19">
        <v>2.05539</v>
      </c>
      <c r="W96" s="42">
        <f t="shared" si="5"/>
        <v>0.3329492041</v>
      </c>
    </row>
    <row r="97" ht="15.75" customHeight="1">
      <c r="A97" s="4">
        <v>0.021883</v>
      </c>
      <c r="B97" s="4">
        <v>14.5</v>
      </c>
      <c r="C97" s="4">
        <v>0.535393</v>
      </c>
      <c r="D97" s="23">
        <f t="shared" si="3"/>
        <v>12.18742926</v>
      </c>
      <c r="E97" s="4">
        <v>0.207573</v>
      </c>
      <c r="F97" s="23">
        <v>14.5</v>
      </c>
      <c r="G97" s="23">
        <v>0.337</v>
      </c>
      <c r="H97" s="23">
        <v>0.0384</v>
      </c>
      <c r="I97" s="23">
        <v>0.17187</v>
      </c>
      <c r="J97" s="20">
        <f t="shared" si="4"/>
        <v>0.02834218427</v>
      </c>
      <c r="V97" s="19">
        <v>2.0878799999999997</v>
      </c>
      <c r="W97" s="42">
        <f t="shared" si="5"/>
        <v>0.3425604407</v>
      </c>
    </row>
    <row r="98" ht="15.75" customHeight="1">
      <c r="A98" s="4">
        <v>0.024447</v>
      </c>
      <c r="B98" s="4">
        <v>15.0</v>
      </c>
      <c r="C98" s="4">
        <v>0.566976</v>
      </c>
      <c r="D98" s="23">
        <f t="shared" si="3"/>
        <v>12.90636952</v>
      </c>
      <c r="E98" s="4">
        <v>0.210236</v>
      </c>
      <c r="F98" s="23">
        <v>15.0</v>
      </c>
      <c r="G98" s="23">
        <v>0.3411</v>
      </c>
      <c r="H98" s="23">
        <v>0.0367</v>
      </c>
      <c r="I98" s="23">
        <v>0.17604</v>
      </c>
      <c r="J98" s="20">
        <f t="shared" si="4"/>
        <v>0.03090618427</v>
      </c>
      <c r="V98" s="19">
        <v>2.1201</v>
      </c>
      <c r="W98" s="42">
        <f t="shared" si="5"/>
        <v>0.3522406672</v>
      </c>
    </row>
    <row r="99" ht="15.75" customHeight="1">
      <c r="A99" s="4">
        <v>0.027146</v>
      </c>
      <c r="B99" s="4">
        <v>15.5</v>
      </c>
      <c r="C99" s="4">
        <v>0.59843</v>
      </c>
      <c r="D99" s="23">
        <f t="shared" si="3"/>
        <v>13.62237327</v>
      </c>
      <c r="E99" s="4">
        <v>0.212871</v>
      </c>
      <c r="F99" s="23">
        <v>15.5</v>
      </c>
      <c r="G99" s="23">
        <v>0.3451</v>
      </c>
      <c r="H99" s="23">
        <v>0.0339</v>
      </c>
      <c r="I99" s="23">
        <v>0.17858</v>
      </c>
      <c r="J99" s="20">
        <f t="shared" si="4"/>
        <v>0.03360518427</v>
      </c>
      <c r="V99" s="19">
        <v>2.15205</v>
      </c>
      <c r="W99" s="42">
        <f t="shared" si="5"/>
        <v>0.3619861571</v>
      </c>
    </row>
    <row r="100" ht="15.75" customHeight="1">
      <c r="A100" s="4">
        <v>0.029979</v>
      </c>
      <c r="B100" s="4">
        <v>16.0</v>
      </c>
      <c r="C100" s="4">
        <v>0.629746</v>
      </c>
      <c r="D100" s="23">
        <f t="shared" si="3"/>
        <v>14.33523567</v>
      </c>
      <c r="E100" s="4">
        <v>0.215477</v>
      </c>
      <c r="F100" s="23">
        <v>16.0</v>
      </c>
      <c r="G100" s="23">
        <v>0.3557</v>
      </c>
      <c r="H100" s="23">
        <v>0.0318</v>
      </c>
      <c r="I100" s="23">
        <v>0.18361</v>
      </c>
      <c r="J100" s="20">
        <f t="shared" si="4"/>
        <v>0.03643818427</v>
      </c>
      <c r="V100" s="19">
        <v>2.1837</v>
      </c>
      <c r="W100" s="42">
        <f t="shared" si="5"/>
        <v>0.37178386</v>
      </c>
    </row>
    <row r="101" ht="15.75" customHeight="1">
      <c r="A101" s="4">
        <v>0.032942</v>
      </c>
      <c r="B101" s="4">
        <v>16.5</v>
      </c>
      <c r="C101" s="4">
        <v>0.660921</v>
      </c>
      <c r="D101" s="23">
        <f t="shared" si="3"/>
        <v>15.0448884</v>
      </c>
      <c r="E101" s="4">
        <v>0.218054</v>
      </c>
      <c r="F101" s="23">
        <v>16.5</v>
      </c>
      <c r="G101" s="23">
        <v>0.367</v>
      </c>
      <c r="H101" s="23">
        <v>0.0302</v>
      </c>
      <c r="I101" s="23">
        <v>0.18929</v>
      </c>
      <c r="J101" s="20">
        <f t="shared" si="4"/>
        <v>0.03940118427</v>
      </c>
      <c r="V101" s="19">
        <v>2.21506</v>
      </c>
      <c r="W101" s="42">
        <f t="shared" si="5"/>
        <v>0.3816328714</v>
      </c>
    </row>
    <row r="102" ht="15.75" customHeight="1">
      <c r="A102" s="4">
        <v>0.036033</v>
      </c>
      <c r="B102" s="4">
        <v>17.0</v>
      </c>
      <c r="C102" s="4">
        <v>0.691948</v>
      </c>
      <c r="D102" s="23">
        <f t="shared" si="3"/>
        <v>15.75117214</v>
      </c>
      <c r="E102" s="4">
        <v>0.2206</v>
      </c>
      <c r="F102" s="23">
        <v>17.0</v>
      </c>
      <c r="G102" s="23">
        <v>0.3789</v>
      </c>
      <c r="H102" s="23">
        <v>0.0285</v>
      </c>
      <c r="I102" s="23">
        <v>0.19493</v>
      </c>
      <c r="J102" s="20">
        <f t="shared" si="4"/>
        <v>0.04249218427</v>
      </c>
      <c r="V102" s="19">
        <v>2.2460999999999998</v>
      </c>
      <c r="W102" s="42">
        <f t="shared" si="5"/>
        <v>0.3915196733</v>
      </c>
    </row>
    <row r="103" ht="15.75" customHeight="1">
      <c r="A103" s="4">
        <v>0.039249</v>
      </c>
      <c r="B103" s="4">
        <v>17.5</v>
      </c>
      <c r="C103" s="4">
        <v>0.722821</v>
      </c>
      <c r="D103" s="23">
        <f t="shared" si="3"/>
        <v>16.45395029</v>
      </c>
      <c r="E103" s="4">
        <v>0.223116</v>
      </c>
      <c r="F103" s="23">
        <v>17.5</v>
      </c>
      <c r="G103" s="23">
        <v>0.3915</v>
      </c>
      <c r="H103" s="23">
        <v>0.0268</v>
      </c>
      <c r="I103" s="23">
        <v>0.20055</v>
      </c>
      <c r="J103" s="20">
        <f t="shared" si="4"/>
        <v>0.04570818427</v>
      </c>
      <c r="V103" s="19">
        <v>2.27681</v>
      </c>
      <c r="W103" s="42">
        <f t="shared" si="5"/>
        <v>0.4014367593</v>
      </c>
    </row>
    <row r="104" ht="15.75" customHeight="1">
      <c r="A104" s="4">
        <v>0.042587</v>
      </c>
      <c r="B104" s="4">
        <v>18.0</v>
      </c>
      <c r="C104" s="4">
        <v>0.753535</v>
      </c>
      <c r="D104" s="23">
        <f t="shared" si="3"/>
        <v>17.15310904</v>
      </c>
      <c r="E104" s="4">
        <v>0.2256</v>
      </c>
      <c r="F104" s="23">
        <v>18.0</v>
      </c>
      <c r="G104" s="23">
        <v>0.4047</v>
      </c>
      <c r="H104" s="23">
        <v>0.0251</v>
      </c>
      <c r="I104" s="23">
        <v>0.20642</v>
      </c>
      <c r="J104" s="20">
        <f t="shared" si="4"/>
        <v>0.04904618427</v>
      </c>
      <c r="V104" s="19">
        <v>2.3071699999999997</v>
      </c>
      <c r="W104" s="42">
        <f t="shared" si="5"/>
        <v>0.411373199</v>
      </c>
    </row>
    <row r="105" ht="15.75" customHeight="1">
      <c r="A105" s="4">
        <v>0.046043</v>
      </c>
      <c r="B105" s="4">
        <v>18.5</v>
      </c>
      <c r="C105" s="4">
        <v>0.784083</v>
      </c>
      <c r="D105" s="23">
        <f t="shared" si="3"/>
        <v>17.84848905</v>
      </c>
      <c r="E105" s="4">
        <v>0.228052</v>
      </c>
      <c r="F105" s="23">
        <v>18.5</v>
      </c>
      <c r="G105" s="23">
        <v>0.4458</v>
      </c>
      <c r="H105" s="23">
        <v>0.0193</v>
      </c>
      <c r="I105" s="23">
        <v>0.22823</v>
      </c>
      <c r="J105" s="20">
        <f t="shared" si="4"/>
        <v>0.05250218427</v>
      </c>
      <c r="V105" s="19">
        <v>2.33718</v>
      </c>
      <c r="W105" s="42">
        <f t="shared" si="5"/>
        <v>0.4213244403</v>
      </c>
    </row>
    <row r="106" ht="15.75" customHeight="1">
      <c r="A106" s="4">
        <v>0.049615</v>
      </c>
      <c r="B106" s="4">
        <v>19.0</v>
      </c>
      <c r="C106" s="4">
        <v>0.814461</v>
      </c>
      <c r="D106" s="23">
        <f t="shared" si="3"/>
        <v>18.53999926</v>
      </c>
      <c r="E106" s="4">
        <v>0.23047</v>
      </c>
      <c r="F106" s="23">
        <v>19.0</v>
      </c>
      <c r="G106" s="23">
        <v>0.4582</v>
      </c>
      <c r="H106" s="23">
        <v>0.0162</v>
      </c>
      <c r="I106" s="23">
        <v>0.23321</v>
      </c>
      <c r="J106" s="20">
        <f t="shared" si="4"/>
        <v>0.05607418427</v>
      </c>
      <c r="V106" s="19">
        <v>2.36681</v>
      </c>
      <c r="W106" s="42">
        <f t="shared" si="5"/>
        <v>0.4312758443</v>
      </c>
    </row>
    <row r="107" ht="15.75" customHeight="1">
      <c r="A107" s="4">
        <v>0.0533</v>
      </c>
      <c r="B107" s="4">
        <v>19.5</v>
      </c>
      <c r="C107" s="4">
        <v>0.844664</v>
      </c>
      <c r="D107" s="23">
        <f t="shared" si="3"/>
        <v>19.22752586</v>
      </c>
      <c r="E107" s="4">
        <v>0.232855</v>
      </c>
      <c r="F107" s="23">
        <v>19.5</v>
      </c>
      <c r="G107" s="23"/>
      <c r="H107" s="23"/>
      <c r="I107" s="23"/>
      <c r="J107" s="20">
        <f t="shared" si="4"/>
        <v>0.05975918427</v>
      </c>
      <c r="V107" s="19">
        <v>2.39607</v>
      </c>
      <c r="W107" s="42">
        <f t="shared" si="5"/>
        <v>0.4412260093</v>
      </c>
    </row>
    <row r="108" ht="15.75" customHeight="1">
      <c r="A108" s="4">
        <v>0.057094</v>
      </c>
      <c r="B108" s="4">
        <v>20.0</v>
      </c>
      <c r="C108" s="4">
        <v>0.874685</v>
      </c>
      <c r="D108" s="23">
        <f t="shared" si="3"/>
        <v>19.91090949</v>
      </c>
      <c r="E108" s="4">
        <v>0.235205</v>
      </c>
      <c r="F108" s="23">
        <v>20.0</v>
      </c>
      <c r="G108" s="23"/>
      <c r="H108" s="23"/>
      <c r="I108" s="23"/>
      <c r="J108" s="20">
        <f t="shared" si="4"/>
        <v>0.06355318427</v>
      </c>
      <c r="V108" s="19">
        <v>2.42493</v>
      </c>
      <c r="W108" s="42">
        <f t="shared" si="5"/>
        <v>0.4511599091</v>
      </c>
    </row>
    <row r="109" ht="15.75" customHeight="1">
      <c r="A109" s="36" t="s">
        <v>128</v>
      </c>
      <c r="B109" s="11"/>
      <c r="C109" s="11"/>
      <c r="D109" s="11"/>
      <c r="E109" s="12"/>
    </row>
    <row r="110" ht="15.75" customHeight="1">
      <c r="A110" s="16" t="s">
        <v>32</v>
      </c>
      <c r="B110" s="16" t="s">
        <v>33</v>
      </c>
      <c r="C110" s="16" t="s">
        <v>34</v>
      </c>
      <c r="D110" s="16" t="s">
        <v>35</v>
      </c>
      <c r="E110" s="16" t="s">
        <v>8</v>
      </c>
      <c r="N110" s="54" t="s">
        <v>129</v>
      </c>
      <c r="O110" s="3"/>
    </row>
    <row r="111" ht="15.75" customHeight="1">
      <c r="A111" s="4">
        <v>0.010535</v>
      </c>
      <c r="B111" s="4">
        <v>-5.0</v>
      </c>
      <c r="C111" s="4">
        <v>-0.26039</v>
      </c>
      <c r="D111" s="4">
        <f t="shared" ref="D111:D161" si="6">0.5*$R$4*$T$4*$T$4*$P$64*C111</f>
        <v>-1.667079274</v>
      </c>
      <c r="E111" s="4">
        <v>-0.103465</v>
      </c>
      <c r="N111" s="1">
        <f>SLOPE(C111:C161,B111:B161)</f>
        <v>0.04974481158</v>
      </c>
      <c r="O111" s="3"/>
    </row>
    <row r="112" ht="15.75" customHeight="1">
      <c r="A112" s="4">
        <v>0.008544</v>
      </c>
      <c r="B112" s="4">
        <v>-4.5</v>
      </c>
      <c r="C112" s="4">
        <v>-0.234565</v>
      </c>
      <c r="D112" s="4">
        <f t="shared" si="6"/>
        <v>-1.501741426</v>
      </c>
      <c r="E112" s="4">
        <v>-0.087714</v>
      </c>
    </row>
    <row r="113" ht="15.75" customHeight="1">
      <c r="A113" s="4">
        <v>0.006758</v>
      </c>
      <c r="B113" s="4">
        <v>-4.0</v>
      </c>
      <c r="C113" s="4">
        <v>-0.208672</v>
      </c>
      <c r="D113" s="4">
        <f t="shared" si="6"/>
        <v>-1.335968225</v>
      </c>
      <c r="E113" s="4">
        <v>-0.073153</v>
      </c>
    </row>
    <row r="114" ht="15.75" customHeight="1">
      <c r="A114" s="4">
        <v>0.005179</v>
      </c>
      <c r="B114" s="4">
        <v>-3.5</v>
      </c>
      <c r="C114" s="4">
        <v>-0.18272</v>
      </c>
      <c r="D114" s="4">
        <f t="shared" si="6"/>
        <v>-1.169817293</v>
      </c>
      <c r="E114" s="4">
        <v>-0.059788</v>
      </c>
    </row>
    <row r="115" ht="15.75" customHeight="1">
      <c r="A115" s="4">
        <v>0.003808</v>
      </c>
      <c r="B115" s="4">
        <v>-3.0</v>
      </c>
      <c r="C115" s="4">
        <v>-0.156715</v>
      </c>
      <c r="D115" s="4">
        <f t="shared" si="6"/>
        <v>-1.003327042</v>
      </c>
      <c r="E115" s="4">
        <v>-0.047622</v>
      </c>
    </row>
    <row r="116" ht="15.75" customHeight="1">
      <c r="A116" s="4">
        <v>0.002646</v>
      </c>
      <c r="B116" s="4">
        <v>-2.5</v>
      </c>
      <c r="C116" s="4">
        <v>-0.130665</v>
      </c>
      <c r="D116" s="4">
        <f t="shared" si="6"/>
        <v>-0.8365486896</v>
      </c>
      <c r="E116" s="4">
        <v>-0.03666</v>
      </c>
    </row>
    <row r="117" ht="15.75" customHeight="1">
      <c r="A117" s="4">
        <v>0.001695</v>
      </c>
      <c r="B117" s="4">
        <v>-2.0</v>
      </c>
      <c r="C117" s="4">
        <v>-0.104577</v>
      </c>
      <c r="D117" s="4">
        <f t="shared" si="6"/>
        <v>-0.6695270525</v>
      </c>
      <c r="E117" s="4">
        <v>-0.026904</v>
      </c>
    </row>
    <row r="118" ht="15.75" customHeight="1">
      <c r="A118" s="4">
        <v>9.54E-4</v>
      </c>
      <c r="B118" s="4">
        <v>-1.5</v>
      </c>
      <c r="C118" s="4">
        <v>-0.078459</v>
      </c>
      <c r="D118" s="4">
        <f t="shared" si="6"/>
        <v>-0.5023133482</v>
      </c>
      <c r="E118" s="4">
        <v>-0.018358</v>
      </c>
    </row>
    <row r="119" ht="15.75" customHeight="1">
      <c r="A119" s="4">
        <v>4.24E-4</v>
      </c>
      <c r="B119" s="4">
        <v>-1.0</v>
      </c>
      <c r="C119" s="4">
        <v>-0.052319</v>
      </c>
      <c r="D119" s="4">
        <f t="shared" si="6"/>
        <v>-0.3349587946</v>
      </c>
      <c r="E119" s="4">
        <v>-0.011024</v>
      </c>
    </row>
    <row r="120" ht="15.75" customHeight="1">
      <c r="A120" s="4">
        <v>1.06E-4</v>
      </c>
      <c r="B120" s="4">
        <v>-0.5</v>
      </c>
      <c r="C120" s="4">
        <v>-0.026163</v>
      </c>
      <c r="D120" s="4">
        <f t="shared" si="6"/>
        <v>-0.1675018051</v>
      </c>
      <c r="E120" s="4">
        <v>-0.004904</v>
      </c>
      <c r="O120" s="55" t="s">
        <v>130</v>
      </c>
      <c r="P120" s="55" t="s">
        <v>131</v>
      </c>
      <c r="Q120" s="55" t="s">
        <v>132</v>
      </c>
    </row>
    <row r="121" ht="15.75" customHeight="1">
      <c r="A121" s="4">
        <v>0.0</v>
      </c>
      <c r="B121" s="4">
        <v>0.0</v>
      </c>
      <c r="C121" s="4">
        <v>0.0</v>
      </c>
      <c r="D121" s="4">
        <f t="shared" si="6"/>
        <v>0</v>
      </c>
      <c r="E121" s="4">
        <v>0.0</v>
      </c>
      <c r="O121" s="56" t="s">
        <v>133</v>
      </c>
      <c r="P121" s="4" t="s">
        <v>3</v>
      </c>
      <c r="Q121" s="57" t="s">
        <v>134</v>
      </c>
    </row>
    <row r="122" ht="15.75" customHeight="1">
      <c r="A122" s="4">
        <v>1.06E-4</v>
      </c>
      <c r="B122" s="4">
        <v>0.5</v>
      </c>
      <c r="C122" s="4">
        <v>0.026163</v>
      </c>
      <c r="D122" s="4">
        <f t="shared" si="6"/>
        <v>0.1675018051</v>
      </c>
      <c r="E122" s="4">
        <v>0.003686</v>
      </c>
      <c r="O122" s="56" t="s">
        <v>135</v>
      </c>
      <c r="P122" s="4" t="s">
        <v>68</v>
      </c>
      <c r="Q122" s="58"/>
    </row>
    <row r="123" ht="62.25" customHeight="1">
      <c r="A123" s="4">
        <v>4.24E-4</v>
      </c>
      <c r="B123" s="4">
        <v>1.0</v>
      </c>
      <c r="C123" s="4">
        <v>0.052319</v>
      </c>
      <c r="D123" s="4">
        <f t="shared" si="6"/>
        <v>0.3349587946</v>
      </c>
      <c r="E123" s="4">
        <v>0.006153</v>
      </c>
      <c r="O123" s="59" t="s">
        <v>136</v>
      </c>
      <c r="P123" s="60" t="s">
        <v>137</v>
      </c>
      <c r="Q123" s="61" t="s">
        <v>138</v>
      </c>
    </row>
    <row r="124" ht="15.75" customHeight="1">
      <c r="A124" s="4">
        <v>9.54E-4</v>
      </c>
      <c r="B124" s="4">
        <v>1.5</v>
      </c>
      <c r="C124" s="4">
        <v>0.078459</v>
      </c>
      <c r="D124" s="4">
        <f t="shared" si="6"/>
        <v>0.5023133482</v>
      </c>
      <c r="E124" s="4">
        <v>0.007401</v>
      </c>
      <c r="O124" s="56" t="s">
        <v>139</v>
      </c>
      <c r="P124" s="4" t="s">
        <v>140</v>
      </c>
      <c r="Q124" s="57" t="s">
        <v>141</v>
      </c>
    </row>
    <row r="125" ht="15.75" customHeight="1">
      <c r="A125" s="4">
        <v>0.001695</v>
      </c>
      <c r="B125" s="4">
        <v>2.0</v>
      </c>
      <c r="C125" s="4">
        <v>0.104577</v>
      </c>
      <c r="D125" s="4">
        <f t="shared" si="6"/>
        <v>0.6695270525</v>
      </c>
      <c r="E125" s="4">
        <v>0.007428</v>
      </c>
      <c r="O125" s="56" t="s">
        <v>142</v>
      </c>
      <c r="P125" s="4">
        <v>4.65</v>
      </c>
      <c r="Q125" s="62"/>
    </row>
    <row r="126" ht="15.75" customHeight="1">
      <c r="A126" s="4">
        <v>0.002646</v>
      </c>
      <c r="B126" s="4">
        <v>2.5</v>
      </c>
      <c r="C126" s="4">
        <v>0.130665</v>
      </c>
      <c r="D126" s="4">
        <f t="shared" si="6"/>
        <v>0.8365486896</v>
      </c>
      <c r="E126" s="4">
        <v>0.006236</v>
      </c>
      <c r="O126" s="56" t="s">
        <v>143</v>
      </c>
      <c r="P126" s="4" t="s">
        <v>144</v>
      </c>
      <c r="Q126" s="58"/>
    </row>
    <row r="127" ht="15.75" customHeight="1">
      <c r="A127" s="4">
        <v>0.003808</v>
      </c>
      <c r="B127" s="4">
        <v>3.0</v>
      </c>
      <c r="C127" s="4">
        <v>0.156715</v>
      </c>
      <c r="D127" s="4">
        <f t="shared" si="6"/>
        <v>1.003327042</v>
      </c>
      <c r="E127" s="4">
        <v>0.003824</v>
      </c>
      <c r="O127" s="63" t="s">
        <v>145</v>
      </c>
      <c r="P127" s="64" t="s">
        <v>146</v>
      </c>
      <c r="Q127" s="65" t="s">
        <v>147</v>
      </c>
    </row>
    <row r="128" ht="15.75" customHeight="1">
      <c r="A128" s="4">
        <v>0.005179</v>
      </c>
      <c r="B128" s="4">
        <v>3.5</v>
      </c>
      <c r="C128" s="4">
        <v>0.18272</v>
      </c>
      <c r="D128" s="4">
        <f t="shared" si="6"/>
        <v>1.169817293</v>
      </c>
      <c r="E128" s="4">
        <v>1.93E-4</v>
      </c>
      <c r="O128" s="58"/>
      <c r="P128" s="58"/>
      <c r="Q128" s="58"/>
    </row>
    <row r="129" ht="15.75" customHeight="1">
      <c r="A129" s="4">
        <v>0.006758</v>
      </c>
      <c r="B129" s="4">
        <v>4.0</v>
      </c>
      <c r="C129" s="4">
        <v>0.208672</v>
      </c>
      <c r="D129" s="4">
        <f t="shared" si="6"/>
        <v>1.335968225</v>
      </c>
      <c r="E129" s="4">
        <v>-0.004656</v>
      </c>
      <c r="O129" s="56" t="s">
        <v>148</v>
      </c>
      <c r="P129" s="4" t="s">
        <v>149</v>
      </c>
      <c r="Q129" s="66" t="s">
        <v>150</v>
      </c>
    </row>
    <row r="130" ht="15.75" customHeight="1">
      <c r="A130" s="4">
        <v>0.008544</v>
      </c>
      <c r="B130" s="4">
        <v>4.5</v>
      </c>
      <c r="C130" s="4">
        <v>0.234565</v>
      </c>
      <c r="D130" s="4">
        <f t="shared" si="6"/>
        <v>1.501741426</v>
      </c>
      <c r="E130" s="4">
        <v>-0.010721</v>
      </c>
      <c r="O130" s="56" t="s">
        <v>151</v>
      </c>
      <c r="P130" s="4">
        <v>4.0</v>
      </c>
      <c r="Q130" s="62"/>
    </row>
    <row r="131" ht="15.75" customHeight="1">
      <c r="A131" s="4">
        <v>0.010535</v>
      </c>
      <c r="B131" s="4">
        <v>5.0</v>
      </c>
      <c r="C131" s="4">
        <v>0.26039</v>
      </c>
      <c r="D131" s="4">
        <f t="shared" si="6"/>
        <v>1.667079274</v>
      </c>
      <c r="E131" s="4">
        <v>-0.018</v>
      </c>
      <c r="O131" s="56" t="s">
        <v>152</v>
      </c>
      <c r="P131" s="4" t="s">
        <v>153</v>
      </c>
      <c r="Q131" s="62"/>
    </row>
    <row r="132" ht="15.75" customHeight="1">
      <c r="A132" s="4">
        <v>0.012731</v>
      </c>
      <c r="B132" s="4">
        <v>5.5</v>
      </c>
      <c r="C132" s="4">
        <v>0.28614</v>
      </c>
      <c r="D132" s="4">
        <f t="shared" si="6"/>
        <v>1.831936954</v>
      </c>
      <c r="E132" s="4">
        <v>-0.026492</v>
      </c>
      <c r="O132" s="56" t="s">
        <v>154</v>
      </c>
      <c r="P132" s="4" t="s">
        <v>155</v>
      </c>
      <c r="Q132" s="62"/>
    </row>
    <row r="133" ht="15.75" customHeight="1">
      <c r="A133" s="4">
        <v>0.015128</v>
      </c>
      <c r="B133" s="4">
        <v>6.0</v>
      </c>
      <c r="C133" s="4">
        <v>0.311809</v>
      </c>
      <c r="D133" s="4">
        <f t="shared" si="6"/>
        <v>1.996276052</v>
      </c>
      <c r="E133" s="4">
        <v>-0.036193</v>
      </c>
      <c r="O133" s="56" t="s">
        <v>156</v>
      </c>
      <c r="P133" s="4">
        <v>1.0</v>
      </c>
      <c r="Q133" s="62"/>
    </row>
    <row r="134" ht="15.75" customHeight="1">
      <c r="A134" s="4">
        <v>0.017727</v>
      </c>
      <c r="B134" s="4">
        <v>6.5</v>
      </c>
      <c r="C134" s="4">
        <v>0.337388</v>
      </c>
      <c r="D134" s="4">
        <f t="shared" si="6"/>
        <v>2.160038949</v>
      </c>
      <c r="E134" s="4">
        <v>-0.047101</v>
      </c>
      <c r="O134" s="56" t="s">
        <v>157</v>
      </c>
      <c r="P134" s="4" t="s">
        <v>158</v>
      </c>
      <c r="Q134" s="58"/>
    </row>
    <row r="135" ht="15.75" customHeight="1">
      <c r="A135" s="4">
        <v>0.020523</v>
      </c>
      <c r="B135" s="4">
        <v>7.0</v>
      </c>
      <c r="C135" s="4">
        <v>0.36287</v>
      </c>
      <c r="D135" s="4">
        <f t="shared" si="6"/>
        <v>2.323180829</v>
      </c>
      <c r="E135" s="4">
        <v>-0.059213</v>
      </c>
    </row>
    <row r="136" ht="15.75" customHeight="1">
      <c r="A136" s="4">
        <v>0.023517</v>
      </c>
      <c r="B136" s="4">
        <v>7.5</v>
      </c>
      <c r="C136" s="4">
        <v>0.388249</v>
      </c>
      <c r="D136" s="4">
        <f t="shared" si="6"/>
        <v>2.485663278</v>
      </c>
      <c r="E136" s="4">
        <v>-0.072524</v>
      </c>
    </row>
    <row r="137" ht="15.75" customHeight="1">
      <c r="A137" s="4">
        <v>0.026704</v>
      </c>
      <c r="B137" s="4">
        <v>8.0</v>
      </c>
      <c r="C137" s="4">
        <v>0.413518</v>
      </c>
      <c r="D137" s="4">
        <f t="shared" si="6"/>
        <v>2.64744148</v>
      </c>
      <c r="E137" s="4">
        <v>-0.08703</v>
      </c>
    </row>
    <row r="138" ht="15.75" customHeight="1">
      <c r="A138" s="4">
        <v>0.030083</v>
      </c>
      <c r="B138" s="4">
        <v>8.5</v>
      </c>
      <c r="C138" s="4">
        <v>0.438668</v>
      </c>
      <c r="D138" s="4">
        <f t="shared" si="6"/>
        <v>2.808457816</v>
      </c>
      <c r="E138" s="4">
        <v>-0.102728</v>
      </c>
    </row>
    <row r="139" ht="15.75" customHeight="1">
      <c r="A139" s="4">
        <v>0.033651</v>
      </c>
      <c r="B139" s="4">
        <v>9.0</v>
      </c>
      <c r="C139" s="4">
        <v>0.463694</v>
      </c>
      <c r="D139" s="4">
        <f t="shared" si="6"/>
        <v>2.968680275</v>
      </c>
      <c r="E139" s="4">
        <v>-0.119612</v>
      </c>
    </row>
    <row r="140" ht="15.75" customHeight="1">
      <c r="A140" s="4">
        <v>0.037405</v>
      </c>
      <c r="B140" s="4">
        <v>9.5</v>
      </c>
      <c r="C140" s="4">
        <v>0.488589</v>
      </c>
      <c r="D140" s="4">
        <f t="shared" si="6"/>
        <v>3.128064039</v>
      </c>
      <c r="E140" s="4">
        <v>-0.137678</v>
      </c>
    </row>
    <row r="141" ht="15.75" customHeight="1">
      <c r="A141" s="4">
        <v>0.041343</v>
      </c>
      <c r="B141" s="4">
        <v>10.0</v>
      </c>
      <c r="C141" s="4">
        <v>0.513344</v>
      </c>
      <c r="D141" s="4">
        <f t="shared" si="6"/>
        <v>3.286551491</v>
      </c>
      <c r="E141" s="4">
        <v>-0.156919</v>
      </c>
    </row>
    <row r="142" ht="15.75" customHeight="1">
      <c r="A142" s="4">
        <v>0.045461</v>
      </c>
      <c r="B142" s="4">
        <v>10.5</v>
      </c>
      <c r="C142" s="4">
        <v>0.537955</v>
      </c>
      <c r="D142" s="4">
        <f t="shared" si="6"/>
        <v>3.444117019</v>
      </c>
      <c r="E142" s="4">
        <v>-0.177331</v>
      </c>
    </row>
    <row r="143" ht="15.75" customHeight="1">
      <c r="A143" s="4">
        <v>0.049757</v>
      </c>
      <c r="B143" s="4">
        <v>11.0</v>
      </c>
      <c r="C143" s="4">
        <v>0.562414</v>
      </c>
      <c r="D143" s="4">
        <f t="shared" si="6"/>
        <v>3.600709407</v>
      </c>
      <c r="E143" s="4">
        <v>-0.198905</v>
      </c>
    </row>
    <row r="144" ht="15.75" customHeight="1">
      <c r="A144" s="4">
        <v>0.054227</v>
      </c>
      <c r="B144" s="4">
        <v>11.5</v>
      </c>
      <c r="C144" s="4">
        <v>0.586715</v>
      </c>
      <c r="D144" s="4">
        <f t="shared" si="6"/>
        <v>3.756290242</v>
      </c>
      <c r="E144" s="4">
        <v>-0.221638</v>
      </c>
    </row>
    <row r="145" ht="15.75" customHeight="1">
      <c r="A145" s="4">
        <v>0.058867</v>
      </c>
      <c r="B145" s="4">
        <v>12.0</v>
      </c>
      <c r="C145" s="4">
        <v>0.610851</v>
      </c>
      <c r="D145" s="4">
        <f t="shared" si="6"/>
        <v>3.910814706</v>
      </c>
      <c r="E145" s="4">
        <v>-0.24552</v>
      </c>
    </row>
    <row r="146" ht="15.75" customHeight="1">
      <c r="A146" s="4">
        <v>0.063674</v>
      </c>
      <c r="B146" s="4">
        <v>12.5</v>
      </c>
      <c r="C146" s="4">
        <v>0.634816</v>
      </c>
      <c r="D146" s="4">
        <f t="shared" si="6"/>
        <v>4.064244388</v>
      </c>
      <c r="E146" s="4">
        <v>-0.270545</v>
      </c>
    </row>
    <row r="147" ht="15.75" customHeight="1">
      <c r="A147" s="4">
        <v>0.068645</v>
      </c>
      <c r="B147" s="4">
        <v>13.0</v>
      </c>
      <c r="C147" s="4">
        <v>0.658603</v>
      </c>
      <c r="D147" s="4">
        <f t="shared" si="6"/>
        <v>4.216534471</v>
      </c>
      <c r="E147" s="4">
        <v>-0.296705</v>
      </c>
    </row>
    <row r="148" ht="15.75" customHeight="1">
      <c r="A148" s="4">
        <v>0.073776</v>
      </c>
      <c r="B148" s="4">
        <v>13.5</v>
      </c>
      <c r="C148" s="4">
        <v>0.682207</v>
      </c>
      <c r="D148" s="4">
        <f t="shared" si="6"/>
        <v>4.367652944</v>
      </c>
      <c r="E148" s="4">
        <v>-0.323993</v>
      </c>
    </row>
    <row r="149" ht="15.75" customHeight="1">
      <c r="A149" s="4">
        <v>0.079061</v>
      </c>
      <c r="B149" s="4">
        <v>14.0</v>
      </c>
      <c r="C149" s="4">
        <v>0.705621</v>
      </c>
      <c r="D149" s="4">
        <f t="shared" si="6"/>
        <v>4.517554991</v>
      </c>
      <c r="E149" s="4">
        <v>-0.3524</v>
      </c>
    </row>
    <row r="150" ht="15.75" customHeight="1">
      <c r="A150" s="4">
        <v>0.084499</v>
      </c>
      <c r="B150" s="4">
        <v>14.5</v>
      </c>
      <c r="C150" s="4">
        <v>0.72884</v>
      </c>
      <c r="D150" s="4">
        <f t="shared" si="6"/>
        <v>4.666208602</v>
      </c>
      <c r="E150" s="4">
        <v>-0.381917</v>
      </c>
    </row>
    <row r="151" ht="15.75" customHeight="1">
      <c r="A151" s="4">
        <v>0.090084</v>
      </c>
      <c r="B151" s="4">
        <v>15.0</v>
      </c>
      <c r="C151" s="4">
        <v>0.751857</v>
      </c>
      <c r="D151" s="4">
        <f t="shared" si="6"/>
        <v>4.81356896</v>
      </c>
      <c r="E151" s="4">
        <v>-0.412536</v>
      </c>
    </row>
    <row r="152" ht="15.75" customHeight="1">
      <c r="A152" s="4">
        <v>0.095812</v>
      </c>
      <c r="B152" s="4">
        <v>15.5</v>
      </c>
      <c r="C152" s="4">
        <v>0.774667</v>
      </c>
      <c r="D152" s="4">
        <f t="shared" si="6"/>
        <v>4.959604054</v>
      </c>
      <c r="E152" s="4">
        <v>-0.444247</v>
      </c>
    </row>
    <row r="153" ht="15.75" customHeight="1">
      <c r="A153" s="4">
        <v>0.101678</v>
      </c>
      <c r="B153" s="4">
        <v>16.0</v>
      </c>
      <c r="C153" s="4">
        <v>0.797264</v>
      </c>
      <c r="D153" s="4">
        <f t="shared" si="6"/>
        <v>5.104275471</v>
      </c>
      <c r="E153" s="4">
        <v>-0.47704</v>
      </c>
    </row>
    <row r="154" ht="15.75" customHeight="1">
      <c r="A154" s="4">
        <v>0.107679</v>
      </c>
      <c r="B154" s="4">
        <v>16.5</v>
      </c>
      <c r="C154" s="4">
        <v>0.819643</v>
      </c>
      <c r="D154" s="4">
        <f t="shared" si="6"/>
        <v>5.2475512</v>
      </c>
      <c r="E154" s="4">
        <v>-0.510905</v>
      </c>
    </row>
    <row r="155" ht="15.75" customHeight="1">
      <c r="A155" s="4">
        <v>0.113809</v>
      </c>
      <c r="B155" s="4">
        <v>17.0</v>
      </c>
      <c r="C155" s="4">
        <v>0.841798</v>
      </c>
      <c r="D155" s="4">
        <f t="shared" si="6"/>
        <v>5.389392828</v>
      </c>
      <c r="E155" s="4">
        <v>-0.545833</v>
      </c>
    </row>
    <row r="156" ht="15.75" customHeight="1">
      <c r="A156" s="4">
        <v>0.120064</v>
      </c>
      <c r="B156" s="4">
        <v>17.5</v>
      </c>
      <c r="C156" s="4">
        <v>0.863724</v>
      </c>
      <c r="D156" s="4">
        <f t="shared" si="6"/>
        <v>5.529768342</v>
      </c>
      <c r="E156" s="4">
        <v>-0.581812</v>
      </c>
    </row>
    <row r="157" ht="15.75" customHeight="1">
      <c r="A157" s="4">
        <v>0.126439</v>
      </c>
      <c r="B157" s="4">
        <v>18.0</v>
      </c>
      <c r="C157" s="4">
        <v>0.885416</v>
      </c>
      <c r="D157" s="4">
        <f t="shared" si="6"/>
        <v>5.668645732</v>
      </c>
      <c r="E157" s="4">
        <v>-0.618831</v>
      </c>
    </row>
    <row r="158" ht="15.75" customHeight="1">
      <c r="A158" s="4">
        <v>0.132929</v>
      </c>
      <c r="B158" s="4">
        <v>18.5</v>
      </c>
      <c r="C158" s="4">
        <v>0.90687</v>
      </c>
      <c r="D158" s="4">
        <f t="shared" si="6"/>
        <v>5.805999389</v>
      </c>
      <c r="E158" s="4">
        <v>-0.65688</v>
      </c>
    </row>
    <row r="159" ht="15.75" customHeight="1">
      <c r="A159" s="4">
        <v>0.139529</v>
      </c>
      <c r="B159" s="4">
        <v>19.0</v>
      </c>
      <c r="C159" s="4">
        <v>0.928079</v>
      </c>
      <c r="D159" s="4">
        <f t="shared" si="6"/>
        <v>5.941784497</v>
      </c>
      <c r="E159" s="4">
        <v>-0.695946</v>
      </c>
    </row>
    <row r="160" ht="15.75" customHeight="1">
      <c r="A160" s="4">
        <v>0.146234</v>
      </c>
      <c r="B160" s="4">
        <v>19.5</v>
      </c>
      <c r="C160" s="4">
        <v>0.94904</v>
      </c>
      <c r="D160" s="4">
        <f t="shared" si="6"/>
        <v>6.07598185</v>
      </c>
      <c r="E160" s="4">
        <v>-0.736018</v>
      </c>
    </row>
    <row r="161" ht="15.75" customHeight="1">
      <c r="A161" s="4">
        <v>0.153038</v>
      </c>
      <c r="B161" s="4">
        <v>20.0</v>
      </c>
      <c r="C161" s="4">
        <v>0.969748</v>
      </c>
      <c r="D161" s="4">
        <f t="shared" si="6"/>
        <v>6.208559436</v>
      </c>
      <c r="E161" s="4">
        <v>-0.777084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2:H2"/>
    <mergeCell ref="L2:T2"/>
    <mergeCell ref="A3:F3"/>
    <mergeCell ref="G3:I3"/>
    <mergeCell ref="M15:V15"/>
    <mergeCell ref="A56:E56"/>
    <mergeCell ref="S57:T57"/>
    <mergeCell ref="F56:I56"/>
    <mergeCell ref="L68:M68"/>
    <mergeCell ref="L69:M69"/>
    <mergeCell ref="L70:M70"/>
    <mergeCell ref="L71:M71"/>
    <mergeCell ref="R73:S74"/>
    <mergeCell ref="R75:S75"/>
    <mergeCell ref="Q127:Q128"/>
    <mergeCell ref="Q129:Q134"/>
    <mergeCell ref="A109:E109"/>
    <mergeCell ref="N110:O110"/>
    <mergeCell ref="N111:O111"/>
    <mergeCell ref="Q121:Q122"/>
    <mergeCell ref="Q124:Q126"/>
    <mergeCell ref="O127:O128"/>
    <mergeCell ref="P127:P128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A3" s="4" t="s">
        <v>4</v>
      </c>
      <c r="B3" s="4" t="s">
        <v>14</v>
      </c>
      <c r="C3" s="4" t="s">
        <v>15</v>
      </c>
      <c r="D3" s="4" t="s">
        <v>159</v>
      </c>
      <c r="E3" s="4" t="s">
        <v>16</v>
      </c>
    </row>
    <row r="4">
      <c r="A4" s="4">
        <v>-20.0</v>
      </c>
      <c r="B4" s="4">
        <v>-0.366692</v>
      </c>
      <c r="C4" s="4">
        <v>0.008661</v>
      </c>
      <c r="D4" s="27">
        <f>C4+'Dados da Aeronave'!$Q$64</f>
        <v>0.03998002113</v>
      </c>
      <c r="E4" s="4">
        <v>-0.318854</v>
      </c>
    </row>
    <row r="5">
      <c r="A5" s="4">
        <v>-19.5</v>
      </c>
      <c r="B5" s="4">
        <v>-0.330143</v>
      </c>
      <c r="C5" s="4">
        <v>0.007057</v>
      </c>
      <c r="D5" s="27">
        <f>C5+'Dados da Aeronave'!$Q$64</f>
        <v>0.03837602113</v>
      </c>
      <c r="E5" s="4">
        <v>-0.319252</v>
      </c>
    </row>
    <row r="6">
      <c r="A6" s="4">
        <v>-19.0</v>
      </c>
      <c r="B6" s="4">
        <v>-0.29348</v>
      </c>
      <c r="C6" s="4">
        <v>0.005613</v>
      </c>
      <c r="D6" s="27">
        <f>C6+'Dados da Aeronave'!$Q$64</f>
        <v>0.03693202113</v>
      </c>
      <c r="E6" s="4">
        <v>-0.319623</v>
      </c>
    </row>
    <row r="7">
      <c r="A7" s="4">
        <v>-18.5</v>
      </c>
      <c r="B7" s="4">
        <v>-0.256711</v>
      </c>
      <c r="C7" s="4">
        <v>0.004331</v>
      </c>
      <c r="D7" s="27">
        <f>C7+'Dados da Aeronave'!$Q$64</f>
        <v>0.03565002113</v>
      </c>
      <c r="E7" s="4">
        <v>-0.319967</v>
      </c>
    </row>
    <row r="8">
      <c r="A8" s="4">
        <v>-18.0</v>
      </c>
      <c r="B8" s="4">
        <v>-0.219843</v>
      </c>
      <c r="C8" s="4">
        <v>0.003212</v>
      </c>
      <c r="D8" s="27">
        <f>C8+'Dados da Aeronave'!$Q$64</f>
        <v>0.03453102113</v>
      </c>
      <c r="E8" s="4">
        <v>-0.320284</v>
      </c>
    </row>
    <row r="9">
      <c r="A9" s="4">
        <v>-17.5</v>
      </c>
      <c r="B9" s="4">
        <v>-0.182883</v>
      </c>
      <c r="C9" s="4">
        <v>0.002261</v>
      </c>
      <c r="D9" s="27">
        <f>C9+'Dados da Aeronave'!$Q$64</f>
        <v>0.03358002113</v>
      </c>
      <c r="E9" s="4">
        <v>-0.320573</v>
      </c>
    </row>
    <row r="10">
      <c r="A10" s="4">
        <v>-17.0</v>
      </c>
      <c r="B10" s="4">
        <v>-0.145838</v>
      </c>
      <c r="C10" s="4">
        <v>0.001477</v>
      </c>
      <c r="D10" s="27">
        <f>C10+'Dados da Aeronave'!$Q$64</f>
        <v>0.03279602113</v>
      </c>
      <c r="E10" s="4">
        <v>-0.320835</v>
      </c>
    </row>
    <row r="11">
      <c r="A11" s="4">
        <v>-16.5</v>
      </c>
      <c r="B11" s="4">
        <v>-0.108717</v>
      </c>
      <c r="C11" s="4">
        <v>8.64E-4</v>
      </c>
      <c r="D11" s="27">
        <f>C11+'Dados da Aeronave'!$Q$64</f>
        <v>0.03218302113</v>
      </c>
      <c r="E11" s="4">
        <v>-0.321069</v>
      </c>
    </row>
    <row r="12">
      <c r="A12" s="4">
        <v>-16.0</v>
      </c>
      <c r="B12" s="4">
        <v>-0.071525</v>
      </c>
      <c r="C12" s="4">
        <v>4.22E-4</v>
      </c>
      <c r="D12" s="27">
        <f>C12+'Dados da Aeronave'!$Q$64</f>
        <v>0.03174102113</v>
      </c>
      <c r="E12" s="4">
        <v>-0.321276</v>
      </c>
    </row>
    <row r="13">
      <c r="A13" s="4">
        <v>-15.5</v>
      </c>
      <c r="B13" s="4">
        <v>-0.03427</v>
      </c>
      <c r="C13" s="4">
        <v>1.54E-4</v>
      </c>
      <c r="D13" s="27">
        <f>C13+'Dados da Aeronave'!$Q$64</f>
        <v>0.03147302113</v>
      </c>
      <c r="E13" s="4">
        <v>-0.321455</v>
      </c>
    </row>
    <row r="14">
      <c r="A14" s="4">
        <v>-15.0</v>
      </c>
      <c r="B14" s="4">
        <v>0.00304</v>
      </c>
      <c r="C14" s="4">
        <v>6.1E-5</v>
      </c>
      <c r="D14" s="27">
        <f>C14+'Dados da Aeronave'!$Q$64</f>
        <v>0.03138002113</v>
      </c>
      <c r="E14" s="4">
        <v>-0.321606</v>
      </c>
    </row>
    <row r="15">
      <c r="A15" s="4">
        <v>-14.5</v>
      </c>
      <c r="B15" s="4">
        <v>0.040397</v>
      </c>
      <c r="C15" s="4">
        <v>1.44E-4</v>
      </c>
      <c r="D15" s="27">
        <f>C15+'Dados da Aeronave'!$Q$64</f>
        <v>0.03146302113</v>
      </c>
      <c r="E15" s="4">
        <v>-0.32173</v>
      </c>
    </row>
    <row r="16">
      <c r="A16" s="4">
        <v>-14.0</v>
      </c>
      <c r="B16" s="4">
        <v>0.077796</v>
      </c>
      <c r="C16" s="4">
        <v>4.05E-4</v>
      </c>
      <c r="D16" s="27">
        <f>C16+'Dados da Aeronave'!$Q$64</f>
        <v>0.03172402113</v>
      </c>
      <c r="E16" s="4">
        <v>-0.321825</v>
      </c>
    </row>
    <row r="17">
      <c r="A17" s="4">
        <v>-13.5</v>
      </c>
      <c r="B17" s="4">
        <v>0.115227</v>
      </c>
      <c r="C17" s="4">
        <v>8.44E-4</v>
      </c>
      <c r="D17" s="27">
        <f>C17+'Dados da Aeronave'!$Q$64</f>
        <v>0.03216302113</v>
      </c>
      <c r="E17" s="4">
        <v>-0.321893</v>
      </c>
    </row>
    <row r="18">
      <c r="A18" s="4">
        <v>-13.0</v>
      </c>
      <c r="B18" s="4">
        <v>0.152683</v>
      </c>
      <c r="C18" s="4">
        <v>0.001462</v>
      </c>
      <c r="D18" s="27">
        <f>C18+'Dados da Aeronave'!$Q$64</f>
        <v>0.03278102113</v>
      </c>
      <c r="E18" s="4">
        <v>-0.321933</v>
      </c>
    </row>
    <row r="19">
      <c r="A19" s="4">
        <v>-12.5</v>
      </c>
      <c r="B19" s="4">
        <v>0.190157</v>
      </c>
      <c r="C19" s="4">
        <v>0.002261</v>
      </c>
      <c r="D19" s="27">
        <f>C19+'Dados da Aeronave'!$Q$64</f>
        <v>0.03358002113</v>
      </c>
      <c r="E19" s="4">
        <v>-0.321945</v>
      </c>
    </row>
    <row r="20">
      <c r="A20" s="4">
        <v>-12.0</v>
      </c>
      <c r="B20" s="4">
        <v>0.227642</v>
      </c>
      <c r="C20" s="4">
        <v>0.003241</v>
      </c>
      <c r="D20" s="27">
        <f>C20+'Dados da Aeronave'!$Q$64</f>
        <v>0.03456002113</v>
      </c>
      <c r="E20" s="4">
        <v>-0.32193</v>
      </c>
    </row>
    <row r="21" ht="15.75" customHeight="1">
      <c r="A21" s="4">
        <v>-11.5</v>
      </c>
      <c r="B21" s="4">
        <v>0.265129</v>
      </c>
      <c r="C21" s="4">
        <v>0.004402</v>
      </c>
      <c r="D21" s="27">
        <f>C21+'Dados da Aeronave'!$Q$64</f>
        <v>0.03572102113</v>
      </c>
      <c r="E21" s="4">
        <v>-0.321886</v>
      </c>
    </row>
    <row r="22" ht="15.75" customHeight="1">
      <c r="A22" s="4">
        <v>-11.0</v>
      </c>
      <c r="B22" s="4">
        <v>0.302611</v>
      </c>
      <c r="C22" s="4">
        <v>0.005744</v>
      </c>
      <c r="D22" s="27">
        <f>C22+'Dados da Aeronave'!$Q$64</f>
        <v>0.03706302113</v>
      </c>
      <c r="E22" s="4">
        <v>-0.321815</v>
      </c>
    </row>
    <row r="23" ht="15.75" customHeight="1">
      <c r="A23" s="4">
        <v>-10.5</v>
      </c>
      <c r="B23" s="4">
        <v>0.34008</v>
      </c>
      <c r="C23" s="4">
        <v>0.007269</v>
      </c>
      <c r="D23" s="27">
        <f>C23+'Dados da Aeronave'!$Q$64</f>
        <v>0.03858802113</v>
      </c>
      <c r="E23" s="4">
        <v>-0.321715</v>
      </c>
    </row>
    <row r="24" ht="15.75" customHeight="1">
      <c r="A24" s="4">
        <v>-10.0</v>
      </c>
      <c r="B24" s="4">
        <v>0.377529</v>
      </c>
      <c r="C24" s="4">
        <v>0.008976</v>
      </c>
      <c r="D24" s="27">
        <f>C24+'Dados da Aeronave'!$Q$64</f>
        <v>0.04029502113</v>
      </c>
      <c r="E24" s="4">
        <v>-0.321588</v>
      </c>
    </row>
    <row r="25" ht="15.75" customHeight="1">
      <c r="A25" s="4">
        <v>-9.5</v>
      </c>
      <c r="B25" s="4">
        <v>0.414951</v>
      </c>
      <c r="C25" s="4">
        <v>0.010865</v>
      </c>
      <c r="D25" s="27">
        <f>C25+'Dados da Aeronave'!$Q$64</f>
        <v>0.04218402113</v>
      </c>
      <c r="E25" s="4">
        <v>-0.321433</v>
      </c>
    </row>
    <row r="26" ht="15.75" customHeight="1">
      <c r="A26" s="4">
        <v>-9.0</v>
      </c>
      <c r="B26" s="4">
        <v>0.452336</v>
      </c>
      <c r="C26" s="4">
        <v>0.012935</v>
      </c>
      <c r="D26" s="27">
        <f>C26+'Dados da Aeronave'!$Q$64</f>
        <v>0.04425402113</v>
      </c>
      <c r="E26" s="4">
        <v>-0.321251</v>
      </c>
    </row>
    <row r="27" ht="15.75" customHeight="1">
      <c r="A27" s="4">
        <v>-8.5</v>
      </c>
      <c r="B27" s="4">
        <v>0.489679</v>
      </c>
      <c r="C27" s="4">
        <v>0.015187</v>
      </c>
      <c r="D27" s="27">
        <f>C27+'Dados da Aeronave'!$Q$64</f>
        <v>0.04650602113</v>
      </c>
      <c r="E27" s="4">
        <v>-0.321041</v>
      </c>
    </row>
    <row r="28" ht="15.75" customHeight="1">
      <c r="A28" s="4">
        <v>-8.0</v>
      </c>
      <c r="B28" s="4">
        <v>0.526971</v>
      </c>
      <c r="C28" s="4">
        <v>0.01762</v>
      </c>
      <c r="D28" s="27">
        <f>C28+'Dados da Aeronave'!$Q$64</f>
        <v>0.04893902113</v>
      </c>
      <c r="E28" s="4">
        <v>-0.320803</v>
      </c>
    </row>
    <row r="29" ht="15.75" customHeight="1">
      <c r="A29" s="4">
        <v>-7.5</v>
      </c>
      <c r="B29" s="4">
        <v>0.564204</v>
      </c>
      <c r="C29" s="4">
        <v>0.020234</v>
      </c>
      <c r="D29" s="27">
        <f>C29+'Dados da Aeronave'!$Q$64</f>
        <v>0.05155302113</v>
      </c>
      <c r="E29" s="4">
        <v>-0.320538</v>
      </c>
    </row>
    <row r="30" ht="15.75" customHeight="1">
      <c r="A30" s="4">
        <v>-7.0</v>
      </c>
      <c r="B30" s="4">
        <v>0.601371</v>
      </c>
      <c r="C30" s="4">
        <v>0.023027</v>
      </c>
      <c r="D30" s="27">
        <f>C30+'Dados da Aeronave'!$Q$64</f>
        <v>0.05434602113</v>
      </c>
      <c r="E30" s="4">
        <v>-0.320245</v>
      </c>
    </row>
    <row r="31" ht="15.75" customHeight="1">
      <c r="A31" s="4">
        <v>-6.5</v>
      </c>
      <c r="B31" s="4">
        <v>0.638465</v>
      </c>
      <c r="C31" s="4">
        <v>0.025999</v>
      </c>
      <c r="D31" s="27">
        <f>C31+'Dados da Aeronave'!$Q$64</f>
        <v>0.05731802113</v>
      </c>
      <c r="E31" s="4">
        <v>-0.319925</v>
      </c>
    </row>
    <row r="32" ht="15.75" customHeight="1">
      <c r="A32" s="4">
        <v>-6.0</v>
      </c>
      <c r="B32" s="4">
        <v>0.675478</v>
      </c>
      <c r="C32" s="4">
        <v>0.029149</v>
      </c>
      <c r="D32" s="27">
        <f>C32+'Dados da Aeronave'!$Q$64</f>
        <v>0.06046802113</v>
      </c>
      <c r="E32" s="4">
        <v>-0.319577</v>
      </c>
    </row>
    <row r="33" ht="15.75" customHeight="1">
      <c r="A33" s="4">
        <v>-5.5</v>
      </c>
      <c r="B33" s="4">
        <v>0.712402</v>
      </c>
      <c r="C33" s="4">
        <v>0.032476</v>
      </c>
      <c r="D33" s="27">
        <f>C33+'Dados da Aeronave'!$Q$64</f>
        <v>0.06379502113</v>
      </c>
      <c r="E33" s="4">
        <v>-0.319203</v>
      </c>
    </row>
    <row r="34" ht="15.75" customHeight="1">
      <c r="A34" s="4">
        <v>-5.0</v>
      </c>
      <c r="B34" s="4">
        <v>0.74923</v>
      </c>
      <c r="C34" s="4">
        <v>0.035978</v>
      </c>
      <c r="D34" s="27">
        <f>C34+'Dados da Aeronave'!$Q$64</f>
        <v>0.06729702113</v>
      </c>
      <c r="E34" s="4">
        <v>-0.318801</v>
      </c>
    </row>
    <row r="35" ht="15.75" customHeight="1">
      <c r="A35" s="4">
        <v>-4.5</v>
      </c>
      <c r="B35" s="4">
        <v>0.785955</v>
      </c>
      <c r="C35" s="4">
        <v>0.039654</v>
      </c>
      <c r="D35" s="27">
        <f>C35+'Dados da Aeronave'!$Q$64</f>
        <v>0.07097302113</v>
      </c>
      <c r="E35" s="4">
        <v>-0.318373</v>
      </c>
    </row>
    <row r="36" ht="15.75" customHeight="1">
      <c r="A36" s="4">
        <v>-4.0</v>
      </c>
      <c r="B36" s="4">
        <v>0.822569</v>
      </c>
      <c r="C36" s="4">
        <v>0.043502</v>
      </c>
      <c r="D36" s="27">
        <f>C36+'Dados da Aeronave'!$Q$64</f>
        <v>0.07482102113</v>
      </c>
      <c r="E36" s="4">
        <v>-0.317917</v>
      </c>
    </row>
    <row r="37" ht="15.75" customHeight="1">
      <c r="A37" s="4">
        <v>-3.5</v>
      </c>
      <c r="B37" s="4">
        <v>0.859064</v>
      </c>
      <c r="C37" s="4">
        <v>0.047521</v>
      </c>
      <c r="D37" s="27">
        <f>C37+'Dados da Aeronave'!$Q$64</f>
        <v>0.07884002113</v>
      </c>
      <c r="E37" s="4">
        <v>-0.317435</v>
      </c>
    </row>
    <row r="38" ht="15.75" customHeight="1">
      <c r="A38" s="4">
        <v>-3.0</v>
      </c>
      <c r="B38" s="4">
        <v>0.895434</v>
      </c>
      <c r="C38" s="4">
        <v>0.051709</v>
      </c>
      <c r="D38" s="27">
        <f>C38+'Dados da Aeronave'!$Q$64</f>
        <v>0.08302802113</v>
      </c>
      <c r="E38" s="4">
        <v>-0.316927</v>
      </c>
    </row>
    <row r="39" ht="15.75" customHeight="1">
      <c r="A39" s="4">
        <v>-2.5</v>
      </c>
      <c r="B39" s="4">
        <v>0.931671</v>
      </c>
      <c r="C39" s="4">
        <v>0.056064</v>
      </c>
      <c r="D39" s="27">
        <f>C39+'Dados da Aeronave'!$Q$64</f>
        <v>0.08738302113</v>
      </c>
      <c r="E39" s="4">
        <v>-0.316392</v>
      </c>
    </row>
    <row r="40" ht="15.75" customHeight="1">
      <c r="A40" s="4">
        <v>-2.0</v>
      </c>
      <c r="B40" s="4">
        <v>0.967768</v>
      </c>
      <c r="C40" s="4">
        <v>0.060584</v>
      </c>
      <c r="D40" s="27">
        <f>C40+'Dados da Aeronave'!$Q$64</f>
        <v>0.09190302113</v>
      </c>
      <c r="E40" s="4">
        <v>-0.315831</v>
      </c>
    </row>
    <row r="41" ht="15.75" customHeight="1">
      <c r="A41" s="4">
        <v>-1.5</v>
      </c>
      <c r="B41" s="4">
        <v>1.003717</v>
      </c>
      <c r="C41" s="4">
        <v>0.065266</v>
      </c>
      <c r="D41" s="27">
        <f>C41+'Dados da Aeronave'!$Q$64</f>
        <v>0.09658502113</v>
      </c>
      <c r="E41" s="4">
        <v>-0.315244</v>
      </c>
    </row>
    <row r="42" ht="15.75" customHeight="1">
      <c r="A42" s="4">
        <v>-1.0</v>
      </c>
      <c r="B42" s="4">
        <v>1.039512</v>
      </c>
      <c r="C42" s="4">
        <v>0.070109</v>
      </c>
      <c r="D42" s="27">
        <f>C42+'Dados da Aeronave'!$Q$64</f>
        <v>0.1014280211</v>
      </c>
      <c r="E42" s="4">
        <v>-0.314631</v>
      </c>
    </row>
    <row r="43" ht="15.75" customHeight="1">
      <c r="A43" s="4">
        <v>-0.5</v>
      </c>
      <c r="B43" s="4">
        <v>1.075146</v>
      </c>
      <c r="C43" s="4">
        <v>0.07511</v>
      </c>
      <c r="D43" s="27">
        <f>C43+'Dados da Aeronave'!$Q$64</f>
        <v>0.1064290211</v>
      </c>
      <c r="E43" s="4">
        <v>-0.313993</v>
      </c>
    </row>
    <row r="44" ht="15.75" customHeight="1">
      <c r="A44" s="4">
        <v>0.0</v>
      </c>
      <c r="B44" s="4">
        <v>1.110612</v>
      </c>
      <c r="C44" s="4">
        <v>0.080265</v>
      </c>
      <c r="D44" s="27">
        <f>C44+'Dados da Aeronave'!$Q$64</f>
        <v>0.1115840211</v>
      </c>
      <c r="E44" s="4">
        <v>-0.313329</v>
      </c>
    </row>
    <row r="45" ht="15.75" customHeight="1">
      <c r="A45" s="4">
        <v>0.5</v>
      </c>
      <c r="B45" s="4">
        <v>1.145902</v>
      </c>
      <c r="C45" s="4">
        <v>0.085574</v>
      </c>
      <c r="D45" s="27">
        <f>C45+'Dados da Aeronave'!$Q$64</f>
        <v>0.1168930211</v>
      </c>
      <c r="E45" s="4">
        <v>-0.31264</v>
      </c>
    </row>
    <row r="46" ht="15.75" customHeight="1">
      <c r="A46" s="4">
        <v>1.0</v>
      </c>
      <c r="B46" s="4">
        <v>1.181011</v>
      </c>
      <c r="C46" s="4">
        <v>0.091032</v>
      </c>
      <c r="D46" s="27">
        <f>C46+'Dados da Aeronave'!$Q$64</f>
        <v>0.1223510211</v>
      </c>
      <c r="E46" s="4">
        <v>-0.311926</v>
      </c>
    </row>
    <row r="47" ht="15.75" customHeight="1">
      <c r="A47" s="4">
        <v>1.5</v>
      </c>
      <c r="B47" s="4">
        <v>1.21593</v>
      </c>
      <c r="C47" s="4">
        <v>0.096637</v>
      </c>
      <c r="D47" s="27">
        <f>C47+'Dados da Aeronave'!$Q$64</f>
        <v>0.1279560211</v>
      </c>
      <c r="E47" s="4">
        <v>-0.311187</v>
      </c>
    </row>
    <row r="48" ht="15.75" customHeight="1">
      <c r="A48" s="4">
        <v>2.0</v>
      </c>
      <c r="B48" s="4">
        <v>1.250655</v>
      </c>
      <c r="C48" s="4">
        <v>0.102385</v>
      </c>
      <c r="D48" s="27">
        <f>C48+'Dados da Aeronave'!$Q$64</f>
        <v>0.1337040211</v>
      </c>
      <c r="E48" s="4">
        <v>-0.310423</v>
      </c>
    </row>
    <row r="49" ht="15.75" customHeight="1">
      <c r="A49" s="4">
        <v>2.5</v>
      </c>
      <c r="B49" s="4">
        <v>1.285177</v>
      </c>
      <c r="C49" s="4">
        <v>0.108274</v>
      </c>
      <c r="D49" s="27">
        <f>C49+'Dados da Aeronave'!$Q$64</f>
        <v>0.1395930211</v>
      </c>
      <c r="E49" s="4">
        <v>-0.309635</v>
      </c>
    </row>
    <row r="50" ht="15.75" customHeight="1">
      <c r="A50" s="4">
        <v>3.0</v>
      </c>
      <c r="B50" s="4">
        <v>1.319491</v>
      </c>
      <c r="C50" s="4">
        <v>0.1143</v>
      </c>
      <c r="D50" s="27">
        <f>C50+'Dados da Aeronave'!$Q$64</f>
        <v>0.1456190211</v>
      </c>
      <c r="E50" s="4">
        <v>-0.308823</v>
      </c>
    </row>
    <row r="51" ht="15.75" customHeight="1">
      <c r="A51" s="4">
        <v>3.5</v>
      </c>
      <c r="B51" s="4">
        <v>1.35359</v>
      </c>
      <c r="C51" s="4">
        <v>0.12046</v>
      </c>
      <c r="D51" s="27">
        <f>C51+'Dados da Aeronave'!$Q$64</f>
        <v>0.1517790211</v>
      </c>
      <c r="E51" s="4">
        <v>-0.307987</v>
      </c>
    </row>
    <row r="52" ht="15.75" customHeight="1">
      <c r="A52" s="4">
        <v>4.0</v>
      </c>
      <c r="B52" s="4">
        <v>1.387468</v>
      </c>
      <c r="C52" s="4">
        <v>0.126751</v>
      </c>
      <c r="D52" s="27">
        <f>C52+'Dados da Aeronave'!$Q$64</f>
        <v>0.1580700211</v>
      </c>
      <c r="E52" s="4">
        <v>-0.307128</v>
      </c>
    </row>
    <row r="53" ht="15.75" customHeight="1">
      <c r="A53" s="4">
        <v>4.5</v>
      </c>
      <c r="B53" s="4">
        <v>1.421119</v>
      </c>
      <c r="C53" s="4">
        <v>0.133168</v>
      </c>
      <c r="D53" s="27">
        <f>C53+'Dados da Aeronave'!$Q$64</f>
        <v>0.1644870211</v>
      </c>
      <c r="E53" s="4">
        <v>-0.306245</v>
      </c>
    </row>
    <row r="54" ht="15.75" customHeight="1">
      <c r="A54" s="4">
        <v>5.0</v>
      </c>
      <c r="B54" s="4">
        <v>1.454536</v>
      </c>
      <c r="C54" s="4">
        <v>0.139708</v>
      </c>
      <c r="D54" s="27">
        <f>C54+'Dados da Aeronave'!$Q$64</f>
        <v>0.1710270211</v>
      </c>
      <c r="E54" s="4">
        <v>-0.305339</v>
      </c>
    </row>
    <row r="55" ht="15.75" customHeight="1">
      <c r="A55" s="4">
        <v>5.5</v>
      </c>
      <c r="B55" s="4">
        <v>1.487714</v>
      </c>
      <c r="C55" s="4">
        <v>0.146367</v>
      </c>
      <c r="D55" s="27">
        <f>C55+'Dados da Aeronave'!$Q$64</f>
        <v>0.1776860211</v>
      </c>
      <c r="E55" s="4">
        <v>-0.30441</v>
      </c>
    </row>
    <row r="56" ht="15.75" customHeight="1">
      <c r="A56" s="4">
        <v>6.0</v>
      </c>
      <c r="B56" s="4">
        <v>1.520647</v>
      </c>
      <c r="C56" s="4">
        <v>0.153141</v>
      </c>
      <c r="D56" s="27">
        <f>C56+'Dados da Aeronave'!$Q$64</f>
        <v>0.1844600211</v>
      </c>
      <c r="E56" s="4">
        <v>-0.303459</v>
      </c>
    </row>
    <row r="57" ht="15.75" customHeight="1">
      <c r="A57" s="4">
        <v>6.5</v>
      </c>
      <c r="B57" s="4">
        <v>1.553329</v>
      </c>
      <c r="C57" s="4">
        <v>0.160027</v>
      </c>
      <c r="D57" s="27">
        <f>C57+'Dados da Aeronave'!$Q$64</f>
        <v>0.1913460211</v>
      </c>
      <c r="E57" s="4">
        <v>-0.302485</v>
      </c>
    </row>
    <row r="58" ht="15.75" customHeight="1">
      <c r="A58" s="4">
        <v>7.0</v>
      </c>
      <c r="B58" s="4">
        <v>1.585754</v>
      </c>
      <c r="C58" s="4">
        <v>0.16702</v>
      </c>
      <c r="D58" s="27">
        <f>C58+'Dados da Aeronave'!$Q$64</f>
        <v>0.1983390211</v>
      </c>
      <c r="E58" s="4">
        <v>-0.301489</v>
      </c>
    </row>
    <row r="59" ht="15.75" customHeight="1">
      <c r="A59" s="4">
        <v>7.5</v>
      </c>
      <c r="B59" s="4">
        <v>1.617917</v>
      </c>
      <c r="C59" s="4">
        <v>0.174115</v>
      </c>
      <c r="D59" s="27">
        <f>C59+'Dados da Aeronave'!$Q$64</f>
        <v>0.2054340211</v>
      </c>
      <c r="E59" s="4">
        <v>-0.300472</v>
      </c>
    </row>
    <row r="60" ht="15.75" customHeight="1">
      <c r="A60" s="4">
        <v>8.0</v>
      </c>
      <c r="B60" s="4">
        <v>1.649812</v>
      </c>
      <c r="C60" s="4">
        <v>0.18131</v>
      </c>
      <c r="D60" s="27">
        <f>C60+'Dados da Aeronave'!$Q$64</f>
        <v>0.2126290211</v>
      </c>
      <c r="E60" s="4">
        <v>-0.299434</v>
      </c>
    </row>
    <row r="61" ht="15.75" customHeight="1">
      <c r="A61" s="4">
        <v>8.5</v>
      </c>
      <c r="B61" s="4">
        <v>1.681435</v>
      </c>
      <c r="C61" s="4">
        <v>0.188598</v>
      </c>
      <c r="D61" s="27">
        <f>C61+'Dados da Aeronave'!$Q$64</f>
        <v>0.2199170211</v>
      </c>
      <c r="E61" s="4">
        <v>-0.298374</v>
      </c>
    </row>
    <row r="62" ht="15.75" customHeight="1">
      <c r="A62" s="4">
        <v>9.0</v>
      </c>
      <c r="B62" s="4">
        <v>1.712779</v>
      </c>
      <c r="C62" s="4">
        <v>0.195977</v>
      </c>
      <c r="D62" s="27">
        <f>C62+'Dados da Aeronave'!$Q$64</f>
        <v>0.2272960211</v>
      </c>
      <c r="E62" s="4">
        <v>-0.297294</v>
      </c>
    </row>
    <row r="63" ht="15.75" customHeight="1">
      <c r="A63" s="4">
        <v>9.5</v>
      </c>
      <c r="B63" s="4">
        <v>1.74384</v>
      </c>
      <c r="C63" s="4">
        <v>0.20344</v>
      </c>
      <c r="D63" s="27">
        <f>C63+'Dados da Aeronave'!$Q$64</f>
        <v>0.2347590211</v>
      </c>
      <c r="E63" s="4">
        <v>-0.296193</v>
      </c>
    </row>
    <row r="64" ht="15.75" customHeight="1">
      <c r="A64" s="4">
        <v>10.0</v>
      </c>
      <c r="B64" s="4">
        <v>1.774613</v>
      </c>
      <c r="C64" s="4">
        <v>0.210985</v>
      </c>
      <c r="D64" s="27">
        <f>C64+'Dados da Aeronave'!$Q$64</f>
        <v>0.2423040211</v>
      </c>
      <c r="E64" s="4">
        <v>-0.295073</v>
      </c>
    </row>
    <row r="65" ht="15.75" customHeight="1">
      <c r="A65" s="4">
        <v>10.5</v>
      </c>
      <c r="B65" s="4">
        <v>1.805093</v>
      </c>
      <c r="C65" s="4">
        <v>0.218605</v>
      </c>
      <c r="D65" s="27">
        <f>C65+'Dados da Aeronave'!$Q$64</f>
        <v>0.2499240211</v>
      </c>
      <c r="E65" s="4">
        <v>-0.293932</v>
      </c>
    </row>
    <row r="66" ht="15.75" customHeight="1">
      <c r="A66" s="4">
        <v>11.0</v>
      </c>
      <c r="B66" s="4">
        <v>1.835275</v>
      </c>
      <c r="C66" s="4">
        <v>0.226297</v>
      </c>
      <c r="D66" s="27">
        <f>C66+'Dados da Aeronave'!$Q$64</f>
        <v>0.2576160211</v>
      </c>
      <c r="E66" s="4">
        <v>-0.292773</v>
      </c>
    </row>
    <row r="67" ht="15.75" customHeight="1">
      <c r="A67" s="4">
        <v>11.5</v>
      </c>
      <c r="B67" s="4">
        <v>1.865155</v>
      </c>
      <c r="C67" s="4">
        <v>0.234055</v>
      </c>
      <c r="D67" s="27">
        <f>C67+'Dados da Aeronave'!$Q$64</f>
        <v>0.2653740211</v>
      </c>
      <c r="E67" s="4">
        <v>-0.291594</v>
      </c>
    </row>
    <row r="68" ht="15.75" customHeight="1">
      <c r="A68" s="4">
        <v>12.0</v>
      </c>
      <c r="B68" s="4">
        <v>1.894729</v>
      </c>
      <c r="C68" s="4">
        <v>0.241875</v>
      </c>
      <c r="D68" s="27">
        <f>C68+'Dados da Aeronave'!$Q$64</f>
        <v>0.2731940211</v>
      </c>
      <c r="E68" s="4">
        <v>-0.290397</v>
      </c>
    </row>
    <row r="69" ht="15.75" customHeight="1">
      <c r="A69" s="4">
        <v>12.5</v>
      </c>
      <c r="B69" s="4">
        <v>1.923991</v>
      </c>
      <c r="C69" s="4">
        <v>0.249751</v>
      </c>
      <c r="D69" s="27">
        <f>C69+'Dados da Aeronave'!$Q$64</f>
        <v>0.2810700211</v>
      </c>
      <c r="E69" s="4">
        <v>-0.289181</v>
      </c>
    </row>
    <row r="70" ht="15.75" customHeight="1">
      <c r="A70" s="4">
        <v>13.0</v>
      </c>
      <c r="B70" s="4">
        <v>1.952939</v>
      </c>
      <c r="C70" s="4">
        <v>0.257679</v>
      </c>
      <c r="D70" s="27">
        <f>C70+'Dados da Aeronave'!$Q$64</f>
        <v>0.2889980211</v>
      </c>
      <c r="E70" s="4">
        <v>-0.287948</v>
      </c>
    </row>
    <row r="71" ht="15.75" customHeight="1">
      <c r="A71" s="4">
        <v>13.5</v>
      </c>
      <c r="B71" s="4">
        <v>1.981568</v>
      </c>
      <c r="C71" s="4">
        <v>0.265654</v>
      </c>
      <c r="D71" s="27">
        <f>C71+'Dados da Aeronave'!$Q$64</f>
        <v>0.2969730211</v>
      </c>
      <c r="E71" s="4">
        <v>-0.286697</v>
      </c>
    </row>
    <row r="72" ht="15.75" customHeight="1">
      <c r="A72" s="4">
        <v>14.0</v>
      </c>
      <c r="B72" s="4">
        <v>2.009873</v>
      </c>
      <c r="C72" s="4">
        <v>0.273671</v>
      </c>
      <c r="D72" s="27">
        <f>C72+'Dados da Aeronave'!$Q$64</f>
        <v>0.3049900211</v>
      </c>
      <c r="E72" s="4">
        <v>-0.285429</v>
      </c>
    </row>
    <row r="73" ht="15.75" customHeight="1">
      <c r="A73" s="4">
        <v>14.5</v>
      </c>
      <c r="B73" s="4">
        <v>2.037853</v>
      </c>
      <c r="C73" s="4">
        <v>0.281723</v>
      </c>
      <c r="D73" s="27">
        <f>C73+'Dados da Aeronave'!$Q$64</f>
        <v>0.3130420211</v>
      </c>
      <c r="E73" s="4">
        <v>-0.284144</v>
      </c>
    </row>
    <row r="74" ht="15.75" customHeight="1">
      <c r="A74" s="4">
        <v>15.0</v>
      </c>
      <c r="B74" s="4">
        <v>2.065502</v>
      </c>
      <c r="C74" s="4">
        <v>0.289807</v>
      </c>
      <c r="D74" s="27">
        <f>C74+'Dados da Aeronave'!$Q$64</f>
        <v>0.3211260211</v>
      </c>
      <c r="E74" s="4">
        <v>-0.282843</v>
      </c>
    </row>
    <row r="75" ht="15.75" customHeight="1">
      <c r="A75" s="4">
        <v>15.5</v>
      </c>
      <c r="B75" s="4">
        <v>2.092818</v>
      </c>
      <c r="C75" s="4">
        <v>0.297917</v>
      </c>
      <c r="D75" s="27">
        <f>C75+'Dados da Aeronave'!$Q$64</f>
        <v>0.3292360211</v>
      </c>
      <c r="E75" s="4">
        <v>-0.281526</v>
      </c>
    </row>
    <row r="76" ht="15.75" customHeight="1">
      <c r="A76" s="4">
        <v>16.0</v>
      </c>
      <c r="B76" s="4">
        <v>2.119796</v>
      </c>
      <c r="C76" s="4">
        <v>0.306048</v>
      </c>
      <c r="D76" s="27">
        <f>C76+'Dados da Aeronave'!$Q$64</f>
        <v>0.3373670211</v>
      </c>
      <c r="E76" s="4">
        <v>-0.280193</v>
      </c>
    </row>
    <row r="77" ht="15.75" customHeight="1">
      <c r="A77" s="4">
        <v>16.5</v>
      </c>
      <c r="B77" s="4">
        <v>2.146435</v>
      </c>
      <c r="C77" s="4">
        <v>0.314195</v>
      </c>
      <c r="D77" s="27">
        <f>C77+'Dados da Aeronave'!$Q$64</f>
        <v>0.3455140211</v>
      </c>
      <c r="E77" s="4">
        <v>-0.278845</v>
      </c>
    </row>
    <row r="78" ht="15.75" customHeight="1">
      <c r="A78" s="4">
        <v>17.0</v>
      </c>
      <c r="B78" s="4">
        <v>2.172731</v>
      </c>
      <c r="C78" s="4">
        <v>0.322351</v>
      </c>
      <c r="D78" s="27">
        <f>C78+'Dados da Aeronave'!$Q$64</f>
        <v>0.3536700211</v>
      </c>
      <c r="E78" s="4">
        <v>-0.277483</v>
      </c>
    </row>
    <row r="79" ht="15.75" customHeight="1">
      <c r="A79" s="4">
        <v>17.5</v>
      </c>
      <c r="B79" s="4">
        <v>2.198681</v>
      </c>
      <c r="C79" s="4">
        <v>0.330513</v>
      </c>
      <c r="D79" s="27">
        <f>C79+'Dados da Aeronave'!$Q$64</f>
        <v>0.3618320211</v>
      </c>
      <c r="E79" s="4">
        <v>-0.276106</v>
      </c>
    </row>
    <row r="80" ht="15.75" customHeight="1">
      <c r="A80" s="4">
        <v>18.0</v>
      </c>
      <c r="B80" s="4">
        <v>2.224283</v>
      </c>
      <c r="C80" s="4">
        <v>0.338674</v>
      </c>
      <c r="D80" s="27">
        <f>C80+'Dados da Aeronave'!$Q$64</f>
        <v>0.3699930211</v>
      </c>
      <c r="E80" s="4">
        <v>-0.274715</v>
      </c>
    </row>
    <row r="81" ht="15.75" customHeight="1">
      <c r="A81" s="4">
        <v>18.5</v>
      </c>
      <c r="B81" s="4">
        <v>2.249533</v>
      </c>
      <c r="C81" s="4">
        <v>0.346829</v>
      </c>
      <c r="D81" s="27">
        <f>C81+'Dados da Aeronave'!$Q$64</f>
        <v>0.3781480211</v>
      </c>
      <c r="E81" s="4">
        <v>-0.273311</v>
      </c>
    </row>
    <row r="82" ht="15.75" customHeight="1">
      <c r="A82" s="4">
        <v>19.0</v>
      </c>
      <c r="B82" s="4">
        <v>2.274431</v>
      </c>
      <c r="C82" s="4">
        <v>0.354972</v>
      </c>
      <c r="D82" s="27">
        <f>C82+'Dados da Aeronave'!$Q$64</f>
        <v>0.3862910211</v>
      </c>
      <c r="E82" s="4">
        <v>-0.271893</v>
      </c>
    </row>
    <row r="83" ht="15.75" customHeight="1">
      <c r="A83" s="4">
        <v>19.5</v>
      </c>
      <c r="B83" s="4">
        <v>2.298972</v>
      </c>
      <c r="C83" s="4">
        <v>0.3631</v>
      </c>
      <c r="D83" s="27">
        <f>C83+'Dados da Aeronave'!$Q$64</f>
        <v>0.3944190211</v>
      </c>
      <c r="E83" s="4">
        <v>-0.270463</v>
      </c>
    </row>
    <row r="84" ht="15.75" customHeight="1">
      <c r="A84" s="4">
        <v>20.0</v>
      </c>
      <c r="B84" s="4">
        <v>2.323156</v>
      </c>
      <c r="C84" s="4">
        <v>0.371205</v>
      </c>
      <c r="D84" s="27">
        <f>C84+'Dados da Aeronave'!$Q$64</f>
        <v>0.4025240211</v>
      </c>
      <c r="E84" s="4">
        <v>-0.269021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3.86"/>
    <col customWidth="1" min="3" max="3" width="13.43"/>
    <col customWidth="1" min="4" max="4" width="11.29"/>
    <col customWidth="1" min="5" max="26" width="8.71"/>
  </cols>
  <sheetData>
    <row r="3">
      <c r="B3" s="67" t="s">
        <v>160</v>
      </c>
      <c r="C3" s="67" t="s">
        <v>161</v>
      </c>
      <c r="D3" s="67" t="s">
        <v>162</v>
      </c>
    </row>
    <row r="4">
      <c r="B4" s="68" t="s">
        <v>163</v>
      </c>
      <c r="C4" s="4" t="s">
        <v>164</v>
      </c>
      <c r="D4" s="22">
        <f>'Dados da Aeronave'!R7</f>
        <v>4.900768651</v>
      </c>
    </row>
    <row r="5">
      <c r="B5" s="68" t="s">
        <v>165</v>
      </c>
      <c r="C5" s="4" t="s">
        <v>166</v>
      </c>
      <c r="D5" s="69">
        <f>'Dados da Aeronave'!R13</f>
        <v>0.2881569878</v>
      </c>
    </row>
    <row r="6">
      <c r="B6" s="68" t="s">
        <v>167</v>
      </c>
      <c r="C6" s="4" t="s">
        <v>166</v>
      </c>
      <c r="D6" s="70">
        <f>'Dados da Aeronave'!M13</f>
        <v>-0.30292</v>
      </c>
    </row>
    <row r="7">
      <c r="B7" s="68" t="s">
        <v>168</v>
      </c>
      <c r="C7" s="4" t="s">
        <v>166</v>
      </c>
      <c r="D7" s="70">
        <f>'Dados da Aeronave'!T10</f>
        <v>0.891394</v>
      </c>
    </row>
    <row r="8">
      <c r="B8" s="68" t="s">
        <v>169</v>
      </c>
      <c r="C8" s="4" t="s">
        <v>166</v>
      </c>
      <c r="D8" s="70">
        <f>'Dados da Aeronave'!R20</f>
        <v>0.4798000833</v>
      </c>
    </row>
    <row r="9">
      <c r="B9" s="68" t="s">
        <v>170</v>
      </c>
      <c r="C9" s="4" t="s">
        <v>164</v>
      </c>
      <c r="D9" s="70">
        <f>'Dados da Aeronave'!S20</f>
        <v>4.66300627</v>
      </c>
    </row>
    <row r="10">
      <c r="B10" s="68" t="s">
        <v>171</v>
      </c>
      <c r="C10" s="4" t="s">
        <v>166</v>
      </c>
      <c r="D10" s="22">
        <f>'Dados da Aeronave'!V13</f>
        <v>0.1149027819</v>
      </c>
    </row>
    <row r="11">
      <c r="B11" s="68" t="s">
        <v>172</v>
      </c>
      <c r="C11" s="4" t="s">
        <v>173</v>
      </c>
      <c r="D11" s="22">
        <f>'Dados da Aeronave'!U10</f>
        <v>0</v>
      </c>
    </row>
    <row r="12">
      <c r="B12" s="68" t="s">
        <v>174</v>
      </c>
      <c r="C12" s="4" t="s">
        <v>173</v>
      </c>
      <c r="D12" s="22">
        <f>'Dados da Aeronave'!S23</f>
        <v>0</v>
      </c>
    </row>
    <row r="13">
      <c r="B13" s="68" t="s">
        <v>175</v>
      </c>
      <c r="C13" s="4" t="s">
        <v>173</v>
      </c>
      <c r="D13" s="22">
        <f>'Dados da Aeronave'!P13</f>
        <v>0.05745139096</v>
      </c>
    </row>
    <row r="14">
      <c r="B14" s="68" t="s">
        <v>176</v>
      </c>
      <c r="C14" s="4" t="s">
        <v>166</v>
      </c>
      <c r="D14" s="22">
        <f>'Dados da Aeronave'!R23</f>
        <v>-0.408531</v>
      </c>
    </row>
    <row r="15">
      <c r="B15" s="68" t="s">
        <v>177</v>
      </c>
      <c r="C15" s="4" t="s">
        <v>178</v>
      </c>
      <c r="D15" s="22">
        <f>'Dados da Aeronave'!Q17</f>
        <v>0.2</v>
      </c>
    </row>
    <row r="16">
      <c r="B16" s="68" t="s">
        <v>179</v>
      </c>
      <c r="C16" s="4" t="s">
        <v>178</v>
      </c>
      <c r="D16" s="22">
        <f>'Dados da Aeronave'!P20</f>
        <v>1.2</v>
      </c>
    </row>
    <row r="17">
      <c r="B17" s="68" t="s">
        <v>180</v>
      </c>
      <c r="C17" s="4" t="s">
        <v>166</v>
      </c>
      <c r="D17" s="70">
        <f>'Dados da Aeronave'!T23</f>
        <v>0.122146</v>
      </c>
    </row>
    <row r="18">
      <c r="B18" s="68" t="s">
        <v>181</v>
      </c>
      <c r="C18" s="4" t="s">
        <v>182</v>
      </c>
      <c r="D18" s="70">
        <f>'Dados da Aeronave'!Q7+'Dados da Aeronave'!Q13</f>
        <v>0.98</v>
      </c>
    </row>
    <row r="19">
      <c r="B19" s="68" t="s">
        <v>183</v>
      </c>
      <c r="C19" s="4" t="s">
        <v>178</v>
      </c>
      <c r="D19" s="70">
        <f>'Dados da Aeronave'!N4</f>
        <v>0.4083333333</v>
      </c>
    </row>
    <row r="20">
      <c r="B20" s="68" t="s">
        <v>184</v>
      </c>
      <c r="C20" s="4" t="s">
        <v>185</v>
      </c>
      <c r="D20" s="22">
        <f>'Dados da Aeronave'!T66</f>
        <v>0.02504638219</v>
      </c>
    </row>
    <row r="21" ht="15.75" customHeight="1">
      <c r="B21" s="68" t="s">
        <v>186</v>
      </c>
      <c r="C21" s="4" t="s">
        <v>187</v>
      </c>
      <c r="D21" s="22">
        <f>'Dados da Aeronave'!T67</f>
        <v>2.850167756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85.71"/>
    <col customWidth="1" min="3" max="3" width="13.43"/>
    <col customWidth="1" min="4" max="4" width="12.14"/>
    <col customWidth="1" min="5" max="26" width="8.71"/>
  </cols>
  <sheetData>
    <row r="2">
      <c r="B2" s="15" t="s">
        <v>160</v>
      </c>
      <c r="C2" s="15" t="s">
        <v>161</v>
      </c>
      <c r="D2" s="15" t="s">
        <v>162</v>
      </c>
    </row>
    <row r="3">
      <c r="B3" s="68" t="s">
        <v>188</v>
      </c>
      <c r="C3" s="4" t="s">
        <v>189</v>
      </c>
      <c r="D3" s="22">
        <v>9.81</v>
      </c>
    </row>
    <row r="4">
      <c r="A4" s="71" t="s">
        <v>190</v>
      </c>
      <c r="B4" s="68" t="s">
        <v>191</v>
      </c>
      <c r="C4" s="4" t="s">
        <v>182</v>
      </c>
      <c r="D4" s="72">
        <f>'Dados da Aeronave'!Q7+'Dados da Aeronave'!Q13</f>
        <v>0.98</v>
      </c>
    </row>
    <row r="5">
      <c r="A5" s="71" t="s">
        <v>190</v>
      </c>
      <c r="B5" s="68" t="s">
        <v>192</v>
      </c>
      <c r="C5" s="4" t="s">
        <v>182</v>
      </c>
      <c r="D5" s="73">
        <f>'Dados da Aeronave'!Q20</f>
        <v>0.16</v>
      </c>
    </row>
    <row r="6">
      <c r="A6" s="71" t="s">
        <v>190</v>
      </c>
      <c r="B6" s="68" t="s">
        <v>193</v>
      </c>
      <c r="C6" s="4" t="s">
        <v>182</v>
      </c>
      <c r="D6" s="22">
        <f>'Dados da Aeronave'!T64</f>
        <v>0.045</v>
      </c>
    </row>
    <row r="7">
      <c r="B7" s="68" t="s">
        <v>194</v>
      </c>
      <c r="C7" s="4" t="s">
        <v>195</v>
      </c>
      <c r="D7" s="70">
        <f>'Dados da Aeronave'!T10</f>
        <v>0.891394</v>
      </c>
    </row>
    <row r="8">
      <c r="B8" s="68" t="s">
        <v>196</v>
      </c>
      <c r="C8" s="4" t="s">
        <v>195</v>
      </c>
      <c r="D8" s="22">
        <f>'Dados da Aeronave'!R23</f>
        <v>-0.408531</v>
      </c>
    </row>
    <row r="9">
      <c r="B9" s="68" t="s">
        <v>197</v>
      </c>
      <c r="C9" s="4" t="s">
        <v>195</v>
      </c>
      <c r="D9" s="74">
        <f>'Dados da Aeronave'!O58</f>
        <v>0.02031918427</v>
      </c>
    </row>
    <row r="10">
      <c r="A10" s="71" t="s">
        <v>198</v>
      </c>
      <c r="B10" s="68" t="s">
        <v>199</v>
      </c>
      <c r="C10" s="4" t="s">
        <v>195</v>
      </c>
      <c r="D10" s="42">
        <f>'Dados da Aeronave'!L64</f>
        <v>0.0079</v>
      </c>
    </row>
    <row r="11">
      <c r="B11" s="68" t="s">
        <v>200</v>
      </c>
      <c r="C11" s="4" t="s">
        <v>195</v>
      </c>
      <c r="D11" s="42">
        <f>'Dados da Aeronave'!Q64</f>
        <v>0.03131902113</v>
      </c>
    </row>
    <row r="12">
      <c r="B12" s="68" t="s">
        <v>201</v>
      </c>
      <c r="C12" s="4" t="s">
        <v>195</v>
      </c>
      <c r="D12" s="70">
        <f>'Dados da Aeronave'!S13</f>
        <v>0.09519739308</v>
      </c>
    </row>
    <row r="13">
      <c r="B13" s="68" t="s">
        <v>202</v>
      </c>
      <c r="C13" s="4" t="s">
        <v>195</v>
      </c>
      <c r="D13" s="75">
        <f>'Dados da Aeronave'!L60</f>
        <v>0.1135529149</v>
      </c>
    </row>
    <row r="14">
      <c r="B14" s="68" t="s">
        <v>203</v>
      </c>
      <c r="C14" s="4" t="s">
        <v>195</v>
      </c>
      <c r="D14" s="4" t="s">
        <v>204</v>
      </c>
    </row>
    <row r="15">
      <c r="B15" s="68" t="s">
        <v>205</v>
      </c>
      <c r="C15" s="4" t="s">
        <v>206</v>
      </c>
      <c r="D15" s="22">
        <v>1.11132</v>
      </c>
    </row>
    <row r="16">
      <c r="B16" s="68" t="s">
        <v>207</v>
      </c>
      <c r="C16" s="4" t="s">
        <v>164</v>
      </c>
      <c r="D16" s="22">
        <f>'Dados da Aeronave'!R7</f>
        <v>4.900768651</v>
      </c>
    </row>
    <row r="17">
      <c r="B17" s="68" t="s">
        <v>208</v>
      </c>
      <c r="C17" s="4" t="s">
        <v>195</v>
      </c>
      <c r="D17" s="72">
        <f>'Dados da Aeronave'!D41</f>
        <v>1.767838</v>
      </c>
    </row>
    <row r="18">
      <c r="B18" s="68" t="s">
        <v>209</v>
      </c>
      <c r="C18" s="4" t="s">
        <v>195</v>
      </c>
      <c r="D18" s="72">
        <f>'Dados da Aeronave'!B41</f>
        <v>0.193866</v>
      </c>
    </row>
    <row r="19">
      <c r="B19" s="68" t="s">
        <v>210</v>
      </c>
      <c r="C19" s="4" t="s">
        <v>164</v>
      </c>
      <c r="D19" s="70">
        <f>'Dados da Aeronave'!S20</f>
        <v>4.66300627</v>
      </c>
    </row>
    <row r="20">
      <c r="B20" s="68" t="s">
        <v>211</v>
      </c>
      <c r="C20" s="4" t="s">
        <v>195</v>
      </c>
      <c r="D20" s="76">
        <f>'Dados da Aeronave'!C94</f>
        <v>0.439921</v>
      </c>
    </row>
    <row r="21" ht="15.75" customHeight="1">
      <c r="B21" s="68" t="s">
        <v>212</v>
      </c>
      <c r="C21" s="4" t="s">
        <v>195</v>
      </c>
      <c r="D21" s="76">
        <f>'Dados da Aeronave'!A94</f>
        <v>0.015028</v>
      </c>
    </row>
    <row r="22" ht="15.75" customHeight="1">
      <c r="B22" s="68" t="s">
        <v>213</v>
      </c>
      <c r="C22" s="4" t="s">
        <v>195</v>
      </c>
      <c r="D22" s="22">
        <f>'Dados da Aeronave'!D35</f>
        <v>1.57945</v>
      </c>
    </row>
    <row r="23" ht="15.75" customHeight="1"/>
    <row r="24" ht="15.75" customHeight="1"/>
    <row r="25" ht="15.75" customHeight="1"/>
    <row r="26" ht="15.75" customHeight="1"/>
    <row r="27" ht="15.75" customHeight="1">
      <c r="B27" s="77" t="s">
        <v>214</v>
      </c>
    </row>
    <row r="28" ht="15.75" customHeight="1"/>
    <row r="29" ht="15.75" customHeight="1">
      <c r="B29" s="15" t="s">
        <v>160</v>
      </c>
      <c r="C29" s="15" t="s">
        <v>161</v>
      </c>
      <c r="D29" s="15" t="s">
        <v>162</v>
      </c>
    </row>
    <row r="30" ht="15.75" customHeight="1">
      <c r="B30" s="68" t="s">
        <v>188</v>
      </c>
      <c r="C30" s="4" t="s">
        <v>189</v>
      </c>
      <c r="D30" s="22">
        <v>9.81</v>
      </c>
    </row>
    <row r="31" ht="15.75" customHeight="1">
      <c r="A31" s="71" t="s">
        <v>190</v>
      </c>
      <c r="B31" s="78" t="s">
        <v>215</v>
      </c>
      <c r="C31" s="4" t="s">
        <v>182</v>
      </c>
      <c r="D31" s="79">
        <v>1.38</v>
      </c>
    </row>
    <row r="32" ht="15.75" customHeight="1">
      <c r="A32" s="71" t="s">
        <v>190</v>
      </c>
      <c r="B32" s="68" t="s">
        <v>192</v>
      </c>
      <c r="C32" s="4" t="s">
        <v>182</v>
      </c>
      <c r="D32" s="73" t="str">
        <f>'Dados da Aeronave'!Q47</f>
        <v/>
      </c>
    </row>
    <row r="33" ht="15.75" customHeight="1">
      <c r="A33" s="71" t="s">
        <v>190</v>
      </c>
      <c r="B33" s="68" t="s">
        <v>193</v>
      </c>
      <c r="C33" s="4" t="s">
        <v>182</v>
      </c>
      <c r="D33" s="22" t="str">
        <f>'Dados da Aeronave'!T91</f>
        <v/>
      </c>
    </row>
    <row r="34" ht="15.75" customHeight="1">
      <c r="B34" s="68" t="s">
        <v>194</v>
      </c>
      <c r="C34" s="4" t="s">
        <v>195</v>
      </c>
      <c r="D34" s="80">
        <v>0.832</v>
      </c>
    </row>
    <row r="35" ht="15.75" customHeight="1">
      <c r="B35" s="68" t="s">
        <v>196</v>
      </c>
      <c r="C35" s="4" t="s">
        <v>195</v>
      </c>
      <c r="D35" s="22" t="str">
        <f>'Dados da Aeronave'!R50</f>
        <v/>
      </c>
    </row>
    <row r="36" ht="15.75" customHeight="1">
      <c r="B36" s="68" t="s">
        <v>197</v>
      </c>
      <c r="C36" s="4" t="s">
        <v>195</v>
      </c>
      <c r="D36" s="76" t="str">
        <f>'Dados da Aeronave'!O85</f>
        <v/>
      </c>
    </row>
    <row r="37" ht="15.75" customHeight="1">
      <c r="A37" s="71" t="s">
        <v>198</v>
      </c>
      <c r="B37" s="68" t="s">
        <v>199</v>
      </c>
      <c r="C37" s="4" t="s">
        <v>195</v>
      </c>
      <c r="D37" s="42" t="str">
        <f>'Dados da Aeronave'!L91</f>
        <v/>
      </c>
    </row>
    <row r="38" ht="15.75" customHeight="1">
      <c r="B38" s="68" t="s">
        <v>200</v>
      </c>
      <c r="C38" s="4" t="s">
        <v>195</v>
      </c>
      <c r="D38" s="80">
        <v>251.4223</v>
      </c>
    </row>
    <row r="39" ht="15.75" customHeight="1">
      <c r="B39" s="68" t="s">
        <v>201</v>
      </c>
      <c r="C39" s="4" t="s">
        <v>195</v>
      </c>
      <c r="D39" s="22" t="str">
        <f>'Dados da Aeronave'!S40</f>
        <v/>
      </c>
    </row>
    <row r="40" ht="15.75" customHeight="1">
      <c r="B40" s="68" t="s">
        <v>202</v>
      </c>
      <c r="C40" s="4" t="s">
        <v>195</v>
      </c>
      <c r="D40" s="22" t="str">
        <f>'Dados da Aeronave'!L87</f>
        <v/>
      </c>
    </row>
    <row r="41" ht="15.75" customHeight="1">
      <c r="B41" s="68" t="s">
        <v>216</v>
      </c>
      <c r="C41" s="4" t="s">
        <v>195</v>
      </c>
      <c r="D41" s="4" t="s">
        <v>204</v>
      </c>
    </row>
    <row r="42" ht="15.75" customHeight="1">
      <c r="B42" s="68" t="s">
        <v>217</v>
      </c>
      <c r="C42" s="4" t="s">
        <v>206</v>
      </c>
      <c r="D42" s="22">
        <v>1.11132</v>
      </c>
    </row>
    <row r="43" ht="15.75" customHeight="1">
      <c r="B43" s="68" t="s">
        <v>207</v>
      </c>
      <c r="C43" s="4" t="s">
        <v>164</v>
      </c>
      <c r="D43" s="80">
        <v>0.00106</v>
      </c>
    </row>
    <row r="44" ht="15.75" customHeight="1">
      <c r="B44" s="68" t="s">
        <v>208</v>
      </c>
      <c r="C44" s="4" t="s">
        <v>195</v>
      </c>
      <c r="D44" s="81">
        <v>1.62</v>
      </c>
    </row>
    <row r="45" ht="15.75" customHeight="1">
      <c r="B45" s="68" t="s">
        <v>209</v>
      </c>
      <c r="C45" s="4" t="s">
        <v>195</v>
      </c>
      <c r="D45" s="81">
        <v>0.199</v>
      </c>
    </row>
    <row r="46" ht="15.75" customHeight="1">
      <c r="B46" s="68" t="s">
        <v>210</v>
      </c>
      <c r="C46" s="4" t="s">
        <v>164</v>
      </c>
      <c r="D46" s="70" t="str">
        <f>'Dados da Aeronave'!S47</f>
        <v/>
      </c>
    </row>
    <row r="47" ht="15.75" customHeight="1">
      <c r="B47" s="68" t="s">
        <v>211</v>
      </c>
      <c r="C47" s="4" t="s">
        <v>195</v>
      </c>
      <c r="D47" s="76">
        <f>'Dados da Aeronave'!C121</f>
        <v>0</v>
      </c>
    </row>
    <row r="48" ht="15.75" customHeight="1">
      <c r="B48" s="68" t="s">
        <v>212</v>
      </c>
      <c r="C48" s="4" t="s">
        <v>195</v>
      </c>
      <c r="D48" s="76">
        <f>'Dados da Aeronave'!A121</f>
        <v>0</v>
      </c>
    </row>
    <row r="49" ht="15.75" customHeight="1">
      <c r="B49" s="68" t="s">
        <v>213</v>
      </c>
      <c r="C49" s="4" t="s">
        <v>195</v>
      </c>
      <c r="D49" s="80">
        <v>1.685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B2" s="82"/>
      <c r="C2" s="82"/>
      <c r="D2" s="82"/>
      <c r="E2" s="82"/>
      <c r="F2" s="82"/>
    </row>
    <row r="3">
      <c r="B3" s="82"/>
      <c r="C3" s="82"/>
      <c r="D3" s="82"/>
      <c r="E3" s="82"/>
      <c r="F3" s="82"/>
    </row>
    <row r="4">
      <c r="B4" s="82"/>
      <c r="C4" s="82"/>
      <c r="D4" s="82"/>
      <c r="E4" s="82"/>
      <c r="F4" s="82"/>
    </row>
    <row r="5">
      <c r="B5" s="82"/>
      <c r="C5" s="82"/>
      <c r="D5" s="82"/>
      <c r="E5" s="82"/>
      <c r="F5" s="82"/>
    </row>
    <row r="6">
      <c r="B6" s="82"/>
      <c r="C6" s="82"/>
      <c r="D6" s="82"/>
      <c r="E6" s="82"/>
      <c r="F6" s="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43"/>
    <col customWidth="1" min="3" max="3" width="40.43"/>
    <col customWidth="1" min="4" max="4" width="25.29"/>
    <col customWidth="1" min="5" max="5" width="24.14"/>
    <col customWidth="1" min="6" max="6" width="10.71"/>
    <col customWidth="1" min="7" max="7" width="21.0"/>
    <col customWidth="1" min="8" max="8" width="18.29"/>
    <col customWidth="1" min="9" max="30" width="8.71"/>
  </cols>
  <sheetData>
    <row r="3">
      <c r="C3" s="83" t="s">
        <v>218</v>
      </c>
      <c r="D3" s="2"/>
      <c r="E3" s="3"/>
      <c r="I3" s="7" t="s">
        <v>219</v>
      </c>
    </row>
    <row r="4">
      <c r="C4" s="84" t="s">
        <v>220</v>
      </c>
      <c r="D4" s="84" t="s">
        <v>66</v>
      </c>
      <c r="E4" s="84" t="s">
        <v>19</v>
      </c>
    </row>
    <row r="5">
      <c r="C5" s="32" t="s">
        <v>221</v>
      </c>
      <c r="D5" s="85">
        <f>'Dados da Aeronave'!Q17</f>
        <v>0.2</v>
      </c>
      <c r="E5" s="85">
        <f>'Dados da Aeronave'!P4</f>
        <v>0.5</v>
      </c>
    </row>
    <row r="6">
      <c r="C6" s="32" t="s">
        <v>222</v>
      </c>
      <c r="D6" s="85">
        <f>'Dados da Aeronave'!R17</f>
        <v>0.2</v>
      </c>
      <c r="E6" s="85">
        <f>'Dados da Aeronave'!Q4</f>
        <v>0.3</v>
      </c>
    </row>
    <row r="7">
      <c r="C7" s="32" t="s">
        <v>223</v>
      </c>
      <c r="D7" s="86">
        <v>0.2</v>
      </c>
      <c r="E7" s="25">
        <f>'Dados da Aeronave'!N4</f>
        <v>0.4083333333</v>
      </c>
    </row>
    <row r="8">
      <c r="C8" s="32" t="s">
        <v>224</v>
      </c>
      <c r="D8" s="85">
        <f>'Dados da Aeronave'!Q20</f>
        <v>0.16</v>
      </c>
      <c r="E8" s="85">
        <f>'Dados da Aeronave'!Q7</f>
        <v>0.98</v>
      </c>
    </row>
    <row r="9">
      <c r="C9" s="32" t="s">
        <v>225</v>
      </c>
      <c r="D9" s="87">
        <v>7.0</v>
      </c>
      <c r="E9" s="87">
        <v>-10.0</v>
      </c>
    </row>
    <row r="10">
      <c r="C10" s="32" t="s">
        <v>226</v>
      </c>
      <c r="D10" s="88">
        <f>'Dados da Aeronave'!S23</f>
        <v>0</v>
      </c>
      <c r="E10" s="88">
        <f>'Dados da Aeronave'!U10</f>
        <v>0</v>
      </c>
    </row>
    <row r="11">
      <c r="C11" s="32" t="s">
        <v>227</v>
      </c>
      <c r="D11" s="88">
        <f>'Dados da Aeronave'!S23</f>
        <v>0</v>
      </c>
      <c r="E11" s="88">
        <f>'Dados da Aeronave'!U10</f>
        <v>0</v>
      </c>
    </row>
    <row r="12">
      <c r="C12" s="32" t="s">
        <v>228</v>
      </c>
      <c r="D12" s="88">
        <f t="shared" ref="D12:E12" si="1">D11-D9</f>
        <v>-7</v>
      </c>
      <c r="E12" s="88">
        <f t="shared" si="1"/>
        <v>10</v>
      </c>
    </row>
    <row r="13">
      <c r="C13" s="32" t="s">
        <v>229</v>
      </c>
      <c r="D13" s="85">
        <f>'Dados da Aeronave'!T20</f>
        <v>6.124066085</v>
      </c>
      <c r="E13" s="85">
        <f>'Dados da Aeronave'!T7</f>
        <v>7.538545767</v>
      </c>
    </row>
    <row r="14">
      <c r="C14" s="32" t="s">
        <v>230</v>
      </c>
      <c r="D14" s="85">
        <f>'Dados da Aeronave'!T20</f>
        <v>6.124066085</v>
      </c>
      <c r="E14" s="85">
        <f>'Dados da Aeronave'!T7</f>
        <v>7.538545767</v>
      </c>
    </row>
    <row r="15">
      <c r="C15" s="32" t="s">
        <v>231</v>
      </c>
      <c r="D15" s="85">
        <f>'Dados da Aeronave'!N20</f>
        <v>0.8</v>
      </c>
      <c r="E15" s="85">
        <f>'Dados da Aeronave'!N7</f>
        <v>2.2</v>
      </c>
    </row>
    <row r="16">
      <c r="C16" s="32"/>
      <c r="D16" s="85"/>
      <c r="E16" s="85"/>
    </row>
    <row r="17" ht="15.0" customHeight="1">
      <c r="F17" s="89" t="s">
        <v>232</v>
      </c>
      <c r="G17" s="90"/>
      <c r="H17" s="49"/>
    </row>
    <row r="18">
      <c r="C18" s="91" t="s">
        <v>233</v>
      </c>
      <c r="D18" s="3"/>
      <c r="F18" s="50"/>
      <c r="G18" s="92"/>
      <c r="H18" s="51"/>
    </row>
    <row r="19">
      <c r="B19" s="4" t="s">
        <v>234</v>
      </c>
      <c r="C19" s="93" t="s">
        <v>5</v>
      </c>
      <c r="D19" s="93" t="s">
        <v>235</v>
      </c>
      <c r="F19" s="93" t="s">
        <v>5</v>
      </c>
      <c r="G19" s="93" t="s">
        <v>236</v>
      </c>
      <c r="H19" s="93" t="s">
        <v>237</v>
      </c>
    </row>
    <row r="20">
      <c r="B20" s="4">
        <v>-20.0</v>
      </c>
      <c r="C20" s="4">
        <v>-1.653465</v>
      </c>
      <c r="D20" s="4">
        <v>0.133492</v>
      </c>
      <c r="F20" s="19">
        <v>0.684088</v>
      </c>
      <c r="G20" s="19">
        <v>-1.0764</v>
      </c>
      <c r="H20" s="22">
        <f t="shared" ref="H20:H57" si="2">-(G20/$G$20)</f>
        <v>-1</v>
      </c>
    </row>
    <row r="21" ht="15.75" customHeight="1">
      <c r="B21" s="4">
        <v>-19.5</v>
      </c>
      <c r="C21" s="4">
        <v>-1.628507</v>
      </c>
      <c r="D21" s="4">
        <v>0.134094</v>
      </c>
      <c r="F21" s="19">
        <v>0.71634</v>
      </c>
      <c r="G21" s="19">
        <v>-1.0619</v>
      </c>
      <c r="H21" s="22">
        <f t="shared" si="2"/>
        <v>-0.9865291713</v>
      </c>
    </row>
    <row r="22" ht="15.75" customHeight="1">
      <c r="B22" s="4">
        <v>-19.0</v>
      </c>
      <c r="C22" s="4">
        <v>-1.603266</v>
      </c>
      <c r="D22" s="4">
        <v>0.134694</v>
      </c>
      <c r="F22" s="19">
        <v>0.807678</v>
      </c>
      <c r="G22" s="19">
        <v>-1.0334</v>
      </c>
      <c r="H22" s="22">
        <f t="shared" si="2"/>
        <v>-0.9600520253</v>
      </c>
    </row>
    <row r="23" ht="15.75" customHeight="1">
      <c r="B23" s="4">
        <v>-18.5</v>
      </c>
      <c r="C23" s="4">
        <v>-1.577746</v>
      </c>
      <c r="D23" s="4">
        <v>0.135293</v>
      </c>
      <c r="F23" s="19">
        <v>0.892673</v>
      </c>
      <c r="G23" s="19">
        <v>-0.9917</v>
      </c>
      <c r="H23" s="22">
        <f t="shared" si="2"/>
        <v>-0.92131178</v>
      </c>
    </row>
    <row r="24" ht="15.75" customHeight="1">
      <c r="B24" s="4">
        <v>-18.0</v>
      </c>
      <c r="C24" s="4">
        <v>-1.55195</v>
      </c>
      <c r="D24" s="4">
        <v>0.135889</v>
      </c>
      <c r="F24" s="19">
        <v>0.959798</v>
      </c>
      <c r="G24" s="19">
        <v>-0.9381</v>
      </c>
      <c r="H24" s="22">
        <f t="shared" si="2"/>
        <v>-0.871516165</v>
      </c>
    </row>
    <row r="25" ht="15.75" customHeight="1">
      <c r="B25" s="4">
        <v>-17.5</v>
      </c>
      <c r="C25" s="4">
        <v>-1.52588</v>
      </c>
      <c r="D25" s="4">
        <v>0.136482</v>
      </c>
      <c r="F25" s="19">
        <v>1.008042</v>
      </c>
      <c r="G25" s="19">
        <v>-0.8743</v>
      </c>
      <c r="H25" s="22">
        <f t="shared" si="2"/>
        <v>-0.8122445188</v>
      </c>
    </row>
    <row r="26" ht="15.75" customHeight="1">
      <c r="B26" s="4">
        <v>-17.0</v>
      </c>
      <c r="C26" s="4">
        <v>-1.499542</v>
      </c>
      <c r="D26" s="4">
        <v>0.137073</v>
      </c>
      <c r="F26" s="19">
        <v>1.040389</v>
      </c>
      <c r="G26" s="19">
        <v>-0.8021</v>
      </c>
      <c r="H26" s="22">
        <f t="shared" si="2"/>
        <v>-0.7451690821</v>
      </c>
    </row>
    <row r="27" ht="15.75" customHeight="1">
      <c r="B27" s="4">
        <v>-16.5</v>
      </c>
      <c r="C27" s="4">
        <v>-1.472939</v>
      </c>
      <c r="D27" s="4">
        <v>0.137661</v>
      </c>
      <c r="F27" s="19">
        <v>1.061041</v>
      </c>
      <c r="G27" s="19">
        <v>-0.7238</v>
      </c>
      <c r="H27" s="22">
        <f t="shared" si="2"/>
        <v>-0.6724266072</v>
      </c>
    </row>
    <row r="28" ht="15.75" customHeight="1">
      <c r="B28" s="4">
        <v>-16.0</v>
      </c>
      <c r="C28" s="4">
        <v>-1.446074</v>
      </c>
      <c r="D28" s="4">
        <v>0.138245</v>
      </c>
      <c r="F28" s="19">
        <v>1.07593</v>
      </c>
      <c r="G28" s="19">
        <v>-0.6417</v>
      </c>
      <c r="H28" s="22">
        <f t="shared" si="2"/>
        <v>-0.5961538462</v>
      </c>
    </row>
    <row r="29" ht="15.75" customHeight="1">
      <c r="B29" s="4">
        <v>-15.5</v>
      </c>
      <c r="C29" s="4">
        <v>-1.418952</v>
      </c>
      <c r="D29" s="4">
        <v>0.138827</v>
      </c>
      <c r="F29" s="19">
        <v>1.104108</v>
      </c>
      <c r="G29" s="19">
        <v>-0.5963</v>
      </c>
      <c r="H29" s="22">
        <f t="shared" si="2"/>
        <v>-0.553976217</v>
      </c>
    </row>
    <row r="30" ht="15.75" customHeight="1">
      <c r="B30" s="4">
        <v>-15.0</v>
      </c>
      <c r="C30" s="4">
        <v>-1.391576</v>
      </c>
      <c r="D30" s="4">
        <v>0.139405</v>
      </c>
      <c r="F30" s="19">
        <v>1.094812</v>
      </c>
      <c r="G30" s="19">
        <v>-0.5816</v>
      </c>
      <c r="H30" s="22">
        <f t="shared" si="2"/>
        <v>-0.5403195838</v>
      </c>
    </row>
    <row r="31" ht="15.75" customHeight="1">
      <c r="B31" s="4">
        <v>-14.5</v>
      </c>
      <c r="C31" s="4">
        <v>-1.363952</v>
      </c>
      <c r="D31" s="4">
        <v>0.13998</v>
      </c>
      <c r="F31" s="19">
        <v>1.099462</v>
      </c>
      <c r="G31" s="19">
        <v>-0.5526</v>
      </c>
      <c r="H31" s="22">
        <f t="shared" si="2"/>
        <v>-0.5133779264</v>
      </c>
    </row>
    <row r="32" ht="15.75" customHeight="1">
      <c r="B32" s="4">
        <v>-14.0</v>
      </c>
      <c r="C32" s="4">
        <v>-1.336082</v>
      </c>
      <c r="D32" s="4">
        <v>0.140551</v>
      </c>
      <c r="F32" s="19">
        <v>1.110637</v>
      </c>
      <c r="G32" s="19">
        <v>-0.51</v>
      </c>
      <c r="H32" s="22">
        <f t="shared" si="2"/>
        <v>-0.4738015608</v>
      </c>
    </row>
    <row r="33" ht="15.75" customHeight="1">
      <c r="B33" s="4">
        <v>-13.5</v>
      </c>
      <c r="C33" s="4">
        <v>-1.307973</v>
      </c>
      <c r="D33" s="4">
        <v>0.141118</v>
      </c>
      <c r="F33" s="19">
        <v>1.124473</v>
      </c>
      <c r="G33" s="19">
        <v>-0.4548</v>
      </c>
      <c r="H33" s="22">
        <f t="shared" si="2"/>
        <v>-0.4225195095</v>
      </c>
    </row>
    <row r="34" ht="15.75" customHeight="1">
      <c r="B34" s="4">
        <v>-13.0</v>
      </c>
      <c r="C34" s="4">
        <v>-1.279628</v>
      </c>
      <c r="D34" s="4">
        <v>0.141681</v>
      </c>
      <c r="F34" s="19">
        <v>1.138542</v>
      </c>
      <c r="G34" s="19">
        <v>-0.3885</v>
      </c>
      <c r="H34" s="22">
        <f t="shared" si="2"/>
        <v>-0.3609253066</v>
      </c>
    </row>
    <row r="35" ht="15.75" customHeight="1">
      <c r="B35" s="4">
        <v>-12.5</v>
      </c>
      <c r="C35" s="4">
        <v>-1.251051</v>
      </c>
      <c r="D35" s="4">
        <v>0.142239</v>
      </c>
      <c r="F35" s="19">
        <v>1.151272</v>
      </c>
      <c r="G35" s="19">
        <v>-0.3125</v>
      </c>
      <c r="H35" s="22">
        <f t="shared" si="2"/>
        <v>-0.2903195838</v>
      </c>
    </row>
    <row r="36" ht="15.75" customHeight="1">
      <c r="B36" s="4">
        <v>-12.0</v>
      </c>
      <c r="C36" s="4">
        <v>-1.222249</v>
      </c>
      <c r="D36" s="4">
        <v>0.142794</v>
      </c>
      <c r="F36" s="19">
        <v>1.161605</v>
      </c>
      <c r="G36" s="19">
        <v>-0.2289</v>
      </c>
      <c r="H36" s="22">
        <f t="shared" si="2"/>
        <v>-0.2126532887</v>
      </c>
    </row>
    <row r="37" ht="15.75" customHeight="1">
      <c r="B37" s="4">
        <v>-11.5</v>
      </c>
      <c r="C37" s="4">
        <v>-1.193225</v>
      </c>
      <c r="D37" s="4">
        <v>0.143343</v>
      </c>
      <c r="F37" s="19">
        <v>1.16884</v>
      </c>
      <c r="G37" s="19">
        <v>-0.1396</v>
      </c>
      <c r="H37" s="22">
        <f t="shared" si="2"/>
        <v>-0.1296915645</v>
      </c>
    </row>
    <row r="38" ht="15.75" customHeight="1">
      <c r="B38" s="4">
        <v>-11.0</v>
      </c>
      <c r="C38" s="4">
        <v>-1.163985</v>
      </c>
      <c r="D38" s="4">
        <v>0.143888</v>
      </c>
      <c r="F38" s="19">
        <v>1.172557</v>
      </c>
      <c r="G38" s="19">
        <v>-0.0469</v>
      </c>
      <c r="H38" s="22">
        <f t="shared" si="2"/>
        <v>-0.04357116314</v>
      </c>
    </row>
    <row r="39" ht="15.75" customHeight="1">
      <c r="B39" s="4">
        <v>-10.5</v>
      </c>
      <c r="C39" s="4">
        <v>-1.134534</v>
      </c>
      <c r="D39" s="4">
        <v>0.144428</v>
      </c>
      <c r="F39" s="19">
        <v>1.172557</v>
      </c>
      <c r="G39" s="19">
        <v>0.0469</v>
      </c>
      <c r="H39" s="22">
        <f t="shared" si="2"/>
        <v>0.04357116314</v>
      </c>
    </row>
    <row r="40" ht="15.75" customHeight="1">
      <c r="B40" s="4">
        <v>-10.0</v>
      </c>
      <c r="C40" s="4">
        <v>-1.104877</v>
      </c>
      <c r="D40" s="4">
        <v>0.144963</v>
      </c>
      <c r="F40" s="19">
        <v>1.16884</v>
      </c>
      <c r="G40" s="19">
        <v>0.1396</v>
      </c>
      <c r="H40" s="22">
        <f t="shared" si="2"/>
        <v>0.1296915645</v>
      </c>
    </row>
    <row r="41" ht="15.75" customHeight="1">
      <c r="B41" s="4">
        <v>-9.5</v>
      </c>
      <c r="C41" s="4">
        <v>-1.075019</v>
      </c>
      <c r="D41" s="4">
        <v>0.145492</v>
      </c>
      <c r="F41" s="19">
        <v>1.161605</v>
      </c>
      <c r="G41" s="19">
        <v>0.2289</v>
      </c>
      <c r="H41" s="22">
        <f t="shared" si="2"/>
        <v>0.2126532887</v>
      </c>
    </row>
    <row r="42" ht="15.75" customHeight="1">
      <c r="B42" s="4">
        <v>-9.0</v>
      </c>
      <c r="C42" s="4">
        <v>-1.044966</v>
      </c>
      <c r="D42" s="4">
        <v>0.146016</v>
      </c>
      <c r="F42" s="19">
        <v>1.151272</v>
      </c>
      <c r="G42" s="19">
        <v>0.3125</v>
      </c>
      <c r="H42" s="22">
        <f t="shared" si="2"/>
        <v>0.2903195838</v>
      </c>
    </row>
    <row r="43" ht="15.75" customHeight="1">
      <c r="B43" s="4">
        <v>-8.5</v>
      </c>
      <c r="C43" s="4">
        <v>-1.014723</v>
      </c>
      <c r="D43" s="4">
        <v>0.146535</v>
      </c>
      <c r="F43" s="19">
        <v>1.138542</v>
      </c>
      <c r="G43" s="19">
        <v>0.3885</v>
      </c>
      <c r="H43" s="22">
        <f t="shared" si="2"/>
        <v>0.3609253066</v>
      </c>
    </row>
    <row r="44" ht="15.75" customHeight="1">
      <c r="B44" s="4">
        <v>-8.0</v>
      </c>
      <c r="C44" s="4">
        <v>-0.984296</v>
      </c>
      <c r="D44" s="4">
        <v>0.147048</v>
      </c>
      <c r="F44" s="19">
        <v>1.124473</v>
      </c>
      <c r="G44" s="19">
        <v>0.4548</v>
      </c>
      <c r="H44" s="22">
        <f t="shared" si="2"/>
        <v>0.4225195095</v>
      </c>
    </row>
    <row r="45" ht="15.75" customHeight="1">
      <c r="B45" s="4">
        <v>-7.5</v>
      </c>
      <c r="C45" s="4">
        <v>-0.95369</v>
      </c>
      <c r="D45" s="4">
        <v>0.147555</v>
      </c>
      <c r="F45" s="19">
        <v>1.110637</v>
      </c>
      <c r="G45" s="19">
        <v>0.51</v>
      </c>
      <c r="H45" s="22">
        <f t="shared" si="2"/>
        <v>0.4738015608</v>
      </c>
    </row>
    <row r="46" ht="15.75" customHeight="1">
      <c r="B46" s="4">
        <v>-7.0</v>
      </c>
      <c r="C46" s="4">
        <v>-0.922912</v>
      </c>
      <c r="D46" s="4">
        <v>0.148056</v>
      </c>
      <c r="F46" s="19">
        <v>1.099462</v>
      </c>
      <c r="G46" s="19">
        <v>0.5526</v>
      </c>
      <c r="H46" s="22">
        <f t="shared" si="2"/>
        <v>0.5133779264</v>
      </c>
    </row>
    <row r="47" ht="15.75" customHeight="1">
      <c r="B47" s="4">
        <v>-6.5</v>
      </c>
      <c r="C47" s="4">
        <v>-0.891967</v>
      </c>
      <c r="D47" s="4">
        <v>0.14855</v>
      </c>
      <c r="F47" s="19">
        <v>1.094812</v>
      </c>
      <c r="G47" s="19">
        <v>0.5816</v>
      </c>
      <c r="H47" s="22">
        <f t="shared" si="2"/>
        <v>0.5403195838</v>
      </c>
    </row>
    <row r="48" ht="15.75" customHeight="1">
      <c r="B48" s="4">
        <v>-6.0</v>
      </c>
      <c r="C48" s="4">
        <v>-0.860861</v>
      </c>
      <c r="D48" s="4">
        <v>0.149039</v>
      </c>
      <c r="F48" s="19">
        <v>1.104108</v>
      </c>
      <c r="G48" s="19">
        <v>0.5963</v>
      </c>
      <c r="H48" s="22">
        <f t="shared" si="2"/>
        <v>0.553976217</v>
      </c>
    </row>
    <row r="49" ht="15.75" customHeight="1">
      <c r="B49" s="4">
        <v>-5.5</v>
      </c>
      <c r="C49" s="4">
        <v>-0.8296</v>
      </c>
      <c r="D49" s="4">
        <v>0.14952</v>
      </c>
      <c r="F49" s="19">
        <v>1.07593</v>
      </c>
      <c r="G49" s="19">
        <v>0.6417</v>
      </c>
      <c r="H49" s="22">
        <f t="shared" si="2"/>
        <v>0.5961538462</v>
      </c>
    </row>
    <row r="50" ht="15.75" customHeight="1">
      <c r="B50" s="4">
        <v>-5.0</v>
      </c>
      <c r="C50" s="4">
        <v>-0.79819</v>
      </c>
      <c r="D50" s="4">
        <v>0.149995</v>
      </c>
      <c r="F50" s="19">
        <v>1.061041</v>
      </c>
      <c r="G50" s="19">
        <v>0.7238</v>
      </c>
      <c r="H50" s="22">
        <f t="shared" si="2"/>
        <v>0.6724266072</v>
      </c>
    </row>
    <row r="51" ht="15.75" customHeight="1">
      <c r="B51" s="4">
        <v>-4.5</v>
      </c>
      <c r="C51" s="4">
        <v>-0.766637</v>
      </c>
      <c r="D51" s="4">
        <v>0.150464</v>
      </c>
      <c r="F51" s="19">
        <v>1.040389</v>
      </c>
      <c r="G51" s="19">
        <v>0.8021</v>
      </c>
      <c r="H51" s="22">
        <f t="shared" si="2"/>
        <v>0.7451690821</v>
      </c>
    </row>
    <row r="52" ht="15.75" customHeight="1">
      <c r="B52" s="4">
        <v>-4.0</v>
      </c>
      <c r="C52" s="4">
        <v>-0.734948</v>
      </c>
      <c r="D52" s="4">
        <v>0.150925</v>
      </c>
      <c r="F52" s="19">
        <v>1.008042</v>
      </c>
      <c r="G52" s="19">
        <v>0.8743</v>
      </c>
      <c r="H52" s="22">
        <f t="shared" si="2"/>
        <v>0.8122445188</v>
      </c>
    </row>
    <row r="53" ht="15.75" customHeight="1">
      <c r="B53" s="4">
        <v>-3.5</v>
      </c>
      <c r="C53" s="4">
        <v>-0.703129</v>
      </c>
      <c r="D53" s="4">
        <v>0.15138</v>
      </c>
      <c r="F53" s="19">
        <v>0.959798</v>
      </c>
      <c r="G53" s="19">
        <v>0.9381</v>
      </c>
      <c r="H53" s="22">
        <f t="shared" si="2"/>
        <v>0.871516165</v>
      </c>
    </row>
    <row r="54" ht="15.75" customHeight="1">
      <c r="B54" s="4">
        <v>-3.0</v>
      </c>
      <c r="C54" s="4">
        <v>-0.671185</v>
      </c>
      <c r="D54" s="4">
        <v>0.151827</v>
      </c>
      <c r="F54" s="19">
        <v>0.892673</v>
      </c>
      <c r="G54" s="19">
        <v>0.9917</v>
      </c>
      <c r="H54" s="22">
        <f t="shared" si="2"/>
        <v>0.92131178</v>
      </c>
    </row>
    <row r="55" ht="15.75" customHeight="1">
      <c r="B55" s="4">
        <v>-2.5</v>
      </c>
      <c r="C55" s="4">
        <v>-0.639124</v>
      </c>
      <c r="D55" s="4">
        <v>0.152266</v>
      </c>
      <c r="F55" s="19">
        <v>0.807678</v>
      </c>
      <c r="G55" s="19">
        <v>1.0334</v>
      </c>
      <c r="H55" s="22">
        <f t="shared" si="2"/>
        <v>0.9600520253</v>
      </c>
    </row>
    <row r="56" ht="15.75" customHeight="1">
      <c r="B56" s="4">
        <v>-2.0</v>
      </c>
      <c r="C56" s="4">
        <v>-0.606952</v>
      </c>
      <c r="D56" s="4">
        <v>0.152699</v>
      </c>
      <c r="F56" s="19">
        <v>0.71634</v>
      </c>
      <c r="G56" s="19">
        <v>1.0619</v>
      </c>
      <c r="H56" s="22">
        <f t="shared" si="2"/>
        <v>0.9865291713</v>
      </c>
    </row>
    <row r="57" ht="15.75" customHeight="1">
      <c r="B57" s="4">
        <v>-1.5</v>
      </c>
      <c r="C57" s="4">
        <v>-0.574675</v>
      </c>
      <c r="D57" s="4">
        <v>0.153123</v>
      </c>
      <c r="F57" s="19">
        <v>0.684088</v>
      </c>
      <c r="G57" s="19">
        <v>1.0764</v>
      </c>
      <c r="H57" s="22">
        <f t="shared" si="2"/>
        <v>1</v>
      </c>
    </row>
    <row r="58" ht="15.75" customHeight="1">
      <c r="B58" s="4">
        <v>-1.0</v>
      </c>
      <c r="C58" s="4">
        <v>-0.5423</v>
      </c>
      <c r="D58" s="4">
        <v>0.15354</v>
      </c>
    </row>
    <row r="59" ht="15.75" customHeight="1">
      <c r="B59" s="4">
        <v>-0.5</v>
      </c>
      <c r="C59" s="4">
        <v>-0.509834</v>
      </c>
      <c r="D59" s="4">
        <v>0.153949</v>
      </c>
    </row>
    <row r="60" ht="15.75" customHeight="1">
      <c r="B60" s="4">
        <v>0.0</v>
      </c>
      <c r="C60" s="4">
        <v>-0.477283</v>
      </c>
      <c r="D60" s="4">
        <v>0.15435</v>
      </c>
    </row>
    <row r="61" ht="15.75" customHeight="1">
      <c r="B61" s="4">
        <v>0.5</v>
      </c>
      <c r="C61" s="4">
        <v>-0.444653</v>
      </c>
      <c r="D61" s="4">
        <v>0.154743</v>
      </c>
    </row>
    <row r="62" ht="15.75" customHeight="1">
      <c r="B62" s="4">
        <v>1.0</v>
      </c>
      <c r="C62" s="4">
        <v>-0.411952</v>
      </c>
      <c r="D62" s="4">
        <v>0.155128</v>
      </c>
    </row>
    <row r="63" ht="15.75" customHeight="1">
      <c r="B63" s="4">
        <v>1.5</v>
      </c>
      <c r="C63" s="4">
        <v>-0.379187</v>
      </c>
      <c r="D63" s="4">
        <v>0.155504</v>
      </c>
    </row>
    <row r="64" ht="15.75" customHeight="1">
      <c r="B64" s="4">
        <v>2.0</v>
      </c>
      <c r="C64" s="4">
        <v>-0.346363</v>
      </c>
      <c r="D64" s="4">
        <v>0.155872</v>
      </c>
    </row>
    <row r="65" ht="15.75" customHeight="1">
      <c r="B65" s="4">
        <v>2.5</v>
      </c>
      <c r="C65" s="4">
        <v>-0.313488</v>
      </c>
      <c r="D65" s="4">
        <v>0.156231</v>
      </c>
    </row>
    <row r="66" ht="15.0" customHeight="1">
      <c r="B66" s="4">
        <v>3.0</v>
      </c>
      <c r="C66" s="4">
        <v>-0.280569</v>
      </c>
      <c r="D66" s="4">
        <v>0.156582</v>
      </c>
      <c r="F66" s="89" t="s">
        <v>238</v>
      </c>
      <c r="G66" s="90"/>
      <c r="H66" s="49"/>
    </row>
    <row r="67" ht="15.75" customHeight="1">
      <c r="B67" s="4">
        <v>3.5</v>
      </c>
      <c r="C67" s="4">
        <v>-0.247612</v>
      </c>
      <c r="D67" s="4">
        <v>0.156924</v>
      </c>
      <c r="F67" s="50"/>
      <c r="G67" s="92"/>
      <c r="H67" s="51"/>
    </row>
    <row r="68" ht="15.75" customHeight="1">
      <c r="B68" s="4">
        <v>4.0</v>
      </c>
      <c r="C68" s="4">
        <v>-0.214624</v>
      </c>
      <c r="D68" s="4">
        <v>0.157256</v>
      </c>
      <c r="F68" s="93" t="s">
        <v>5</v>
      </c>
      <c r="G68" s="93" t="s">
        <v>236</v>
      </c>
      <c r="H68" s="93" t="s">
        <v>237</v>
      </c>
    </row>
    <row r="69" ht="15.75" customHeight="1">
      <c r="B69" s="4">
        <v>4.5</v>
      </c>
      <c r="C69" s="4">
        <v>-0.181612</v>
      </c>
      <c r="D69" s="4">
        <v>0.15758</v>
      </c>
      <c r="F69" s="19">
        <v>-0.267016</v>
      </c>
      <c r="G69" s="19">
        <v>-0.3993</v>
      </c>
      <c r="H69" s="22">
        <f t="shared" ref="H69:H106" si="3">-(G69/$G$69)</f>
        <v>-1</v>
      </c>
    </row>
    <row r="70" ht="15.75" customHeight="1">
      <c r="B70" s="4">
        <v>5.0</v>
      </c>
      <c r="C70" s="4">
        <v>-0.148584</v>
      </c>
      <c r="D70" s="4">
        <v>0.157895</v>
      </c>
      <c r="F70" s="19">
        <v>-0.230497</v>
      </c>
      <c r="G70" s="19">
        <v>-0.3966</v>
      </c>
      <c r="H70" s="22">
        <f t="shared" si="3"/>
        <v>-0.9932381668</v>
      </c>
    </row>
    <row r="71" ht="15.75" customHeight="1">
      <c r="B71" s="4">
        <v>5.5</v>
      </c>
      <c r="C71" s="4">
        <v>-0.115545</v>
      </c>
      <c r="D71" s="4">
        <v>0.158201</v>
      </c>
      <c r="F71" s="19">
        <v>-0.257634</v>
      </c>
      <c r="G71" s="19">
        <v>-0.3912</v>
      </c>
      <c r="H71" s="22">
        <f t="shared" si="3"/>
        <v>-0.9797145004</v>
      </c>
    </row>
    <row r="72" ht="15.75" customHeight="1">
      <c r="B72" s="4">
        <v>6.0</v>
      </c>
      <c r="C72" s="4">
        <v>-0.082503</v>
      </c>
      <c r="D72" s="4">
        <v>0.158497</v>
      </c>
      <c r="F72" s="19">
        <v>-0.288358</v>
      </c>
      <c r="G72" s="19">
        <v>-0.383</v>
      </c>
      <c r="H72" s="22">
        <f t="shared" si="3"/>
        <v>-0.9591785625</v>
      </c>
    </row>
    <row r="73" ht="15.75" customHeight="1">
      <c r="B73" s="4">
        <v>6.5</v>
      </c>
      <c r="C73" s="4">
        <v>-0.049464</v>
      </c>
      <c r="D73" s="4">
        <v>0.158784</v>
      </c>
      <c r="F73" s="19">
        <v>-0.320131</v>
      </c>
      <c r="G73" s="19">
        <v>-0.3723</v>
      </c>
      <c r="H73" s="22">
        <f t="shared" si="3"/>
        <v>-0.9323816679</v>
      </c>
    </row>
    <row r="74" ht="15.75" customHeight="1">
      <c r="B74" s="4">
        <v>7.0</v>
      </c>
      <c r="C74" s="4">
        <v>-0.016436</v>
      </c>
      <c r="D74" s="4">
        <v>0.159061</v>
      </c>
      <c r="F74" s="19">
        <v>-0.351196</v>
      </c>
      <c r="G74" s="19">
        <v>-0.359</v>
      </c>
      <c r="H74" s="22">
        <f t="shared" si="3"/>
        <v>-0.8990733784</v>
      </c>
    </row>
    <row r="75" ht="15.75" customHeight="1">
      <c r="B75" s="4">
        <v>7.5</v>
      </c>
      <c r="C75" s="4">
        <v>0.016575</v>
      </c>
      <c r="D75" s="4">
        <v>0.159329</v>
      </c>
      <c r="F75" s="19">
        <v>-0.380498</v>
      </c>
      <c r="G75" s="19">
        <v>-0.3433</v>
      </c>
      <c r="H75" s="22">
        <f t="shared" si="3"/>
        <v>-0.8597545705</v>
      </c>
    </row>
    <row r="76" ht="15.75" customHeight="1">
      <c r="B76" s="4">
        <v>8.0</v>
      </c>
      <c r="C76" s="4">
        <v>0.049563</v>
      </c>
      <c r="D76" s="4">
        <v>0.159587</v>
      </c>
      <c r="F76" s="19">
        <v>-0.407433</v>
      </c>
      <c r="G76" s="19">
        <v>-0.3253</v>
      </c>
      <c r="H76" s="22">
        <f t="shared" si="3"/>
        <v>-0.8146756824</v>
      </c>
    </row>
    <row r="77" ht="15.75" customHeight="1">
      <c r="B77" s="4">
        <v>8.5</v>
      </c>
      <c r="C77" s="4">
        <v>0.082519</v>
      </c>
      <c r="D77" s="4">
        <v>0.159836</v>
      </c>
      <c r="F77" s="19">
        <v>-0.431704</v>
      </c>
      <c r="G77" s="19">
        <v>-0.305</v>
      </c>
      <c r="H77" s="22">
        <f t="shared" si="3"/>
        <v>-0.7638367142</v>
      </c>
    </row>
    <row r="78" ht="15.75" customHeight="1">
      <c r="B78" s="4">
        <v>9.0</v>
      </c>
      <c r="C78" s="4">
        <v>0.115437</v>
      </c>
      <c r="D78" s="4">
        <v>0.160074</v>
      </c>
      <c r="F78" s="19">
        <v>-0.453221</v>
      </c>
      <c r="G78" s="19">
        <v>-0.2826</v>
      </c>
      <c r="H78" s="22">
        <f t="shared" si="3"/>
        <v>-0.7077385424</v>
      </c>
    </row>
    <row r="79" ht="15.75" customHeight="1">
      <c r="B79" s="4">
        <v>9.5</v>
      </c>
      <c r="C79" s="4">
        <v>0.148312</v>
      </c>
      <c r="D79" s="4">
        <v>0.160303</v>
      </c>
      <c r="F79" s="19">
        <v>-0.472024</v>
      </c>
      <c r="G79" s="19">
        <v>-0.2583</v>
      </c>
      <c r="H79" s="22">
        <f t="shared" si="3"/>
        <v>-0.6468820436</v>
      </c>
    </row>
    <row r="80" ht="15.75" customHeight="1">
      <c r="B80" s="4">
        <v>10.0</v>
      </c>
      <c r="C80" s="4">
        <v>0.181135</v>
      </c>
      <c r="D80" s="4">
        <v>0.160522</v>
      </c>
      <c r="F80" s="19">
        <v>-0.488227</v>
      </c>
      <c r="G80" s="19">
        <v>-0.2322</v>
      </c>
      <c r="H80" s="22">
        <f t="shared" si="3"/>
        <v>-0.5815176559</v>
      </c>
    </row>
    <row r="81" ht="15.75" customHeight="1">
      <c r="B81" s="4">
        <v>10.5</v>
      </c>
      <c r="C81" s="4">
        <v>0.2139</v>
      </c>
      <c r="D81" s="4">
        <v>0.160731</v>
      </c>
      <c r="F81" s="19">
        <v>-0.501978</v>
      </c>
      <c r="G81" s="19">
        <v>-0.2046</v>
      </c>
      <c r="H81" s="22">
        <f t="shared" si="3"/>
        <v>-0.5123966942</v>
      </c>
    </row>
    <row r="82" ht="15.75" customHeight="1">
      <c r="B82" s="4">
        <v>11.0</v>
      </c>
      <c r="C82" s="4">
        <v>0.246601</v>
      </c>
      <c r="D82" s="4">
        <v>0.16093</v>
      </c>
      <c r="F82" s="19">
        <v>-0.513431</v>
      </c>
      <c r="G82" s="19">
        <v>-0.1755</v>
      </c>
      <c r="H82" s="22">
        <f t="shared" si="3"/>
        <v>-0.4395191585</v>
      </c>
    </row>
    <row r="83" ht="15.75" customHeight="1">
      <c r="B83" s="4">
        <v>11.5</v>
      </c>
      <c r="C83" s="4">
        <v>0.279231</v>
      </c>
      <c r="D83" s="4">
        <v>0.161118</v>
      </c>
      <c r="F83" s="19">
        <v>-0.522732</v>
      </c>
      <c r="G83" s="19">
        <v>-0.1453</v>
      </c>
      <c r="H83" s="22">
        <f t="shared" si="3"/>
        <v>-0.3638868019</v>
      </c>
    </row>
    <row r="84" ht="15.75" customHeight="1">
      <c r="B84" s="4">
        <v>12.0</v>
      </c>
      <c r="C84" s="4">
        <v>0.311783</v>
      </c>
      <c r="D84" s="4">
        <v>0.161297</v>
      </c>
      <c r="F84" s="19">
        <v>-0.530012</v>
      </c>
      <c r="G84" s="19">
        <v>-0.114</v>
      </c>
      <c r="H84" s="22">
        <f t="shared" si="3"/>
        <v>-0.2854996243</v>
      </c>
    </row>
    <row r="85" ht="15.75" customHeight="1">
      <c r="B85" s="4">
        <v>12.5</v>
      </c>
      <c r="C85" s="4">
        <v>0.344251</v>
      </c>
      <c r="D85" s="4">
        <v>0.161465</v>
      </c>
      <c r="F85" s="19">
        <v>-0.535376</v>
      </c>
      <c r="G85" s="19">
        <v>-0.082</v>
      </c>
      <c r="H85" s="22">
        <f t="shared" si="3"/>
        <v>-0.2053593789</v>
      </c>
    </row>
    <row r="86" ht="15.75" customHeight="1">
      <c r="B86" s="4">
        <v>13.0</v>
      </c>
      <c r="C86" s="4">
        <v>0.376628</v>
      </c>
      <c r="D86" s="4">
        <v>0.161623</v>
      </c>
      <c r="F86" s="19">
        <v>-0.538906</v>
      </c>
      <c r="G86" s="19">
        <v>-0.0494</v>
      </c>
      <c r="H86" s="22">
        <f t="shared" si="3"/>
        <v>-0.1237165039</v>
      </c>
    </row>
    <row r="87" ht="15.75" customHeight="1">
      <c r="B87" s="4">
        <v>13.5</v>
      </c>
      <c r="C87" s="4">
        <v>0.408908</v>
      </c>
      <c r="D87" s="4">
        <v>0.161771</v>
      </c>
      <c r="F87" s="19">
        <v>-0.540657</v>
      </c>
      <c r="G87" s="19">
        <v>-0.0165</v>
      </c>
      <c r="H87" s="22">
        <f t="shared" si="3"/>
        <v>-0.04132231405</v>
      </c>
    </row>
    <row r="88" ht="15.75" customHeight="1">
      <c r="B88" s="4">
        <v>14.0</v>
      </c>
      <c r="C88" s="4">
        <v>0.441085</v>
      </c>
      <c r="D88" s="4">
        <v>0.161908</v>
      </c>
      <c r="F88" s="19">
        <v>-0.540657</v>
      </c>
      <c r="G88" s="19">
        <v>0.0165</v>
      </c>
      <c r="H88" s="22">
        <f t="shared" si="3"/>
        <v>0.04132231405</v>
      </c>
    </row>
    <row r="89" ht="15.75" customHeight="1">
      <c r="B89" s="4">
        <v>14.5</v>
      </c>
      <c r="C89" s="4">
        <v>0.473151</v>
      </c>
      <c r="D89" s="4">
        <v>0.162035</v>
      </c>
      <c r="F89" s="19">
        <v>-0.538906</v>
      </c>
      <c r="G89" s="19">
        <v>0.0494</v>
      </c>
      <c r="H89" s="22">
        <f t="shared" si="3"/>
        <v>0.1237165039</v>
      </c>
    </row>
    <row r="90" ht="15.75" customHeight="1">
      <c r="B90" s="4">
        <v>15.0</v>
      </c>
      <c r="C90" s="4">
        <v>0.505102</v>
      </c>
      <c r="D90" s="4">
        <v>0.162151</v>
      </c>
      <c r="F90" s="19">
        <v>-0.535376</v>
      </c>
      <c r="G90" s="19">
        <v>0.082</v>
      </c>
      <c r="H90" s="22">
        <f t="shared" si="3"/>
        <v>0.2053593789</v>
      </c>
    </row>
    <row r="91" ht="15.75" customHeight="1">
      <c r="B91" s="4">
        <v>15.5</v>
      </c>
      <c r="C91" s="4">
        <v>0.536929</v>
      </c>
      <c r="D91" s="4">
        <v>0.162257</v>
      </c>
      <c r="F91" s="19">
        <v>-0.530012</v>
      </c>
      <c r="G91" s="19">
        <v>0.114</v>
      </c>
      <c r="H91" s="22">
        <f t="shared" si="3"/>
        <v>0.2854996243</v>
      </c>
    </row>
    <row r="92" ht="15.75" customHeight="1">
      <c r="B92" s="4">
        <v>16.0</v>
      </c>
      <c r="C92" s="4">
        <v>0.568629</v>
      </c>
      <c r="D92" s="4">
        <v>0.162352</v>
      </c>
      <c r="F92" s="19">
        <v>-0.522732</v>
      </c>
      <c r="G92" s="19">
        <v>0.1453</v>
      </c>
      <c r="H92" s="22">
        <f t="shared" si="3"/>
        <v>0.3638868019</v>
      </c>
    </row>
    <row r="93" ht="15.75" customHeight="1">
      <c r="B93" s="4">
        <v>16.5</v>
      </c>
      <c r="C93" s="4">
        <v>0.600194</v>
      </c>
      <c r="D93" s="4">
        <v>0.162437</v>
      </c>
      <c r="F93" s="19">
        <v>-0.513431</v>
      </c>
      <c r="G93" s="19">
        <v>0.1755</v>
      </c>
      <c r="H93" s="22">
        <f t="shared" si="3"/>
        <v>0.4395191585</v>
      </c>
    </row>
    <row r="94" ht="15.75" customHeight="1">
      <c r="B94" s="4">
        <v>17.0</v>
      </c>
      <c r="C94" s="4">
        <v>0.631618</v>
      </c>
      <c r="D94" s="4">
        <v>0.162511</v>
      </c>
      <c r="F94" s="19">
        <v>-0.501978</v>
      </c>
      <c r="G94" s="19">
        <v>0.2046</v>
      </c>
      <c r="H94" s="22">
        <f t="shared" si="3"/>
        <v>0.5123966942</v>
      </c>
    </row>
    <row r="95" ht="15.75" customHeight="1">
      <c r="B95" s="4">
        <v>17.5</v>
      </c>
      <c r="C95" s="4">
        <v>0.662896</v>
      </c>
      <c r="D95" s="4">
        <v>0.162575</v>
      </c>
      <c r="F95" s="19">
        <v>-0.488227</v>
      </c>
      <c r="G95" s="19">
        <v>0.2322</v>
      </c>
      <c r="H95" s="22">
        <f t="shared" si="3"/>
        <v>0.5815176559</v>
      </c>
    </row>
    <row r="96" ht="15.75" customHeight="1">
      <c r="B96" s="4">
        <v>18.0</v>
      </c>
      <c r="C96" s="4">
        <v>0.694021</v>
      </c>
      <c r="D96" s="4">
        <v>0.162628</v>
      </c>
      <c r="F96" s="19">
        <v>-0.472024</v>
      </c>
      <c r="G96" s="19">
        <v>0.2583</v>
      </c>
      <c r="H96" s="22">
        <f t="shared" si="3"/>
        <v>0.6468820436</v>
      </c>
    </row>
    <row r="97" ht="15.75" customHeight="1">
      <c r="B97" s="4">
        <v>18.5</v>
      </c>
      <c r="C97" s="4">
        <v>0.724989</v>
      </c>
      <c r="D97" s="4">
        <v>0.16267</v>
      </c>
      <c r="F97" s="19">
        <v>-0.453221</v>
      </c>
      <c r="G97" s="19">
        <v>0.2826</v>
      </c>
      <c r="H97" s="22">
        <f t="shared" si="3"/>
        <v>0.7077385424</v>
      </c>
    </row>
    <row r="98" ht="15.75" customHeight="1">
      <c r="B98" s="4">
        <v>19.0</v>
      </c>
      <c r="C98" s="4">
        <v>0.755792</v>
      </c>
      <c r="D98" s="4">
        <v>0.162702</v>
      </c>
      <c r="F98" s="19">
        <v>-0.431704</v>
      </c>
      <c r="G98" s="19">
        <v>0.305</v>
      </c>
      <c r="H98" s="22">
        <f t="shared" si="3"/>
        <v>0.7638367142</v>
      </c>
    </row>
    <row r="99" ht="15.75" customHeight="1">
      <c r="B99" s="4">
        <v>19.5</v>
      </c>
      <c r="C99" s="4">
        <v>0.786426</v>
      </c>
      <c r="D99" s="4">
        <v>0.162723</v>
      </c>
      <c r="F99" s="19">
        <v>-0.407433</v>
      </c>
      <c r="G99" s="19">
        <v>0.3253</v>
      </c>
      <c r="H99" s="22">
        <f t="shared" si="3"/>
        <v>0.8146756824</v>
      </c>
    </row>
    <row r="100" ht="15.75" customHeight="1">
      <c r="B100" s="4">
        <v>20.0</v>
      </c>
      <c r="C100" s="4">
        <v>0.816886</v>
      </c>
      <c r="D100" s="4">
        <v>0.162733</v>
      </c>
      <c r="F100" s="19">
        <v>-0.380498</v>
      </c>
      <c r="G100" s="19">
        <v>0.3433</v>
      </c>
      <c r="H100" s="22">
        <f t="shared" si="3"/>
        <v>0.8597545705</v>
      </c>
    </row>
    <row r="101" ht="15.75" customHeight="1">
      <c r="F101" s="19">
        <v>-0.351196</v>
      </c>
      <c r="G101" s="19">
        <v>0.359</v>
      </c>
      <c r="H101" s="22">
        <f t="shared" si="3"/>
        <v>0.8990733784</v>
      </c>
    </row>
    <row r="102" ht="15.75" customHeight="1">
      <c r="F102" s="19">
        <v>-0.320131</v>
      </c>
      <c r="G102" s="19">
        <v>0.3723</v>
      </c>
      <c r="H102" s="22">
        <f t="shared" si="3"/>
        <v>0.9323816679</v>
      </c>
    </row>
    <row r="103" ht="15.75" customHeight="1">
      <c r="F103" s="19">
        <v>-0.288358</v>
      </c>
      <c r="G103" s="19">
        <v>0.383</v>
      </c>
      <c r="H103" s="22">
        <f t="shared" si="3"/>
        <v>0.9591785625</v>
      </c>
    </row>
    <row r="104" ht="15.75" customHeight="1">
      <c r="F104" s="19">
        <v>-0.257634</v>
      </c>
      <c r="G104" s="19">
        <v>0.3912</v>
      </c>
      <c r="H104" s="22">
        <f t="shared" si="3"/>
        <v>0.9797145004</v>
      </c>
    </row>
    <row r="105" ht="15.75" customHeight="1">
      <c r="F105" s="19">
        <v>-0.230497</v>
      </c>
      <c r="G105" s="19">
        <v>0.3966</v>
      </c>
      <c r="H105" s="22">
        <f t="shared" si="3"/>
        <v>0.9932381668</v>
      </c>
    </row>
    <row r="106" ht="15.75" customHeight="1">
      <c r="F106" s="19">
        <v>-0.267016</v>
      </c>
      <c r="G106" s="19">
        <v>0.3993</v>
      </c>
      <c r="H106" s="22">
        <f t="shared" si="3"/>
        <v>1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E3"/>
    <mergeCell ref="F17:H18"/>
    <mergeCell ref="C18:D18"/>
    <mergeCell ref="F66:H67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2020-02-13T08:56:09Z</dcterms:created>
  <dc:creator>Celina</dc:creator>
</cp:coreProperties>
</file>