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is AI" sheetId="1" r:id="rId4"/>
    <sheet state="visible" name="Gráficos AI" sheetId="2" r:id="rId5"/>
    <sheet state="visible" name="Dimensões e Massa AI" sheetId="3" r:id="rId6"/>
    <sheet state="visible" name="Massa Tabeladas" sheetId="4" r:id="rId7"/>
  </sheets>
  <definedNames/>
  <calcPr/>
  <extLst>
    <ext uri="GoogleSheetsCustomDataVersion1">
      <go:sheetsCustomData xmlns:go="http://customooxmlschemas.google.com/" r:id="rId8" roundtripDataSignature="AMtx7miEw8cDj+9MM/FkmHTvLYuUD4+VLA=="/>
    </ext>
  </extLst>
</workbook>
</file>

<file path=xl/sharedStrings.xml><?xml version="1.0" encoding="utf-8"?>
<sst xmlns="http://schemas.openxmlformats.org/spreadsheetml/2006/main" count="166" uniqueCount="92">
  <si>
    <t>Input</t>
  </si>
  <si>
    <t>b/2 [m]</t>
  </si>
  <si>
    <t>EQUAÇÃO OBTIDA POR CARGAS</t>
  </si>
  <si>
    <t>-2231x^6 + 5779x^5 -5689x^4 + 2607x^3 -589.8x^2 + 31.93x + 112.4
R²=0.9986</t>
  </si>
  <si>
    <t>Grau</t>
  </si>
  <si>
    <t>Valor</t>
  </si>
  <si>
    <t>ESFORÇO CORTANTE</t>
  </si>
  <si>
    <t>Condição de Contorno</t>
  </si>
  <si>
    <t>V(x)</t>
  </si>
  <si>
    <t xml:space="preserve"> X= b/2</t>
  </si>
  <si>
    <t>Máx</t>
  </si>
  <si>
    <t>X= 0</t>
  </si>
  <si>
    <t>C1</t>
  </si>
  <si>
    <t>Esforço Cortante Máx (N)</t>
  </si>
  <si>
    <t>MOMENTO FLETOR</t>
  </si>
  <si>
    <t>M(x)</t>
  </si>
  <si>
    <t xml:space="preserve"> X= 0</t>
  </si>
  <si>
    <t>C2</t>
  </si>
  <si>
    <t>Momento Fletor Máx (N.m)</t>
  </si>
  <si>
    <t>Angulação ( EQUAÇÃO DA FLEXA)</t>
  </si>
  <si>
    <t>dM/dx</t>
  </si>
  <si>
    <t>MÁX</t>
  </si>
  <si>
    <t>X= b/2</t>
  </si>
  <si>
    <t>C3</t>
  </si>
  <si>
    <t>Angulação Máxima</t>
  </si>
  <si>
    <t>DEFLEXÃO MÁXIMA</t>
  </si>
  <si>
    <t>C4</t>
  </si>
  <si>
    <t>Deflexão Máxima</t>
  </si>
  <si>
    <t>Esforço Cortante</t>
  </si>
  <si>
    <t>Inclinação</t>
  </si>
  <si>
    <t>x</t>
  </si>
  <si>
    <r>
      <rPr>
        <rFont val="Calibri"/>
        <color theme="1"/>
        <sz val="11.0"/>
      </rPr>
      <t>α</t>
    </r>
    <r>
      <rPr>
        <rFont val="Calibri"/>
        <color theme="1"/>
        <sz val="11.0"/>
      </rPr>
      <t>(x)</t>
    </r>
  </si>
  <si>
    <t>Momento Fletor</t>
  </si>
  <si>
    <t>Deflexão</t>
  </si>
  <si>
    <t>Y(x)</t>
  </si>
  <si>
    <t>Seção Circular Alumínio</t>
  </si>
  <si>
    <t>Seção Retangular</t>
  </si>
  <si>
    <t>Seção Circular Carbono</t>
  </si>
  <si>
    <t>Inputs</t>
  </si>
  <si>
    <t>Massa da longarina</t>
  </si>
  <si>
    <r>
      <rPr>
        <rFont val="Calibri"/>
        <color theme="1"/>
        <sz val="16.0"/>
      </rPr>
      <t>σ</t>
    </r>
    <r>
      <rPr>
        <rFont val="Calibri"/>
        <color theme="1"/>
        <sz val="11.0"/>
      </rPr>
      <t>esc (MPa)</t>
    </r>
  </si>
  <si>
    <t>A(mm²)</t>
  </si>
  <si>
    <r>
      <rPr>
        <rFont val="Calibri"/>
        <color theme="1"/>
        <sz val="16.0"/>
      </rPr>
      <t>σ</t>
    </r>
    <r>
      <rPr>
        <rFont val="Calibri"/>
        <color theme="1"/>
        <sz val="11.0"/>
      </rPr>
      <t>esc (MPa)</t>
    </r>
  </si>
  <si>
    <r>
      <rPr>
        <rFont val="Calibri"/>
        <color theme="1"/>
        <sz val="16.0"/>
      </rPr>
      <t>σ</t>
    </r>
    <r>
      <rPr>
        <rFont val="Calibri"/>
        <color theme="1"/>
        <sz val="11.0"/>
      </rPr>
      <t>esc (MPa)</t>
    </r>
  </si>
  <si>
    <r>
      <rPr>
        <rFont val="Calibri"/>
        <color theme="1"/>
        <sz val="16.0"/>
      </rPr>
      <t>σ</t>
    </r>
    <r>
      <rPr>
        <rFont val="Calibri"/>
        <color theme="1"/>
        <sz val="11.0"/>
      </rPr>
      <t>esc (MPa)</t>
    </r>
  </si>
  <si>
    <t>F.S</t>
  </si>
  <si>
    <t>V(mm³)</t>
  </si>
  <si>
    <r>
      <rPr>
        <rFont val="Calibri"/>
        <color theme="1"/>
        <sz val="16.0"/>
      </rPr>
      <t>σ</t>
    </r>
    <r>
      <rPr>
        <rFont val="Calibri"/>
        <color theme="1"/>
        <sz val="11.0"/>
      </rPr>
      <t>adm (MPa)</t>
    </r>
  </si>
  <si>
    <t>m (g)</t>
  </si>
  <si>
    <r>
      <rPr>
        <rFont val="Calibri"/>
        <color theme="1"/>
        <sz val="16.0"/>
      </rPr>
      <t>σ</t>
    </r>
    <r>
      <rPr>
        <rFont val="Calibri"/>
        <color theme="1"/>
        <sz val="11.0"/>
      </rPr>
      <t>adm (MPa)</t>
    </r>
  </si>
  <si>
    <r>
      <rPr>
        <rFont val="Calibri"/>
        <color theme="1"/>
        <sz val="16.0"/>
      </rPr>
      <t>σ</t>
    </r>
    <r>
      <rPr>
        <rFont val="Calibri"/>
        <color theme="1"/>
        <sz val="11.0"/>
      </rPr>
      <t>adm (MPa)</t>
    </r>
  </si>
  <si>
    <r>
      <rPr>
        <rFont val="Calibri"/>
        <color theme="1"/>
        <sz val="16.0"/>
      </rPr>
      <t>σ</t>
    </r>
    <r>
      <rPr>
        <rFont val="Calibri"/>
        <color theme="1"/>
        <sz val="11.0"/>
      </rPr>
      <t>adm (MPa)</t>
    </r>
  </si>
  <si>
    <t>b (mm)</t>
  </si>
  <si>
    <t>Iy</t>
  </si>
  <si>
    <t>p (g/mm³)</t>
  </si>
  <si>
    <t>Diâmetros</t>
  </si>
  <si>
    <t>Mmáx (N.mm)</t>
  </si>
  <si>
    <t>Dext (mm)</t>
  </si>
  <si>
    <t>base (mm)</t>
  </si>
  <si>
    <t>Vmáx(N)</t>
  </si>
  <si>
    <t>Dint (mm)</t>
  </si>
  <si>
    <t>esp (mm)</t>
  </si>
  <si>
    <t>altura (mm)</t>
  </si>
  <si>
    <t>Rext (mm)</t>
  </si>
  <si>
    <r>
      <rPr>
        <rFont val="Calibri"/>
        <color theme="1"/>
        <sz val="16.0"/>
      </rPr>
      <t>σ</t>
    </r>
    <r>
      <rPr>
        <rFont val="Calibri"/>
        <color theme="1"/>
        <sz val="11.0"/>
      </rPr>
      <t>f(MPa)</t>
    </r>
  </si>
  <si>
    <t>Laminado</t>
  </si>
  <si>
    <r>
      <rPr>
        <rFont val="Calibri"/>
        <color theme="1"/>
        <sz val="16.0"/>
      </rPr>
      <t>σ</t>
    </r>
    <r>
      <rPr>
        <rFont val="Calibri"/>
        <color theme="1"/>
        <sz val="11.0"/>
      </rPr>
      <t>f(MPa)</t>
    </r>
  </si>
  <si>
    <r>
      <rPr>
        <rFont val="Calibri"/>
        <color theme="1"/>
        <sz val="16.0"/>
      </rPr>
      <t>σ</t>
    </r>
    <r>
      <rPr>
        <rFont val="Calibri"/>
        <color theme="1"/>
        <sz val="11.0"/>
      </rPr>
      <t>f(MPa)</t>
    </r>
  </si>
  <si>
    <t>Rint (mm)</t>
  </si>
  <si>
    <r>
      <rPr>
        <rFont val="Calibri"/>
        <color theme="1"/>
        <sz val="16.0"/>
      </rPr>
      <t>σ</t>
    </r>
    <r>
      <rPr>
        <rFont val="Calibri"/>
        <color theme="1"/>
        <sz val="11.0"/>
      </rPr>
      <t>f(MPa)</t>
    </r>
  </si>
  <si>
    <r>
      <rPr>
        <rFont val="Calibri"/>
        <color theme="1"/>
        <sz val="16.0"/>
      </rPr>
      <t>τ</t>
    </r>
    <r>
      <rPr>
        <rFont val="Calibri"/>
        <color theme="1"/>
        <sz val="11.0"/>
      </rPr>
      <t>cis</t>
    </r>
    <r>
      <rPr>
        <rFont val="Calibri"/>
        <color theme="1"/>
        <sz val="11.0"/>
      </rPr>
      <t>(Mpa)</t>
    </r>
  </si>
  <si>
    <r>
      <rPr>
        <rFont val="Calibri"/>
        <color theme="1"/>
        <sz val="16.0"/>
      </rPr>
      <t>τ</t>
    </r>
    <r>
      <rPr>
        <rFont val="Calibri"/>
        <color theme="1"/>
        <sz val="11.0"/>
      </rPr>
      <t>cis</t>
    </r>
    <r>
      <rPr>
        <rFont val="Calibri"/>
        <color theme="1"/>
        <sz val="11.0"/>
      </rPr>
      <t>(Mpa)</t>
    </r>
  </si>
  <si>
    <t>m(g)</t>
  </si>
  <si>
    <r>
      <rPr>
        <rFont val="Calibri"/>
        <color theme="1"/>
        <sz val="16.0"/>
      </rPr>
      <t>τ</t>
    </r>
    <r>
      <rPr>
        <rFont val="Calibri"/>
        <color theme="1"/>
        <sz val="11.0"/>
      </rPr>
      <t>cis</t>
    </r>
    <r>
      <rPr>
        <rFont val="Calibri"/>
        <color theme="1"/>
        <sz val="11.0"/>
      </rPr>
      <t>(Mpa)</t>
    </r>
  </si>
  <si>
    <r>
      <rPr>
        <rFont val="Calibri"/>
        <color theme="1"/>
        <sz val="16.0"/>
      </rPr>
      <t>τ</t>
    </r>
    <r>
      <rPr>
        <rFont val="Calibri"/>
        <color theme="1"/>
        <sz val="11.0"/>
      </rPr>
      <t>cis</t>
    </r>
    <r>
      <rPr>
        <rFont val="Calibri"/>
        <color theme="1"/>
        <sz val="11.0"/>
      </rPr>
      <t>(Mpa)</t>
    </r>
  </si>
  <si>
    <r>
      <rPr>
        <rFont val="Calibri"/>
        <color theme="1"/>
        <sz val="16.0"/>
      </rPr>
      <t>τ</t>
    </r>
    <r>
      <rPr>
        <rFont val="Calibri"/>
        <color theme="1"/>
        <sz val="11.0"/>
      </rPr>
      <t>esc(Mpa)</t>
    </r>
  </si>
  <si>
    <t>Escalonada</t>
  </si>
  <si>
    <r>
      <rPr>
        <rFont val="Calibri"/>
        <color theme="1"/>
        <sz val="16.0"/>
      </rPr>
      <t>τ</t>
    </r>
    <r>
      <rPr>
        <rFont val="Calibri"/>
        <color theme="1"/>
        <sz val="11.0"/>
      </rPr>
      <t>esc(Mpa)</t>
    </r>
  </si>
  <si>
    <r>
      <rPr>
        <rFont val="Calibri"/>
        <color theme="1"/>
        <sz val="16.0"/>
      </rPr>
      <t>τ</t>
    </r>
    <r>
      <rPr>
        <rFont val="Calibri"/>
        <color theme="1"/>
        <sz val="11.0"/>
      </rPr>
      <t>adm(Mpa)</t>
    </r>
  </si>
  <si>
    <r>
      <rPr>
        <rFont val="Calibri"/>
        <color theme="1"/>
        <sz val="16.0"/>
      </rPr>
      <t>τ</t>
    </r>
    <r>
      <rPr>
        <rFont val="Calibri"/>
        <color theme="1"/>
        <sz val="11.0"/>
      </rPr>
      <t>adm(Mpa)</t>
    </r>
  </si>
  <si>
    <r>
      <rPr>
        <rFont val="Calibri"/>
        <color theme="1"/>
        <sz val="11.0"/>
      </rPr>
      <t xml:space="preserve">Teste(Falha por Flexão)                                                                      </t>
    </r>
    <r>
      <rPr>
        <rFont val="Calibri"/>
        <color theme="1"/>
        <sz val="16.0"/>
      </rPr>
      <t>σ</t>
    </r>
    <r>
      <rPr>
        <rFont val="Calibri"/>
        <color theme="1"/>
        <sz val="11.0"/>
      </rPr>
      <t xml:space="preserve">f &lt; </t>
    </r>
    <r>
      <rPr>
        <rFont val="Calibri"/>
        <color theme="1"/>
        <sz val="16.0"/>
      </rPr>
      <t>σ</t>
    </r>
    <r>
      <rPr>
        <rFont val="Calibri"/>
        <color theme="1"/>
        <sz val="11.0"/>
      </rPr>
      <t>adm</t>
    </r>
  </si>
  <si>
    <r>
      <rPr>
        <rFont val="Calibri"/>
        <color theme="1"/>
        <sz val="11.0"/>
      </rPr>
      <t xml:space="preserve">Teste(Falha por Flexão)                                                     </t>
    </r>
    <r>
      <rPr>
        <rFont val="Calibri"/>
        <color theme="1"/>
        <sz val="16.0"/>
      </rPr>
      <t>σ</t>
    </r>
    <r>
      <rPr>
        <rFont val="Calibri"/>
        <color theme="1"/>
        <sz val="11.0"/>
      </rPr>
      <t xml:space="preserve">f &lt; </t>
    </r>
    <r>
      <rPr>
        <rFont val="Calibri"/>
        <color theme="1"/>
        <sz val="16.0"/>
      </rPr>
      <t>σ</t>
    </r>
    <r>
      <rPr>
        <rFont val="Calibri"/>
        <color theme="1"/>
        <sz val="11.0"/>
      </rPr>
      <t>adm</t>
    </r>
  </si>
  <si>
    <r>
      <rPr>
        <rFont val="Calibri"/>
        <color theme="1"/>
        <sz val="11.0"/>
      </rPr>
      <t xml:space="preserve">Teste(Falha por Flexão)                                                        </t>
    </r>
    <r>
      <rPr>
        <rFont val="Calibri"/>
        <color theme="1"/>
        <sz val="16.0"/>
      </rPr>
      <t>σ</t>
    </r>
    <r>
      <rPr>
        <rFont val="Calibri"/>
        <color theme="1"/>
        <sz val="11.0"/>
      </rPr>
      <t xml:space="preserve">f &lt; </t>
    </r>
    <r>
      <rPr>
        <rFont val="Calibri"/>
        <color theme="1"/>
        <sz val="16.0"/>
      </rPr>
      <t>σ</t>
    </r>
    <r>
      <rPr>
        <rFont val="Calibri"/>
        <color theme="1"/>
        <sz val="11.0"/>
      </rPr>
      <t>adm</t>
    </r>
  </si>
  <si>
    <r>
      <rPr>
        <rFont val="Calibri"/>
        <color theme="1"/>
        <sz val="11.0"/>
      </rPr>
      <t xml:space="preserve">Teste(Falha por Flexão)                                                     </t>
    </r>
    <r>
      <rPr>
        <rFont val="Calibri"/>
        <color theme="1"/>
        <sz val="16.0"/>
      </rPr>
      <t>σ</t>
    </r>
    <r>
      <rPr>
        <rFont val="Calibri"/>
        <color theme="1"/>
        <sz val="11.0"/>
      </rPr>
      <t xml:space="preserve">f &lt; </t>
    </r>
    <r>
      <rPr>
        <rFont val="Calibri"/>
        <color theme="1"/>
        <sz val="16.0"/>
      </rPr>
      <t>σ</t>
    </r>
    <r>
      <rPr>
        <rFont val="Calibri"/>
        <color theme="1"/>
        <sz val="11.0"/>
      </rPr>
      <t>adm</t>
    </r>
  </si>
  <si>
    <r>
      <rPr>
        <rFont val="Calibri"/>
        <color theme="1"/>
        <sz val="11.0"/>
      </rPr>
      <t xml:space="preserve">Teste(Falha por Cisalhamento)                                                        </t>
    </r>
    <r>
      <rPr>
        <rFont val="Calibri"/>
        <color theme="1"/>
        <sz val="16.0"/>
      </rPr>
      <t>τ</t>
    </r>
    <r>
      <rPr>
        <rFont val="Calibri"/>
        <color theme="1"/>
        <sz val="11.0"/>
      </rPr>
      <t xml:space="preserve">cis &lt; </t>
    </r>
    <r>
      <rPr>
        <rFont val="Calibri"/>
        <color theme="1"/>
        <sz val="16.0"/>
      </rPr>
      <t>τ</t>
    </r>
    <r>
      <rPr>
        <rFont val="Calibri"/>
        <color theme="1"/>
        <sz val="11.0"/>
      </rPr>
      <t>adm</t>
    </r>
  </si>
  <si>
    <r>
      <rPr>
        <rFont val="Calibri"/>
        <color theme="1"/>
        <sz val="11.0"/>
      </rPr>
      <t xml:space="preserve">Teste(Falha por Cisalhamento)                                                     </t>
    </r>
    <r>
      <rPr>
        <rFont val="Calibri"/>
        <color theme="1"/>
        <sz val="16.0"/>
      </rPr>
      <t>τ</t>
    </r>
    <r>
      <rPr>
        <rFont val="Calibri"/>
        <color theme="1"/>
        <sz val="11.0"/>
      </rPr>
      <t xml:space="preserve">cis &lt; </t>
    </r>
    <r>
      <rPr>
        <rFont val="Calibri"/>
        <color theme="1"/>
        <sz val="16.0"/>
      </rPr>
      <t>τ</t>
    </r>
    <r>
      <rPr>
        <rFont val="Calibri"/>
        <color theme="1"/>
        <sz val="11.0"/>
      </rPr>
      <t>adm</t>
    </r>
  </si>
  <si>
    <t>Massas tabeladas</t>
  </si>
  <si>
    <t>Alumínio Circular</t>
  </si>
  <si>
    <t>Alumínio Circular Escalonada</t>
  </si>
  <si>
    <t>Carbono Circular</t>
  </si>
  <si>
    <t>Balsa + Carbono Caixão</t>
  </si>
  <si>
    <t>DivinyCell + Carbono Caixão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</si>
</sst>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"/>
    <numFmt numFmtId="165" formatCode="0.0000"/>
    <numFmt numFmtId="166" formatCode="#,##0.00000000"/>
  </numFmts>
  <fonts count="8">
    <font>
      <sz val="11.0"/>
      <color rgb="FF000000"/>
      <name val="Calibri"/>
      <scheme val="minor"/>
    </font>
    <font>
      <sz val="11.0"/>
      <color theme="1"/>
      <name val="Calibri"/>
    </font>
    <font/>
    <font>
      <color rgb="FF000000"/>
      <name val="Roboto"/>
    </font>
    <font>
      <sz val="16.0"/>
      <color theme="1"/>
      <name val="Calibri"/>
    </font>
    <font>
      <color rgb="FFFFFFFF"/>
      <name val="Calibri"/>
      <scheme val="minor"/>
    </font>
    <font>
      <color theme="1"/>
      <name val="Calibri"/>
      <scheme val="minor"/>
    </font>
    <font>
      <sz val="11.0"/>
      <color rgb="FF1155CC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8EAADB"/>
        <bgColor rgb="FF8EAADB"/>
      </patternFill>
    </fill>
    <fill>
      <patternFill patternType="solid">
        <fgColor rgb="FF262626"/>
        <bgColor rgb="FF26262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4" fillId="0" fontId="2" numFmtId="0" xfId="0" applyBorder="1" applyFont="1"/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1" numFmtId="3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/>
    </xf>
    <xf borderId="3" fillId="0" fontId="1" numFmtId="164" xfId="0" applyAlignment="1" applyBorder="1" applyFont="1" applyNumberFormat="1">
      <alignment horizontal="center"/>
    </xf>
    <xf borderId="3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9" fillId="3" fontId="1" numFmtId="0" xfId="0" applyBorder="1" applyFont="1"/>
    <xf borderId="6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10" fillId="3" fontId="1" numFmtId="0" xfId="0" applyBorder="1" applyFont="1"/>
    <xf borderId="11" fillId="3" fontId="1" numFmtId="0" xfId="0" applyBorder="1" applyFont="1"/>
    <xf borderId="12" fillId="3" fontId="1" numFmtId="0" xfId="0" applyBorder="1" applyFont="1"/>
    <xf borderId="0" fillId="0" fontId="1" numFmtId="0" xfId="0" applyFont="1"/>
    <xf borderId="0" fillId="0" fontId="1" numFmtId="0" xfId="0" applyAlignment="1" applyFont="1">
      <alignment horizontal="center" vertical="center"/>
    </xf>
    <xf borderId="6" fillId="0" fontId="1" numFmtId="0" xfId="0" applyBorder="1" applyFont="1"/>
    <xf borderId="3" fillId="4" fontId="1" numFmtId="0" xfId="0" applyAlignment="1" applyBorder="1" applyFill="1" applyFont="1">
      <alignment horizontal="center"/>
    </xf>
    <xf borderId="3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0" fillId="5" fontId="3" numFmtId="0" xfId="0" applyAlignment="1" applyFill="1" applyFont="1">
      <alignment readingOrder="0"/>
    </xf>
    <xf borderId="13" fillId="0" fontId="1" numFmtId="0" xfId="0" applyBorder="1" applyFont="1"/>
    <xf borderId="1" fillId="4" fontId="1" numFmtId="0" xfId="0" applyAlignment="1" applyBorder="1" applyFont="1">
      <alignment horizontal="center"/>
    </xf>
    <xf borderId="13" fillId="0" fontId="1" numFmtId="0" xfId="0" applyAlignment="1" applyBorder="1" applyFont="1">
      <alignment shrinkToFit="0" wrapText="1"/>
    </xf>
    <xf borderId="3" fillId="0" fontId="1" numFmtId="2" xfId="0" applyAlignment="1" applyBorder="1" applyFont="1" applyNumberFormat="1">
      <alignment horizontal="center"/>
    </xf>
    <xf borderId="3" fillId="0" fontId="1" numFmtId="2" xfId="0" applyAlignment="1" applyBorder="1" applyFont="1" applyNumberFormat="1">
      <alignment horizontal="center" readingOrder="0"/>
    </xf>
    <xf borderId="3" fillId="0" fontId="4" numFmtId="0" xfId="0" applyAlignment="1" applyBorder="1" applyFont="1">
      <alignment horizontal="center"/>
    </xf>
    <xf borderId="1" fillId="0" fontId="1" numFmtId="2" xfId="0" applyAlignment="1" applyBorder="1" applyFont="1" applyNumberFormat="1">
      <alignment horizontal="center"/>
    </xf>
    <xf borderId="14" fillId="0" fontId="1" numFmtId="0" xfId="0" applyAlignment="1" applyBorder="1" applyFont="1">
      <alignment horizontal="center" readingOrder="0"/>
    </xf>
    <xf borderId="3" fillId="0" fontId="1" numFmtId="165" xfId="0" applyAlignment="1" applyBorder="1" applyFont="1" applyNumberFormat="1">
      <alignment vertical="center"/>
    </xf>
    <xf borderId="3" fillId="0" fontId="1" numFmtId="165" xfId="0" applyAlignment="1" applyBorder="1" applyFont="1" applyNumberFormat="1">
      <alignment horizontal="center"/>
    </xf>
    <xf borderId="3" fillId="0" fontId="1" numFmtId="166" xfId="0" applyAlignment="1" applyBorder="1" applyFont="1" applyNumberFormat="1">
      <alignment horizontal="center" readingOrder="0"/>
    </xf>
    <xf borderId="14" fillId="0" fontId="1" numFmtId="0" xfId="0" applyAlignment="1" applyBorder="1" applyFont="1">
      <alignment horizontal="center"/>
    </xf>
    <xf borderId="13" fillId="0" fontId="1" numFmtId="2" xfId="0" applyAlignment="1" applyBorder="1" applyFont="1" applyNumberFormat="1">
      <alignment horizontal="center"/>
    </xf>
    <xf borderId="3" fillId="0" fontId="1" numFmtId="166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3" fillId="0" fontId="1" numFmtId="2" xfId="0" applyBorder="1" applyFont="1" applyNumberFormat="1"/>
    <xf borderId="0" fillId="4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Font="1"/>
    <xf borderId="3" fillId="0" fontId="6" numFmtId="0" xfId="0" applyAlignment="1" applyBorder="1" applyFont="1">
      <alignment horizontal="center" readingOrder="0"/>
    </xf>
    <xf borderId="3" fillId="0" fontId="6" numFmtId="0" xfId="0" applyBorder="1" applyFont="1"/>
    <xf borderId="3" fillId="6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 readingOrder="0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5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readingOrder="0" vertical="center"/>
    </xf>
    <xf borderId="0" fillId="0" fontId="1" numFmtId="0" xfId="0" applyAlignment="1" applyFont="1">
      <alignment shrinkToFit="0" wrapText="1"/>
    </xf>
    <xf borderId="0" fillId="0" fontId="1" numFmtId="2" xfId="0" applyAlignment="1" applyFont="1" applyNumberFormat="1">
      <alignment horizontal="center"/>
    </xf>
    <xf borderId="0" fillId="0" fontId="1" numFmtId="2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7" numFmtId="0" xfId="0" applyFont="1"/>
    <xf borderId="0" fillId="0" fontId="1" numFmtId="165" xfId="0" applyAlignment="1" applyFont="1" applyNumberFormat="1">
      <alignment vertical="center"/>
    </xf>
    <xf borderId="0" fillId="0" fontId="7" numFmtId="2" xfId="0" applyFont="1" applyNumberFormat="1"/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 readingOrder="0"/>
    </xf>
    <xf borderId="0" fillId="0" fontId="1" numFmtId="2" xfId="0" applyFont="1" applyNumberFormat="1"/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7" fontId="5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2" xfId="0" applyFont="1" applyNumberFormat="1"/>
  </cellXfs>
  <cellStyles count="1">
    <cellStyle xfId="0" name="Normal" builtinId="0"/>
  </cellStyles>
  <dxfs count="5">
    <dxf>
      <font/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B050"/>
          <bgColor rgb="FF00B050"/>
        </patternFill>
      </fill>
      <border/>
    </dxf>
    <dxf>
      <font>
        <color rgb="FF9C0006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Distância versus Esforço Cortante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'Gráficos AI'!$B$3:$B$14</c:f>
            </c:strRef>
          </c:cat>
          <c:val>
            <c:numRef>
              <c:f>'Gráficos AI'!$A$3:$A$14</c:f>
              <c:numCache/>
            </c:numRef>
          </c:val>
          <c:smooth val="0"/>
        </c:ser>
        <c:axId val="1350779838"/>
        <c:axId val="479600656"/>
      </c:lineChart>
      <c:catAx>
        <c:axId val="13507798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9600656"/>
      </c:catAx>
      <c:valAx>
        <c:axId val="4796006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07798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Distância versus Momento Fletor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'Gráficos AI'!$B$19:$B$30</c:f>
            </c:strRef>
          </c:cat>
          <c:val>
            <c:numRef>
              <c:f>'Gráficos AI'!$A$19:$A$30</c:f>
              <c:numCache/>
            </c:numRef>
          </c:val>
          <c:smooth val="0"/>
        </c:ser>
        <c:axId val="245979205"/>
        <c:axId val="1770954539"/>
      </c:lineChart>
      <c:catAx>
        <c:axId val="2459792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954539"/>
      </c:catAx>
      <c:valAx>
        <c:axId val="1770954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59792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Inclinação (Asa Inferior)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Inclinação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'Gráficos AI'!$M$3:$M$8</c:f>
            </c:numRef>
          </c:xVal>
          <c:yVal>
            <c:numRef>
              <c:f>'Gráficos AI'!$L$3:$L$8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413313"/>
        <c:axId val="43475056"/>
      </c:scatterChart>
      <c:valAx>
        <c:axId val="16644133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43475056"/>
      </c:valAx>
      <c:valAx>
        <c:axId val="43475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664413313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 versus Y(x)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cat>
            <c:strRef>
              <c:f>'Gráficos AI'!$M$19:$M$29</c:f>
            </c:strRef>
          </c:cat>
          <c:val>
            <c:numRef>
              <c:f>'Gráficos AI'!$L$19:$L$29</c:f>
              <c:numCache/>
            </c:numRef>
          </c:val>
        </c:ser>
        <c:axId val="1680200333"/>
        <c:axId val="916060726"/>
      </c:areaChart>
      <c:catAx>
        <c:axId val="16802003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6060726"/>
      </c:catAx>
      <c:valAx>
        <c:axId val="9160607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02003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238125</xdr:colOff>
      <xdr:row>0</xdr:row>
      <xdr:rowOff>76200</xdr:rowOff>
    </xdr:from>
    <xdr:ext cx="4371975" cy="2876550"/>
    <xdr:graphicFrame>
      <xdr:nvGraphicFramePr>
        <xdr:cNvPr id="206778340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304800</xdr:colOff>
      <xdr:row>16</xdr:row>
      <xdr:rowOff>9525</xdr:rowOff>
    </xdr:from>
    <xdr:ext cx="4343400" cy="2876550"/>
    <xdr:graphicFrame>
      <xdr:nvGraphicFramePr>
        <xdr:cNvPr id="946160104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66675</xdr:colOff>
      <xdr:row>0</xdr:row>
      <xdr:rowOff>38100</xdr:rowOff>
    </xdr:from>
    <xdr:ext cx="4371975" cy="2876550"/>
    <xdr:graphicFrame>
      <xdr:nvGraphicFramePr>
        <xdr:cNvPr id="207610166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152400</xdr:colOff>
      <xdr:row>16</xdr:row>
      <xdr:rowOff>0</xdr:rowOff>
    </xdr:from>
    <xdr:ext cx="4371975" cy="2876550"/>
    <xdr:graphicFrame>
      <xdr:nvGraphicFramePr>
        <xdr:cNvPr id="1794963462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8.86"/>
    <col customWidth="1" min="5" max="5" width="19.57"/>
    <col customWidth="1" min="6" max="7" width="13.14"/>
    <col customWidth="1" min="8" max="13" width="8.86"/>
    <col customWidth="1" min="14" max="14" width="12.71"/>
    <col customWidth="1" min="15" max="15" width="13.57"/>
    <col customWidth="1" min="16" max="21" width="8.71"/>
  </cols>
  <sheetData>
    <row r="1">
      <c r="A1" s="1" t="s">
        <v>0</v>
      </c>
      <c r="B1" s="2"/>
    </row>
    <row r="2">
      <c r="A2" s="3" t="s">
        <v>1</v>
      </c>
      <c r="B2" s="4">
        <v>1.07</v>
      </c>
    </row>
    <row r="5">
      <c r="A5" s="5" t="s">
        <v>2</v>
      </c>
    </row>
    <row r="7">
      <c r="E7" s="6" t="s">
        <v>3</v>
      </c>
      <c r="F7" s="7"/>
      <c r="G7" s="7"/>
      <c r="H7" s="7"/>
      <c r="I7" s="7"/>
      <c r="J7" s="7"/>
      <c r="K7" s="7"/>
      <c r="L7" s="2"/>
    </row>
    <row r="8">
      <c r="E8" s="8" t="s">
        <v>4</v>
      </c>
      <c r="F8" s="8">
        <v>6.0</v>
      </c>
      <c r="G8" s="8">
        <v>5.0</v>
      </c>
      <c r="H8" s="8">
        <v>4.0</v>
      </c>
      <c r="I8" s="8">
        <v>3.0</v>
      </c>
      <c r="J8" s="8">
        <v>2.0</v>
      </c>
      <c r="K8" s="8">
        <v>1.0</v>
      </c>
      <c r="L8" s="8">
        <v>0.0</v>
      </c>
    </row>
    <row r="9">
      <c r="E9" s="8" t="s">
        <v>5</v>
      </c>
      <c r="F9" s="9">
        <v>-2231.0</v>
      </c>
      <c r="G9" s="9">
        <v>5779.0</v>
      </c>
      <c r="H9" s="9">
        <v>-5689.0</v>
      </c>
      <c r="I9" s="9">
        <v>2607.0</v>
      </c>
      <c r="J9" s="9">
        <v>-589.8</v>
      </c>
      <c r="K9" s="9">
        <v>31.93</v>
      </c>
      <c r="L9" s="10">
        <v>112.4</v>
      </c>
    </row>
    <row r="12">
      <c r="A12" s="5" t="s">
        <v>6</v>
      </c>
    </row>
    <row r="13">
      <c r="Q13" s="11" t="s">
        <v>7</v>
      </c>
      <c r="R13" s="12"/>
      <c r="S13" s="12"/>
      <c r="T13" s="13"/>
    </row>
    <row r="14">
      <c r="E14" s="8"/>
      <c r="F14" s="8"/>
      <c r="G14" s="8"/>
      <c r="H14" s="8"/>
      <c r="I14" s="8"/>
      <c r="J14" s="8"/>
      <c r="K14" s="8"/>
      <c r="L14" s="8"/>
      <c r="M14" s="8"/>
      <c r="Q14" s="8" t="s">
        <v>8</v>
      </c>
      <c r="R14" s="14">
        <v>0.0</v>
      </c>
      <c r="S14" s="14" t="s">
        <v>9</v>
      </c>
      <c r="T14" s="14">
        <f>B2</f>
        <v>1.07</v>
      </c>
    </row>
    <row r="15">
      <c r="E15" s="8" t="s">
        <v>4</v>
      </c>
      <c r="F15" s="8">
        <f t="shared" ref="F15:L15" si="1">F8+1</f>
        <v>7</v>
      </c>
      <c r="G15" s="8">
        <f t="shared" si="1"/>
        <v>6</v>
      </c>
      <c r="H15" s="8">
        <f t="shared" si="1"/>
        <v>5</v>
      </c>
      <c r="I15" s="8">
        <f t="shared" si="1"/>
        <v>4</v>
      </c>
      <c r="J15" s="8">
        <f t="shared" si="1"/>
        <v>3</v>
      </c>
      <c r="K15" s="8">
        <f t="shared" si="1"/>
        <v>2</v>
      </c>
      <c r="L15" s="8">
        <f t="shared" si="1"/>
        <v>1</v>
      </c>
      <c r="M15" s="8">
        <v>0.0</v>
      </c>
      <c r="Q15" s="8" t="s">
        <v>8</v>
      </c>
      <c r="R15" s="8" t="s">
        <v>10</v>
      </c>
      <c r="S15" s="8" t="s">
        <v>11</v>
      </c>
      <c r="T15" s="8">
        <v>0.0</v>
      </c>
    </row>
    <row r="16">
      <c r="E16" s="8" t="s">
        <v>5</v>
      </c>
      <c r="F16" s="15">
        <f t="shared" ref="F16:L16" si="2">F9/F15</f>
        <v>-318.7142857</v>
      </c>
      <c r="G16" s="15">
        <f t="shared" si="2"/>
        <v>963.1666667</v>
      </c>
      <c r="H16" s="15">
        <f t="shared" si="2"/>
        <v>-1137.8</v>
      </c>
      <c r="I16" s="15">
        <f t="shared" si="2"/>
        <v>651.75</v>
      </c>
      <c r="J16" s="15">
        <f t="shared" si="2"/>
        <v>-196.6</v>
      </c>
      <c r="K16" s="15">
        <f t="shared" si="2"/>
        <v>15.965</v>
      </c>
      <c r="L16" s="15">
        <f t="shared" si="2"/>
        <v>112.4</v>
      </c>
      <c r="M16" s="16" t="s">
        <v>12</v>
      </c>
      <c r="N16" s="16">
        <f>-((F16*B2^F15)+(G16*B2^G15)+(H16*B2^H15)+(I16*B2^I15)+(J16*B2^J15)+(K16*B2^K15)+(L16*B2^L15))</f>
        <v>-89.85876929</v>
      </c>
    </row>
    <row r="19">
      <c r="P19" s="17" t="s">
        <v>13</v>
      </c>
      <c r="Q19" s="7"/>
      <c r="R19" s="2"/>
    </row>
    <row r="20">
      <c r="P20" s="18">
        <f>-((F16*T15^F15)+(G16*T15^G15)+(H16*T15^H15)+(I16*T15^I15)+(J16*T15^J15)+(K16*T15^K15)+(L16*T15^L15)+(N16))</f>
        <v>89.85876929</v>
      </c>
      <c r="Q20" s="7"/>
      <c r="R20" s="2"/>
    </row>
    <row r="21" ht="15.75" customHeight="1"/>
    <row r="22" ht="15.75" customHeight="1"/>
    <row r="23" ht="15.75" customHeight="1">
      <c r="A23" s="5" t="s">
        <v>14</v>
      </c>
    </row>
    <row r="24" ht="15.75" customHeight="1">
      <c r="Q24" s="11" t="s">
        <v>7</v>
      </c>
      <c r="R24" s="12"/>
      <c r="S24" s="12"/>
      <c r="T24" s="13"/>
    </row>
    <row r="25" ht="15.75" customHeight="1">
      <c r="E25" s="19"/>
      <c r="F25" s="19"/>
      <c r="G25" s="19"/>
      <c r="H25" s="19"/>
      <c r="I25" s="19"/>
      <c r="J25" s="19"/>
      <c r="K25" s="19"/>
      <c r="L25" s="19"/>
      <c r="M25" s="19"/>
      <c r="N25" s="19"/>
      <c r="Q25" s="8" t="s">
        <v>15</v>
      </c>
      <c r="R25" s="14">
        <v>0.0</v>
      </c>
      <c r="S25" s="14" t="s">
        <v>16</v>
      </c>
      <c r="T25" s="14">
        <f> B2</f>
        <v>1.07</v>
      </c>
    </row>
    <row r="26" ht="15.75" customHeight="1">
      <c r="E26" s="14" t="s">
        <v>4</v>
      </c>
      <c r="F26" s="14">
        <f t="shared" ref="F26:M26" si="3">F15+1</f>
        <v>8</v>
      </c>
      <c r="G26" s="14">
        <f t="shared" si="3"/>
        <v>7</v>
      </c>
      <c r="H26" s="14">
        <f t="shared" si="3"/>
        <v>6</v>
      </c>
      <c r="I26" s="14">
        <f t="shared" si="3"/>
        <v>5</v>
      </c>
      <c r="J26" s="14">
        <f t="shared" si="3"/>
        <v>4</v>
      </c>
      <c r="K26" s="14">
        <f t="shared" si="3"/>
        <v>3</v>
      </c>
      <c r="L26" s="14">
        <f t="shared" si="3"/>
        <v>2</v>
      </c>
      <c r="M26" s="14">
        <f t="shared" si="3"/>
        <v>1</v>
      </c>
      <c r="N26" s="20">
        <v>0.0</v>
      </c>
      <c r="Q26" s="8" t="s">
        <v>15</v>
      </c>
      <c r="R26" s="8" t="s">
        <v>10</v>
      </c>
      <c r="S26" s="8" t="s">
        <v>9</v>
      </c>
      <c r="T26" s="8">
        <f> 0</f>
        <v>0</v>
      </c>
    </row>
    <row r="27" ht="15.75" customHeight="1">
      <c r="E27" s="8" t="s">
        <v>5</v>
      </c>
      <c r="F27" s="8">
        <f t="shared" ref="F27:L27" si="4">F16/F26</f>
        <v>-39.83928571</v>
      </c>
      <c r="G27" s="8">
        <f t="shared" si="4"/>
        <v>137.5952381</v>
      </c>
      <c r="H27" s="8">
        <f t="shared" si="4"/>
        <v>-189.6333333</v>
      </c>
      <c r="I27" s="8">
        <f t="shared" si="4"/>
        <v>130.35</v>
      </c>
      <c r="J27" s="8">
        <f t="shared" si="4"/>
        <v>-49.15</v>
      </c>
      <c r="K27" s="21">
        <f t="shared" si="4"/>
        <v>5.321666667</v>
      </c>
      <c r="L27" s="21">
        <f t="shared" si="4"/>
        <v>56.2</v>
      </c>
      <c r="M27" s="21">
        <f>N16</f>
        <v>-89.85876929</v>
      </c>
      <c r="N27" s="16" t="s">
        <v>17</v>
      </c>
      <c r="O27" s="16">
        <f>-((F27*(B2^F26))+(G27*(B2^G26))+(H27*(B2^H26))+(I27*(B2^I26))+(J27*(B2^J26))+(K27*(B2^K26))+(L27*(B2^L26))+(M27*(B2^M26)))</f>
        <v>38.98116304</v>
      </c>
    </row>
    <row r="28" ht="15.75" customHeight="1"/>
    <row r="29" ht="15.75" customHeight="1"/>
    <row r="30" ht="15.75" customHeight="1">
      <c r="P30" s="22" t="s">
        <v>18</v>
      </c>
      <c r="Q30" s="23"/>
      <c r="R30" s="24"/>
    </row>
    <row r="31" ht="15.75" customHeight="1">
      <c r="P31" s="18">
        <f>((F27*T26^F26)+(G27*T26^G26)+(H27*T26^H26)+(I27*T26^I26)+(J27*T26^J26)+(K27*T26^K26)+(L27*T26^L26)+(M27*T26^M26)+(O27))</f>
        <v>38.98116304</v>
      </c>
      <c r="Q31" s="7"/>
      <c r="R31" s="2"/>
    </row>
    <row r="32" ht="15.75" customHeight="1"/>
    <row r="33" ht="15.75" customHeight="1"/>
    <row r="34" ht="15.75" customHeight="1">
      <c r="B34" s="5" t="s">
        <v>19</v>
      </c>
      <c r="U34" s="25"/>
    </row>
    <row r="35" ht="15.75" customHeight="1">
      <c r="R35" s="1" t="s">
        <v>7</v>
      </c>
      <c r="S35" s="7"/>
      <c r="T35" s="7"/>
      <c r="U35" s="2"/>
    </row>
    <row r="36" ht="15.75" customHeight="1"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Q36" s="5"/>
      <c r="R36" s="8" t="s">
        <v>20</v>
      </c>
      <c r="S36" s="8">
        <v>0.0</v>
      </c>
      <c r="T36" s="8" t="s">
        <v>16</v>
      </c>
      <c r="U36" s="8">
        <v>0.0</v>
      </c>
    </row>
    <row r="37" ht="15.75" customHeight="1">
      <c r="E37" s="8" t="s">
        <v>4</v>
      </c>
      <c r="F37" s="8">
        <f t="shared" ref="F37:N37" si="5">F26+1</f>
        <v>9</v>
      </c>
      <c r="G37" s="8">
        <f t="shared" si="5"/>
        <v>8</v>
      </c>
      <c r="H37" s="8">
        <f t="shared" si="5"/>
        <v>7</v>
      </c>
      <c r="I37" s="8">
        <f t="shared" si="5"/>
        <v>6</v>
      </c>
      <c r="J37" s="8">
        <f t="shared" si="5"/>
        <v>5</v>
      </c>
      <c r="K37" s="8">
        <f t="shared" si="5"/>
        <v>4</v>
      </c>
      <c r="L37" s="8">
        <f t="shared" si="5"/>
        <v>3</v>
      </c>
      <c r="M37" s="8">
        <f t="shared" si="5"/>
        <v>2</v>
      </c>
      <c r="N37" s="8">
        <f t="shared" si="5"/>
        <v>1</v>
      </c>
      <c r="O37" s="8">
        <v>0.0</v>
      </c>
      <c r="Q37" s="5"/>
      <c r="R37" s="8" t="s">
        <v>20</v>
      </c>
      <c r="S37" s="8" t="s">
        <v>21</v>
      </c>
      <c r="T37" s="8" t="s">
        <v>22</v>
      </c>
      <c r="U37" s="8">
        <f>B2</f>
        <v>1.07</v>
      </c>
    </row>
    <row r="38" ht="15.75" customHeight="1">
      <c r="E38" s="8" t="s">
        <v>5</v>
      </c>
      <c r="F38" s="8">
        <f t="shared" ref="F38:L38" si="6">G27/F37</f>
        <v>15.28835979</v>
      </c>
      <c r="G38" s="8">
        <f t="shared" si="6"/>
        <v>-23.70416667</v>
      </c>
      <c r="H38" s="8">
        <f t="shared" si="6"/>
        <v>18.62142857</v>
      </c>
      <c r="I38" s="8">
        <f t="shared" si="6"/>
        <v>-8.191666667</v>
      </c>
      <c r="J38" s="8">
        <f t="shared" si="6"/>
        <v>1.064333333</v>
      </c>
      <c r="K38" s="8">
        <f t="shared" si="6"/>
        <v>14.05</v>
      </c>
      <c r="L38" s="8">
        <f t="shared" si="6"/>
        <v>-29.9529231</v>
      </c>
      <c r="M38" s="8">
        <f>M27/M37</f>
        <v>-44.92938465</v>
      </c>
      <c r="N38" s="21">
        <f>O27</f>
        <v>38.98116304</v>
      </c>
      <c r="O38" s="16" t="s">
        <v>23</v>
      </c>
      <c r="P38" s="16">
        <f>((F38*U36^F37)+(G38*U36^G37)+(H38*U36^H37)+(I38*U36^I37)+(J38*U36^J37)+(K38*U36^K37)+(L38*U36^L37)+(M38*U36^M37)+(N38*U36^N37))</f>
        <v>0</v>
      </c>
      <c r="Q38" s="26"/>
    </row>
    <row r="39" ht="15.75" customHeight="1"/>
    <row r="40" ht="15.75" customHeight="1"/>
    <row r="41" ht="15.75" customHeight="1">
      <c r="P41" s="17" t="s">
        <v>24</v>
      </c>
      <c r="Q41" s="7"/>
      <c r="R41" s="2"/>
    </row>
    <row r="42" ht="15.75" customHeight="1">
      <c r="P42" s="17">
        <f>((F38*$B$2^F37)+(G38*$B$2^G37)+(H38*$B$2^H37)+(I38*$B$2^I37)+(J38*$B$2^J37)+(K38*$B$2^K37)+(L38*$B$2^L37)+(M38*$B$2^M37)+(N38*B2^N37)+(P38))</f>
        <v>-21.52664371</v>
      </c>
      <c r="Q42" s="7"/>
      <c r="R42" s="2"/>
    </row>
    <row r="43" ht="15.75" customHeight="1"/>
    <row r="44" ht="15.75" customHeight="1"/>
    <row r="45" ht="15.75" customHeight="1">
      <c r="B45" s="5" t="s">
        <v>25</v>
      </c>
      <c r="U45" s="25"/>
    </row>
    <row r="46" ht="15.75" customHeight="1">
      <c r="R46" s="1" t="s">
        <v>7</v>
      </c>
      <c r="S46" s="7"/>
      <c r="T46" s="7"/>
      <c r="U46" s="2"/>
    </row>
    <row r="47" ht="15.75" customHeight="1"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5"/>
      <c r="R47" s="8" t="s">
        <v>20</v>
      </c>
      <c r="S47" s="8">
        <v>0.0</v>
      </c>
      <c r="T47" s="8" t="s">
        <v>16</v>
      </c>
      <c r="U47" s="8">
        <v>0.0</v>
      </c>
    </row>
    <row r="48" ht="15.75" customHeight="1">
      <c r="E48" s="8" t="s">
        <v>4</v>
      </c>
      <c r="F48" s="14">
        <f t="shared" ref="F48:O48" si="7">F37+1</f>
        <v>10</v>
      </c>
      <c r="G48" s="14">
        <f t="shared" si="7"/>
        <v>9</v>
      </c>
      <c r="H48" s="14">
        <f t="shared" si="7"/>
        <v>8</v>
      </c>
      <c r="I48" s="14">
        <f t="shared" si="7"/>
        <v>7</v>
      </c>
      <c r="J48" s="14">
        <f t="shared" si="7"/>
        <v>6</v>
      </c>
      <c r="K48" s="14">
        <f t="shared" si="7"/>
        <v>5</v>
      </c>
      <c r="L48" s="14">
        <f t="shared" si="7"/>
        <v>4</v>
      </c>
      <c r="M48" s="14">
        <f t="shared" si="7"/>
        <v>3</v>
      </c>
      <c r="N48" s="14">
        <f t="shared" si="7"/>
        <v>2</v>
      </c>
      <c r="O48" s="14">
        <f t="shared" si="7"/>
        <v>1</v>
      </c>
      <c r="P48" s="8">
        <v>0.0</v>
      </c>
      <c r="R48" s="8" t="s">
        <v>20</v>
      </c>
      <c r="S48" s="8" t="s">
        <v>21</v>
      </c>
      <c r="T48" s="8" t="s">
        <v>22</v>
      </c>
      <c r="U48" s="8">
        <f>B2</f>
        <v>1.07</v>
      </c>
    </row>
    <row r="49" ht="15.75" customHeight="1">
      <c r="E49" s="8" t="s">
        <v>5</v>
      </c>
      <c r="F49" s="8">
        <f t="shared" ref="F49:N49" si="8">F38/F48</f>
        <v>1.528835979</v>
      </c>
      <c r="G49" s="8">
        <f t="shared" si="8"/>
        <v>-2.633796296</v>
      </c>
      <c r="H49" s="8">
        <f t="shared" si="8"/>
        <v>2.327678571</v>
      </c>
      <c r="I49" s="8">
        <f t="shared" si="8"/>
        <v>-1.170238095</v>
      </c>
      <c r="J49" s="8">
        <f t="shared" si="8"/>
        <v>0.1773888889</v>
      </c>
      <c r="K49" s="8">
        <f t="shared" si="8"/>
        <v>2.81</v>
      </c>
      <c r="L49" s="8">
        <f t="shared" si="8"/>
        <v>-7.488230774</v>
      </c>
      <c r="M49" s="8">
        <f t="shared" si="8"/>
        <v>-14.97646155</v>
      </c>
      <c r="N49" s="8">
        <f t="shared" si="8"/>
        <v>19.49058152</v>
      </c>
      <c r="O49" s="21">
        <f>P38</f>
        <v>0</v>
      </c>
      <c r="P49" s="16" t="s">
        <v>26</v>
      </c>
      <c r="Q49" s="16">
        <f>((F49*U47^F48)+(G49*U47^G48)+(H49*U47^H48)+(I49*U47^I48)+(J49*U47^J48)+(K49*U47^K48)+(L49*U47^L48)+(M49*U47^M48)+(N49*U47^N48)+(O49*U47^O48))</f>
        <v>0</v>
      </c>
    </row>
    <row r="50" ht="15.75" customHeight="1"/>
    <row r="51" ht="15.75" customHeight="1"/>
    <row r="52" ht="15.75" customHeight="1">
      <c r="P52" s="17" t="s">
        <v>27</v>
      </c>
      <c r="Q52" s="7"/>
      <c r="R52" s="2"/>
    </row>
    <row r="53" ht="15.75" customHeight="1">
      <c r="P53" s="17">
        <f>((F49*U48^F48)+(G49*U48^G48)+(H49*U48^H48)+(I49*U48^I48)+(J49*U48^J48)+(K49*U48^K48)+(L49*U48^L48)+(M49*U48^M48)+(N49*U48^N48)+(O49*U48^O48)+(Q49))</f>
        <v>-1.354639169</v>
      </c>
      <c r="Q53" s="7"/>
      <c r="R53" s="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B1"/>
    <mergeCell ref="A5:T5"/>
    <mergeCell ref="E7:L7"/>
    <mergeCell ref="A12:T12"/>
    <mergeCell ref="Q13:T13"/>
    <mergeCell ref="P19:R19"/>
    <mergeCell ref="P20:R20"/>
    <mergeCell ref="B45:T45"/>
    <mergeCell ref="R46:U46"/>
    <mergeCell ref="P52:R52"/>
    <mergeCell ref="P53:R53"/>
    <mergeCell ref="A23:T23"/>
    <mergeCell ref="Q24:T24"/>
    <mergeCell ref="P31:R31"/>
    <mergeCell ref="B34:T34"/>
    <mergeCell ref="R35:U35"/>
    <mergeCell ref="P41:R41"/>
    <mergeCell ref="P42:R42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11" width="8.71"/>
    <col customWidth="1" min="12" max="12" width="15.29"/>
    <col customWidth="1" min="13" max="13" width="8.71"/>
  </cols>
  <sheetData>
    <row r="1">
      <c r="A1" s="1" t="s">
        <v>28</v>
      </c>
      <c r="B1" s="2"/>
      <c r="L1" s="5" t="s">
        <v>29</v>
      </c>
    </row>
    <row r="2">
      <c r="A2" s="28" t="s">
        <v>8</v>
      </c>
      <c r="B2" s="28" t="s">
        <v>30</v>
      </c>
      <c r="L2" s="28" t="s">
        <v>31</v>
      </c>
      <c r="M2" s="28" t="s">
        <v>30</v>
      </c>
    </row>
    <row r="3">
      <c r="A3" s="8">
        <f>(('Integrais AI'!F$16*'Gráficos AI'!B3^'Integrais AI'!F$15)+('Integrais AI'!G$16*B3^'Integrais AI'!G$15)+('Integrais AI'!H$16*B3^'Integrais AI'!H$15)+('Integrais AI'!I$16*B3^'Integrais AI'!I$15)+('Integrais AI'!J$16*B3^'Integrais AI'!J$15)+('Integrais AI'!K$16*B3^'Integrais AI'!K$15)+('Integrais AI'!L$16*B3^'Integrais AI'!L$15)+('Integrais AI'!N$16))</f>
        <v>-89.85876929</v>
      </c>
      <c r="B3" s="9">
        <v>0.0</v>
      </c>
      <c r="L3" s="8">
        <f>(('Integrais AI'!F$38*M3^'Integrais AI'!F$37)+('Integrais AI'!G$38*B3^'Integrais AI'!G$37)+('Integrais AI'!H$38*B3^'Integrais AI'!H$37)+('Integrais AI'!I$38*B3^'Integrais AI'!I$37)+('Integrais AI'!J$38*B3^'Integrais AI'!J$37)+('Integrais AI'!K$38*B3^'Integrais AI'!K$37)+('Integrais AI'!L$38*B3^'Integrais AI'!L$37)+('Integrais AI'!M$38*B3^'Integrais AI'!M$37)+('Integrais AI'!N$38*B3^'Integrais AI'!N$37)+('Integrais AI'!P$38))</f>
        <v>0</v>
      </c>
      <c r="M3" s="8">
        <v>0.0</v>
      </c>
    </row>
    <row r="4">
      <c r="A4" s="8">
        <f>(('Integrais AI'!F$16*'Gráficos AI'!B4^'Integrais AI'!F$15)+('Integrais AI'!G$16*B4^'Integrais AI'!G$15)+('Integrais AI'!H$16*B4^'Integrais AI'!H$15)+('Integrais AI'!I$16*B4^'Integrais AI'!I$15)+('Integrais AI'!J$16*B4^'Integrais AI'!J$15)+('Integrais AI'!K$16*B4^'Integrais AI'!K$15)+('Integrais AI'!L$16*B4^'Integrais AI'!L$15)+('Integrais AI'!N$16))</f>
        <v>-77.81916229</v>
      </c>
      <c r="B4" s="9">
        <v>0.107</v>
      </c>
      <c r="L4" s="8">
        <f>(('Integrais AI'!F$38*M4^'Integrais AI'!F$37)+('Integrais AI'!G$38*B4^'Integrais AI'!G$37)+('Integrais AI'!H$38*B4^'Integrais AI'!H$37)+('Integrais AI'!I$38*B4^'Integrais AI'!I$37)+('Integrais AI'!J$38*B4^'Integrais AI'!J$37)+('Integrais AI'!K$38*B4^'Integrais AI'!K$37)+('Integrais AI'!L$38*B4^'Integrais AI'!L$37)+('Integrais AI'!M$38*B4^'Integrais AI'!M$37)+('Integrais AI'!N$38*B4^'Integrais AI'!N$37)+('Integrais AI'!P$38))</f>
        <v>3.621755578</v>
      </c>
      <c r="M4" s="9">
        <f>1.07*1/5</f>
        <v>0.214</v>
      </c>
    </row>
    <row r="5">
      <c r="A5" s="29">
        <f>(('Integrais AI'!F$16*'Gráficos AI'!B5^'Integrais AI'!F$15)+('Integrais AI'!G$16*B5^'Integrais AI'!G$15)+('Integrais AI'!H$16*B5^'Integrais AI'!H$15)+('Integrais AI'!I$16*B5^'Integrais AI'!I$15)+('Integrais AI'!J$16*B5^'Integrais AI'!J$15)+('Integrais AI'!K$16*B5^'Integrais AI'!K$15)+('Integrais AI'!L$16*B5^'Integrais AI'!L$15)+('Integrais AI'!N$16))</f>
        <v>-66.05859101</v>
      </c>
      <c r="B5" s="9">
        <v>0.214</v>
      </c>
      <c r="L5" s="8">
        <f>(('Integrais AI'!F$38*M5^'Integrais AI'!F$37)+('Integrais AI'!G$38*B5^'Integrais AI'!G$37)+('Integrais AI'!H$38*B5^'Integrais AI'!H$37)+('Integrais AI'!I$38*B5^'Integrais AI'!I$37)+('Integrais AI'!J$38*B5^'Integrais AI'!J$37)+('Integrais AI'!K$38*B5^'Integrais AI'!K$37)+('Integrais AI'!L$38*B5^'Integrais AI'!L$37)+('Integrais AI'!M$38*B5^'Integrais AI'!M$37)+('Integrais AI'!N$38*B5^'Integrais AI'!N$37)+('Integrais AI'!P$38))</f>
        <v>6.027638012</v>
      </c>
      <c r="M5" s="9">
        <f>1.07*2/5</f>
        <v>0.428</v>
      </c>
    </row>
    <row r="6">
      <c r="A6" s="30">
        <f>(('Integrais AI'!F$16*'Gráficos AI'!B6^'Integrais AI'!F$15)+('Integrais AI'!G$16*B6^'Integrais AI'!G$15)+('Integrais AI'!H$16*B6^'Integrais AI'!H$15)+('Integrais AI'!I$16*B6^'Integrais AI'!I$15)+('Integrais AI'!J$16*B6^'Integrais AI'!J$15)+('Integrais AI'!K$16*B6^'Integrais AI'!K$15)+('Integrais AI'!L$16*B6^'Integrais AI'!L$15)+('Integrais AI'!N$16))</f>
        <v>-54.65221414</v>
      </c>
      <c r="B6" s="9">
        <v>0.321</v>
      </c>
      <c r="L6" s="8">
        <f>(('Integrais AI'!F$38*M6^'Integrais AI'!F$37)+('Integrais AI'!G$38*B6^'Integrais AI'!G$37)+('Integrais AI'!H$38*B6^'Integrais AI'!H$37)+('Integrais AI'!I$38*B6^'Integrais AI'!I$37)+('Integrais AI'!J$38*B6^'Integrais AI'!J$37)+('Integrais AI'!K$38*B6^'Integrais AI'!K$37)+('Integrais AI'!L$38*B6^'Integrais AI'!L$37)+('Integrais AI'!M$38*B6^'Integrais AI'!M$37)+('Integrais AI'!N$38*B6^'Integrais AI'!N$37)+('Integrais AI'!P$38))</f>
        <v>7.323619001</v>
      </c>
      <c r="M6" s="9">
        <f>1.07*3/5</f>
        <v>0.642</v>
      </c>
    </row>
    <row r="7">
      <c r="A7" s="29">
        <f>(('Integrais AI'!F$16*'Gráficos AI'!B7^'Integrais AI'!F$15)+('Integrais AI'!G$16*B7^'Integrais AI'!G$15)+('Integrais AI'!H$16*B7^'Integrais AI'!H$15)+('Integrais AI'!I$16*B7^'Integrais AI'!I$15)+('Integrais AI'!J$16*B7^'Integrais AI'!J$15)+('Integrais AI'!K$16*B7^'Integrais AI'!K$15)+('Integrais AI'!L$16*B7^'Integrais AI'!L$15)+('Integrais AI'!N$16))</f>
        <v>-43.62981173</v>
      </c>
      <c r="B7" s="9">
        <v>0.428</v>
      </c>
      <c r="L7" s="8">
        <f>(('Integrais AI'!F$38*M7^'Integrais AI'!F$37)+('Integrais AI'!G$38*B7^'Integrais AI'!G$37)+('Integrais AI'!H$38*B7^'Integrais AI'!H$37)+('Integrais AI'!I$38*B7^'Integrais AI'!I$37)+('Integrais AI'!J$38*B7^'Integrais AI'!J$37)+('Integrais AI'!K$38*B7^'Integrais AI'!K$37)+('Integrais AI'!L$38*B7^'Integrais AI'!L$37)+('Integrais AI'!M$38*B7^'Integrais AI'!M$37)+('Integrais AI'!N$38*B7^'Integrais AI'!N$37)+('Integrais AI'!P$38))</f>
        <v>10.33636177</v>
      </c>
      <c r="M7" s="31">
        <f>1.07*4/5</f>
        <v>0.856</v>
      </c>
    </row>
    <row r="8">
      <c r="A8" s="29">
        <f>(('Integrais AI'!F$16*'Gráficos AI'!B8^'Integrais AI'!F$15)+('Integrais AI'!G$16*B8^'Integrais AI'!G$15)+('Integrais AI'!H$16*B8^'Integrais AI'!H$15)+('Integrais AI'!I$16*B8^'Integrais AI'!I$15)+('Integrais AI'!J$16*B8^'Integrais AI'!J$15)+('Integrais AI'!K$16*B8^'Integrais AI'!K$15)+('Integrais AI'!L$16*B8^'Integrais AI'!L$15)+('Integrais AI'!N$16))</f>
        <v>-33.14875667</v>
      </c>
      <c r="B8" s="9">
        <v>0.535</v>
      </c>
      <c r="L8" s="8">
        <f>(('Integrais AI'!F$38*M8^'Integrais AI'!F$37)+('Integrais AI'!G$38*B8^'Integrais AI'!G$37)+('Integrais AI'!H$38*B8^'Integrais AI'!H$37)+('Integrais AI'!I$38*B8^'Integrais AI'!I$37)+('Integrais AI'!J$38*B8^'Integrais AI'!J$37)+('Integrais AI'!K$38*B8^'Integrais AI'!K$37)+('Integrais AI'!L$38*B8^'Integrais AI'!L$37)+('Integrais AI'!M$38*B8^'Integrais AI'!M$37)+('Integrais AI'!N$38*B8^'Integrais AI'!N$37)+('Integrais AI'!P$38))</f>
        <v>32.59545371</v>
      </c>
      <c r="M8" s="9">
        <v>1.07</v>
      </c>
    </row>
    <row r="9">
      <c r="A9" s="30">
        <f>(('Integrais AI'!F$16*'Gráficos AI'!B9^'Integrais AI'!F$15)+('Integrais AI'!G$16*B9^'Integrais AI'!G$15)+('Integrais AI'!H$16*B9^'Integrais AI'!H$15)+('Integrais AI'!I$16*B9^'Integrais AI'!I$15)+('Integrais AI'!J$16*B9^'Integrais AI'!J$15)+('Integrais AI'!K$16*B9^'Integrais AI'!K$15)+('Integrais AI'!L$16*B9^'Integrais AI'!L$15)+('Integrais AI'!N$16))</f>
        <v>-23.40007933</v>
      </c>
      <c r="B9" s="9">
        <v>0.642</v>
      </c>
    </row>
    <row r="10">
      <c r="A10" s="29">
        <f>(('Integrais AI'!F$16*'Gráficos AI'!B10^'Integrais AI'!F$15)+('Integrais AI'!G$16*B10^'Integrais AI'!G$15)+('Integrais AI'!H$16*B10^'Integrais AI'!H$15)+('Integrais AI'!I$16*B10^'Integrais AI'!I$15)+('Integrais AI'!J$16*B10^'Integrais AI'!J$15)+('Integrais AI'!K$16*B10^'Integrais AI'!K$15)+('Integrais AI'!L$16*B10^'Integrais AI'!L$15)+('Integrais AI'!N$16))</f>
        <v>-14.50556524</v>
      </c>
      <c r="B10" s="9">
        <v>0.749</v>
      </c>
    </row>
    <row r="11">
      <c r="A11" s="30">
        <f>(('Integrais AI'!F$16*'Gráficos AI'!B11^'Integrais AI'!F$15)+('Integrais AI'!G$16*B11^'Integrais AI'!G$15)+('Integrais AI'!H$16*B11^'Integrais AI'!H$15)+('Integrais AI'!I$16*B11^'Integrais AI'!I$15)+('Integrais AI'!J$16*B11^'Integrais AI'!J$15)+('Integrais AI'!K$16*B11^'Integrais AI'!K$15)+('Integrais AI'!L$16*B11^'Integrais AI'!L$15)+('Integrais AI'!N$16))</f>
        <v>-6.663825825</v>
      </c>
      <c r="B11" s="9">
        <v>0.856</v>
      </c>
    </row>
    <row r="12">
      <c r="A12" s="29">
        <f>(('Integrais AI'!F$16*'Gráficos AI'!B12^'Integrais AI'!F$15)+('Integrais AI'!G$16*B12^'Integrais AI'!G$15)+('Integrais AI'!H$16*B12^'Integrais AI'!H$15)+('Integrais AI'!I$16*B12^'Integrais AI'!I$15)+('Integrais AI'!J$16*B12^'Integrais AI'!J$15)+('Integrais AI'!K$16*B12^'Integrais AI'!K$15)+('Integrais AI'!L$16*B12^'Integrais AI'!L$15)+('Integrais AI'!N$16))</f>
        <v>-0.8032819072</v>
      </c>
      <c r="B12" s="9">
        <v>0.963</v>
      </c>
    </row>
    <row r="13">
      <c r="A13" s="30">
        <f>(('Integrais AI'!F$16*'Gráficos AI'!B13^'Integrais AI'!F$15)+('Integrais AI'!G$16*B13^'Integrais AI'!G$15)+('Integrais AI'!H$16*B13^'Integrais AI'!H$15)+('Integrais AI'!I$16*B13^'Integrais AI'!I$15)+('Integrais AI'!J$16*B13^'Integrais AI'!J$15)+('Integrais AI'!K$16*B13^'Integrais AI'!K$15)+('Integrais AI'!L$16*B13^'Integrais AI'!L$15)+('Integrais AI'!N$16))</f>
        <v>0</v>
      </c>
      <c r="B13" s="9">
        <v>1.07</v>
      </c>
    </row>
    <row r="14">
      <c r="A14" s="29"/>
    </row>
    <row r="15">
      <c r="A15" s="5"/>
      <c r="B15" s="5"/>
    </row>
    <row r="16">
      <c r="A16" s="5"/>
      <c r="B16" s="5"/>
    </row>
    <row r="17">
      <c r="A17" s="1" t="s">
        <v>32</v>
      </c>
      <c r="B17" s="2"/>
      <c r="L17" s="1" t="s">
        <v>33</v>
      </c>
      <c r="M17" s="2"/>
    </row>
    <row r="18">
      <c r="A18" s="28" t="s">
        <v>15</v>
      </c>
      <c r="B18" s="28" t="s">
        <v>30</v>
      </c>
      <c r="L18" s="28" t="s">
        <v>34</v>
      </c>
      <c r="M18" s="28" t="s">
        <v>30</v>
      </c>
    </row>
    <row r="19">
      <c r="A19" s="8">
        <f>-(('Integrais AI'!F$27*B19^'Integrais AI'!F$26)+('Integrais AI'!G$27*B19^'Integrais AI'!G$26)+('Integrais AI'!H$27*B19^'Integrais AI'!H$26)+('Integrais AI'!I$27*B19^'Integrais AI'!I$26)+('Integrais AI'!J$27*B19^'Integrais AI'!J$26)+('Integrais AI'!K$27*B19^'Integrais AI'!K$26)+('Integrais AI'!L$27*B19^'Integrais AI'!L$26)+('Integrais AI'!M$27*B19^'Integrais AI'!M$26)+('Integrais AI'!O$27))</f>
        <v>-38.98116304</v>
      </c>
      <c r="B19" s="9">
        <v>0.0</v>
      </c>
      <c r="L19" s="8">
        <f>(('Integrais AI'!F$49*M19^'Integrais AI'!F$48)+('Integrais AI'!G$49*M19^'Integrais AI'!G$48)+('Integrais AI'!H$49*M19^'Integrais AI'!H$48)+('Integrais AI'!I$49*M19^'Integrais AI'!I$48)+('Integrais AI'!J$49*M19^'Integrais AI'!J$48)+('Integrais AI'!K$49*M19^'Integrais AI'!K$48)+('Integrais AI'!L$49*M19^'Integrais AI'!L$48)+('Integrais AI'!M$49*M19^'Integrais AI'!M$48)+('Integrais AI'!N$49*M19^'Integrais AI'!N$48))</f>
        <v>0</v>
      </c>
      <c r="M19" s="9">
        <v>0.0</v>
      </c>
    </row>
    <row r="20">
      <c r="A20" s="8">
        <f>-(('Integrais AI'!F$27*B20^'Integrais AI'!F$26)+('Integrais AI'!G$27*B20^'Integrais AI'!G$26)+('Integrais AI'!H$27*B20^'Integrais AI'!H$26)+('Integrais AI'!I$27*B20^'Integrais AI'!I$26)+('Integrais AI'!J$27*B20^'Integrais AI'!J$26)+('Integrais AI'!K$27*B20^'Integrais AI'!K$26)+('Integrais AI'!L$27*B20^'Integrais AI'!L$26)+('Integrais AI'!M$27*B20^'Integrais AI'!M$26)+('Integrais AI'!O$27))</f>
        <v>-30.01135028</v>
      </c>
      <c r="B20" s="9">
        <v>0.107</v>
      </c>
      <c r="L20" s="8">
        <f>(('Integrais AI'!F$49*M20^'Integrais AI'!F$48)+('Integrais AI'!G$49*M20^'Integrais AI'!G$48)+('Integrais AI'!H$49*M20^'Integrais AI'!H$48)+('Integrais AI'!I$49*M20^'Integrais AI'!I$48)+('Integrais AI'!J$49*M20^'Integrais AI'!J$48)+('Integrais AI'!K$49*M20^'Integrais AI'!K$48)+('Integrais AI'!L$49*M20^'Integrais AI'!L$48)+('Integrais AI'!M$49*M20^'Integrais AI'!M$48)+('Integrais AI'!N$49*M20^'Integrais AI'!N$48))</f>
        <v>0.2038588296</v>
      </c>
      <c r="M20" s="9">
        <v>0.107</v>
      </c>
    </row>
    <row r="21" ht="15.75" customHeight="1">
      <c r="A21" s="8">
        <f>-(('Integrais AI'!F$27*B21^'Integrais AI'!F$26)+('Integrais AI'!G$27*B21^'Integrais AI'!G$26)+('Integrais AI'!H$27*B21^'Integrais AI'!H$26)+('Integrais AI'!I$27*B21^'Integrais AI'!I$26)+('Integrais AI'!J$27*B21^'Integrais AI'!J$26)+('Integrais AI'!K$27*B21^'Integrais AI'!K$26)+('Integrais AI'!L$27*B21^'Integrais AI'!L$26)+('Integrais AI'!M$27*B21^'Integrais AI'!M$26)+('Integrais AI'!O$27))</f>
        <v>-22.31713725</v>
      </c>
      <c r="B21" s="9">
        <v>0.214</v>
      </c>
      <c r="L21" s="8">
        <f>(('Integrais AI'!F$49*M21^'Integrais AI'!F$48)+('Integrais AI'!G$49*M21^'Integrais AI'!G$48)+('Integrais AI'!H$49*M21^'Integrais AI'!H$48)+('Integrais AI'!I$49*M21^'Integrais AI'!I$48)+('Integrais AI'!J$49*M21^'Integrais AI'!J$48)+('Integrais AI'!K$49*M21^'Integrais AI'!K$48)+('Integrais AI'!L$49*M21^'Integrais AI'!L$48)+('Integrais AI'!M$49*M21^'Integrais AI'!M$48)+('Integrais AI'!N$49*M21^'Integrais AI'!N$48))</f>
        <v>0.7313735537</v>
      </c>
      <c r="M21" s="9">
        <v>0.214</v>
      </c>
    </row>
    <row r="22" ht="15.75" customHeight="1">
      <c r="A22" s="8">
        <f>-(('Integrais AI'!F$27*B22^'Integrais AI'!F$26)+('Integrais AI'!G$27*B22^'Integrais AI'!G$26)+('Integrais AI'!H$27*B22^'Integrais AI'!H$26)+('Integrais AI'!I$27*B22^'Integrais AI'!I$26)+('Integrais AI'!J$27*B22^'Integrais AI'!J$26)+('Integrais AI'!K$27*B22^'Integrais AI'!K$26)+('Integrais AI'!L$27*B22^'Integrais AI'!L$26)+('Integrais AI'!M$27*B22^'Integrais AI'!M$26)+('Integrais AI'!O$27))</f>
        <v>-15.8621992</v>
      </c>
      <c r="B22" s="9">
        <v>0.321</v>
      </c>
      <c r="L22" s="8">
        <f>(('Integrais AI'!F$49*M22^'Integrais AI'!F$48)+('Integrais AI'!G$49*M22^'Integrais AI'!G$48)+('Integrais AI'!H$49*M22^'Integrais AI'!H$48)+('Integrais AI'!I$49*M22^'Integrais AI'!I$48)+('Integrais AI'!J$49*M22^'Integrais AI'!J$48)+('Integrais AI'!K$49*M22^'Integrais AI'!K$48)+('Integrais AI'!L$49*M22^'Integrais AI'!L$48)+('Integrais AI'!M$49*M22^'Integrais AI'!M$48)+('Integrais AI'!N$49*M22^'Integrais AI'!N$48))</f>
        <v>1.443004253</v>
      </c>
      <c r="M22" s="9">
        <v>0.321</v>
      </c>
    </row>
    <row r="23" ht="15.75" customHeight="1">
      <c r="A23" s="8">
        <f>-(('Integrais AI'!F$27*B23^'Integrais AI'!F$26)+('Integrais AI'!G$27*B23^'Integrais AI'!G$26)+('Integrais AI'!H$27*B23^'Integrais AI'!H$26)+('Integrais AI'!I$27*B23^'Integrais AI'!I$26)+('Integrais AI'!J$27*B23^'Integrais AI'!J$26)+('Integrais AI'!K$27*B23^'Integrais AI'!K$26)+('Integrais AI'!L$27*B23^'Integrais AI'!L$26)+('Integrais AI'!M$27*B23^'Integrais AI'!M$26)+('Integrais AI'!O$27))</f>
        <v>-10.6080578</v>
      </c>
      <c r="B23" s="9">
        <v>0.428</v>
      </c>
      <c r="L23" s="8">
        <f>(('Integrais AI'!F$49*M23^'Integrais AI'!F$48)+('Integrais AI'!G$49*M23^'Integrais AI'!G$48)+('Integrais AI'!H$49*M23^'Integrais AI'!H$48)+('Integrais AI'!I$49*M23^'Integrais AI'!I$48)+('Integrais AI'!J$49*M23^'Integrais AI'!J$48)+('Integrais AI'!K$49*M23^'Integrais AI'!K$48)+('Integrais AI'!L$49*M23^'Integrais AI'!L$48)+('Integrais AI'!M$49*M23^'Integrais AI'!M$48)+('Integrais AI'!N$49*M23^'Integrais AI'!N$48))</f>
        <v>2.184925238</v>
      </c>
      <c r="M23" s="9">
        <v>0.428</v>
      </c>
    </row>
    <row r="24" ht="15.75" customHeight="1">
      <c r="A24" s="8">
        <f>-(('Integrais AI'!F$27*B24^'Integrais AI'!F$26)+('Integrais AI'!G$27*B24^'Integrais AI'!G$26)+('Integrais AI'!H$27*B24^'Integrais AI'!H$26)+('Integrais AI'!I$27*B24^'Integrais AI'!I$26)+('Integrais AI'!J$27*B24^'Integrais AI'!J$26)+('Integrais AI'!K$27*B24^'Integrais AI'!K$26)+('Integrais AI'!L$27*B24^'Integrais AI'!L$26)+('Integrais AI'!M$27*B24^'Integrais AI'!M$26)+('Integrais AI'!O$27))</f>
        <v>-6.506152723</v>
      </c>
      <c r="B24" s="9">
        <v>0.535</v>
      </c>
      <c r="L24" s="8">
        <f>(('Integrais AI'!F$49*M24^'Integrais AI'!F$48)+('Integrais AI'!G$49*M24^'Integrais AI'!G$48)+('Integrais AI'!H$49*M24^'Integrais AI'!H$48)+('Integrais AI'!I$49*M24^'Integrais AI'!I$48)+('Integrais AI'!J$49*M24^'Integrais AI'!J$48)+('Integrais AI'!K$49*M24^'Integrais AI'!K$48)+('Integrais AI'!L$49*M24^'Integrais AI'!L$48)+('Integrais AI'!M$49*M24^'Integrais AI'!M$48)+('Integrais AI'!N$49*M24^'Integrais AI'!N$48))</f>
        <v>2.793611684</v>
      </c>
      <c r="M24" s="9">
        <v>0.535</v>
      </c>
    </row>
    <row r="25" ht="15.75" customHeight="1">
      <c r="A25" s="8">
        <f>-(('Integrais AI'!F$27*B25^'Integrais AI'!F$26)+('Integrais AI'!G$27*B25^'Integrais AI'!G$26)+('Integrais AI'!H$27*B25^'Integrais AI'!H$26)+('Integrais AI'!I$27*B25^'Integrais AI'!I$26)+('Integrais AI'!J$27*B25^'Integrais AI'!J$26)+('Integrais AI'!K$27*B25^'Integrais AI'!K$26)+('Integrais AI'!L$27*B25^'Integrais AI'!L$26)+('Integrais AI'!M$27*B25^'Integrais AI'!M$26)+('Integrais AI'!O$27))</f>
        <v>-3.487984841</v>
      </c>
      <c r="B25" s="9">
        <v>0.642</v>
      </c>
      <c r="L25" s="8">
        <f>(('Integrais AI'!F$49*M25^'Integrais AI'!F$48)+('Integrais AI'!G$49*M25^'Integrais AI'!G$48)+('Integrais AI'!H$49*M25^'Integrais AI'!H$48)+('Integrais AI'!I$49*M25^'Integrais AI'!I$48)+('Integrais AI'!J$49*M25^'Integrais AI'!J$48)+('Integrais AI'!K$49*M25^'Integrais AI'!K$48)+('Integrais AI'!L$49*M25^'Integrais AI'!L$48)+('Integrais AI'!M$49*M25^'Integrais AI'!M$48)+('Integrais AI'!N$49*M25^'Integrais AI'!N$48))</f>
        <v>3.101154334</v>
      </c>
      <c r="M25" s="9">
        <v>0.642</v>
      </c>
    </row>
    <row r="26" ht="15.75" customHeight="1">
      <c r="A26" s="8">
        <f>-(('Integrais AI'!F$27*B26^'Integrais AI'!F$26)+('Integrais AI'!G$27*B26^'Integrais AI'!G$26)+('Integrais AI'!H$27*B26^'Integrais AI'!H$26)+('Integrais AI'!I$27*B26^'Integrais AI'!I$26)+('Integrais AI'!J$27*B26^'Integrais AI'!J$26)+('Integrais AI'!K$27*B26^'Integrais AI'!K$26)+('Integrais AI'!L$27*B26^'Integrais AI'!L$26)+('Integrais AI'!M$27*B26^'Integrais AI'!M$26)+('Integrais AI'!O$27))</f>
        <v>-1.468090182</v>
      </c>
      <c r="B26" s="9">
        <v>0.749</v>
      </c>
      <c r="L26" s="8">
        <f>(('Integrais AI'!F$49*M26^'Integrais AI'!F$48)+('Integrais AI'!G$49*M26^'Integrais AI'!G$48)+('Integrais AI'!H$49*M26^'Integrais AI'!H$48)+('Integrais AI'!I$49*M26^'Integrais AI'!I$48)+('Integrais AI'!J$49*M26^'Integrais AI'!J$48)+('Integrais AI'!K$49*M26^'Integrais AI'!K$48)+('Integrais AI'!L$49*M26^'Integrais AI'!L$48)+('Integrais AI'!M$49*M26^'Integrais AI'!M$48)+('Integrais AI'!N$49*M26^'Integrais AI'!N$48))</f>
        <v>2.943636972</v>
      </c>
      <c r="M26" s="9">
        <v>0.749</v>
      </c>
    </row>
    <row r="27" ht="15.75" customHeight="1">
      <c r="A27" s="8">
        <f>-(('Integrais AI'!F$27*B27^'Integrais AI'!F$26)+('Integrais AI'!G$27*B27^'Integrais AI'!G$26)+('Integrais AI'!H$27*B27^'Integrais AI'!H$26)+('Integrais AI'!I$27*B27^'Integrais AI'!I$26)+('Integrais AI'!J$27*B27^'Integrais AI'!J$26)+('Integrais AI'!K$27*B27^'Integrais AI'!K$26)+('Integrais AI'!L$27*B27^'Integrais AI'!L$26)+('Integrais AI'!M$27*B27^'Integrais AI'!M$26)+('Integrais AI'!O$27))</f>
        <v>-0.3470043255</v>
      </c>
      <c r="B27" s="9">
        <v>0.856</v>
      </c>
      <c r="L27" s="8">
        <f>(('Integrais AI'!F$49*M27^'Integrais AI'!F$48)+('Integrais AI'!G$49*M27^'Integrais AI'!G$48)+('Integrais AI'!H$49*M27^'Integrais AI'!H$48)+('Integrais AI'!I$49*M27^'Integrais AI'!I$48)+('Integrais AI'!J$49*M27^'Integrais AI'!J$48)+('Integrais AI'!K$49*M27^'Integrais AI'!K$48)+('Integrais AI'!L$49*M27^'Integrais AI'!L$48)+('Integrais AI'!M$49*M27^'Integrais AI'!M$48)+('Integrais AI'!N$49*M27^'Integrais AI'!N$48))</f>
        <v>2.178589981</v>
      </c>
      <c r="M27" s="9">
        <v>0.856</v>
      </c>
    </row>
    <row r="28" ht="15.75" customHeight="1">
      <c r="A28" s="8">
        <f>-(('Integrais AI'!F$27*B28^'Integrais AI'!F$26)+('Integrais AI'!G$27*B28^'Integrais AI'!G$26)+('Integrais AI'!H$27*B28^'Integrais AI'!H$26)+('Integrais AI'!I$27*B28^'Integrais AI'!I$26)+('Integrais AI'!J$27*B28^'Integrais AI'!J$26)+('Integrais AI'!K$27*B28^'Integrais AI'!K$26)+('Integrais AI'!L$27*B28^'Integrais AI'!L$26)+('Integrais AI'!M$27*B28^'Integrais AI'!M$26)+('Integrais AI'!O$27))</f>
        <v>0.0262226318</v>
      </c>
      <c r="B28" s="9">
        <v>0.963</v>
      </c>
      <c r="L28" s="8">
        <f>(('Integrais AI'!F$49*M28^'Integrais AI'!F$48)+('Integrais AI'!G$49*M28^'Integrais AI'!G$48)+('Integrais AI'!H$49*M28^'Integrais AI'!H$48)+('Integrais AI'!I$49*M28^'Integrais AI'!I$48)+('Integrais AI'!J$49*M28^'Integrais AI'!J$48)+('Integrais AI'!K$49*M28^'Integrais AI'!K$48)+('Integrais AI'!L$49*M28^'Integrais AI'!L$48)+('Integrais AI'!M$49*M28^'Integrais AI'!M$48)+('Integrais AI'!N$49*M28^'Integrais AI'!N$48))</f>
        <v>0.7243659126</v>
      </c>
      <c r="M28" s="9">
        <v>0.963</v>
      </c>
    </row>
    <row r="29" ht="15.75" customHeight="1">
      <c r="A29" s="8">
        <f>-(('Integrais AI'!F$27*B29^'Integrais AI'!F$26)+('Integrais AI'!G$27*B29^'Integrais AI'!G$26)+('Integrais AI'!H$27*B29^'Integrais AI'!H$26)+('Integrais AI'!I$27*B29^'Integrais AI'!I$26)+('Integrais AI'!J$27*B29^'Integrais AI'!J$26)+('Integrais AI'!K$27*B29^'Integrais AI'!K$26)+('Integrais AI'!L$27*B29^'Integrais AI'!L$26)+('Integrais AI'!M$27*B29^'Integrais AI'!M$26)+('Integrais AI'!O$27))</f>
        <v>0</v>
      </c>
      <c r="B29" s="9">
        <v>1.07</v>
      </c>
      <c r="L29" s="8">
        <f>(('Integrais AI'!F$49*M29^'Integrais AI'!F$48)+('Integrais AI'!G$49*M29^'Integrais AI'!G$48)+('Integrais AI'!H$49*M29^'Integrais AI'!H$48)+('Integrais AI'!I$49*M29^'Integrais AI'!I$48)+('Integrais AI'!J$49*M29^'Integrais AI'!J$48)+('Integrais AI'!K$49*M29^'Integrais AI'!K$48)+('Integrais AI'!L$49*M29^'Integrais AI'!L$48)+('Integrais AI'!M$49*M29^'Integrais AI'!M$48)+('Integrais AI'!N$49*M29^'Integrais AI'!N$48))</f>
        <v>-1.354639169</v>
      </c>
      <c r="M29" s="9">
        <v>1.07</v>
      </c>
    </row>
    <row r="30" ht="15.75" customHeight="1">
      <c r="A30" s="8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L1:M1"/>
    <mergeCell ref="A17:B17"/>
    <mergeCell ref="L17:M17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71"/>
    <col customWidth="1" min="3" max="3" width="10.43"/>
    <col customWidth="1" min="4" max="4" width="15.86"/>
    <col customWidth="1" min="5" max="5" width="8.71"/>
    <col customWidth="1" min="6" max="6" width="13.29"/>
    <col customWidth="1" min="7" max="7" width="13.43"/>
    <col customWidth="1" min="8" max="8" width="11.14"/>
    <col customWidth="1" min="9" max="9" width="12.0"/>
    <col customWidth="1" min="10" max="10" width="7.0"/>
    <col customWidth="1" min="11" max="11" width="12.71"/>
    <col customWidth="1" min="12" max="12" width="14.57"/>
    <col customWidth="1" min="15" max="15" width="9.86"/>
    <col customWidth="1" min="16" max="16" width="12.86"/>
    <col customWidth="1" min="17" max="17" width="9.71"/>
  </cols>
  <sheetData>
    <row r="1">
      <c r="A1" s="6" t="s">
        <v>35</v>
      </c>
      <c r="B1" s="7"/>
      <c r="C1" s="7"/>
      <c r="D1" s="7"/>
      <c r="E1" s="32"/>
      <c r="F1" s="1" t="s">
        <v>36</v>
      </c>
      <c r="G1" s="7"/>
      <c r="H1" s="7"/>
      <c r="I1" s="7"/>
      <c r="K1" s="6" t="s">
        <v>37</v>
      </c>
      <c r="L1" s="7"/>
      <c r="M1" s="7"/>
      <c r="N1" s="7"/>
    </row>
    <row r="2">
      <c r="A2" s="33" t="s">
        <v>38</v>
      </c>
      <c r="B2" s="7"/>
      <c r="C2" s="33" t="s">
        <v>39</v>
      </c>
      <c r="D2" s="2"/>
      <c r="F2" s="33" t="s">
        <v>38</v>
      </c>
      <c r="G2" s="7"/>
      <c r="H2" s="33" t="s">
        <v>39</v>
      </c>
      <c r="I2" s="2"/>
      <c r="J2" s="34"/>
      <c r="K2" s="33" t="s">
        <v>38</v>
      </c>
      <c r="L2" s="7"/>
      <c r="M2" s="33" t="s">
        <v>39</v>
      </c>
      <c r="N2" s="2"/>
      <c r="P2" s="33" t="s">
        <v>38</v>
      </c>
      <c r="Q2" s="7"/>
      <c r="R2" s="33" t="s">
        <v>39</v>
      </c>
      <c r="S2" s="2"/>
    </row>
    <row r="3">
      <c r="A3" s="8" t="s">
        <v>40</v>
      </c>
      <c r="B3" s="1">
        <f>244</f>
        <v>244</v>
      </c>
      <c r="C3" s="8" t="s">
        <v>41</v>
      </c>
      <c r="D3" s="8">
        <f>((3.14159226535897*(D8/2)^2))-((3.14159226535897*(D9/2)^2))</f>
        <v>56.54866078</v>
      </c>
      <c r="F3" s="8" t="s">
        <v>42</v>
      </c>
      <c r="G3" s="1">
        <f>31.33</f>
        <v>31.33</v>
      </c>
      <c r="H3" s="8" t="s">
        <v>41</v>
      </c>
      <c r="I3" s="8">
        <f>((I8*(I9-2))-((I8-G9)*((I9-2)-G9)))</f>
        <v>140</v>
      </c>
      <c r="J3" s="34"/>
      <c r="K3" s="35" t="s">
        <v>43</v>
      </c>
      <c r="L3" s="36">
        <v>240.0</v>
      </c>
      <c r="M3" s="8" t="s">
        <v>41</v>
      </c>
      <c r="N3" s="8">
        <f>((3.14159226535897*(N8/2)^2))-((3.14159226535897*(N9/2)^2))</f>
        <v>59.69025304</v>
      </c>
      <c r="P3" s="8" t="s">
        <v>44</v>
      </c>
      <c r="Q3" s="6">
        <v>30.04</v>
      </c>
      <c r="R3" s="8" t="s">
        <v>41</v>
      </c>
      <c r="S3" s="8">
        <f>((S8*(S9-2))-((S8-Q9)*((S9-2)-Q9)))</f>
        <v>142</v>
      </c>
    </row>
    <row r="4">
      <c r="A4" s="8" t="s">
        <v>45</v>
      </c>
      <c r="B4" s="6">
        <v>1.5</v>
      </c>
      <c r="C4" s="8" t="s">
        <v>46</v>
      </c>
      <c r="D4" s="8">
        <f t="shared" ref="D4:D5" si="1">D3*B6</f>
        <v>121014.1341</v>
      </c>
      <c r="F4" s="8" t="s">
        <v>45</v>
      </c>
      <c r="G4" s="1">
        <v>1.5</v>
      </c>
      <c r="H4" s="8" t="s">
        <v>46</v>
      </c>
      <c r="I4" s="8">
        <f>I3*G6</f>
        <v>299600</v>
      </c>
      <c r="J4" s="32"/>
      <c r="K4" s="35" t="s">
        <v>45</v>
      </c>
      <c r="L4" s="35">
        <v>1.5</v>
      </c>
      <c r="M4" s="8" t="s">
        <v>46</v>
      </c>
      <c r="N4" s="8">
        <f t="shared" ref="N4:N5" si="2">N3*L6</f>
        <v>127737.1415</v>
      </c>
      <c r="P4" s="8" t="s">
        <v>45</v>
      </c>
      <c r="Q4" s="1">
        <v>1.5</v>
      </c>
      <c r="R4" s="8" t="s">
        <v>46</v>
      </c>
      <c r="S4" s="8">
        <f>S3*Q6</f>
        <v>303880</v>
      </c>
    </row>
    <row r="5">
      <c r="A5" s="37" t="s">
        <v>47</v>
      </c>
      <c r="B5" s="38">
        <f>B3/B4</f>
        <v>162.6666667</v>
      </c>
      <c r="C5" s="8" t="s">
        <v>48</v>
      </c>
      <c r="D5" s="35">
        <f t="shared" si="1"/>
        <v>288.0136391</v>
      </c>
      <c r="F5" s="37" t="s">
        <v>49</v>
      </c>
      <c r="G5" s="38">
        <f>G3/G4</f>
        <v>20.88666667</v>
      </c>
      <c r="H5" s="8" t="s">
        <v>48</v>
      </c>
      <c r="I5" s="8">
        <f>((I8*I9)-((I8-2*G9)*(I9-2*G9)))*G6*G7</f>
        <v>83.888</v>
      </c>
      <c r="K5" s="35" t="s">
        <v>50</v>
      </c>
      <c r="L5" s="35">
        <f>L3/L4</f>
        <v>160</v>
      </c>
      <c r="M5" s="8" t="s">
        <v>48</v>
      </c>
      <c r="N5" s="35">
        <f t="shared" si="2"/>
        <v>229.9268547</v>
      </c>
      <c r="P5" s="37" t="s">
        <v>51</v>
      </c>
      <c r="Q5" s="38">
        <f>Q3/Q4</f>
        <v>20.02666667</v>
      </c>
      <c r="R5" s="8" t="s">
        <v>48</v>
      </c>
      <c r="S5" s="8">
        <f>((S8*S9)-((S8-2*Q9)*(S9-2*Q9)))*Q6*Q7</f>
        <v>36.4656</v>
      </c>
    </row>
    <row r="6">
      <c r="A6" s="8" t="s">
        <v>52</v>
      </c>
      <c r="B6" s="6">
        <f>'Integrais AI'!B2*2000</f>
        <v>2140</v>
      </c>
      <c r="C6" s="39" t="s">
        <v>53</v>
      </c>
      <c r="D6" s="3">
        <f>(3.141592654/64)*(D8^4-D9^4)</f>
        <v>2297.289628</v>
      </c>
      <c r="F6" s="8" t="s">
        <v>52</v>
      </c>
      <c r="G6" s="6">
        <f>B6</f>
        <v>2140</v>
      </c>
      <c r="H6" s="39" t="s">
        <v>53</v>
      </c>
      <c r="I6" s="40">
        <f>((I8*I9^3)/12)-(((I8-G9)*((I9-G9)^3)))/12</f>
        <v>56888</v>
      </c>
      <c r="K6" s="35" t="s">
        <v>52</v>
      </c>
      <c r="L6" s="6">
        <f>G6</f>
        <v>2140</v>
      </c>
      <c r="M6" s="39" t="s">
        <v>53</v>
      </c>
      <c r="N6" s="3">
        <f>(3.141592654/64)*(N8^4-N9^4)</f>
        <v>2700.984284</v>
      </c>
      <c r="P6" s="8" t="s">
        <v>52</v>
      </c>
      <c r="Q6" s="6">
        <f>L6</f>
        <v>2140</v>
      </c>
      <c r="R6" s="39" t="s">
        <v>53</v>
      </c>
      <c r="S6" s="40">
        <f>((S8*S9^3)/12)-(((S8-Q9)*((S9-Q9)^3)))/12</f>
        <v>59432.16667</v>
      </c>
    </row>
    <row r="7">
      <c r="A7" s="8" t="s">
        <v>54</v>
      </c>
      <c r="B7" s="1">
        <v>0.00238</v>
      </c>
      <c r="C7" s="33" t="s">
        <v>55</v>
      </c>
      <c r="D7" s="2"/>
      <c r="F7" s="8" t="s">
        <v>54</v>
      </c>
      <c r="G7" s="6">
        <v>1.4E-4</v>
      </c>
      <c r="H7" s="33" t="s">
        <v>55</v>
      </c>
      <c r="I7" s="2"/>
      <c r="K7" s="35" t="s">
        <v>54</v>
      </c>
      <c r="L7" s="41">
        <f>1.8/1000</f>
        <v>0.0018</v>
      </c>
      <c r="M7" s="33" t="s">
        <v>55</v>
      </c>
      <c r="N7" s="2"/>
      <c r="P7" s="8" t="s">
        <v>54</v>
      </c>
      <c r="Q7" s="6">
        <f>0.00006</f>
        <v>0.00006</v>
      </c>
      <c r="R7" s="33" t="s">
        <v>55</v>
      </c>
      <c r="S7" s="2"/>
    </row>
    <row r="8">
      <c r="A8" s="8" t="s">
        <v>56</v>
      </c>
      <c r="B8" s="1">
        <f>'Integrais AI'!P31*1000</f>
        <v>38981.16304</v>
      </c>
      <c r="C8" s="8" t="s">
        <v>57</v>
      </c>
      <c r="D8" s="42">
        <v>19.0</v>
      </c>
      <c r="F8" s="8" t="s">
        <v>56</v>
      </c>
      <c r="G8" s="1">
        <f>B8</f>
        <v>38981.16304</v>
      </c>
      <c r="H8" s="8" t="s">
        <v>58</v>
      </c>
      <c r="I8" s="9">
        <v>14.0</v>
      </c>
      <c r="K8" s="35" t="s">
        <v>56</v>
      </c>
      <c r="L8" s="35">
        <f>B8</f>
        <v>38981.16304</v>
      </c>
      <c r="M8" s="8" t="s">
        <v>57</v>
      </c>
      <c r="N8" s="9">
        <v>20.0</v>
      </c>
      <c r="P8" s="8" t="s">
        <v>56</v>
      </c>
      <c r="Q8" s="38">
        <f>L8</f>
        <v>38981.16304</v>
      </c>
      <c r="R8" s="8" t="s">
        <v>58</v>
      </c>
      <c r="S8" s="9">
        <v>14.0</v>
      </c>
    </row>
    <row r="9">
      <c r="A9" s="43" t="s">
        <v>59</v>
      </c>
      <c r="B9" s="44">
        <f>'Integrais AI'!P20</f>
        <v>89.85876929</v>
      </c>
      <c r="C9" s="8" t="s">
        <v>60</v>
      </c>
      <c r="D9" s="45">
        <f>D8-B10*2</f>
        <v>17</v>
      </c>
      <c r="F9" s="8" t="s">
        <v>61</v>
      </c>
      <c r="G9" s="8">
        <v>2.0</v>
      </c>
      <c r="H9" s="46" t="s">
        <v>62</v>
      </c>
      <c r="I9" s="9">
        <v>60.0</v>
      </c>
      <c r="K9" s="35" t="s">
        <v>59</v>
      </c>
      <c r="L9" s="35">
        <f>'Integrais AI'!P20</f>
        <v>89.85876929</v>
      </c>
      <c r="M9" s="8" t="s">
        <v>60</v>
      </c>
      <c r="N9" s="8">
        <f>N8-L10*2</f>
        <v>18</v>
      </c>
      <c r="P9" s="8" t="s">
        <v>61</v>
      </c>
      <c r="Q9" s="8">
        <v>2.0</v>
      </c>
      <c r="R9" s="46" t="s">
        <v>62</v>
      </c>
      <c r="S9" s="9">
        <v>61.0</v>
      </c>
    </row>
    <row r="10">
      <c r="A10" s="8" t="s">
        <v>61</v>
      </c>
      <c r="B10" s="1">
        <v>1.0</v>
      </c>
      <c r="C10" s="8" t="s">
        <v>63</v>
      </c>
      <c r="D10" s="8">
        <f t="shared" ref="D10:D11" si="3">D8/2</f>
        <v>9.5</v>
      </c>
      <c r="F10" s="8" t="s">
        <v>64</v>
      </c>
      <c r="G10" s="47">
        <f>(G8*I9/2)/I6</f>
        <v>20.5567939</v>
      </c>
      <c r="H10" s="48" t="s">
        <v>65</v>
      </c>
      <c r="K10" s="35" t="s">
        <v>61</v>
      </c>
      <c r="L10" s="35">
        <v>1.0</v>
      </c>
      <c r="M10" s="8" t="s">
        <v>63</v>
      </c>
      <c r="N10" s="8">
        <f t="shared" ref="N10:N11" si="4">N8/2</f>
        <v>10</v>
      </c>
      <c r="P10" s="8" t="s">
        <v>66</v>
      </c>
      <c r="Q10" s="47">
        <f>(Q8*S9/2)/S6</f>
        <v>20.00474725</v>
      </c>
      <c r="R10" s="48" t="s">
        <v>65</v>
      </c>
    </row>
    <row r="11">
      <c r="A11" s="8" t="s">
        <v>67</v>
      </c>
      <c r="B11" s="35">
        <f>(B8*D8/2)/D6</f>
        <v>161.1991123</v>
      </c>
      <c r="C11" s="8" t="s">
        <v>68</v>
      </c>
      <c r="D11" s="8">
        <f t="shared" si="3"/>
        <v>8.5</v>
      </c>
      <c r="E11" s="5"/>
      <c r="F11" s="5"/>
      <c r="H11" s="49" t="s">
        <v>46</v>
      </c>
      <c r="I11" s="50">
        <f>I8*G6*2</f>
        <v>59920</v>
      </c>
      <c r="K11" s="35" t="s">
        <v>69</v>
      </c>
      <c r="L11" s="35">
        <f>(L8*N8/2)/N6</f>
        <v>144.3220654</v>
      </c>
      <c r="M11" s="8" t="s">
        <v>68</v>
      </c>
      <c r="N11" s="8">
        <f t="shared" si="4"/>
        <v>9</v>
      </c>
      <c r="P11" s="5"/>
      <c r="R11" s="51" t="s">
        <v>46</v>
      </c>
      <c r="S11" s="52">
        <f>S8*Q6*2</f>
        <v>59920</v>
      </c>
    </row>
    <row r="12">
      <c r="A12" s="8" t="s">
        <v>70</v>
      </c>
      <c r="B12" s="35">
        <f>((4*B9)/(3*D3))*((D10^2+D10*D11+D11^2)/(D10^2+D11^2))</f>
        <v>3.171585052</v>
      </c>
      <c r="C12" s="53" t="s">
        <v>71</v>
      </c>
      <c r="D12" s="5"/>
      <c r="E12" s="5"/>
      <c r="F12" s="5"/>
      <c r="H12" s="49" t="s">
        <v>72</v>
      </c>
      <c r="I12" s="50">
        <f>I11*L7</f>
        <v>107.856</v>
      </c>
      <c r="K12" s="35" t="s">
        <v>73</v>
      </c>
      <c r="L12" s="35">
        <f>((4*L9)/(3*N3))*((N10^2+N10*N11+N11^2)/(N10^2+N11^2))</f>
        <v>3.005290779</v>
      </c>
      <c r="M12" s="53" t="s">
        <v>74</v>
      </c>
      <c r="N12" s="5"/>
      <c r="P12" s="5"/>
      <c r="R12" s="51" t="s">
        <v>72</v>
      </c>
      <c r="S12" s="52">
        <f>S11*L7</f>
        <v>107.856</v>
      </c>
    </row>
    <row r="13">
      <c r="A13" s="8" t="s">
        <v>75</v>
      </c>
      <c r="B13" s="8">
        <v>125.0</v>
      </c>
      <c r="C13" s="54" t="s">
        <v>76</v>
      </c>
      <c r="D13" s="5">
        <f>318.7388718</f>
        <v>318.7388718</v>
      </c>
      <c r="E13" s="5"/>
      <c r="F13" s="5"/>
      <c r="K13" s="35" t="s">
        <v>77</v>
      </c>
      <c r="L13" s="35">
        <v>125.0</v>
      </c>
      <c r="M13" s="5"/>
      <c r="N13" s="5"/>
    </row>
    <row r="14">
      <c r="A14" s="8" t="s">
        <v>78</v>
      </c>
      <c r="B14" s="35">
        <f>B13/B4</f>
        <v>83.33333333</v>
      </c>
      <c r="C14" s="5"/>
      <c r="D14" s="5"/>
      <c r="E14" s="5"/>
      <c r="F14" s="5"/>
      <c r="K14" s="35" t="s">
        <v>79</v>
      </c>
      <c r="L14" s="35">
        <f>L13/L4</f>
        <v>83.33333333</v>
      </c>
      <c r="M14" s="5"/>
      <c r="N14" s="5"/>
    </row>
    <row r="15">
      <c r="A15" s="5"/>
      <c r="B15" s="5"/>
      <c r="C15" s="5"/>
      <c r="D15" s="5"/>
      <c r="E15" s="5"/>
      <c r="F15" s="5"/>
      <c r="K15" s="5"/>
      <c r="L15" s="5"/>
      <c r="M15" s="5"/>
      <c r="N15" s="5"/>
    </row>
    <row r="16">
      <c r="A16" s="55" t="s">
        <v>80</v>
      </c>
      <c r="B16" s="56"/>
      <c r="C16" s="56"/>
      <c r="D16" s="57"/>
      <c r="E16" s="5"/>
      <c r="F16" s="55" t="s">
        <v>81</v>
      </c>
      <c r="G16" s="56"/>
      <c r="H16" s="56"/>
      <c r="I16" s="57"/>
      <c r="K16" s="55" t="s">
        <v>82</v>
      </c>
      <c r="L16" s="56"/>
      <c r="M16" s="56"/>
      <c r="N16" s="57"/>
      <c r="P16" s="55" t="s">
        <v>83</v>
      </c>
      <c r="Q16" s="56"/>
      <c r="R16" s="56"/>
      <c r="S16" s="57"/>
    </row>
    <row r="17">
      <c r="A17" s="58"/>
      <c r="D17" s="59"/>
      <c r="E17" s="5"/>
      <c r="F17" s="58"/>
      <c r="I17" s="59"/>
      <c r="K17" s="58"/>
      <c r="N17" s="59"/>
      <c r="P17" s="58"/>
      <c r="S17" s="59"/>
    </row>
    <row r="18">
      <c r="A18" s="60"/>
      <c r="B18" s="61"/>
      <c r="C18" s="61"/>
      <c r="D18" s="62"/>
      <c r="E18" s="5"/>
      <c r="F18" s="60"/>
      <c r="G18" s="61"/>
      <c r="H18" s="61"/>
      <c r="I18" s="62"/>
      <c r="K18" s="60"/>
      <c r="L18" s="61"/>
      <c r="M18" s="61"/>
      <c r="N18" s="62"/>
      <c r="P18" s="60"/>
      <c r="Q18" s="61"/>
      <c r="R18" s="61"/>
      <c r="S18" s="62"/>
    </row>
    <row r="19">
      <c r="A19" s="63" t="str">
        <f>IF(B11&lt;B5,"NÃO FALHA","FALHA POR FLEXÃO")</f>
        <v>NÃO FALHA</v>
      </c>
      <c r="B19" s="56"/>
      <c r="C19" s="56"/>
      <c r="D19" s="57"/>
      <c r="E19" s="5"/>
      <c r="F19" s="63" t="str">
        <f>IF(G10&lt;G5,"NÃO FALHA","FALHA POR FLEXÃO")</f>
        <v>NÃO FALHA</v>
      </c>
      <c r="G19" s="56"/>
      <c r="H19" s="56"/>
      <c r="I19" s="57"/>
      <c r="K19" s="63" t="str">
        <f>IF(L11&lt;L5,"NÃO FALHA","FALHA POR FLEXÃO")</f>
        <v>NÃO FALHA</v>
      </c>
      <c r="L19" s="56"/>
      <c r="M19" s="56"/>
      <c r="N19" s="57"/>
      <c r="P19" s="63" t="str">
        <f>IF(Q10&lt;Q5,"NÃO FALHA","FALHA POR FLEXÃO")</f>
        <v>NÃO FALHA</v>
      </c>
      <c r="Q19" s="56"/>
      <c r="R19" s="56"/>
      <c r="S19" s="57"/>
    </row>
    <row r="20">
      <c r="A20" s="60"/>
      <c r="B20" s="61"/>
      <c r="C20" s="61"/>
      <c r="D20" s="62"/>
      <c r="F20" s="60"/>
      <c r="G20" s="61"/>
      <c r="H20" s="61"/>
      <c r="I20" s="62"/>
      <c r="K20" s="60"/>
      <c r="L20" s="61"/>
      <c r="M20" s="61"/>
      <c r="N20" s="62"/>
      <c r="P20" s="60"/>
      <c r="Q20" s="61"/>
      <c r="R20" s="61"/>
      <c r="S20" s="62"/>
    </row>
    <row r="21" ht="15.75" customHeight="1">
      <c r="A21" s="26"/>
      <c r="B21" s="26"/>
      <c r="C21" s="26"/>
      <c r="D21" s="26"/>
      <c r="K21" s="26"/>
      <c r="L21" s="26"/>
      <c r="M21" s="26"/>
      <c r="N21" s="26"/>
    </row>
    <row r="22" ht="15.75" customHeight="1">
      <c r="A22" s="55" t="s">
        <v>84</v>
      </c>
      <c r="B22" s="56"/>
      <c r="C22" s="56"/>
      <c r="D22" s="57"/>
      <c r="K22" s="64" t="s">
        <v>85</v>
      </c>
      <c r="L22" s="56"/>
      <c r="M22" s="56"/>
      <c r="N22" s="57"/>
    </row>
    <row r="23" ht="15.75" customHeight="1">
      <c r="A23" s="58"/>
      <c r="D23" s="59"/>
      <c r="K23" s="58"/>
      <c r="N23" s="59"/>
    </row>
    <row r="24" ht="15.75" customHeight="1">
      <c r="A24" s="60"/>
      <c r="B24" s="61"/>
      <c r="C24" s="61"/>
      <c r="D24" s="62"/>
      <c r="K24" s="60"/>
      <c r="L24" s="61"/>
      <c r="M24" s="61"/>
      <c r="N24" s="62"/>
    </row>
    <row r="25" ht="15.75" customHeight="1">
      <c r="A25" s="63" t="str">
        <f>IF(B12&lt;B14,"NÃO FALHA","FALHA POR CISALHAMENTO")</f>
        <v>NÃO FALHA</v>
      </c>
      <c r="B25" s="56"/>
      <c r="C25" s="56"/>
      <c r="D25" s="57"/>
      <c r="K25" s="63" t="str">
        <f>IF(L12&lt;L14,"NÃO FALHA","FALHA POR CISALHAMENTO")</f>
        <v>NÃO FALHA</v>
      </c>
      <c r="L25" s="56"/>
      <c r="M25" s="56"/>
      <c r="N25" s="57"/>
    </row>
    <row r="26" ht="15.75" customHeight="1">
      <c r="A26" s="60"/>
      <c r="B26" s="61"/>
      <c r="C26" s="61"/>
      <c r="D26" s="62"/>
      <c r="K26" s="60"/>
      <c r="L26" s="61"/>
      <c r="M26" s="61"/>
      <c r="N26" s="62"/>
    </row>
    <row r="27" ht="15.75" customHeight="1"/>
    <row r="28" ht="22.5" customHeight="1">
      <c r="A28" s="65"/>
      <c r="B28" s="65"/>
      <c r="C28" s="65"/>
      <c r="D28" s="65"/>
      <c r="E28" s="66"/>
      <c r="F28" s="26"/>
      <c r="G28" s="26"/>
      <c r="H28" s="26"/>
      <c r="I28" s="26"/>
      <c r="J28" s="67"/>
      <c r="K28" s="65"/>
      <c r="L28" s="65"/>
      <c r="M28" s="65"/>
      <c r="N28" s="65"/>
      <c r="O28" s="67"/>
      <c r="P28" s="68"/>
      <c r="Q28" s="68"/>
      <c r="R28" s="68"/>
      <c r="S28" s="68"/>
    </row>
    <row r="29" ht="22.5" customHeight="1">
      <c r="A29" s="5"/>
      <c r="B29" s="5"/>
      <c r="C29" s="5"/>
      <c r="D29" s="5"/>
      <c r="F29" s="5"/>
      <c r="G29" s="5"/>
      <c r="H29" s="5"/>
      <c r="I29" s="5"/>
      <c r="J29" s="69"/>
      <c r="K29" s="5"/>
      <c r="L29" s="5"/>
      <c r="M29" s="5"/>
      <c r="N29" s="5"/>
      <c r="P29" s="5"/>
      <c r="Q29" s="5"/>
      <c r="R29" s="5"/>
      <c r="S29" s="5"/>
    </row>
    <row r="30" ht="22.5" customHeight="1">
      <c r="A30" s="5"/>
      <c r="B30" s="5"/>
      <c r="C30" s="5"/>
      <c r="D30" s="5"/>
      <c r="F30" s="5"/>
      <c r="G30" s="5"/>
      <c r="H30" s="5"/>
      <c r="I30" s="5"/>
      <c r="J30" s="69"/>
      <c r="K30" s="70"/>
      <c r="L30" s="71"/>
      <c r="M30" s="5"/>
      <c r="N30" s="5"/>
      <c r="P30" s="5"/>
      <c r="Q30" s="54"/>
      <c r="R30" s="5"/>
      <c r="S30" s="5"/>
    </row>
    <row r="31" ht="22.5" customHeight="1">
      <c r="A31" s="5"/>
      <c r="B31" s="5"/>
      <c r="C31" s="5"/>
      <c r="D31" s="5"/>
      <c r="F31" s="5"/>
      <c r="G31" s="5"/>
      <c r="H31" s="5"/>
      <c r="I31" s="5"/>
      <c r="J31" s="25"/>
      <c r="K31" s="70"/>
      <c r="L31" s="70"/>
      <c r="M31" s="5"/>
      <c r="N31" s="5"/>
      <c r="P31" s="5"/>
      <c r="Q31" s="5"/>
      <c r="R31" s="5"/>
      <c r="S31" s="5"/>
    </row>
    <row r="32" ht="22.5" customHeight="1">
      <c r="A32" s="72"/>
      <c r="B32" s="70"/>
      <c r="C32" s="5"/>
      <c r="D32" s="70"/>
      <c r="F32" s="72"/>
      <c r="G32" s="70"/>
      <c r="H32" s="5"/>
      <c r="I32" s="5"/>
      <c r="K32" s="70"/>
      <c r="L32" s="70"/>
      <c r="M32" s="5"/>
      <c r="N32" s="70"/>
      <c r="P32" s="72"/>
      <c r="Q32" s="70"/>
      <c r="R32" s="5"/>
      <c r="S32" s="5"/>
    </row>
    <row r="33" ht="22.5" customHeight="1">
      <c r="A33" s="5"/>
      <c r="B33" s="73"/>
      <c r="C33" s="54"/>
      <c r="D33" s="25"/>
      <c r="F33" s="5"/>
      <c r="G33" s="73"/>
      <c r="H33" s="54"/>
      <c r="I33" s="74"/>
      <c r="K33" s="70"/>
      <c r="L33" s="75"/>
      <c r="M33" s="54"/>
      <c r="N33" s="25"/>
      <c r="P33" s="5"/>
      <c r="Q33" s="73"/>
      <c r="R33" s="54"/>
      <c r="S33" s="74"/>
    </row>
    <row r="34" ht="22.5" customHeight="1">
      <c r="A34" s="5"/>
      <c r="B34" s="5"/>
      <c r="C34" s="5"/>
      <c r="D34" s="5"/>
      <c r="F34" s="5"/>
      <c r="G34" s="54"/>
      <c r="H34" s="5"/>
      <c r="I34" s="5"/>
      <c r="K34" s="70"/>
      <c r="L34" s="76"/>
      <c r="M34" s="5"/>
      <c r="N34" s="5"/>
      <c r="P34" s="5"/>
      <c r="Q34" s="54"/>
      <c r="R34" s="5"/>
      <c r="S34" s="5"/>
    </row>
    <row r="35" ht="22.5" customHeight="1">
      <c r="A35" s="5"/>
      <c r="B35" s="5"/>
      <c r="C35" s="5"/>
      <c r="D35" s="77"/>
      <c r="F35" s="5"/>
      <c r="G35" s="5"/>
      <c r="H35" s="5"/>
      <c r="I35" s="54"/>
      <c r="K35" s="70"/>
      <c r="L35" s="70"/>
      <c r="M35" s="5"/>
      <c r="N35" s="54"/>
      <c r="P35" s="5"/>
      <c r="Q35" s="5"/>
      <c r="R35" s="5"/>
      <c r="S35" s="54"/>
    </row>
    <row r="36" ht="22.5" customHeight="1">
      <c r="A36" s="5"/>
      <c r="B36" s="70"/>
      <c r="C36" s="5"/>
      <c r="D36" s="54"/>
      <c r="F36" s="5"/>
      <c r="G36" s="5"/>
      <c r="H36" s="5"/>
      <c r="I36" s="54"/>
      <c r="K36" s="70"/>
      <c r="L36" s="70"/>
      <c r="M36" s="5"/>
      <c r="N36" s="5"/>
      <c r="P36" s="5"/>
      <c r="Q36" s="5"/>
      <c r="R36" s="5"/>
      <c r="S36" s="54"/>
    </row>
    <row r="37" ht="22.5" customHeight="1">
      <c r="A37" s="5"/>
      <c r="B37" s="5"/>
      <c r="C37" s="5"/>
      <c r="D37" s="5"/>
      <c r="F37" s="5"/>
      <c r="G37" s="78"/>
      <c r="H37" s="79"/>
      <c r="I37" s="79"/>
      <c r="K37" s="70"/>
      <c r="L37" s="70"/>
      <c r="M37" s="5"/>
      <c r="N37" s="5"/>
      <c r="P37" s="5"/>
      <c r="Q37" s="78"/>
      <c r="R37" s="79"/>
      <c r="S37" s="79"/>
    </row>
    <row r="38" ht="22.5" customHeight="1">
      <c r="A38" s="5"/>
      <c r="B38" s="70"/>
      <c r="C38" s="5"/>
      <c r="D38" s="5"/>
      <c r="E38" s="5"/>
      <c r="F38" s="5"/>
      <c r="H38" s="49"/>
      <c r="K38" s="70"/>
      <c r="L38" s="70"/>
      <c r="M38" s="5"/>
      <c r="N38" s="5"/>
      <c r="P38" s="5"/>
      <c r="R38" s="49"/>
    </row>
    <row r="39" ht="22.5" customHeight="1">
      <c r="A39" s="5"/>
      <c r="B39" s="70"/>
      <c r="C39" s="5"/>
      <c r="D39" s="5"/>
      <c r="E39" s="5"/>
      <c r="F39" s="5"/>
      <c r="H39" s="49"/>
      <c r="K39" s="70"/>
      <c r="L39" s="70"/>
      <c r="M39" s="5"/>
      <c r="N39" s="5"/>
      <c r="P39" s="5"/>
      <c r="R39" s="49"/>
    </row>
    <row r="40" ht="22.5" customHeight="1">
      <c r="A40" s="5"/>
      <c r="B40" s="5"/>
      <c r="C40" s="5"/>
      <c r="D40" s="5"/>
      <c r="E40" s="5"/>
      <c r="F40" s="5"/>
      <c r="K40" s="70"/>
      <c r="L40" s="70"/>
      <c r="M40" s="5"/>
      <c r="N40" s="5"/>
    </row>
    <row r="41" ht="22.5" customHeight="1">
      <c r="A41" s="5"/>
      <c r="B41" s="70"/>
      <c r="C41" s="5"/>
      <c r="D41" s="5"/>
      <c r="E41" s="5"/>
      <c r="F41" s="5"/>
      <c r="K41" s="70"/>
      <c r="L41" s="70"/>
      <c r="M41" s="5"/>
      <c r="N41" s="5"/>
    </row>
    <row r="42" ht="15.75" customHeight="1">
      <c r="A42" s="5"/>
      <c r="B42" s="5"/>
      <c r="C42" s="5"/>
      <c r="D42" s="5"/>
      <c r="E42" s="5"/>
      <c r="F42" s="5"/>
      <c r="K42" s="5"/>
      <c r="L42" s="5"/>
      <c r="M42" s="5"/>
      <c r="N42" s="5"/>
    </row>
    <row r="43" ht="15.75" customHeight="1">
      <c r="A43" s="80"/>
      <c r="B43" s="80"/>
      <c r="C43" s="80"/>
      <c r="D43" s="80"/>
      <c r="E43" s="5"/>
      <c r="F43" s="80"/>
      <c r="G43" s="80"/>
      <c r="H43" s="80"/>
      <c r="I43" s="80"/>
      <c r="K43" s="80"/>
      <c r="L43" s="80"/>
      <c r="M43" s="80"/>
      <c r="N43" s="80"/>
      <c r="P43" s="80"/>
      <c r="Q43" s="80"/>
      <c r="R43" s="80"/>
      <c r="S43" s="80"/>
    </row>
    <row r="44" ht="15.75" customHeight="1">
      <c r="A44" s="80"/>
      <c r="B44" s="80"/>
      <c r="C44" s="80"/>
      <c r="D44" s="80"/>
      <c r="E44" s="5"/>
      <c r="F44" s="80"/>
      <c r="G44" s="80"/>
      <c r="H44" s="80"/>
      <c r="I44" s="80"/>
      <c r="K44" s="80"/>
      <c r="L44" s="80"/>
      <c r="M44" s="80"/>
      <c r="N44" s="80"/>
      <c r="P44" s="80"/>
      <c r="Q44" s="80"/>
      <c r="R44" s="80"/>
      <c r="S44" s="80"/>
    </row>
    <row r="45" ht="15.75" customHeight="1">
      <c r="A45" s="80"/>
      <c r="B45" s="80"/>
      <c r="C45" s="80"/>
      <c r="D45" s="80"/>
      <c r="E45" s="5"/>
      <c r="F45" s="80"/>
      <c r="G45" s="80"/>
      <c r="H45" s="80"/>
      <c r="I45" s="80"/>
      <c r="K45" s="80"/>
      <c r="L45" s="80"/>
      <c r="M45" s="80"/>
      <c r="N45" s="80"/>
      <c r="P45" s="80"/>
      <c r="Q45" s="80"/>
      <c r="R45" s="80"/>
      <c r="S45" s="80"/>
    </row>
    <row r="46" ht="15.75" customHeight="1">
      <c r="A46" s="26"/>
      <c r="B46" s="26"/>
      <c r="C46" s="26"/>
      <c r="D46" s="26"/>
      <c r="E46" s="5"/>
      <c r="F46" s="26"/>
      <c r="G46" s="26"/>
      <c r="H46" s="26"/>
      <c r="I46" s="26"/>
      <c r="K46" s="26"/>
      <c r="L46" s="26"/>
      <c r="M46" s="26"/>
      <c r="N46" s="26"/>
      <c r="P46" s="26"/>
      <c r="Q46" s="26"/>
      <c r="R46" s="26"/>
      <c r="S46" s="26"/>
    </row>
    <row r="47" ht="15.75" customHeight="1">
      <c r="A47" s="26"/>
      <c r="B47" s="26"/>
      <c r="C47" s="26"/>
      <c r="D47" s="26"/>
      <c r="F47" s="26"/>
      <c r="G47" s="26"/>
      <c r="H47" s="26"/>
      <c r="I47" s="26"/>
      <c r="K47" s="26"/>
      <c r="L47" s="26"/>
      <c r="M47" s="26"/>
      <c r="N47" s="26"/>
      <c r="P47" s="26"/>
      <c r="Q47" s="26"/>
      <c r="R47" s="26"/>
      <c r="S47" s="26"/>
    </row>
    <row r="48" ht="15.75" customHeight="1">
      <c r="A48" s="26"/>
      <c r="B48" s="26"/>
      <c r="C48" s="26"/>
      <c r="D48" s="26"/>
      <c r="K48" s="26"/>
      <c r="L48" s="26"/>
      <c r="M48" s="26"/>
      <c r="N48" s="26"/>
    </row>
    <row r="49" ht="15.75" customHeight="1">
      <c r="A49" s="80"/>
      <c r="B49" s="80"/>
      <c r="C49" s="80"/>
      <c r="D49" s="80"/>
      <c r="K49" s="81"/>
      <c r="L49" s="81"/>
      <c r="M49" s="81"/>
      <c r="N49" s="81"/>
    </row>
    <row r="50" ht="15.75" customHeight="1">
      <c r="A50" s="80"/>
      <c r="B50" s="80"/>
      <c r="C50" s="80"/>
      <c r="D50" s="80"/>
      <c r="K50" s="81"/>
      <c r="L50" s="81"/>
      <c r="M50" s="81"/>
      <c r="N50" s="81"/>
    </row>
    <row r="51" ht="15.75" customHeight="1">
      <c r="A51" s="80"/>
      <c r="B51" s="80"/>
      <c r="C51" s="80"/>
      <c r="D51" s="80"/>
      <c r="K51" s="81"/>
      <c r="L51" s="81"/>
      <c r="M51" s="81"/>
      <c r="N51" s="81"/>
    </row>
    <row r="52" ht="15.75" customHeight="1">
      <c r="A52" s="26"/>
      <c r="B52" s="26"/>
      <c r="C52" s="26"/>
      <c r="D52" s="26"/>
      <c r="K52" s="26"/>
      <c r="L52" s="26"/>
      <c r="M52" s="26"/>
      <c r="N52" s="26"/>
    </row>
    <row r="53" ht="15.75" customHeight="1">
      <c r="A53" s="26"/>
      <c r="B53" s="26"/>
      <c r="C53" s="26"/>
      <c r="D53" s="26"/>
      <c r="K53" s="26"/>
      <c r="L53" s="26"/>
      <c r="M53" s="26"/>
      <c r="N53" s="26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9">
    <mergeCell ref="K2:L2"/>
    <mergeCell ref="M2:N2"/>
    <mergeCell ref="P2:Q2"/>
    <mergeCell ref="R2:S2"/>
    <mergeCell ref="A1:D1"/>
    <mergeCell ref="F1:I1"/>
    <mergeCell ref="K1:N1"/>
    <mergeCell ref="A2:B2"/>
    <mergeCell ref="C2:D2"/>
    <mergeCell ref="F2:G2"/>
    <mergeCell ref="H2:I2"/>
    <mergeCell ref="F16:I18"/>
    <mergeCell ref="K16:N18"/>
    <mergeCell ref="F19:I20"/>
    <mergeCell ref="K19:N20"/>
    <mergeCell ref="P19:S20"/>
    <mergeCell ref="K22:N24"/>
    <mergeCell ref="K25:N26"/>
    <mergeCell ref="A16:D18"/>
    <mergeCell ref="A19:D20"/>
    <mergeCell ref="A22:D24"/>
    <mergeCell ref="A25:D26"/>
    <mergeCell ref="C7:D7"/>
    <mergeCell ref="H7:I7"/>
    <mergeCell ref="M7:N7"/>
    <mergeCell ref="R7:S7"/>
    <mergeCell ref="H10:I10"/>
    <mergeCell ref="R10:S10"/>
    <mergeCell ref="P16:S18"/>
  </mergeCells>
  <conditionalFormatting sqref="J4 J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 J31">
    <cfRule type="expression" dxfId="0" priority="2">
      <formula>$G$4&lt;$G$3</formula>
    </cfRule>
  </conditionalFormatting>
  <conditionalFormatting sqref="A19:D20 K19:N20 A46:D47 K46:N47">
    <cfRule type="cellIs" dxfId="1" priority="3" operator="equal">
      <formula>"FALHA POR FLEXÃO"</formula>
    </cfRule>
  </conditionalFormatting>
  <conditionalFormatting sqref="A19:D20 K19:N20 A46:D47 K46:N47">
    <cfRule type="cellIs" dxfId="2" priority="4" operator="equal">
      <formula>"NÃO FALHA"</formula>
    </cfRule>
  </conditionalFormatting>
  <conditionalFormatting sqref="A19:D20 K19:N20 A46:D47 K46:N47">
    <cfRule type="cellIs" dxfId="3" priority="5" operator="equal">
      <formula>"FALHA POR FLEXÃO"</formula>
    </cfRule>
  </conditionalFormatting>
  <conditionalFormatting sqref="A19:D20 K19:N20 A46:D47 K46:N47">
    <cfRule type="cellIs" dxfId="4" priority="6" operator="equal">
      <formula>"ok"</formula>
    </cfRule>
  </conditionalFormatting>
  <conditionalFormatting sqref="A25:D26 K25:N26 A52:D53 K52:N53">
    <cfRule type="cellIs" dxfId="1" priority="7" operator="equal">
      <formula>"FALHA POR CISALHAMENTO"</formula>
    </cfRule>
  </conditionalFormatting>
  <conditionalFormatting sqref="A25:D26 K25:N26 A52:D53 K52:N53">
    <cfRule type="cellIs" dxfId="2" priority="8" operator="equal">
      <formula>"NÃO FALHA"</formula>
    </cfRule>
  </conditionalFormatting>
  <conditionalFormatting sqref="F19:I20 P19:S20 F46:I47 P46:S47">
    <cfRule type="cellIs" dxfId="1" priority="9" operator="equal">
      <formula>"FALHA POR FLEXÃO"</formula>
    </cfRule>
  </conditionalFormatting>
  <conditionalFormatting sqref="F19:I20 P19:S20 F46:I47 P46:S47">
    <cfRule type="cellIs" dxfId="2" priority="10" operator="equal">
      <formula>"NÃO FALHA"</formula>
    </cfRule>
  </conditionalFormatting>
  <conditionalFormatting sqref="F19:I20 P19:S20 F46:I47 P46:S47">
    <cfRule type="cellIs" dxfId="3" priority="11" operator="equal">
      <formula>"FALHA POR FLEXÃO"</formula>
    </cfRule>
  </conditionalFormatting>
  <conditionalFormatting sqref="F19:I20 P19:S20 F46:I47 P46:S47">
    <cfRule type="cellIs" dxfId="4" priority="12" operator="equal">
      <formula>"ok"</formula>
    </cfRule>
  </conditionalFormatting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86"/>
  </cols>
  <sheetData>
    <row r="1">
      <c r="A1" s="82" t="s">
        <v>86</v>
      </c>
    </row>
    <row r="2">
      <c r="A2" s="83" t="s">
        <v>87</v>
      </c>
      <c r="B2" s="84">
        <f>'Dimensões e Massa AI'!D5</f>
        <v>288.0136391</v>
      </c>
    </row>
    <row r="3">
      <c r="A3" s="83" t="s">
        <v>88</v>
      </c>
      <c r="B3" s="5">
        <f>318.7388718</f>
        <v>318.7388718</v>
      </c>
    </row>
    <row r="4">
      <c r="A4" s="83" t="s">
        <v>89</v>
      </c>
      <c r="B4" s="84">
        <f>'Dimensões e Massa AI'!N5</f>
        <v>229.9268547</v>
      </c>
    </row>
    <row r="5">
      <c r="A5" s="83" t="s">
        <v>90</v>
      </c>
      <c r="B5" s="50">
        <f>107.856</f>
        <v>107.856</v>
      </c>
    </row>
    <row r="6">
      <c r="A6" s="83" t="s">
        <v>91</v>
      </c>
      <c r="B6" s="50">
        <f>'Dimensões e Massa AI'!S12</f>
        <v>107.856</v>
      </c>
    </row>
  </sheetData>
  <mergeCells count="1">
    <mergeCell ref="A1:B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2020-04-08T17:15:59Z</dcterms:created>
  <dc:creator>Clinton Noberto</dc:creator>
</cp:coreProperties>
</file>