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esktop\ZezinhoDls\Pegazuls\estabilidade longitudinal\biplano 5\"/>
    </mc:Choice>
  </mc:AlternateContent>
  <xr:revisionPtr revIDLastSave="0" documentId="13_ncr:1_{28EB2E84-3254-4DBA-8D07-E088D9A0B5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plano 1" sheetId="1" r:id="rId1"/>
  </sheets>
  <definedNames>
    <definedName name="solver_adj" localSheetId="0" hidden="1">'Biplano 1'!$U$26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'Biplano 1'!$S$26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B7" i="1"/>
  <c r="C7" i="1" l="1"/>
  <c r="M26" i="1"/>
  <c r="Y33" i="1" l="1"/>
  <c r="Z33" i="1"/>
  <c r="AI32" i="1" l="1"/>
  <c r="AB32" i="1"/>
  <c r="AI31" i="1"/>
  <c r="AB31" i="1"/>
  <c r="AI30" i="1"/>
  <c r="AB30" i="1"/>
  <c r="AI29" i="1"/>
  <c r="AB29" i="1"/>
  <c r="AI28" i="1"/>
  <c r="AB28" i="1"/>
  <c r="AI27" i="1"/>
  <c r="AB27" i="1"/>
  <c r="AI26" i="1"/>
  <c r="AA26" i="1"/>
  <c r="AB26" i="1" s="1"/>
  <c r="R26" i="1"/>
  <c r="P26" i="1"/>
  <c r="O26" i="1"/>
  <c r="N26" i="1"/>
  <c r="AI25" i="1"/>
  <c r="AA25" i="1"/>
  <c r="AB25" i="1" s="1"/>
  <c r="AI24" i="1"/>
  <c r="AA24" i="1"/>
  <c r="AB24" i="1" s="1"/>
  <c r="AI23" i="1"/>
  <c r="AA23" i="1"/>
  <c r="AB23" i="1" s="1"/>
  <c r="AI22" i="1"/>
  <c r="AA22" i="1"/>
  <c r="AB22" i="1" s="1"/>
  <c r="AI21" i="1"/>
  <c r="AA21" i="1"/>
  <c r="AB21" i="1" s="1"/>
  <c r="AI20" i="1"/>
  <c r="AA20" i="1"/>
  <c r="AB20" i="1" s="1"/>
  <c r="AI19" i="1"/>
  <c r="AA19" i="1"/>
  <c r="AB19" i="1" s="1"/>
  <c r="AI18" i="1"/>
  <c r="AA18" i="1"/>
  <c r="AB18" i="1" s="1"/>
  <c r="AI17" i="1"/>
  <c r="AA17" i="1"/>
  <c r="AB17" i="1" s="1"/>
  <c r="AI16" i="1"/>
  <c r="AA16" i="1"/>
  <c r="AB16" i="1" s="1"/>
  <c r="AI15" i="1"/>
  <c r="AA15" i="1"/>
  <c r="AB15" i="1" s="1"/>
  <c r="AI14" i="1"/>
  <c r="AA14" i="1"/>
  <c r="AB14" i="1" s="1"/>
  <c r="AA13" i="1"/>
  <c r="AB13" i="1" s="1"/>
  <c r="AA12" i="1"/>
  <c r="AB12" i="1" s="1"/>
  <c r="AA11" i="1"/>
  <c r="AB11" i="1" s="1"/>
  <c r="AA10" i="1"/>
  <c r="AB10" i="1" s="1"/>
  <c r="AI9" i="1"/>
  <c r="AA9" i="1"/>
  <c r="AB9" i="1" s="1"/>
  <c r="AI8" i="1"/>
  <c r="AA8" i="1"/>
  <c r="AB8" i="1" s="1"/>
  <c r="AI7" i="1"/>
  <c r="AA7" i="1"/>
  <c r="AB7" i="1" s="1"/>
  <c r="J26" i="1"/>
  <c r="L26" i="1"/>
  <c r="AI6" i="1"/>
  <c r="AA6" i="1"/>
  <c r="AB6" i="1" s="1"/>
  <c r="AI5" i="1"/>
  <c r="AA5" i="1"/>
  <c r="AB5" i="1" s="1"/>
  <c r="AI4" i="1"/>
  <c r="AJ33" i="1" s="1"/>
  <c r="E17" i="1" s="1"/>
  <c r="J16" i="1" s="1"/>
  <c r="K26" i="1" s="1"/>
  <c r="AA4" i="1"/>
  <c r="AB4" i="1" s="1"/>
  <c r="L27" i="1" l="1"/>
  <c r="AC33" i="1"/>
  <c r="G17" i="1" s="1"/>
  <c r="K16" i="1" s="1"/>
  <c r="C84" i="1" s="1"/>
  <c r="C12" i="1"/>
  <c r="N11" i="1" s="1"/>
  <c r="G6" i="1"/>
  <c r="I6" i="1"/>
  <c r="C71" i="1"/>
  <c r="Q26" i="1"/>
  <c r="S26" i="1" s="1"/>
  <c r="C87" i="1" l="1"/>
  <c r="C74" i="1"/>
  <c r="C63" i="1"/>
  <c r="C86" i="1"/>
  <c r="C79" i="1"/>
  <c r="C67" i="1"/>
  <c r="C75" i="1"/>
  <c r="C83" i="1"/>
  <c r="C68" i="1"/>
  <c r="C80" i="1"/>
  <c r="C66" i="1"/>
  <c r="C65" i="1"/>
  <c r="C73" i="1"/>
  <c r="C81" i="1"/>
  <c r="C64" i="1"/>
  <c r="C78" i="1"/>
  <c r="C88" i="1"/>
  <c r="C70" i="1"/>
  <c r="C76" i="1"/>
  <c r="C69" i="1"/>
  <c r="C77" i="1"/>
  <c r="C85" i="1"/>
  <c r="C72" i="1"/>
  <c r="C82" i="1"/>
  <c r="M11" i="1"/>
  <c r="C32" i="1"/>
  <c r="C54" i="1"/>
  <c r="C47" i="1"/>
  <c r="C56" i="1"/>
  <c r="C55" i="1"/>
  <c r="C39" i="1"/>
  <c r="C40" i="1"/>
  <c r="C46" i="1"/>
  <c r="C51" i="1"/>
  <c r="C43" i="1"/>
  <c r="C35" i="1"/>
  <c r="G21" i="1"/>
  <c r="C48" i="1"/>
  <c r="C38" i="1"/>
  <c r="C50" i="1"/>
  <c r="C53" i="1"/>
  <c r="C49" i="1"/>
  <c r="C45" i="1"/>
  <c r="C41" i="1"/>
  <c r="C37" i="1"/>
  <c r="C33" i="1"/>
  <c r="C31" i="1"/>
  <c r="C34" i="1"/>
  <c r="C44" i="1"/>
  <c r="C52" i="1"/>
  <c r="C36" i="1"/>
  <c r="C42" i="1"/>
  <c r="L45" i="1" l="1"/>
  <c r="B21" i="1"/>
  <c r="L84" i="1" s="1"/>
  <c r="L31" i="1"/>
  <c r="L51" i="1"/>
  <c r="L32" i="1"/>
  <c r="L55" i="1"/>
  <c r="L37" i="1"/>
  <c r="L41" i="1"/>
  <c r="L43" i="1"/>
  <c r="L39" i="1"/>
  <c r="L50" i="1"/>
  <c r="L33" i="1"/>
  <c r="L35" i="1"/>
  <c r="L54" i="1"/>
  <c r="L42" i="1"/>
  <c r="L40" i="1"/>
  <c r="L46" i="1"/>
  <c r="B26" i="1"/>
  <c r="E26" i="1" s="1"/>
  <c r="L44" i="1"/>
  <c r="L36" i="1"/>
  <c r="L48" i="1"/>
  <c r="L38" i="1"/>
  <c r="L49" i="1"/>
  <c r="L47" i="1"/>
  <c r="L53" i="1"/>
  <c r="L52" i="1"/>
  <c r="L34" i="1"/>
  <c r="L56" i="1"/>
  <c r="L81" i="1" l="1"/>
  <c r="L88" i="1"/>
  <c r="L83" i="1"/>
  <c r="L63" i="1"/>
  <c r="L86" i="1"/>
  <c r="M21" i="1"/>
  <c r="L82" i="1"/>
  <c r="L75" i="1"/>
  <c r="L78" i="1"/>
  <c r="L80" i="1"/>
  <c r="L65" i="1"/>
  <c r="L76" i="1"/>
  <c r="L77" i="1"/>
  <c r="L74" i="1"/>
  <c r="L67" i="1"/>
  <c r="L87" i="1"/>
  <c r="L72" i="1"/>
  <c r="L70" i="1"/>
  <c r="L85" i="1"/>
  <c r="L68" i="1"/>
  <c r="L66" i="1"/>
  <c r="L73" i="1"/>
  <c r="L71" i="1"/>
  <c r="L64" i="1"/>
  <c r="L79" i="1"/>
  <c r="L69" i="1"/>
</calcChain>
</file>

<file path=xl/sharedStrings.xml><?xml version="1.0" encoding="utf-8"?>
<sst xmlns="http://schemas.openxmlformats.org/spreadsheetml/2006/main" count="32" uniqueCount="22">
  <si>
    <t>Estabilidade Longitudinal Estática</t>
  </si>
  <si>
    <t xml:space="preserve">Contribuição da Asa </t>
  </si>
  <si>
    <t>ME</t>
  </si>
  <si>
    <t>Seção</t>
  </si>
  <si>
    <t>CG</t>
  </si>
  <si>
    <t>Inputs</t>
  </si>
  <si>
    <t>Condição</t>
  </si>
  <si>
    <t>Estável</t>
  </si>
  <si>
    <t>Contribuição da Empenagem Horizontal</t>
  </si>
  <si>
    <t xml:space="preserve"> </t>
  </si>
  <si>
    <t>Contribuição da Fuselagem</t>
  </si>
  <si>
    <t>Contribuição Total</t>
  </si>
  <si>
    <t>Ponto Neutro e Margem Estática</t>
  </si>
  <si>
    <t>Determinação do CG</t>
  </si>
  <si>
    <r>
      <t>Coeficiente de momento de arfagem gerado pela asa (C</t>
    </r>
    <r>
      <rPr>
        <b/>
        <sz val="8"/>
        <color theme="1"/>
        <rFont val="Calibri"/>
        <family val="2"/>
        <scheme val="minor"/>
      </rPr>
      <t>mw</t>
    </r>
    <r>
      <rPr>
        <b/>
        <sz val="11"/>
        <color theme="1"/>
        <rFont val="Calibri"/>
        <family val="2"/>
        <scheme val="minor"/>
      </rPr>
      <t>) em função do ângulo de ataque</t>
    </r>
  </si>
  <si>
    <r>
      <t>Coeficiente de momento de arfagem gerado pela empenagem (C</t>
    </r>
    <r>
      <rPr>
        <b/>
        <sz val="8"/>
        <color theme="1"/>
        <rFont val="Calibri"/>
        <family val="2"/>
        <scheme val="minor"/>
      </rPr>
      <t>mt</t>
    </r>
    <r>
      <rPr>
        <b/>
        <sz val="11"/>
        <color theme="1"/>
        <rFont val="Calibri"/>
        <family val="2"/>
        <scheme val="minor"/>
      </rPr>
      <t>) em função do ângulo de ataque</t>
    </r>
  </si>
  <si>
    <t>α</t>
  </si>
  <si>
    <t xml:space="preserve">Soma = </t>
  </si>
  <si>
    <t>0,50m</t>
  </si>
  <si>
    <t>0,41966m</t>
  </si>
  <si>
    <r>
      <t>Coeficiente de momento de arfagem gerado pela fuselagem (C</t>
    </r>
    <r>
      <rPr>
        <b/>
        <sz val="8"/>
        <color theme="1"/>
        <rFont val="Calibri"/>
        <family val="2"/>
        <scheme val="minor"/>
      </rPr>
      <t>mf</t>
    </r>
    <r>
      <rPr>
        <b/>
        <sz val="11"/>
        <color theme="1"/>
        <rFont val="Calibri"/>
        <family val="2"/>
        <scheme val="minor"/>
      </rPr>
      <t>) em função do ângulo de ataque</t>
    </r>
  </si>
  <si>
    <r>
      <t>Coeficiente de momento de arfagem (C</t>
    </r>
    <r>
      <rPr>
        <b/>
        <sz val="8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 em função do ângulo de ataque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</si>
</sst>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/>
    <xf numFmtId="165" fontId="4" fillId="0" borderId="2" xfId="0" applyNumberFormat="1" applyFont="1" applyBorder="1"/>
    <xf numFmtId="164" fontId="4" fillId="0" borderId="0" xfId="0" applyNumberFormat="1" applyFont="1"/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/>
    <xf numFmtId="0" fontId="0" fillId="0" borderId="15" xfId="0" applyBorder="1"/>
    <xf numFmtId="0" fontId="2" fillId="8" borderId="15" xfId="0" applyFont="1" applyFill="1" applyBorder="1"/>
    <xf numFmtId="0" fontId="1" fillId="8" borderId="15" xfId="0" applyFont="1" applyFill="1" applyBorder="1"/>
    <xf numFmtId="0" fontId="0" fillId="8" borderId="7" xfId="0" applyFill="1" applyBorder="1" applyAlignment="1">
      <alignment horizontal="center" vertical="center"/>
    </xf>
    <xf numFmtId="0" fontId="3" fillId="8" borderId="15" xfId="0" applyFont="1" applyFill="1" applyBorder="1"/>
    <xf numFmtId="0" fontId="0" fillId="8" borderId="15" xfId="0" applyFill="1" applyBorder="1"/>
    <xf numFmtId="0" fontId="4" fillId="3" borderId="5" xfId="0" applyFont="1" applyFill="1" applyBorder="1" applyAlignment="1">
      <alignment horizontal="center"/>
    </xf>
    <xf numFmtId="0" fontId="0" fillId="3" borderId="5" xfId="0" applyFill="1" applyBorder="1"/>
    <xf numFmtId="0" fontId="4" fillId="8" borderId="1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left" vertical="center"/>
    </xf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quotePrefix="1"/>
    <xf numFmtId="9" fontId="0" fillId="0" borderId="0" xfId="0" applyNumberFormat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da asa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'Biplano 1'!$B$31:$B$56</c:f>
              <c:numCache>
                <c:formatCode>General</c:formatCode>
                <c:ptCount val="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'Biplano 1'!$C$31:$C$56</c:f>
              <c:numCache>
                <c:formatCode>General</c:formatCode>
                <c:ptCount val="26"/>
                <c:pt idx="0">
                  <c:v>-0.65197833639632496</c:v>
                </c:pt>
                <c:pt idx="1">
                  <c:v>-0.65274012480805998</c:v>
                </c:pt>
                <c:pt idx="2">
                  <c:v>-0.65350191321979501</c:v>
                </c:pt>
                <c:pt idx="3">
                  <c:v>-0.65426370163152991</c:v>
                </c:pt>
                <c:pt idx="4">
                  <c:v>-0.65502549004326494</c:v>
                </c:pt>
                <c:pt idx="5">
                  <c:v>-0.65578727845499996</c:v>
                </c:pt>
                <c:pt idx="6">
                  <c:v>-0.65654906686673498</c:v>
                </c:pt>
                <c:pt idx="7">
                  <c:v>-0.65731085527847</c:v>
                </c:pt>
                <c:pt idx="8">
                  <c:v>-0.65807264369020491</c:v>
                </c:pt>
                <c:pt idx="9">
                  <c:v>-0.65883443210193993</c:v>
                </c:pt>
                <c:pt idx="10">
                  <c:v>-0.65959622051367495</c:v>
                </c:pt>
                <c:pt idx="11">
                  <c:v>-0.66035800892540997</c:v>
                </c:pt>
                <c:pt idx="12">
                  <c:v>-0.66111979733714499</c:v>
                </c:pt>
                <c:pt idx="13">
                  <c:v>-0.66188158574888001</c:v>
                </c:pt>
                <c:pt idx="14">
                  <c:v>-0.66264337416061492</c:v>
                </c:pt>
                <c:pt idx="15">
                  <c:v>-0.66340516257234994</c:v>
                </c:pt>
                <c:pt idx="16">
                  <c:v>-0.66416695098408496</c:v>
                </c:pt>
                <c:pt idx="17">
                  <c:v>-0.66492873939581998</c:v>
                </c:pt>
                <c:pt idx="18">
                  <c:v>-0.665690527807555</c:v>
                </c:pt>
                <c:pt idx="19">
                  <c:v>-0.66645231621929002</c:v>
                </c:pt>
                <c:pt idx="20">
                  <c:v>-0.66721410463102493</c:v>
                </c:pt>
                <c:pt idx="21">
                  <c:v>-0.66797589304275995</c:v>
                </c:pt>
                <c:pt idx="22">
                  <c:v>-0.66873768145449497</c:v>
                </c:pt>
                <c:pt idx="23">
                  <c:v>-0.66949946986622999</c:v>
                </c:pt>
                <c:pt idx="24">
                  <c:v>-0.67026125827796501</c:v>
                </c:pt>
                <c:pt idx="25">
                  <c:v>-0.67102304668970003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E8-845C-A475A3AE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56752"/>
        <c:axId val="253219976"/>
      </c:scatterChart>
      <c:valAx>
        <c:axId val="2538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</a:t>
                </a:r>
                <a:r>
                  <a:rPr lang="pt-BR" baseline="0"/>
                  <a:t> de ataque </a:t>
                </a:r>
                <a:r>
                  <a:rPr lang="el-GR" baseline="0"/>
                  <a:t>α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219976"/>
        <c:crosses val="autoZero"/>
        <c:crossBetween val="midCat"/>
      </c:valAx>
      <c:valAx>
        <c:axId val="2532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Momento de arfagem</a:t>
                </a:r>
                <a:r>
                  <a:rPr lang="pt-BR" baseline="0"/>
                  <a:t> gerado pela asa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da empenagem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'Biplano 1'!$K$31:$K$56</c:f>
              <c:numCache>
                <c:formatCode>General</c:formatCode>
                <c:ptCount val="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'Biplano 1'!$L$31:$L$56</c:f>
              <c:numCache>
                <c:formatCode>General</c:formatCode>
                <c:ptCount val="26"/>
                <c:pt idx="0">
                  <c:v>0.92262429637090171</c:v>
                </c:pt>
                <c:pt idx="1">
                  <c:v>0.87015700581393118</c:v>
                </c:pt>
                <c:pt idx="2">
                  <c:v>0.81768971525696055</c:v>
                </c:pt>
                <c:pt idx="3">
                  <c:v>0.76522242469998991</c:v>
                </c:pt>
                <c:pt idx="4">
                  <c:v>0.71275513414301939</c:v>
                </c:pt>
                <c:pt idx="5">
                  <c:v>0.66028784358604875</c:v>
                </c:pt>
                <c:pt idx="6">
                  <c:v>0.60782055302907811</c:v>
                </c:pt>
                <c:pt idx="7">
                  <c:v>0.55535326247210759</c:v>
                </c:pt>
                <c:pt idx="8">
                  <c:v>0.50288597191513695</c:v>
                </c:pt>
                <c:pt idx="9">
                  <c:v>0.45041868135816632</c:v>
                </c:pt>
                <c:pt idx="10">
                  <c:v>0.39795139080119574</c:v>
                </c:pt>
                <c:pt idx="11">
                  <c:v>0.34548410024422516</c:v>
                </c:pt>
                <c:pt idx="12">
                  <c:v>0.29301680968725452</c:v>
                </c:pt>
                <c:pt idx="13">
                  <c:v>0.24054951913028394</c:v>
                </c:pt>
                <c:pt idx="14">
                  <c:v>0.18808222857331336</c:v>
                </c:pt>
                <c:pt idx="15">
                  <c:v>0.13561493801634272</c:v>
                </c:pt>
                <c:pt idx="16">
                  <c:v>8.3147647459372087E-2</c:v>
                </c:pt>
                <c:pt idx="17">
                  <c:v>3.0680356902401562E-2</c:v>
                </c:pt>
                <c:pt idx="18">
                  <c:v>-2.1786933654569074E-2</c:v>
                </c:pt>
                <c:pt idx="19">
                  <c:v>-7.425422421153971E-2</c:v>
                </c:pt>
                <c:pt idx="20">
                  <c:v>-0.12672151476851023</c:v>
                </c:pt>
                <c:pt idx="21">
                  <c:v>-0.17918880532548087</c:v>
                </c:pt>
                <c:pt idx="22">
                  <c:v>-0.23165609588245151</c:v>
                </c:pt>
                <c:pt idx="23">
                  <c:v>-0.28412338643942203</c:v>
                </c:pt>
                <c:pt idx="24">
                  <c:v>-0.33659067699639267</c:v>
                </c:pt>
                <c:pt idx="25">
                  <c:v>-0.3890579675533633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036-B6E8-FCAE25CF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17104"/>
        <c:axId val="203779736"/>
      </c:scatterChart>
      <c:valAx>
        <c:axId val="2539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</a:t>
                </a:r>
                <a:r>
                  <a:rPr lang="pt-BR" baseline="0"/>
                  <a:t> de ataque </a:t>
                </a:r>
                <a:r>
                  <a:rPr lang="el-GR" baseline="0"/>
                  <a:t>α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79736"/>
        <c:crosses val="autoZero"/>
        <c:crossBetween val="midCat"/>
      </c:valAx>
      <c:valAx>
        <c:axId val="2037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Momento de arfagem gerado pela empenagem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9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da fuselagem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'Biplano 1'!$B$63:$B$88</c:f>
              <c:numCache>
                <c:formatCode>General</c:formatCode>
                <c:ptCount val="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'Biplano 1'!$C$63:$C$88</c:f>
              <c:numCache>
                <c:formatCode>General</c:formatCode>
                <c:ptCount val="26"/>
                <c:pt idx="0">
                  <c:v>-5.585224209676288E-4</c:v>
                </c:pt>
                <c:pt idx="1">
                  <c:v>-5.546079706187858E-4</c:v>
                </c:pt>
                <c:pt idx="2">
                  <c:v>-5.5069352026994279E-4</c:v>
                </c:pt>
                <c:pt idx="3">
                  <c:v>-5.4677906992109978E-4</c:v>
                </c:pt>
                <c:pt idx="4">
                  <c:v>-5.4286461957225689E-4</c:v>
                </c:pt>
                <c:pt idx="5">
                  <c:v>-5.3895016922341388E-4</c:v>
                </c:pt>
                <c:pt idx="6">
                  <c:v>-5.3503571887457088E-4</c:v>
                </c:pt>
                <c:pt idx="7">
                  <c:v>-5.3112126852572798E-4</c:v>
                </c:pt>
                <c:pt idx="8">
                  <c:v>-5.2720681817688497E-4</c:v>
                </c:pt>
                <c:pt idx="9">
                  <c:v>-5.2329236782804197E-4</c:v>
                </c:pt>
                <c:pt idx="10">
                  <c:v>-5.1937791747919896E-4</c:v>
                </c:pt>
                <c:pt idx="11">
                  <c:v>-5.1546346713035607E-4</c:v>
                </c:pt>
                <c:pt idx="12">
                  <c:v>-5.1154901678151306E-4</c:v>
                </c:pt>
                <c:pt idx="13">
                  <c:v>-5.0763456643267005E-4</c:v>
                </c:pt>
                <c:pt idx="14">
                  <c:v>-5.0372011608382705E-4</c:v>
                </c:pt>
                <c:pt idx="15">
                  <c:v>-4.9980566573498415E-4</c:v>
                </c:pt>
                <c:pt idx="16">
                  <c:v>-4.9589121538614115E-4</c:v>
                </c:pt>
                <c:pt idx="17">
                  <c:v>-4.9197676503729814E-4</c:v>
                </c:pt>
                <c:pt idx="18">
                  <c:v>-4.8806231468845519E-4</c:v>
                </c:pt>
                <c:pt idx="19">
                  <c:v>-4.8414786433961224E-4</c:v>
                </c:pt>
                <c:pt idx="20">
                  <c:v>-4.8023341399076923E-4</c:v>
                </c:pt>
                <c:pt idx="21">
                  <c:v>-4.7631896364192628E-4</c:v>
                </c:pt>
                <c:pt idx="22">
                  <c:v>-4.7240451329308333E-4</c:v>
                </c:pt>
                <c:pt idx="23">
                  <c:v>-4.6849006294424032E-4</c:v>
                </c:pt>
                <c:pt idx="24">
                  <c:v>-4.6457561259539737E-4</c:v>
                </c:pt>
                <c:pt idx="25">
                  <c:v>-4.6066116224655437E-4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6-4B18-9B11-D5B99A9B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1304"/>
        <c:axId val="203780128"/>
      </c:scatterChart>
      <c:valAx>
        <c:axId val="2037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</a:t>
                </a:r>
                <a:r>
                  <a:rPr lang="pt-BR" baseline="0"/>
                  <a:t> de ataque </a:t>
                </a:r>
                <a:r>
                  <a:rPr lang="el-GR" baseline="0"/>
                  <a:t>α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80128"/>
        <c:crosses val="autoZero"/>
        <c:crossBetween val="midCat"/>
      </c:valAx>
      <c:valAx>
        <c:axId val="203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Momento de arfagem gerado pela fuselagem</a:t>
                </a:r>
              </a:p>
            </c:rich>
          </c:tx>
          <c:layout>
            <c:manualLayout>
              <c:xMode val="edge"/>
              <c:yMode val="edge"/>
              <c:x val="1.7871568285938638E-2"/>
              <c:y val="0.170698402113416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8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'Biplano 1'!$K$63:$K$88</c:f>
              <c:numCache>
                <c:formatCode>General</c:formatCode>
                <c:ptCount val="2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</c:numCache>
            </c:numRef>
          </c:xVal>
          <c:yVal>
            <c:numRef>
              <c:f>'Biplano 1'!$L$63:$L$88</c:f>
              <c:numCache>
                <c:formatCode>General</c:formatCode>
                <c:ptCount val="26"/>
                <c:pt idx="0">
                  <c:v>0.2700874375536092</c:v>
                </c:pt>
                <c:pt idx="1">
                  <c:v>0.21686227303525241</c:v>
                </c:pt>
                <c:pt idx="2">
                  <c:v>0.16363710851689564</c:v>
                </c:pt>
                <c:pt idx="3">
                  <c:v>0.1104119439985389</c:v>
                </c:pt>
                <c:pt idx="4">
                  <c:v>5.7186779480182137E-2</c:v>
                </c:pt>
                <c:pt idx="5">
                  <c:v>3.9616149618253811E-3</c:v>
                </c:pt>
                <c:pt idx="6">
                  <c:v>-4.926354955653138E-2</c:v>
                </c:pt>
                <c:pt idx="7">
                  <c:v>-0.10248871407488813</c:v>
                </c:pt>
                <c:pt idx="8">
                  <c:v>-0.1557138785932449</c:v>
                </c:pt>
                <c:pt idx="9">
                  <c:v>-0.20893904311160166</c:v>
                </c:pt>
                <c:pt idx="10">
                  <c:v>-0.2621642076299584</c:v>
                </c:pt>
                <c:pt idx="11">
                  <c:v>-0.31538937214831514</c:v>
                </c:pt>
                <c:pt idx="12">
                  <c:v>-0.36861453666667193</c:v>
                </c:pt>
                <c:pt idx="13">
                  <c:v>-0.42183970118502867</c:v>
                </c:pt>
                <c:pt idx="14">
                  <c:v>-0.47506486570338541</c:v>
                </c:pt>
                <c:pt idx="15">
                  <c:v>-0.52829003022174226</c:v>
                </c:pt>
                <c:pt idx="16">
                  <c:v>-0.58151519474009905</c:v>
                </c:pt>
                <c:pt idx="17">
                  <c:v>-0.63474035925845573</c:v>
                </c:pt>
                <c:pt idx="18">
                  <c:v>-0.68796552377681253</c:v>
                </c:pt>
                <c:pt idx="19">
                  <c:v>-0.74119068829516932</c:v>
                </c:pt>
                <c:pt idx="20">
                  <c:v>-0.794415852813526</c:v>
                </c:pt>
                <c:pt idx="21">
                  <c:v>-0.8476410173318828</c:v>
                </c:pt>
                <c:pt idx="22">
                  <c:v>-0.90086618185023959</c:v>
                </c:pt>
                <c:pt idx="23">
                  <c:v>-0.95409134636859627</c:v>
                </c:pt>
                <c:pt idx="24">
                  <c:v>-1.0073165108869531</c:v>
                </c:pt>
                <c:pt idx="25">
                  <c:v>-1.0605416754053099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6-4B51-B6D0-1B216CE2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84144"/>
        <c:axId val="254884928"/>
      </c:scatterChart>
      <c:valAx>
        <c:axId val="254884144"/>
        <c:scaling>
          <c:orientation val="minMax"/>
          <c:max val="2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baseline="0">
                    <a:effectLst/>
                  </a:rPr>
                  <a:t>α</a:t>
                </a:r>
                <a:r>
                  <a:rPr lang="pt-BR" sz="1200" b="1" i="0" baseline="0">
                    <a:effectLst/>
                  </a:rPr>
                  <a:t> (graus)</a:t>
                </a:r>
                <a:endParaRPr lang="pt-BR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884928"/>
        <c:crosses val="autoZero"/>
        <c:crossBetween val="midCat"/>
      </c:valAx>
      <c:valAx>
        <c:axId val="2548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𝐶</a:t>
                </a:r>
                <a:r>
                  <a:rPr lang="pt-BR" sz="900" b="1" i="0" u="none" strike="noStrike" baseline="0">
                    <a:effectLst/>
                  </a:rPr>
                  <a:t>𝑚</a:t>
                </a:r>
                <a:endParaRPr lang="pt-BR" sz="900" b="1"/>
              </a:p>
            </c:rich>
          </c:tx>
          <c:layout>
            <c:manualLayout>
              <c:xMode val="edge"/>
              <c:yMode val="edge"/>
              <c:x val="1.2552299601054313E-2"/>
              <c:y val="0.461606719912389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884144"/>
        <c:crossesAt val="0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323849</xdr:colOff>
      <xdr:row>3</xdr:row>
      <xdr:rowOff>104776</xdr:rowOff>
    </xdr:from>
    <xdr:ext cx="1638301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504949" y="958216"/>
              <a:ext cx="1638301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pt-B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=</m:t>
                      </m:r>
                    </m:sub>
                  </m:sSub>
                </m:oMath>
              </a14:m>
              <a:r>
                <a:rPr lang="pt-BR" sz="11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pt-BR" sz="1100"/>
                <a:t> </a:t>
              </a:r>
              <a14:m>
                <m:oMath xmlns:m="http://schemas.openxmlformats.org/officeDocument/2006/math">
                  <m:r>
                    <a:rPr lang="pt-B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(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𝐶𝐺</m:t>
                          </m:r>
                        </m:sub>
                      </m:sSub>
                    </m:e>
                  </m:acc>
                  <m:r>
                    <a:rPr lang="pt-B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𝑎𝑐</m:t>
                          </m:r>
                        </m:sub>
                      </m:sSub>
                    </m:e>
                  </m:acc>
                  <m:r>
                    <a:rPr lang="pt-B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2000000}"/>
                </a:ext>
              </a:extLst>
            </xdr:cNvPr>
            <xdr:cNvSpPr txBox="1"/>
          </xdr:nvSpPr>
          <xdr:spPr>
            <a:xfrm>
              <a:off x="1504949" y="958216"/>
              <a:ext cx="1638301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</a:t>
              </a:r>
              <a:r>
                <a:rPr lang="pt-BR" sz="1100" b="0" i="0">
                  <a:latin typeface="Cambria Math"/>
                </a:rPr>
                <a:t>_(</a:t>
              </a:r>
              <a:r>
                <a:rPr lang="pt-BR" sz="1100" b="0" i="0">
                  <a:latin typeface="Cambria Math" panose="02040503050406030204" pitchFamily="18" charset="0"/>
                </a:rPr>
                <a:t>𝑚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𝛼𝑤 =</a:t>
              </a:r>
              <a:r>
                <a:rPr lang="pt-BR" sz="1100" b="0" i="0">
                  <a:latin typeface="Cambria Math"/>
                  <a:ea typeface="Cambria Math" panose="02040503050406030204" pitchFamily="18" charset="0"/>
                </a:rPr>
                <a:t>)</a:t>
              </a:r>
              <a:r>
                <a:rPr lang="pt-BR" sz="1100"/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r>
                <a:rPr lang="pt-BR" sz="1100"/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133350</xdr:colOff>
      <xdr:row>5</xdr:row>
      <xdr:rowOff>47625</xdr:rowOff>
    </xdr:from>
    <xdr:ext cx="3091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42950" y="1571625"/>
              <a:ext cx="3091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3000000}"/>
                </a:ext>
              </a:extLst>
            </xdr:cNvPr>
            <xdr:cNvSpPr txBox="1"/>
          </xdr:nvSpPr>
          <xdr:spPr>
            <a:xfrm>
              <a:off x="742950" y="1571625"/>
              <a:ext cx="3091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276224</xdr:colOff>
      <xdr:row>5</xdr:row>
      <xdr:rowOff>66676</xdr:rowOff>
    </xdr:from>
    <xdr:ext cx="323851" cy="180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457324" y="1590676"/>
              <a:ext cx="323851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𝐶𝐺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4000000}"/>
                </a:ext>
              </a:extLst>
            </xdr:cNvPr>
            <xdr:cNvSpPr txBox="1"/>
          </xdr:nvSpPr>
          <xdr:spPr>
            <a:xfrm>
              <a:off x="1457324" y="1590676"/>
              <a:ext cx="323851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304800</xdr:colOff>
      <xdr:row>5</xdr:row>
      <xdr:rowOff>85725</xdr:rowOff>
    </xdr:from>
    <xdr:ext cx="255005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354580" y="1609725"/>
              <a:ext cx="255005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5000000}"/>
                </a:ext>
              </a:extLst>
            </xdr:cNvPr>
            <xdr:cNvSpPr txBox="1"/>
          </xdr:nvSpPr>
          <xdr:spPr>
            <a:xfrm>
              <a:off x="2354580" y="1609725"/>
              <a:ext cx="255005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4</xdr:row>
      <xdr:rowOff>28576</xdr:rowOff>
    </xdr:from>
    <xdr:ext cx="3524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410200" y="1278256"/>
              <a:ext cx="352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6000000}"/>
                </a:ext>
              </a:extLst>
            </xdr:cNvPr>
            <xdr:cNvSpPr txBox="1"/>
          </xdr:nvSpPr>
          <xdr:spPr>
            <a:xfrm>
              <a:off x="5410200" y="1278256"/>
              <a:ext cx="352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409575</xdr:colOff>
      <xdr:row>3</xdr:row>
      <xdr:rowOff>85725</xdr:rowOff>
    </xdr:from>
    <xdr:ext cx="2219325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242435" y="939165"/>
              <a:ext cx="221932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𝑚𝑎𝑐𝑤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(</m:t>
                    </m:r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𝐶𝐺</m:t>
                            </m:r>
                          </m:sub>
                        </m:sSub>
                      </m:e>
                    </m:acc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</m:acc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7000000}"/>
                </a:ext>
              </a:extLst>
            </xdr:cNvPr>
            <xdr:cNvSpPr txBox="1"/>
          </xdr:nvSpPr>
          <xdr:spPr>
            <a:xfrm>
              <a:off x="4242435" y="939165"/>
              <a:ext cx="221932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𝑚0𝑤=𝐶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𝑚𝑎𝑐𝑤+𝐶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𝐿0𝑤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238188</xdr:colOff>
      <xdr:row>5</xdr:row>
      <xdr:rowOff>66675</xdr:rowOff>
    </xdr:from>
    <xdr:ext cx="390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 flipH="1">
              <a:off x="3225228" y="1590675"/>
              <a:ext cx="390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𝑚𝑎𝑐𝑤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8000000}"/>
                </a:ext>
              </a:extLst>
            </xdr:cNvPr>
            <xdr:cNvSpPr txBox="1"/>
          </xdr:nvSpPr>
          <xdr:spPr>
            <a:xfrm flipH="1">
              <a:off x="3225228" y="1590675"/>
              <a:ext cx="390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𝑚𝑎𝑐𝑤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190500</xdr:colOff>
      <xdr:row>5</xdr:row>
      <xdr:rowOff>47625</xdr:rowOff>
    </xdr:from>
    <xdr:ext cx="390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933825" y="1590675"/>
              <a:ext cx="390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3933825" y="1590675"/>
              <a:ext cx="390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𝐶_(𝐿0𝑤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47625</xdr:colOff>
      <xdr:row>4</xdr:row>
      <xdr:rowOff>38101</xdr:rowOff>
    </xdr:from>
    <xdr:ext cx="45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7202805" y="1287781"/>
              <a:ext cx="45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A000000}"/>
                </a:ext>
              </a:extLst>
            </xdr:cNvPr>
            <xdr:cNvSpPr txBox="1"/>
          </xdr:nvSpPr>
          <xdr:spPr>
            <a:xfrm>
              <a:off x="7202805" y="1287781"/>
              <a:ext cx="45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8</xdr:row>
      <xdr:rowOff>104775</xdr:rowOff>
    </xdr:from>
    <xdr:ext cx="4114800" cy="341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05350" y="2451735"/>
              <a:ext cx="4114800" cy="341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𝑚𝑎𝑐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B000000}"/>
                </a:ext>
              </a:extLst>
            </xdr:cNvPr>
            <xdr:cNvSpPr txBox="1"/>
          </xdr:nvSpPr>
          <xdr:spPr>
            <a:xfrm>
              <a:off x="4705350" y="2451735"/>
              <a:ext cx="4114800" cy="341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𝑚0𝑡=𝑉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𝐻.𝜂.𝐶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𝐿𝛼𝑡  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𝑤−𝑖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𝑡+𝜀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𝐿0𝑡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+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̅/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𝑚𝑎𝑐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8</xdr:row>
      <xdr:rowOff>104775</xdr:rowOff>
    </xdr:from>
    <xdr:ext cx="230505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238250" y="2451735"/>
              <a:ext cx="23050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C000000}"/>
                </a:ext>
              </a:extLst>
            </xdr:cNvPr>
            <xdr:cNvSpPr txBox="1"/>
          </xdr:nvSpPr>
          <xdr:spPr>
            <a:xfrm>
              <a:off x="1238250" y="2451735"/>
              <a:ext cx="230505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𝑚𝛼𝑡=−𝑉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𝐻.𝜂.𝐶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𝐿𝛼𝑡  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161060</xdr:colOff>
      <xdr:row>10</xdr:row>
      <xdr:rowOff>124691</xdr:rowOff>
    </xdr:from>
    <xdr:ext cx="2095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70660" y="3332711"/>
              <a:ext cx="209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D000000}"/>
                </a:ext>
              </a:extLst>
            </xdr:cNvPr>
            <xdr:cNvSpPr txBox="1"/>
          </xdr:nvSpPr>
          <xdr:spPr>
            <a:xfrm>
              <a:off x="770660" y="3332711"/>
              <a:ext cx="209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10</xdr:row>
      <xdr:rowOff>104776</xdr:rowOff>
    </xdr:from>
    <xdr:ext cx="383801" cy="210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19225" y="3343276"/>
              <a:ext cx="383801" cy="210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19225" y="3343276"/>
              <a:ext cx="383801" cy="210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10</xdr:row>
      <xdr:rowOff>114300</xdr:rowOff>
    </xdr:from>
    <xdr:ext cx="2732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383155" y="3322320"/>
              <a:ext cx="273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0F000000}"/>
                </a:ext>
              </a:extLst>
            </xdr:cNvPr>
            <xdr:cNvSpPr txBox="1"/>
          </xdr:nvSpPr>
          <xdr:spPr>
            <a:xfrm>
              <a:off x="2383155" y="3322320"/>
              <a:ext cx="273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314390</xdr:colOff>
      <xdr:row>10</xdr:row>
      <xdr:rowOff>38099</xdr:rowOff>
    </xdr:from>
    <xdr:ext cx="219010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flipH="1">
              <a:off x="3301430" y="3246119"/>
              <a:ext cx="21901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0000000}"/>
                </a:ext>
              </a:extLst>
            </xdr:cNvPr>
            <xdr:cNvSpPr txBox="1"/>
          </xdr:nvSpPr>
          <xdr:spPr>
            <a:xfrm flipH="1">
              <a:off x="3301430" y="3246119"/>
              <a:ext cx="21901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314325</xdr:colOff>
      <xdr:row>10</xdr:row>
      <xdr:rowOff>123825</xdr:rowOff>
    </xdr:from>
    <xdr:ext cx="1614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4147185" y="3331845"/>
              <a:ext cx="161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1000000}"/>
                </a:ext>
              </a:extLst>
            </xdr:cNvPr>
            <xdr:cNvSpPr txBox="1"/>
          </xdr:nvSpPr>
          <xdr:spPr>
            <a:xfrm>
              <a:off x="4147185" y="3331845"/>
              <a:ext cx="161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10</xdr:row>
      <xdr:rowOff>123825</xdr:rowOff>
    </xdr:from>
    <xdr:ext cx="161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4905375" y="3331845"/>
              <a:ext cx="161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2000000}"/>
                </a:ext>
              </a:extLst>
            </xdr:cNvPr>
            <xdr:cNvSpPr txBox="1"/>
          </xdr:nvSpPr>
          <xdr:spPr>
            <a:xfrm>
              <a:off x="4905375" y="3331845"/>
              <a:ext cx="161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523875</xdr:colOff>
      <xdr:row>10</xdr:row>
      <xdr:rowOff>114300</xdr:rowOff>
    </xdr:from>
    <xdr:ext cx="1333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5857875" y="3322320"/>
              <a:ext cx="133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3000000}"/>
                </a:ext>
              </a:extLst>
            </xdr:cNvPr>
            <xdr:cNvSpPr txBox="1"/>
          </xdr:nvSpPr>
          <xdr:spPr>
            <a:xfrm>
              <a:off x="5857875" y="3322320"/>
              <a:ext cx="133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123825</xdr:colOff>
      <xdr:row>9</xdr:row>
      <xdr:rowOff>57150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9565005" y="295275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4000000}"/>
                </a:ext>
              </a:extLst>
            </xdr:cNvPr>
            <xdr:cNvSpPr txBox="1"/>
          </xdr:nvSpPr>
          <xdr:spPr>
            <a:xfrm>
              <a:off x="9565005" y="295275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9</xdr:row>
      <xdr:rowOff>66675</xdr:rowOff>
    </xdr:from>
    <xdr:ext cx="300082" cy="248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0193655" y="2962275"/>
              <a:ext cx="300082" cy="248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5000000}"/>
                </a:ext>
              </a:extLst>
            </xdr:cNvPr>
            <xdr:cNvSpPr txBox="1"/>
          </xdr:nvSpPr>
          <xdr:spPr>
            <a:xfrm>
              <a:off x="10193655" y="2962275"/>
              <a:ext cx="300082" cy="248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13</xdr:row>
      <xdr:rowOff>57149</xdr:rowOff>
    </xdr:from>
    <xdr:ext cx="3077500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004310" y="4232909"/>
              <a:ext cx="307750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36,5 . 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acc>
                          <m:accPr>
                            <m:chr m:val="̅"/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acc>
                      </m:den>
                    </m:f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nary>
                      <m:naryPr>
                        <m:chr m:val="∑"/>
                        <m:limLoc m:val="undOvr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  <m:sup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</m:e>
                    </m:nary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6000000}"/>
                </a:ext>
              </a:extLst>
            </xdr:cNvPr>
            <xdr:cNvSpPr txBox="1"/>
          </xdr:nvSpPr>
          <xdr:spPr>
            <a:xfrm>
              <a:off x="4004310" y="4232909"/>
              <a:ext cx="3077500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𝑚0𝑓=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2−𝑘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36,5 . 𝑆.𝑐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 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∑1_(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)▒〖〖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 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0𝑤+𝑖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.Δ𝑥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685800</xdr:colOff>
      <xdr:row>13</xdr:row>
      <xdr:rowOff>57150</xdr:rowOff>
    </xdr:from>
    <xdr:ext cx="2496004" cy="66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81100" y="4232910"/>
              <a:ext cx="2496004" cy="66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36,5 . 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acc>
                          <m:accPr>
                            <m:chr m:val="̅"/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acc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nary>
                      <m:naryPr>
                        <m:chr m:val="∑"/>
                        <m:limLoc m:val="undOvr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</m:e>
                    </m:nary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𝜕𝛼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7000000}"/>
                </a:ext>
              </a:extLst>
            </xdr:cNvPr>
            <xdr:cNvSpPr txBox="1"/>
          </xdr:nvSpPr>
          <xdr:spPr>
            <a:xfrm>
              <a:off x="1181100" y="4232910"/>
              <a:ext cx="2496004" cy="66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36,5 .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Δ𝑥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208686</xdr:colOff>
      <xdr:row>15</xdr:row>
      <xdr:rowOff>266701</xdr:rowOff>
    </xdr:from>
    <xdr:ext cx="152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818286" y="5410201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8000000}"/>
                </a:ext>
              </a:extLst>
            </xdr:cNvPr>
            <xdr:cNvSpPr txBox="1"/>
          </xdr:nvSpPr>
          <xdr:spPr>
            <a:xfrm>
              <a:off x="818286" y="5410201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15</xdr:row>
      <xdr:rowOff>257175</xdr:rowOff>
    </xdr:from>
    <xdr:ext cx="152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524000" y="5400675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9000000}"/>
                </a:ext>
              </a:extLst>
            </xdr:cNvPr>
            <xdr:cNvSpPr txBox="1"/>
          </xdr:nvSpPr>
          <xdr:spPr>
            <a:xfrm>
              <a:off x="1524000" y="5400675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15</xdr:row>
      <xdr:rowOff>228600</xdr:rowOff>
    </xdr:from>
    <xdr:ext cx="483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278380" y="5372100"/>
              <a:ext cx="483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A000000}"/>
                </a:ext>
              </a:extLst>
            </xdr:cNvPr>
            <xdr:cNvSpPr txBox="1"/>
          </xdr:nvSpPr>
          <xdr:spPr>
            <a:xfrm>
              <a:off x="2278380" y="5372100"/>
              <a:ext cx="483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2−𝑘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209551</xdr:colOff>
      <xdr:row>15</xdr:row>
      <xdr:rowOff>85725</xdr:rowOff>
    </xdr:from>
    <xdr:ext cx="1066800" cy="666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196591" y="5229225"/>
              <a:ext cx="1066800" cy="66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</m:e>
                    </m:nary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𝜕𝛼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B000000}"/>
                </a:ext>
              </a:extLst>
            </xdr:cNvPr>
            <xdr:cNvSpPr txBox="1"/>
          </xdr:nvSpPr>
          <xdr:spPr>
            <a:xfrm>
              <a:off x="3196591" y="5229225"/>
              <a:ext cx="1066800" cy="66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Δ𝑥</a:t>
              </a: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514350</xdr:colOff>
      <xdr:row>15</xdr:row>
      <xdr:rowOff>85725</xdr:rowOff>
    </xdr:from>
    <xdr:ext cx="1400176" cy="666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5162550" y="5229225"/>
              <a:ext cx="1400176" cy="66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  <m:sup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</m:e>
                    </m:nary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C000000}"/>
                </a:ext>
              </a:extLst>
            </xdr:cNvPr>
            <xdr:cNvSpPr txBox="1"/>
          </xdr:nvSpPr>
          <xdr:spPr>
            <a:xfrm>
              <a:off x="5162550" y="5229225"/>
              <a:ext cx="1400176" cy="66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∑1_(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)▒〖〖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 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0𝑤+𝑖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.Δ𝑥</a:t>
              </a: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133350</xdr:colOff>
      <xdr:row>14</xdr:row>
      <xdr:rowOff>69695</xdr:rowOff>
    </xdr:from>
    <xdr:ext cx="321306" cy="201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7288530" y="4862675"/>
              <a:ext cx="321306" cy="201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D000000}"/>
                </a:ext>
              </a:extLst>
            </xdr:cNvPr>
            <xdr:cNvSpPr txBox="1"/>
          </xdr:nvSpPr>
          <xdr:spPr>
            <a:xfrm>
              <a:off x="7288530" y="4862675"/>
              <a:ext cx="321306" cy="201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76200</xdr:colOff>
      <xdr:row>14</xdr:row>
      <xdr:rowOff>85725</xdr:rowOff>
    </xdr:from>
    <xdr:ext cx="316562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7909560" y="4878705"/>
              <a:ext cx="316562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E000000}"/>
                </a:ext>
              </a:extLst>
            </xdr:cNvPr>
            <xdr:cNvSpPr txBox="1"/>
          </xdr:nvSpPr>
          <xdr:spPr>
            <a:xfrm>
              <a:off x="7909560" y="4878705"/>
              <a:ext cx="316562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𝑚0𝑓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466725</xdr:colOff>
      <xdr:row>18</xdr:row>
      <xdr:rowOff>104775</xdr:rowOff>
    </xdr:from>
    <xdr:ext cx="210502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114925" y="6551295"/>
              <a:ext cx="21050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1F000000}"/>
                </a:ext>
              </a:extLst>
            </xdr:cNvPr>
            <xdr:cNvSpPr txBox="1"/>
          </xdr:nvSpPr>
          <xdr:spPr>
            <a:xfrm>
              <a:off x="5114925" y="6551295"/>
              <a:ext cx="210502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𝑚0= 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𝑚0𝑤+𝐶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𝑚0𝑡+𝐶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𝑚0𝑓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619125</xdr:colOff>
      <xdr:row>18</xdr:row>
      <xdr:rowOff>95250</xdr:rowOff>
    </xdr:from>
    <xdr:ext cx="2013821" cy="3578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183005" y="6541770"/>
              <a:ext cx="2013821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0000000}"/>
                </a:ext>
              </a:extLst>
            </xdr:cNvPr>
            <xdr:cNvSpPr txBox="1"/>
          </xdr:nvSpPr>
          <xdr:spPr>
            <a:xfrm>
              <a:off x="1183005" y="6541770"/>
              <a:ext cx="2013821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𝑚𝛼𝑤+𝐶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𝑚𝛼𝑡+𝐶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  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333376</xdr:colOff>
      <xdr:row>19</xdr:row>
      <xdr:rowOff>76200</xdr:rowOff>
    </xdr:from>
    <xdr:ext cx="3984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2383156" y="6888480"/>
              <a:ext cx="398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1000000}"/>
                </a:ext>
              </a:extLst>
            </xdr:cNvPr>
            <xdr:cNvSpPr txBox="1"/>
          </xdr:nvSpPr>
          <xdr:spPr>
            <a:xfrm>
              <a:off x="2383156" y="6888480"/>
              <a:ext cx="398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8</xdr:col>
      <xdr:colOff>57150</xdr:colOff>
      <xdr:row>19</xdr:row>
      <xdr:rowOff>66675</xdr:rowOff>
    </xdr:from>
    <xdr:ext cx="326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6602730" y="6878955"/>
              <a:ext cx="326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2000000}"/>
                </a:ext>
              </a:extLst>
            </xdr:cNvPr>
            <xdr:cNvSpPr txBox="1"/>
          </xdr:nvSpPr>
          <xdr:spPr>
            <a:xfrm>
              <a:off x="6602730" y="6878955"/>
              <a:ext cx="326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34</xdr:col>
      <xdr:colOff>104775</xdr:colOff>
      <xdr:row>1</xdr:row>
      <xdr:rowOff>257175</xdr:rowOff>
    </xdr:from>
    <xdr:ext cx="838200" cy="400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25936575" y="440055"/>
              <a:ext cx="838200" cy="40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𝜕𝛼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3000000}"/>
                </a:ext>
              </a:extLst>
            </xdr:cNvPr>
            <xdr:cNvSpPr txBox="1"/>
          </xdr:nvSpPr>
          <xdr:spPr>
            <a:xfrm>
              <a:off x="25936575" y="440055"/>
              <a:ext cx="838200" cy="40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Δ𝑥</a:t>
              </a: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26</xdr:col>
      <xdr:colOff>652065</xdr:colOff>
      <xdr:row>2</xdr:row>
      <xdr:rowOff>105172</xdr:rowOff>
    </xdr:from>
    <xdr:ext cx="536622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20273565" y="569992"/>
              <a:ext cx="536622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4000000}"/>
                </a:ext>
              </a:extLst>
            </xdr:cNvPr>
            <xdr:cNvSpPr txBox="1"/>
          </xdr:nvSpPr>
          <xdr:spPr>
            <a:xfrm>
              <a:off x="20273565" y="569992"/>
              <a:ext cx="536622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0𝑤+𝑖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25</xdr:col>
      <xdr:colOff>228600</xdr:colOff>
      <xdr:row>2</xdr:row>
      <xdr:rowOff>104775</xdr:rowOff>
    </xdr:from>
    <xdr:ext cx="196849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9240500" y="569595"/>
              <a:ext cx="19684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5000000}"/>
                </a:ext>
              </a:extLst>
            </xdr:cNvPr>
            <xdr:cNvSpPr txBox="1"/>
          </xdr:nvSpPr>
          <xdr:spPr>
            <a:xfrm>
              <a:off x="19240500" y="569595"/>
              <a:ext cx="19684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190500</xdr:colOff>
      <xdr:row>2</xdr:row>
      <xdr:rowOff>104775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8699480" y="569595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</xdr:txBody>
        </xdr:sp>
      </mc:Choice>
      <mc:Fallback xmlns="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6000000}"/>
                </a:ext>
              </a:extLst>
            </xdr:cNvPr>
            <xdr:cNvSpPr txBox="1"/>
          </xdr:nvSpPr>
          <xdr:spPr>
            <a:xfrm>
              <a:off x="18699480" y="569595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Δ𝑥</a:t>
              </a:r>
              <a:endParaRPr lang="pt-BR">
                <a:effectLst/>
              </a:endParaRPr>
            </a:p>
          </xdr:txBody>
        </xdr:sp>
      </mc:Fallback>
    </mc:AlternateContent>
    <xdr:clientData/>
  </xdr:oneCellAnchor>
  <xdr:oneCellAnchor>
    <xdr:from>
      <xdr:col>30</xdr:col>
      <xdr:colOff>219075</xdr:colOff>
      <xdr:row>2</xdr:row>
      <xdr:rowOff>104775</xdr:rowOff>
    </xdr:from>
    <xdr:ext cx="1953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3612475" y="569595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</xdr:txBody>
        </xdr:sp>
      </mc:Choice>
      <mc:Fallback xmlns="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7000000}"/>
                </a:ext>
              </a:extLst>
            </xdr:cNvPr>
            <xdr:cNvSpPr txBox="1"/>
          </xdr:nvSpPr>
          <xdr:spPr>
            <a:xfrm>
              <a:off x="23612475" y="569595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Δ𝑥</a:t>
              </a:r>
              <a:endParaRPr lang="pt-BR">
                <a:effectLst/>
              </a:endParaRPr>
            </a:p>
          </xdr:txBody>
        </xdr:sp>
      </mc:Fallback>
    </mc:AlternateContent>
    <xdr:clientData/>
  </xdr:oneCellAnchor>
  <xdr:oneCellAnchor>
    <xdr:from>
      <xdr:col>31</xdr:col>
      <xdr:colOff>209550</xdr:colOff>
      <xdr:row>2</xdr:row>
      <xdr:rowOff>95250</xdr:rowOff>
    </xdr:from>
    <xdr:ext cx="196849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24212550" y="560070"/>
              <a:ext cx="19684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</xdr:txBody>
        </xdr:sp>
      </mc:Choice>
      <mc:Fallback xmlns="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8000000}"/>
                </a:ext>
              </a:extLst>
            </xdr:cNvPr>
            <xdr:cNvSpPr txBox="1"/>
          </xdr:nvSpPr>
          <xdr:spPr>
            <a:xfrm>
              <a:off x="24212550" y="560070"/>
              <a:ext cx="19684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endParaRPr lang="pt-BR">
                <a:effectLst/>
              </a:endParaRPr>
            </a:p>
          </xdr:txBody>
        </xdr:sp>
      </mc:Fallback>
    </mc:AlternateContent>
    <xdr:clientData/>
  </xdr:oneCellAnchor>
  <xdr:oneCellAnchor>
    <xdr:from>
      <xdr:col>32</xdr:col>
      <xdr:colOff>276225</xdr:colOff>
      <xdr:row>2</xdr:row>
      <xdr:rowOff>95250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24888825" y="560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9000000}"/>
                </a:ext>
              </a:extLst>
            </xdr:cNvPr>
            <xdr:cNvSpPr txBox="1"/>
          </xdr:nvSpPr>
          <xdr:spPr>
            <a:xfrm>
              <a:off x="24888825" y="560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33</xdr:col>
      <xdr:colOff>190500</xdr:colOff>
      <xdr:row>2</xdr:row>
      <xdr:rowOff>19050</xdr:rowOff>
    </xdr:from>
    <xdr:ext cx="25006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25412700" y="483870"/>
              <a:ext cx="25006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𝜕𝛼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A000000}"/>
                </a:ext>
              </a:extLst>
            </xdr:cNvPr>
            <xdr:cNvSpPr txBox="1"/>
          </xdr:nvSpPr>
          <xdr:spPr>
            <a:xfrm>
              <a:off x="25412700" y="483870"/>
              <a:ext cx="25006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𝜕𝛼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26590</xdr:colOff>
      <xdr:row>2</xdr:row>
      <xdr:rowOff>75406</xdr:rowOff>
    </xdr:from>
    <xdr:ext cx="1183466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21591190" y="540226"/>
              <a:ext cx="1183466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  <m:sup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B000000}"/>
                </a:ext>
              </a:extLst>
            </xdr:cNvPr>
            <xdr:cNvSpPr txBox="1"/>
          </xdr:nvSpPr>
          <xdr:spPr>
            <a:xfrm>
              <a:off x="21591190" y="540226"/>
              <a:ext cx="1183466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0𝑤+𝑖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.Δ𝑥</a:t>
              </a: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29</xdr:col>
      <xdr:colOff>150416</xdr:colOff>
      <xdr:row>32</xdr:row>
      <xdr:rowOff>140890</xdr:rowOff>
    </xdr:from>
    <xdr:ext cx="333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22934216" y="11067970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𝑟𝑒</m:t>
                      </m:r>
                    </m:sub>
                  </m:sSub>
                </m:oMath>
              </a14:m>
              <a:r>
                <a:rPr lang="pt-BR" sz="1100"/>
                <a:t> =</a:t>
              </a:r>
            </a:p>
          </xdr:txBody>
        </xdr:sp>
      </mc:Choice>
      <mc:Fallback xmlns="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C000000}"/>
                </a:ext>
              </a:extLst>
            </xdr:cNvPr>
            <xdr:cNvSpPr txBox="1"/>
          </xdr:nvSpPr>
          <xdr:spPr>
            <a:xfrm>
              <a:off x="22934216" y="11067970"/>
              <a:ext cx="333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</a:t>
              </a:r>
              <a:r>
                <a:rPr lang="pt-BR" sz="1100" b="0" i="0">
                  <a:latin typeface="Cambria Math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</a:rPr>
                <a:t>𝑟𝑒</a:t>
              </a:r>
              <a:r>
                <a:rPr lang="pt-BR" sz="1100"/>
                <a:t> =</a:t>
              </a:r>
            </a:p>
          </xdr:txBody>
        </xdr:sp>
      </mc:Fallback>
    </mc:AlternateContent>
    <xdr:clientData/>
  </xdr:oneCellAnchor>
  <xdr:oneCellAnchor>
    <xdr:from>
      <xdr:col>31</xdr:col>
      <xdr:colOff>246460</xdr:colOff>
      <xdr:row>32</xdr:row>
      <xdr:rowOff>101202</xdr:rowOff>
    </xdr:from>
    <xdr:ext cx="219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24249460" y="11028282"/>
              <a:ext cx="219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𝑙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</m:oMath>
              </a14:m>
              <a:r>
                <a:rPr lang="pt-BR" sz="1100"/>
                <a:t> =</a:t>
              </a:r>
            </a:p>
          </xdr:txBody>
        </xdr:sp>
      </mc:Choice>
      <mc:Fallback xmlns="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D000000}"/>
                </a:ext>
              </a:extLst>
            </xdr:cNvPr>
            <xdr:cNvSpPr txBox="1"/>
          </xdr:nvSpPr>
          <xdr:spPr>
            <a:xfrm>
              <a:off x="24249460" y="11028282"/>
              <a:ext cx="219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𝑙</a:t>
              </a:r>
              <a:r>
                <a:rPr lang="pt-BR" sz="1100" b="0" i="0">
                  <a:latin typeface="Cambria Math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</a:rPr>
                <a:t>ℎ</a:t>
              </a:r>
              <a:r>
                <a:rPr lang="pt-BR" sz="1100"/>
                <a:t> =</a:t>
              </a:r>
            </a:p>
          </xdr:txBody>
        </xdr:sp>
      </mc:Fallback>
    </mc:AlternateContent>
    <xdr:clientData/>
  </xdr:oneCellAnchor>
  <xdr:oneCellAnchor>
    <xdr:from>
      <xdr:col>3</xdr:col>
      <xdr:colOff>771525</xdr:colOff>
      <xdr:row>28</xdr:row>
      <xdr:rowOff>123825</xdr:rowOff>
    </xdr:from>
    <xdr:ext cx="23812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2821305" y="1007554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r>
                      <m:rPr>
                        <m:sty m:val="p"/>
                      </m:rPr>
                      <a:rPr lang="el-G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E000000}"/>
                </a:ext>
              </a:extLst>
            </xdr:cNvPr>
            <xdr:cNvSpPr txBox="1"/>
          </xdr:nvSpPr>
          <xdr:spPr>
            <a:xfrm>
              <a:off x="2821305" y="1007554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𝑚0𝑤+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 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.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2</xdr:col>
      <xdr:colOff>66675</xdr:colOff>
      <xdr:row>29</xdr:row>
      <xdr:rowOff>0</xdr:rowOff>
    </xdr:from>
    <xdr:ext cx="6858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1247775" y="103784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F000000}"/>
                </a:ext>
              </a:extLst>
            </xdr:cNvPr>
            <xdr:cNvSpPr txBox="1"/>
          </xdr:nvSpPr>
          <xdr:spPr>
            <a:xfrm>
              <a:off x="1247775" y="103784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endParaRPr lang="pt-BR" sz="1200"/>
            </a:p>
          </xdr:txBody>
        </xdr:sp>
      </mc:Fallback>
    </mc:AlternateContent>
    <xdr:clientData/>
  </xdr:oneCellAnchor>
  <xdr:twoCellAnchor>
    <xdr:from>
      <xdr:col>3</xdr:col>
      <xdr:colOff>9524</xdr:colOff>
      <xdr:row>29</xdr:row>
      <xdr:rowOff>9524</xdr:rowOff>
    </xdr:from>
    <xdr:to>
      <xdr:col>8</xdr:col>
      <xdr:colOff>581024</xdr:colOff>
      <xdr:row>45</xdr:row>
      <xdr:rowOff>57149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771525</xdr:colOff>
      <xdr:row>28</xdr:row>
      <xdr:rowOff>123825</xdr:rowOff>
    </xdr:from>
    <xdr:ext cx="23812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10052685" y="1007554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r>
                      <m:rPr>
                        <m:sty m:val="p"/>
                      </m:rPr>
                      <a:rPr lang="el-G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1000000}"/>
                </a:ext>
              </a:extLst>
            </xdr:cNvPr>
            <xdr:cNvSpPr txBox="1"/>
          </xdr:nvSpPr>
          <xdr:spPr>
            <a:xfrm>
              <a:off x="10052685" y="1007554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𝑚0𝑡+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.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11</xdr:col>
      <xdr:colOff>66675</xdr:colOff>
      <xdr:row>29</xdr:row>
      <xdr:rowOff>0</xdr:rowOff>
    </xdr:from>
    <xdr:ext cx="6858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8692515" y="103784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2000000}"/>
                </a:ext>
              </a:extLst>
            </xdr:cNvPr>
            <xdr:cNvSpPr txBox="1"/>
          </xdr:nvSpPr>
          <xdr:spPr>
            <a:xfrm>
              <a:off x="8692515" y="103784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200"/>
            </a:p>
          </xdr:txBody>
        </xdr:sp>
      </mc:Fallback>
    </mc:AlternateContent>
    <xdr:clientData/>
  </xdr:oneCellAnchor>
  <xdr:twoCellAnchor>
    <xdr:from>
      <xdr:col>12</xdr:col>
      <xdr:colOff>23811</xdr:colOff>
      <xdr:row>29</xdr:row>
      <xdr:rowOff>9525</xdr:rowOff>
    </xdr:from>
    <xdr:to>
      <xdr:col>17</xdr:col>
      <xdr:colOff>1571624</xdr:colOff>
      <xdr:row>44</xdr:row>
      <xdr:rowOff>66675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424153</xdr:colOff>
      <xdr:row>23</xdr:row>
      <xdr:rowOff>244107</xdr:rowOff>
    </xdr:from>
    <xdr:ext cx="1664300" cy="2945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1033753" y="8260347"/>
              <a:ext cx="1664300" cy="294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𝑃𝑁</m:t>
                          </m:r>
                        </m:sub>
                      </m:sSub>
                    </m:e>
                  </m:acc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𝑎𝑐</m:t>
                          </m:r>
                        </m:sub>
                      </m:sSub>
                    </m:e>
                  </m:acc>
                </m:oMath>
              </a14:m>
              <a:r>
                <a:rPr lang="pt-BR">
                  <a:effectLst/>
                </a:rPr>
                <a:t> - </a:t>
              </a:r>
              <a14:m>
                <m:oMath xmlns:m="http://schemas.openxmlformats.org/officeDocument/2006/math">
                  <m:f>
                    <m:fPr>
                      <m:ctrlPr>
                        <a:rPr lang="pt-BR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sub>
                      </m:sSub>
                      <m:r>
                        <m:rPr>
                          <m:nor/>
                        </m:rPr>
                        <a:rPr lang="pt-BR">
                          <a:effectLst/>
                        </a:rPr>
                        <m:t> </m:t>
                      </m:r>
                    </m:num>
                    <m:den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sub>
                      </m:sSub>
                    </m:den>
                  </m:f>
                </m:oMath>
              </a14:m>
              <a:r>
                <a:rPr lang="pt-BR">
                  <a:effectLst/>
                </a:rPr>
                <a:t> - </a:t>
              </a:r>
              <a14:m>
                <m:oMath xmlns:m="http://schemas.openxmlformats.org/officeDocument/2006/math">
                  <m:f>
                    <m:fPr>
                      <m:ctrlPr>
                        <a:rPr lang="pt-BR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</m:sub>
                      </m:sSub>
                    </m:den>
                  </m:f>
                </m:oMath>
              </a14:m>
              <a:endParaRPr lang="pt-B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>
                <a:effectLst/>
              </a:endParaRPr>
            </a:p>
            <a:p>
              <a:endParaRPr lang="pt-BR" sz="1100"/>
            </a:p>
          </xdr:txBody>
        </xdr:sp>
      </mc:Choice>
      <mc:Fallback xmlns=""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4000000}"/>
                </a:ext>
              </a:extLst>
            </xdr:cNvPr>
            <xdr:cNvSpPr txBox="1"/>
          </xdr:nvSpPr>
          <xdr:spPr>
            <a:xfrm>
              <a:off x="1033753" y="8260347"/>
              <a:ext cx="1664300" cy="2945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𝑃𝑁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>
                  <a:effectLst/>
                </a:rPr>
                <a:t> - </a:t>
              </a:r>
              <a:r>
                <a:rPr lang="pt-BR" i="0">
                  <a:effectLst/>
                  <a:latin typeface="Cambria Math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 "</a:t>
              </a:r>
              <a:r>
                <a:rPr lang="pt-BR" i="0">
                  <a:effectLst/>
                </a:rPr>
                <a:t> </a:t>
              </a:r>
              <a:r>
                <a:rPr lang="pt-BR" i="0">
                  <a:effectLst/>
                  <a:latin typeface="Cambria Math"/>
                </a:rPr>
                <a:t>" )/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pt-BR">
                  <a:effectLst/>
                </a:rPr>
                <a:t> -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𝑚𝛼𝑡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pt-B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>
                <a:effectLst/>
              </a:endParaRPr>
            </a:p>
            <a:p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690591</xdr:colOff>
      <xdr:row>23</xdr:row>
      <xdr:rowOff>251002</xdr:rowOff>
    </xdr:from>
    <xdr:ext cx="979564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3677631" y="8267242"/>
              <a:ext cx="97956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𝑀𝐸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𝑃𝑁</m:t>
                          </m:r>
                        </m:sub>
                      </m:sSub>
                    </m:e>
                  </m:acc>
                </m:oMath>
              </a14:m>
              <a:r>
                <a:rPr lang="pt-BR" sz="1100"/>
                <a:t> -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𝐶𝐺</m:t>
                          </m:r>
                        </m:sub>
                      </m:sSub>
                    </m:e>
                  </m:acc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5000000}"/>
                </a:ext>
              </a:extLst>
            </xdr:cNvPr>
            <xdr:cNvSpPr txBox="1"/>
          </xdr:nvSpPr>
          <xdr:spPr>
            <a:xfrm>
              <a:off x="3677631" y="8267242"/>
              <a:ext cx="97956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𝑀𝐸=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𝑃𝑁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/>
                <a:t> -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506915</xdr:colOff>
      <xdr:row>24</xdr:row>
      <xdr:rowOff>121777</xdr:rowOff>
    </xdr:from>
    <xdr:ext cx="262764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1688015" y="8877157"/>
              <a:ext cx="26276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𝑃𝑁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6000000}"/>
                </a:ext>
              </a:extLst>
            </xdr:cNvPr>
            <xdr:cNvSpPr txBox="1"/>
          </xdr:nvSpPr>
          <xdr:spPr>
            <a:xfrm>
              <a:off x="1688015" y="8877157"/>
              <a:ext cx="26276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𝑃𝑁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243017</xdr:colOff>
      <xdr:row>24</xdr:row>
      <xdr:rowOff>181308</xdr:rowOff>
    </xdr:from>
    <xdr:ext cx="2455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4075877" y="8936688"/>
              <a:ext cx="245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𝑀𝐸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7000000}"/>
                </a:ext>
              </a:extLst>
            </xdr:cNvPr>
            <xdr:cNvSpPr txBox="1"/>
          </xdr:nvSpPr>
          <xdr:spPr>
            <a:xfrm>
              <a:off x="4075877" y="8936688"/>
              <a:ext cx="2455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𝑀𝐸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239751</xdr:colOff>
      <xdr:row>20</xdr:row>
      <xdr:rowOff>19050</xdr:rowOff>
    </xdr:from>
    <xdr:ext cx="2728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8865591" y="7151370"/>
              <a:ext cx="2728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8000000}"/>
                </a:ext>
              </a:extLst>
            </xdr:cNvPr>
            <xdr:cNvSpPr txBox="1"/>
          </xdr:nvSpPr>
          <xdr:spPr>
            <a:xfrm>
              <a:off x="8865591" y="7151370"/>
              <a:ext cx="2728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3</xdr:col>
      <xdr:colOff>901188</xdr:colOff>
      <xdr:row>60</xdr:row>
      <xdr:rowOff>34720</xdr:rowOff>
    </xdr:from>
    <xdr:ext cx="238125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2950968" y="16303420"/>
              <a:ext cx="238125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r>
                      <m:rPr>
                        <m:sty m:val="p"/>
                      </m:rPr>
                      <a:rPr lang="el-G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9000000}"/>
                </a:ext>
              </a:extLst>
            </xdr:cNvPr>
            <xdr:cNvSpPr txBox="1"/>
          </xdr:nvSpPr>
          <xdr:spPr>
            <a:xfrm>
              <a:off x="2950968" y="16303420"/>
              <a:ext cx="238125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𝑚0𝑓+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 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.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2</xdr:col>
      <xdr:colOff>97401</xdr:colOff>
      <xdr:row>60</xdr:row>
      <xdr:rowOff>262399</xdr:rowOff>
    </xdr:from>
    <xdr:ext cx="6858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1278501" y="16531099"/>
              <a:ext cx="6858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A000000}"/>
                </a:ext>
              </a:extLst>
            </xdr:cNvPr>
            <xdr:cNvSpPr txBox="1"/>
          </xdr:nvSpPr>
          <xdr:spPr>
            <a:xfrm>
              <a:off x="1278501" y="16531099"/>
              <a:ext cx="6858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endParaRPr lang="pt-BR" sz="1200"/>
            </a:p>
          </xdr:txBody>
        </xdr:sp>
      </mc:Fallback>
    </mc:AlternateContent>
    <xdr:clientData/>
  </xdr:oneCellAnchor>
  <xdr:twoCellAnchor>
    <xdr:from>
      <xdr:col>3</xdr:col>
      <xdr:colOff>16130</xdr:colOff>
      <xdr:row>61</xdr:row>
      <xdr:rowOff>11368</xdr:rowOff>
    </xdr:from>
    <xdr:to>
      <xdr:col>8</xdr:col>
      <xdr:colOff>601918</xdr:colOff>
      <xdr:row>77</xdr:row>
      <xdr:rowOff>180975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581619</xdr:colOff>
      <xdr:row>23</xdr:row>
      <xdr:rowOff>105371</xdr:rowOff>
    </xdr:from>
    <xdr:ext cx="5011372" cy="588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9207459" y="8121611"/>
              <a:ext cx="5011372" cy="588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𝑀𝐸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</m:acc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d>
                      <m:dPr>
                        <m:begChr m:val="["/>
                        <m:endChr m:val="]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2,42</m:t>
                            </m:r>
                            <m:rad>
                              <m:radPr>
                                <m:degHide m:val="on"/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rad>
                          </m:num>
                          <m:den>
                            <m:f>
                              <m:f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num>
                              <m:den>
                                <m:acc>
                                  <m:accPr>
                                    <m:chr m:val="̅"/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</m:acc>
                              </m:den>
                            </m:f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acc>
                              <m:accPr>
                                <m:chr m:val="̅"/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𝐶𝐺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den>
                        </m:f>
                      </m:e>
                    </m:d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d>
                      <m:d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num>
                          <m:den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den>
                        </m:f>
                      </m:e>
                    </m:d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𝐶𝐺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C000000}"/>
                </a:ext>
              </a:extLst>
            </xdr:cNvPr>
            <xdr:cNvSpPr txBox="1"/>
          </xdr:nvSpPr>
          <xdr:spPr>
            <a:xfrm>
              <a:off x="9207459" y="8121611"/>
              <a:ext cx="5011372" cy="588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𝑀𝐸=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2,42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𝐷0𝑤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))/(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)]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𝐻.𝐶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𝐿𝛼𝑡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1−𝑑𝜀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173831</xdr:colOff>
      <xdr:row>24</xdr:row>
      <xdr:rowOff>126206</xdr:rowOff>
    </xdr:from>
    <xdr:ext cx="223972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7329011" y="8881586"/>
              <a:ext cx="223972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D000000}"/>
                </a:ext>
              </a:extLst>
            </xdr:cNvPr>
            <xdr:cNvSpPr txBox="1"/>
          </xdr:nvSpPr>
          <xdr:spPr>
            <a:xfrm>
              <a:off x="7329011" y="8881586"/>
              <a:ext cx="223972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113313</xdr:colOff>
      <xdr:row>24</xdr:row>
      <xdr:rowOff>115577</xdr:rowOff>
    </xdr:from>
    <xdr:ext cx="321306" cy="201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7946673" y="8870957"/>
              <a:ext cx="321306" cy="201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E000000}"/>
                </a:ext>
              </a:extLst>
            </xdr:cNvPr>
            <xdr:cNvSpPr txBox="1"/>
          </xdr:nvSpPr>
          <xdr:spPr>
            <a:xfrm>
              <a:off x="7946673" y="8870957"/>
              <a:ext cx="321306" cy="201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𝑚𝛼𝑓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226219</xdr:colOff>
      <xdr:row>24</xdr:row>
      <xdr:rowOff>107157</xdr:rowOff>
    </xdr:from>
    <xdr:ext cx="3091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8852059" y="8862537"/>
              <a:ext cx="3091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3F000000}"/>
                </a:ext>
              </a:extLst>
            </xdr:cNvPr>
            <xdr:cNvSpPr txBox="1"/>
          </xdr:nvSpPr>
          <xdr:spPr>
            <a:xfrm>
              <a:off x="8852059" y="8862537"/>
              <a:ext cx="3091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𝐿𝛼𝑤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66675</xdr:colOff>
      <xdr:row>24</xdr:row>
      <xdr:rowOff>90487</xdr:rowOff>
    </xdr:from>
    <xdr:ext cx="438582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9507855" y="8845867"/>
              <a:ext cx="4385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0000000}"/>
                </a:ext>
              </a:extLst>
            </xdr:cNvPr>
            <xdr:cNvSpPr txBox="1"/>
          </xdr:nvSpPr>
          <xdr:spPr>
            <a:xfrm>
              <a:off x="9507855" y="8845867"/>
              <a:ext cx="438582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𝐷0𝑤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233363</xdr:colOff>
      <xdr:row>24</xdr:row>
      <xdr:rowOff>126205</xdr:rowOff>
    </xdr:from>
    <xdr:ext cx="130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10893743" y="8881585"/>
              <a:ext cx="13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1000000}"/>
                </a:ext>
              </a:extLst>
            </xdr:cNvPr>
            <xdr:cNvSpPr txBox="1"/>
          </xdr:nvSpPr>
          <xdr:spPr>
            <a:xfrm>
              <a:off x="10893743" y="8881585"/>
              <a:ext cx="13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226218</xdr:colOff>
      <xdr:row>24</xdr:row>
      <xdr:rowOff>130969</xdr:rowOff>
    </xdr:from>
    <xdr:ext cx="152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>
              <a:off x="10276998" y="8886349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2000000}"/>
                </a:ext>
              </a:extLst>
            </xdr:cNvPr>
            <xdr:cNvSpPr txBox="1"/>
          </xdr:nvSpPr>
          <xdr:spPr>
            <a:xfrm>
              <a:off x="10276998" y="8886349"/>
              <a:ext cx="152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226219</xdr:colOff>
      <xdr:row>24</xdr:row>
      <xdr:rowOff>142875</xdr:rowOff>
    </xdr:from>
    <xdr:ext cx="2095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 txBox="1"/>
          </xdr:nvSpPr>
          <xdr:spPr>
            <a:xfrm>
              <a:off x="11541919" y="8898255"/>
              <a:ext cx="209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3000000}"/>
                </a:ext>
              </a:extLst>
            </xdr:cNvPr>
            <xdr:cNvSpPr txBox="1"/>
          </xdr:nvSpPr>
          <xdr:spPr>
            <a:xfrm>
              <a:off x="11541919" y="8898255"/>
              <a:ext cx="209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245268</xdr:colOff>
      <xdr:row>24</xdr:row>
      <xdr:rowOff>114300</xdr:rowOff>
    </xdr:from>
    <xdr:ext cx="2732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2292488" y="8869680"/>
              <a:ext cx="273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4000000}"/>
                </a:ext>
              </a:extLst>
            </xdr:cNvPr>
            <xdr:cNvSpPr txBox="1"/>
          </xdr:nvSpPr>
          <xdr:spPr>
            <a:xfrm>
              <a:off x="12292488" y="8869680"/>
              <a:ext cx="273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𝐿𝛼𝑡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704476</xdr:colOff>
      <xdr:row>24</xdr:row>
      <xdr:rowOff>81684</xdr:rowOff>
    </xdr:from>
    <xdr:ext cx="219010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aixaDeText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 flipH="1">
              <a:off x="13551796" y="8837064"/>
              <a:ext cx="21901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9" name="CaixaDeTexto 68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5000000}"/>
                </a:ext>
              </a:extLst>
            </xdr:cNvPr>
            <xdr:cNvSpPr txBox="1"/>
          </xdr:nvSpPr>
          <xdr:spPr>
            <a:xfrm flipH="1">
              <a:off x="13551796" y="8837064"/>
              <a:ext cx="219010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18</xdr:col>
      <xdr:colOff>289760</xdr:colOff>
      <xdr:row>24</xdr:row>
      <xdr:rowOff>86101</xdr:rowOff>
    </xdr:from>
    <xdr:ext cx="760465" cy="351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aixaDeTexto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 txBox="1"/>
          </xdr:nvSpPr>
          <xdr:spPr>
            <a:xfrm>
              <a:off x="14760140" y="8841481"/>
              <a:ext cx="760465" cy="35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t-B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𝑀𝐸</m:t>
                  </m:r>
                </m:oMath>
              </a14:m>
              <a:r>
                <a:rPr lang="pt-BR">
                  <a:effectLst/>
                </a:rPr>
                <a:t> =</a:t>
              </a:r>
              <a14:m>
                <m:oMath xmlns:m="http://schemas.openxmlformats.org/officeDocument/2006/math">
                  <m:r>
                    <a:rPr lang="pt-B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acc>
                    <m:accPr>
                      <m:chr m:val="̅"/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𝐶𝐺</m:t>
                          </m:r>
                        </m:sub>
                      </m:sSub>
                    </m:e>
                  </m:acc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pt-B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>
                <a:effectLst/>
              </a:endParaRPr>
            </a:p>
          </xdr:txBody>
        </xdr:sp>
      </mc:Choice>
      <mc:Fallback xmlns="">
        <xdr:sp macro="" textlink="">
          <xdr:nvSpPr>
            <xdr:cNvPr id="70" name="CaixaDeTexto 69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6000000}"/>
                </a:ext>
              </a:extLst>
            </xdr:cNvPr>
            <xdr:cNvSpPr txBox="1"/>
          </xdr:nvSpPr>
          <xdr:spPr>
            <a:xfrm>
              <a:off x="14760140" y="8841481"/>
              <a:ext cx="760465" cy="35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𝑀𝐸</a:t>
              </a:r>
              <a:r>
                <a:rPr lang="pt-BR">
                  <a:effectLst/>
                </a:rPr>
                <a:t> 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𝑓(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>
                <a:effectLst/>
              </a:endParaRPr>
            </a:p>
          </xdr:txBody>
        </xdr:sp>
      </mc:Fallback>
    </mc:AlternateContent>
    <xdr:clientData/>
  </xdr:oneCellAnchor>
  <xdr:oneCellAnchor>
    <xdr:from>
      <xdr:col>20</xdr:col>
      <xdr:colOff>245268</xdr:colOff>
      <xdr:row>24</xdr:row>
      <xdr:rowOff>126204</xdr:rowOff>
    </xdr:from>
    <xdr:ext cx="246734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>
              <a:off x="15934848" y="8881584"/>
              <a:ext cx="24673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𝐶𝐺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7000000}"/>
                </a:ext>
              </a:extLst>
            </xdr:cNvPr>
            <xdr:cNvSpPr txBox="1"/>
          </xdr:nvSpPr>
          <xdr:spPr>
            <a:xfrm>
              <a:off x="15934848" y="8881584"/>
              <a:ext cx="246734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𝐶𝐺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8</xdr:col>
      <xdr:colOff>161925</xdr:colOff>
      <xdr:row>10</xdr:row>
      <xdr:rowOff>114300</xdr:rowOff>
    </xdr:from>
    <xdr:ext cx="277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6707505" y="3322320"/>
              <a:ext cx="277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8000000}"/>
                </a:ext>
              </a:extLst>
            </xdr:cNvPr>
            <xdr:cNvSpPr txBox="1"/>
          </xdr:nvSpPr>
          <xdr:spPr>
            <a:xfrm>
              <a:off x="6707505" y="3322320"/>
              <a:ext cx="277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60</xdr:row>
      <xdr:rowOff>28575</xdr:rowOff>
    </xdr:from>
    <xdr:ext cx="238125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10050780" y="1629727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B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t-B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</m:t>
                    </m:r>
                    <m:r>
                      <m:rPr>
                        <m:sty m:val="p"/>
                      </m:rPr>
                      <a:rPr lang="el-GR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α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9000000}"/>
                </a:ext>
              </a:extLst>
            </xdr:cNvPr>
            <xdr:cNvSpPr txBox="1"/>
          </xdr:nvSpPr>
          <xdr:spPr>
            <a:xfrm>
              <a:off x="10050780" y="16297275"/>
              <a:ext cx="238125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𝑚=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𝑚0+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 .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11</xdr:col>
      <xdr:colOff>66675</xdr:colOff>
      <xdr:row>61</xdr:row>
      <xdr:rowOff>0</xdr:rowOff>
    </xdr:from>
    <xdr:ext cx="6858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 txBox="1"/>
          </xdr:nvSpPr>
          <xdr:spPr>
            <a:xfrm>
              <a:off x="8692515" y="165506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A000000}"/>
                </a:ext>
              </a:extLst>
            </xdr:cNvPr>
            <xdr:cNvSpPr txBox="1"/>
          </xdr:nvSpPr>
          <xdr:spPr>
            <a:xfrm>
              <a:off x="8692515" y="16550640"/>
              <a:ext cx="685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endParaRPr lang="pt-BR" sz="1200"/>
            </a:p>
          </xdr:txBody>
        </xdr:sp>
      </mc:Fallback>
    </mc:AlternateContent>
    <xdr:clientData/>
  </xdr:oneCellAnchor>
  <xdr:twoCellAnchor>
    <xdr:from>
      <xdr:col>12</xdr:col>
      <xdr:colOff>38100</xdr:colOff>
      <xdr:row>61</xdr:row>
      <xdr:rowOff>0</xdr:rowOff>
    </xdr:from>
    <xdr:to>
      <xdr:col>18</xdr:col>
      <xdr:colOff>162984</xdr:colOff>
      <xdr:row>77</xdr:row>
      <xdr:rowOff>133351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333375</xdr:colOff>
      <xdr:row>10</xdr:row>
      <xdr:rowOff>114300</xdr:rowOff>
    </xdr:from>
    <xdr:ext cx="130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aixaDeTexto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8166735" y="3322320"/>
              <a:ext cx="13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6" name="CaixaDeTexto 75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C000000}"/>
                </a:ext>
              </a:extLst>
            </xdr:cNvPr>
            <xdr:cNvSpPr txBox="1"/>
          </xdr:nvSpPr>
          <xdr:spPr>
            <a:xfrm>
              <a:off x="8166735" y="3322320"/>
              <a:ext cx="13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223837</xdr:colOff>
      <xdr:row>10</xdr:row>
      <xdr:rowOff>123825</xdr:rowOff>
    </xdr:from>
    <xdr:ext cx="1472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aixaDeTexto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 txBox="1"/>
          </xdr:nvSpPr>
          <xdr:spPr>
            <a:xfrm>
              <a:off x="7379017" y="3331845"/>
              <a:ext cx="14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7" name="CaixaDeTexto 7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D000000}"/>
                </a:ext>
              </a:extLst>
            </xdr:cNvPr>
            <xdr:cNvSpPr txBox="1"/>
          </xdr:nvSpPr>
          <xdr:spPr>
            <a:xfrm>
              <a:off x="7379017" y="3331845"/>
              <a:ext cx="1472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/>
                </a:rPr>
                <a:t>(</a:t>
              </a:r>
              <a:r>
                <a:rPr lang="pt-BR" sz="1100" b="0" i="0">
                  <a:latin typeface="Cambria Math" panose="02040503050406030204" pitchFamily="18" charset="0"/>
                </a:rPr>
                <a:t>𝑐</a:t>
              </a:r>
              <a:r>
                <a:rPr lang="pt-BR" sz="1100" b="0" i="0">
                  <a:latin typeface="Cambria Math"/>
                </a:rPr>
                <a:t>_</a:t>
              </a:r>
              <a:r>
                <a:rPr lang="pt-BR" sz="1100" b="0" i="0">
                  <a:latin typeface="Cambria Math" panose="02040503050406030204" pitchFamily="18" charset="0"/>
                </a:rPr>
                <a:t>𝑡</a:t>
              </a:r>
              <a:r>
                <a:rPr lang="pt-BR" sz="1100" b="0" i="0">
                  <a:latin typeface="Cambria Math"/>
                </a:rPr>
                <a:t> )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10</xdr:row>
      <xdr:rowOff>104775</xdr:rowOff>
    </xdr:from>
    <xdr:ext cx="390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 txBox="1"/>
          </xdr:nvSpPr>
          <xdr:spPr>
            <a:xfrm flipH="1">
              <a:off x="8863965" y="3312795"/>
              <a:ext cx="390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𝑚𝑎𝑐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4E000000}"/>
                </a:ext>
              </a:extLst>
            </xdr:cNvPr>
            <xdr:cNvSpPr txBox="1"/>
          </xdr:nvSpPr>
          <xdr:spPr>
            <a:xfrm flipH="1">
              <a:off x="8863965" y="3312795"/>
              <a:ext cx="390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𝑚𝑎𝑐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10</xdr:col>
      <xdr:colOff>582705</xdr:colOff>
      <xdr:row>5</xdr:row>
      <xdr:rowOff>224117</xdr:rowOff>
    </xdr:from>
    <xdr:to>
      <xdr:col>13</xdr:col>
      <xdr:colOff>145676</xdr:colOff>
      <xdr:row>10</xdr:row>
      <xdr:rowOff>78441</xdr:rowOff>
    </xdr:to>
    <xdr:cxnSp macro="">
      <xdr:nvCxnSpPr>
        <xdr:cNvPr id="80" name="Conector de Seta Reta 79">
          <a:extLst>
            <a:ext uri="{FF2B5EF4-FFF2-40B4-BE49-F238E27FC236}">
              <a16:creationId xmlns:a16="http://schemas.microsoft.com/office/drawing/2014/main" id="{83E171D4-3190-0B62-CF7D-1685E778D331}"/>
            </a:ext>
          </a:extLst>
        </xdr:cNvPr>
        <xdr:cNvCxnSpPr/>
      </xdr:nvCxnSpPr>
      <xdr:spPr>
        <a:xfrm>
          <a:off x="8236323" y="1781735"/>
          <a:ext cx="1736912" cy="1546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661147</xdr:colOff>
      <xdr:row>5</xdr:row>
      <xdr:rowOff>280147</xdr:rowOff>
    </xdr:from>
    <xdr:to>
      <xdr:col>13</xdr:col>
      <xdr:colOff>504265</xdr:colOff>
      <xdr:row>8</xdr:row>
      <xdr:rowOff>168088</xdr:rowOff>
    </xdr:to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87737EB6-AF9E-20B4-55F3-908D793F313A}"/>
            </a:ext>
          </a:extLst>
        </xdr:cNvPr>
        <xdr:cNvSpPr txBox="1"/>
      </xdr:nvSpPr>
      <xdr:spPr>
        <a:xfrm>
          <a:off x="9087971" y="1837765"/>
          <a:ext cx="1243853" cy="71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Esse tem que ser menor do que</a:t>
          </a:r>
          <a:r>
            <a:rPr lang="pt-BR" sz="1100" baseline="0"/>
            <a:t> aquele lá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88"/>
  <sheetViews>
    <sheetView showGridLines="0" showRowColHeaders="0" tabSelected="1" topLeftCell="D12" zoomScale="71" zoomScaleNormal="71" workbookViewId="0">
      <selection activeCell="L13" sqref="L13"/>
    </sheetView>
  </sheetViews>
  <sheetFormatPr defaultRowHeight="15" x14ac:dyDescent="0.25"/>
  <cols>
    <col min="2" max="2" width="8.28515625" customWidth="1"/>
    <col min="3" max="3" width="12.7109375" customWidth="1"/>
    <col min="4" max="4" width="13.7109375" customWidth="1"/>
    <col min="5" max="5" width="12.28515625" customWidth="1"/>
    <col min="6" max="6" width="11.85546875" customWidth="1"/>
    <col min="7" max="7" width="10" customWidth="1"/>
    <col min="8" max="8" width="17.7109375" customWidth="1"/>
    <col min="10" max="10" width="9.85546875" customWidth="1"/>
    <col min="11" max="11" width="11.5703125" customWidth="1"/>
    <col min="12" max="12" width="11.85546875" customWidth="1"/>
    <col min="15" max="15" width="9.5703125" customWidth="1"/>
    <col min="16" max="16" width="10.7109375" customWidth="1"/>
    <col min="17" max="17" width="11.7109375" customWidth="1"/>
    <col min="18" max="18" width="23.7109375" customWidth="1"/>
    <col min="21" max="21" width="11.85546875" customWidth="1"/>
    <col min="24" max="24" width="11.42578125" customWidth="1"/>
    <col min="25" max="25" width="7.28515625" customWidth="1"/>
    <col min="27" max="27" width="28.28515625" customWidth="1"/>
    <col min="36" max="36" width="13" bestFit="1" customWidth="1"/>
  </cols>
  <sheetData>
    <row r="2" spans="2:37" ht="22.5" customHeight="1" x14ac:dyDescent="0.25"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2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</row>
    <row r="3" spans="2:37" ht="30.75" customHeight="1" x14ac:dyDescent="0.25">
      <c r="B3" s="61" t="s">
        <v>1</v>
      </c>
      <c r="C3" s="61"/>
      <c r="D3" s="61"/>
      <c r="E3" s="61"/>
      <c r="F3" s="61"/>
      <c r="G3" s="61"/>
      <c r="H3" s="61"/>
      <c r="I3" s="61"/>
      <c r="J3" s="61"/>
      <c r="K3" s="61"/>
      <c r="M3" s="4" t="s">
        <v>2</v>
      </c>
      <c r="N3" s="5">
        <v>0.1</v>
      </c>
      <c r="O3" s="10">
        <v>0.2</v>
      </c>
      <c r="P3" s="10">
        <v>0.32</v>
      </c>
      <c r="X3" s="6" t="s">
        <v>3</v>
      </c>
      <c r="Y3" s="7"/>
      <c r="Z3" s="7"/>
      <c r="AA3" s="7"/>
      <c r="AB3" s="79"/>
      <c r="AC3" s="80"/>
      <c r="AD3" s="8" t="s">
        <v>3</v>
      </c>
      <c r="AE3" s="9"/>
      <c r="AF3" s="9"/>
      <c r="AG3" s="9"/>
      <c r="AH3" s="9"/>
      <c r="AI3" s="54"/>
      <c r="AJ3" s="81"/>
    </row>
    <row r="4" spans="2:37" ht="31.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M4" s="4" t="s">
        <v>4</v>
      </c>
      <c r="N4" s="10">
        <v>0.46600000000000003</v>
      </c>
      <c r="O4" s="10">
        <v>0.36399999999999999</v>
      </c>
      <c r="P4" s="10">
        <v>0.24</v>
      </c>
      <c r="X4" s="11">
        <v>1</v>
      </c>
      <c r="Y4" s="11">
        <v>3.2030000000000003E-2</v>
      </c>
      <c r="Z4" s="12">
        <v>9.2999999999999999E-2</v>
      </c>
      <c r="AA4" s="11">
        <f>5+29</f>
        <v>34</v>
      </c>
      <c r="AB4" s="67">
        <f>Z4^2*AA4*Y4</f>
        <v>9.4189339800000004E-3</v>
      </c>
      <c r="AC4" s="68"/>
      <c r="AD4" s="13">
        <v>1</v>
      </c>
      <c r="AE4" s="13">
        <v>0.15620999999999999</v>
      </c>
      <c r="AF4" s="14">
        <v>1.2E-2</v>
      </c>
      <c r="AG4" s="13">
        <v>0.23432</v>
      </c>
      <c r="AH4" s="13">
        <v>1.4</v>
      </c>
      <c r="AI4" s="67">
        <f>AF4^2*AH4*AE4</f>
        <v>3.1491935999999994E-5</v>
      </c>
      <c r="AJ4" s="68"/>
    </row>
    <row r="5" spans="2:37" ht="21.75" customHeight="1" x14ac:dyDescent="0.25">
      <c r="B5" s="74" t="s">
        <v>5</v>
      </c>
      <c r="C5" s="74"/>
      <c r="D5" s="74"/>
      <c r="E5" s="74"/>
      <c r="F5" s="74"/>
      <c r="G5" s="73"/>
      <c r="H5" s="73"/>
      <c r="I5" s="73"/>
      <c r="J5" s="73"/>
      <c r="K5" s="73"/>
      <c r="M5" s="4" t="s">
        <v>6</v>
      </c>
      <c r="N5" s="13" t="s">
        <v>7</v>
      </c>
      <c r="O5" s="13" t="s">
        <v>7</v>
      </c>
      <c r="P5" s="13" t="s">
        <v>7</v>
      </c>
      <c r="X5" s="13">
        <v>2</v>
      </c>
      <c r="Y5" s="13">
        <v>1.797E-2</v>
      </c>
      <c r="Z5" s="14">
        <v>0.12482</v>
      </c>
      <c r="AA5" s="13">
        <f>5+29</f>
        <v>34</v>
      </c>
      <c r="AB5" s="67">
        <f>Z5^2*AA5*Y5</f>
        <v>9.5190881957520016E-3</v>
      </c>
      <c r="AC5" s="68"/>
      <c r="AD5" s="13">
        <v>2</v>
      </c>
      <c r="AE5" s="13">
        <v>0.15620999999999999</v>
      </c>
      <c r="AF5" s="14">
        <v>1.2E-2</v>
      </c>
      <c r="AG5" s="13">
        <v>0.15620999999999999</v>
      </c>
      <c r="AH5" s="13">
        <v>1.6</v>
      </c>
      <c r="AI5" s="67">
        <f t="shared" ref="AI5:AI9" si="0">AF5^2*AH5*AE5</f>
        <v>3.5990783999999997E-5</v>
      </c>
      <c r="AJ5" s="68"/>
    </row>
    <row r="6" spans="2:37" ht="24" customHeight="1" x14ac:dyDescent="0.25">
      <c r="B6" s="13"/>
      <c r="C6" s="13"/>
      <c r="D6" s="13"/>
      <c r="E6" s="13"/>
      <c r="F6" s="13"/>
      <c r="G6" s="66">
        <f>B7*(C7-D7)</f>
        <v>-7.6178841173500178E-4</v>
      </c>
      <c r="H6" s="66"/>
      <c r="I6" s="66">
        <f>E7+F7*(C7-D7)</f>
        <v>-0.65578727845499996</v>
      </c>
      <c r="J6" s="66"/>
      <c r="K6" s="66"/>
      <c r="X6" s="13">
        <v>3</v>
      </c>
      <c r="Y6" s="13">
        <v>6.1100000000000002E-2</v>
      </c>
      <c r="Z6" s="14">
        <v>0.13072</v>
      </c>
      <c r="AA6" s="13">
        <f>5-7</f>
        <v>-2</v>
      </c>
      <c r="AB6" s="67">
        <f t="shared" ref="AB6:AB13" si="1">Z6^2*AA6*Y6</f>
        <v>-2.0881191884800001E-3</v>
      </c>
      <c r="AC6" s="68"/>
      <c r="AD6" s="13">
        <v>3</v>
      </c>
      <c r="AE6" s="13">
        <v>0.10491</v>
      </c>
      <c r="AF6" s="14">
        <v>1.6E-2</v>
      </c>
      <c r="AG6" s="13">
        <v>5.246E-2</v>
      </c>
      <c r="AH6" s="13">
        <v>5.8799999999999998E-2</v>
      </c>
      <c r="AI6" s="67">
        <f t="shared" si="0"/>
        <v>1.579189248E-6</v>
      </c>
      <c r="AJ6" s="68"/>
    </row>
    <row r="7" spans="2:37" ht="21" customHeight="1" x14ac:dyDescent="0.25">
      <c r="B7" s="15">
        <f>5.35089627*(PI()/180)</f>
        <v>9.3390757844183478E-2</v>
      </c>
      <c r="C7" s="15">
        <f>U26</f>
        <v>0.28000000000000003</v>
      </c>
      <c r="D7" s="15">
        <v>0.288157</v>
      </c>
      <c r="E7" s="15">
        <v>-0.64161599999999996</v>
      </c>
      <c r="F7" s="15">
        <v>1.7373149999999999</v>
      </c>
      <c r="G7" s="76"/>
      <c r="H7" s="76"/>
      <c r="I7" s="76"/>
      <c r="J7" s="76"/>
      <c r="K7" s="76"/>
      <c r="O7" s="49"/>
      <c r="X7" s="13">
        <v>4</v>
      </c>
      <c r="Y7" s="13">
        <v>2.605E-2</v>
      </c>
      <c r="Z7" s="14">
        <v>0.10204000000000001</v>
      </c>
      <c r="AA7" s="13">
        <f>5-5</f>
        <v>0</v>
      </c>
      <c r="AB7" s="67">
        <f t="shared" si="1"/>
        <v>0</v>
      </c>
      <c r="AC7" s="68"/>
      <c r="AD7" s="13">
        <v>4</v>
      </c>
      <c r="AE7" s="13">
        <v>0.10491</v>
      </c>
      <c r="AF7" s="14">
        <v>1.6E-2</v>
      </c>
      <c r="AG7" s="13">
        <v>0.15737000000000001</v>
      </c>
      <c r="AH7" s="13">
        <v>0.17649999999999999</v>
      </c>
      <c r="AI7" s="67">
        <f t="shared" si="0"/>
        <v>4.740253439999999E-6</v>
      </c>
      <c r="AJ7" s="68"/>
    </row>
    <row r="8" spans="2:37" ht="20.25" customHeight="1" x14ac:dyDescent="0.25">
      <c r="B8" s="61" t="s">
        <v>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X8" s="13">
        <v>5</v>
      </c>
      <c r="Y8" s="13">
        <v>2.163E-2</v>
      </c>
      <c r="Z8" s="14">
        <v>8.8709999999999997E-2</v>
      </c>
      <c r="AA8" s="13">
        <f>5-5</f>
        <v>0</v>
      </c>
      <c r="AB8" s="67">
        <f t="shared" si="1"/>
        <v>0</v>
      </c>
      <c r="AC8" s="68"/>
      <c r="AD8" s="13">
        <v>5</v>
      </c>
      <c r="AE8" s="13">
        <v>0.10491</v>
      </c>
      <c r="AF8" s="14">
        <v>1.6E-2</v>
      </c>
      <c r="AG8" s="13">
        <v>0.26229000000000002</v>
      </c>
      <c r="AH8" s="13">
        <v>0.29420000000000002</v>
      </c>
      <c r="AI8" s="67">
        <f t="shared" si="0"/>
        <v>7.9013176320000013E-6</v>
      </c>
      <c r="AJ8" s="68"/>
    </row>
    <row r="9" spans="2:37" ht="43.5" customHeight="1" x14ac:dyDescent="0.25">
      <c r="B9" s="53" t="s">
        <v>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X9" s="13">
        <v>6</v>
      </c>
      <c r="Y9" s="13">
        <v>3.9550000000000002E-2</v>
      </c>
      <c r="Z9" s="14">
        <v>7.7600000000000002E-2</v>
      </c>
      <c r="AA9" s="13">
        <f>5+0</f>
        <v>5</v>
      </c>
      <c r="AB9" s="67">
        <f t="shared" si="1"/>
        <v>1.1908030400000001E-3</v>
      </c>
      <c r="AC9" s="68"/>
      <c r="AD9" s="13">
        <v>6</v>
      </c>
      <c r="AE9" s="13">
        <v>0.10491</v>
      </c>
      <c r="AF9" s="14">
        <v>1.6E-2</v>
      </c>
      <c r="AG9" s="13">
        <v>0.36720000000000003</v>
      </c>
      <c r="AH9" s="13">
        <v>0.4118</v>
      </c>
      <c r="AI9" s="67">
        <f t="shared" si="0"/>
        <v>1.1059696128E-5</v>
      </c>
      <c r="AJ9" s="68"/>
    </row>
    <row r="10" spans="2:37" ht="24.75" customHeight="1" x14ac:dyDescent="0.25">
      <c r="B10" s="74" t="s">
        <v>5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16"/>
      <c r="N10" s="16"/>
      <c r="X10" s="13">
        <v>7</v>
      </c>
      <c r="Y10" s="13">
        <v>4.9939999999999998E-2</v>
      </c>
      <c r="Z10" s="14">
        <v>7.1830000000000005E-2</v>
      </c>
      <c r="AA10" s="13">
        <f>5+2</f>
        <v>7</v>
      </c>
      <c r="AB10" s="67">
        <f t="shared" si="1"/>
        <v>1.8036751044620003E-3</v>
      </c>
      <c r="AC10" s="68"/>
      <c r="AD10" s="13"/>
      <c r="AE10" s="13"/>
      <c r="AF10" s="14"/>
      <c r="AG10" s="13"/>
      <c r="AH10" s="13"/>
      <c r="AI10" s="67"/>
      <c r="AJ10" s="68"/>
    </row>
    <row r="11" spans="2:37" ht="32.25" customHeight="1" x14ac:dyDescent="0.25">
      <c r="B11" s="13"/>
      <c r="C11" s="13"/>
      <c r="D11" s="13"/>
      <c r="E11" s="13"/>
      <c r="F11" s="13"/>
      <c r="G11" s="13"/>
      <c r="H11" s="52"/>
      <c r="I11" s="13"/>
      <c r="J11" s="51"/>
      <c r="K11" s="51"/>
      <c r="L11" s="13"/>
      <c r="M11" s="66">
        <f xml:space="preserve"> -B12*C12*D12*(1-E12)</f>
        <v>-5.2467290556970601E-2</v>
      </c>
      <c r="N11" s="66">
        <f xml:space="preserve"> B12*C12*D12*(F12-G12+H12)-B12*C12*I12+(J12/K12)*B12*C12*L12</f>
        <v>0.66028784358604875</v>
      </c>
      <c r="X11" s="13">
        <v>8</v>
      </c>
      <c r="Y11" s="13">
        <v>5.0049999999999997E-2</v>
      </c>
      <c r="Z11" s="14">
        <v>6.9470000000000004E-2</v>
      </c>
      <c r="AA11" s="13">
        <f>5+0</f>
        <v>5</v>
      </c>
      <c r="AB11" s="67">
        <f t="shared" si="1"/>
        <v>1.2077267452250001E-3</v>
      </c>
      <c r="AC11" s="68"/>
      <c r="AD11" s="13"/>
      <c r="AE11" s="13"/>
      <c r="AF11" s="14"/>
      <c r="AG11" s="13"/>
      <c r="AH11" s="13"/>
      <c r="AI11" s="67"/>
      <c r="AJ11" s="68"/>
    </row>
    <row r="12" spans="2:37" ht="21.75" customHeight="1" x14ac:dyDescent="0.25">
      <c r="B12" s="13">
        <v>0.88163265000000002</v>
      </c>
      <c r="C12" s="13">
        <f>(1 - (2.42*M26)/((O26/N26)+U26-0.7))</f>
        <v>0.84203805168449231</v>
      </c>
      <c r="D12" s="13">
        <f>4.8103*(PI()/180)</f>
        <v>8.3955573008683226E-2</v>
      </c>
      <c r="E12" s="13">
        <v>0.15817906000000001</v>
      </c>
      <c r="F12" s="13">
        <v>0</v>
      </c>
      <c r="G12" s="13">
        <v>-3</v>
      </c>
      <c r="H12" s="13">
        <v>7.9089530000000005E-2</v>
      </c>
      <c r="I12" s="13">
        <v>-0.62627999999999995</v>
      </c>
      <c r="J12" s="13">
        <v>0.2</v>
      </c>
      <c r="K12" s="13">
        <v>1.2</v>
      </c>
      <c r="L12" s="13">
        <v>2.7886000000000001E-2</v>
      </c>
      <c r="M12" s="66"/>
      <c r="N12" s="66"/>
      <c r="X12" s="13">
        <v>9</v>
      </c>
      <c r="Y12" s="13">
        <v>3.8010000000000002E-2</v>
      </c>
      <c r="Z12" s="14">
        <v>6.9089999999999999E-2</v>
      </c>
      <c r="AA12" s="13">
        <f t="shared" ref="AA12:AA14" si="2">5+0</f>
        <v>5</v>
      </c>
      <c r="AB12" s="67">
        <f t="shared" si="1"/>
        <v>9.071900104050001E-4</v>
      </c>
      <c r="AC12" s="68"/>
      <c r="AD12" s="13"/>
      <c r="AE12" s="13"/>
      <c r="AF12" s="14"/>
      <c r="AG12" s="13"/>
      <c r="AH12" s="13"/>
      <c r="AI12" s="67"/>
      <c r="AJ12" s="68"/>
    </row>
    <row r="13" spans="2:37" ht="23.25" customHeight="1" x14ac:dyDescent="0.25">
      <c r="B13" s="78" t="s">
        <v>10</v>
      </c>
      <c r="C13" s="78"/>
      <c r="D13" s="78"/>
      <c r="E13" s="78"/>
      <c r="F13" s="78"/>
      <c r="G13" s="78"/>
      <c r="H13" s="78"/>
      <c r="I13" s="78"/>
      <c r="J13" s="78"/>
      <c r="K13" s="78"/>
      <c r="X13" s="13">
        <v>10</v>
      </c>
      <c r="Y13" s="15">
        <v>3.8929999999999999E-2</v>
      </c>
      <c r="Z13" s="14">
        <v>6.9019999999999998E-2</v>
      </c>
      <c r="AA13" s="13">
        <f t="shared" si="2"/>
        <v>5</v>
      </c>
      <c r="AB13" s="55">
        <f t="shared" si="1"/>
        <v>9.2726596185999999E-4</v>
      </c>
      <c r="AC13" s="56"/>
      <c r="AD13" s="13"/>
      <c r="AE13" s="15"/>
      <c r="AF13" s="14"/>
      <c r="AG13" s="15"/>
      <c r="AH13" s="15"/>
      <c r="AI13" s="55"/>
      <c r="AJ13" s="56"/>
    </row>
    <row r="14" spans="2:37" ht="48.75" customHeight="1" x14ac:dyDescent="0.25">
      <c r="B14" s="53"/>
      <c r="C14" s="53"/>
      <c r="D14" s="53"/>
      <c r="E14" s="53"/>
      <c r="F14" s="53"/>
      <c r="G14" s="53"/>
      <c r="H14" s="53"/>
      <c r="I14" s="53"/>
      <c r="J14" s="53"/>
      <c r="K14" s="53"/>
      <c r="X14" s="17">
        <v>11</v>
      </c>
      <c r="Y14" s="14">
        <v>4.623E-2</v>
      </c>
      <c r="Z14" s="14">
        <v>6.8229999999999999E-2</v>
      </c>
      <c r="AA14" s="13">
        <f t="shared" si="2"/>
        <v>5</v>
      </c>
      <c r="AB14" s="55">
        <f>Z14^2*AA14*Y14</f>
        <v>1.076080199835E-3</v>
      </c>
      <c r="AC14" s="56"/>
      <c r="AD14" s="13"/>
      <c r="AE14" s="14"/>
      <c r="AF14" s="14"/>
      <c r="AG14" s="18"/>
      <c r="AH14" s="18"/>
      <c r="AI14" s="55">
        <f t="shared" ref="AI14:AI32" si="3">AF14^2*AH14*AE14</f>
        <v>0</v>
      </c>
      <c r="AJ14" s="56"/>
    </row>
    <row r="15" spans="2:37" ht="27.75" customHeight="1" x14ac:dyDescent="0.25">
      <c r="B15" s="74" t="s">
        <v>5</v>
      </c>
      <c r="C15" s="74"/>
      <c r="D15" s="74"/>
      <c r="E15" s="74"/>
      <c r="F15" s="74"/>
      <c r="G15" s="74"/>
      <c r="H15" s="74"/>
      <c r="I15" s="74"/>
      <c r="J15" s="16"/>
      <c r="K15" s="16"/>
      <c r="X15" s="17">
        <v>12</v>
      </c>
      <c r="Y15" s="14">
        <v>3.1699999999999999E-2</v>
      </c>
      <c r="Z15" s="14">
        <v>6.5619999999999998E-2</v>
      </c>
      <c r="AA15" s="14">
        <f>5-1</f>
        <v>4</v>
      </c>
      <c r="AB15" s="55">
        <f t="shared" ref="AB15:AB32" si="4">Z15^2*AA15*Y15</f>
        <v>5.4599882191999996E-4</v>
      </c>
      <c r="AC15" s="56"/>
      <c r="AD15" s="13"/>
      <c r="AE15" s="14"/>
      <c r="AF15" s="14"/>
      <c r="AG15" s="18"/>
      <c r="AH15" s="18"/>
      <c r="AI15" s="55">
        <f t="shared" si="3"/>
        <v>0</v>
      </c>
      <c r="AJ15" s="56"/>
    </row>
    <row r="16" spans="2:37" ht="54.75" customHeight="1" x14ac:dyDescent="0.25">
      <c r="B16" s="19"/>
      <c r="C16" s="19"/>
      <c r="D16" s="19"/>
      <c r="E16" s="75"/>
      <c r="F16" s="75"/>
      <c r="G16" s="75"/>
      <c r="H16" s="75"/>
      <c r="I16" s="75"/>
      <c r="J16" s="76">
        <f>1/(36.5*B17*C17)*E17</f>
        <v>3.9144503488429751E-6</v>
      </c>
      <c r="K16" s="76">
        <f>D17/(36.5*B17*C17)*G17</f>
        <v>-5.3895016922341388E-4</v>
      </c>
      <c r="X16" s="17">
        <v>13</v>
      </c>
      <c r="Y16" s="14">
        <v>1.491E-2</v>
      </c>
      <c r="Z16" s="14">
        <v>6.7030000000000006E-2</v>
      </c>
      <c r="AA16" s="14">
        <f>5-26</f>
        <v>-21</v>
      </c>
      <c r="AB16" s="55">
        <f t="shared" si="4"/>
        <v>-1.4068097739990003E-3</v>
      </c>
      <c r="AC16" s="56"/>
      <c r="AD16" s="13"/>
      <c r="AE16" s="14"/>
      <c r="AF16" s="14"/>
      <c r="AG16" s="18"/>
      <c r="AH16" s="18"/>
      <c r="AI16" s="55">
        <f t="shared" si="3"/>
        <v>0</v>
      </c>
      <c r="AJ16" s="56"/>
    </row>
    <row r="17" spans="2:36" ht="26.25" customHeight="1" x14ac:dyDescent="0.25">
      <c r="B17" s="13">
        <v>1.325</v>
      </c>
      <c r="C17" s="13">
        <v>0.49</v>
      </c>
      <c r="D17" s="13">
        <v>1</v>
      </c>
      <c r="E17" s="66">
        <f>AJ33</f>
        <v>9.2763176447999989E-5</v>
      </c>
      <c r="F17" s="66"/>
      <c r="G17" s="66">
        <f>AC33</f>
        <v>-1.2771839003943002E-2</v>
      </c>
      <c r="H17" s="66"/>
      <c r="I17" s="66"/>
      <c r="J17" s="77"/>
      <c r="K17" s="77"/>
      <c r="X17" s="17">
        <v>14</v>
      </c>
      <c r="Y17" s="14">
        <v>1.396E-2</v>
      </c>
      <c r="Z17" s="14">
        <v>8.7099999999999997E-2</v>
      </c>
      <c r="AA17" s="14">
        <f>5-20</f>
        <v>-15</v>
      </c>
      <c r="AB17" s="55">
        <f t="shared" si="4"/>
        <v>-1.5885942539999999E-3</v>
      </c>
      <c r="AC17" s="56"/>
      <c r="AD17" s="13"/>
      <c r="AE17" s="14"/>
      <c r="AF17" s="14"/>
      <c r="AG17" s="18"/>
      <c r="AH17" s="18"/>
      <c r="AI17" s="55">
        <f t="shared" si="3"/>
        <v>0</v>
      </c>
      <c r="AJ17" s="56"/>
    </row>
    <row r="18" spans="2:36" ht="22.5" customHeight="1" x14ac:dyDescent="0.25">
      <c r="B18" s="61" t="s">
        <v>11</v>
      </c>
      <c r="C18" s="61"/>
      <c r="D18" s="61"/>
      <c r="E18" s="61"/>
      <c r="F18" s="61"/>
      <c r="G18" s="61"/>
      <c r="H18" s="61"/>
      <c r="I18" s="61"/>
      <c r="J18" s="61"/>
      <c r="K18" s="61"/>
      <c r="X18" s="17">
        <v>15</v>
      </c>
      <c r="Y18" s="14">
        <v>2.8729999999999999E-2</v>
      </c>
      <c r="Z18" s="14">
        <v>8.5419999999999996E-2</v>
      </c>
      <c r="AA18" s="14">
        <f>5-13</f>
        <v>-8</v>
      </c>
      <c r="AB18" s="55">
        <f t="shared" si="4"/>
        <v>-1.6770451197759997E-3</v>
      </c>
      <c r="AC18" s="56"/>
      <c r="AD18" s="13"/>
      <c r="AE18" s="14"/>
      <c r="AF18" s="14"/>
      <c r="AG18" s="18"/>
      <c r="AH18" s="18"/>
      <c r="AI18" s="55">
        <f t="shared" si="3"/>
        <v>0</v>
      </c>
      <c r="AJ18" s="56"/>
    </row>
    <row r="19" spans="2:36" ht="29.25" customHeight="1" x14ac:dyDescent="0.25">
      <c r="B19" s="53"/>
      <c r="C19" s="53"/>
      <c r="D19" s="53"/>
      <c r="E19" s="53"/>
      <c r="F19" s="53"/>
      <c r="G19" s="53"/>
      <c r="H19" s="53"/>
      <c r="I19" s="53"/>
      <c r="J19" s="53"/>
      <c r="K19" s="53"/>
      <c r="X19" s="17">
        <v>16</v>
      </c>
      <c r="Y19" s="14">
        <v>0.11242000000000001</v>
      </c>
      <c r="Z19" s="14">
        <v>6.0089999999999998E-2</v>
      </c>
      <c r="AA19" s="14">
        <f>5-13</f>
        <v>-8</v>
      </c>
      <c r="AB19" s="55">
        <f t="shared" si="4"/>
        <v>-3.2474163728159998E-3</v>
      </c>
      <c r="AC19" s="56"/>
      <c r="AD19" s="13"/>
      <c r="AE19" s="14"/>
      <c r="AF19" s="14"/>
      <c r="AG19" s="18"/>
      <c r="AH19" s="18"/>
      <c r="AI19" s="55">
        <f t="shared" si="3"/>
        <v>0</v>
      </c>
      <c r="AJ19" s="56"/>
    </row>
    <row r="20" spans="2:36" ht="25.5" customHeight="1" x14ac:dyDescent="0.25">
      <c r="B20" s="73"/>
      <c r="C20" s="73"/>
      <c r="D20" s="73"/>
      <c r="E20" s="73"/>
      <c r="F20" s="73"/>
      <c r="G20" s="73"/>
      <c r="H20" s="73"/>
      <c r="I20" s="73"/>
      <c r="J20" s="73"/>
      <c r="K20" s="73"/>
      <c r="S20" s="20"/>
      <c r="T20" s="21"/>
      <c r="U20" s="22"/>
      <c r="X20" s="17">
        <v>17</v>
      </c>
      <c r="Y20" s="14">
        <v>0.21204000000000001</v>
      </c>
      <c r="Z20" s="14">
        <v>8.1500000000000003E-2</v>
      </c>
      <c r="AA20" s="14">
        <f>5-14</f>
        <v>-9</v>
      </c>
      <c r="AB20" s="55">
        <f t="shared" si="4"/>
        <v>-1.2675804210000002E-2</v>
      </c>
      <c r="AC20" s="56"/>
      <c r="AD20" s="13"/>
      <c r="AE20" s="14"/>
      <c r="AF20" s="14"/>
      <c r="AG20" s="18"/>
      <c r="AH20" s="18"/>
      <c r="AI20" s="55">
        <f t="shared" si="3"/>
        <v>0</v>
      </c>
      <c r="AJ20" s="56"/>
    </row>
    <row r="21" spans="2:36" ht="28.5" customHeight="1" x14ac:dyDescent="0.25">
      <c r="B21" s="72">
        <f>G6+M11+J16</f>
        <v>-5.3225164518356759E-2</v>
      </c>
      <c r="C21" s="72"/>
      <c r="D21" s="72"/>
      <c r="E21" s="72"/>
      <c r="F21" s="72"/>
      <c r="G21" s="72">
        <f>I6+N11+K16</f>
        <v>3.9616149618253811E-3</v>
      </c>
      <c r="H21" s="72"/>
      <c r="I21" s="72"/>
      <c r="J21" s="72"/>
      <c r="K21" s="72"/>
      <c r="L21" s="19"/>
      <c r="M21" s="66" t="str">
        <f>IF(AND(B21&lt;0,G21&gt;0),"Avião Estável","Avião Instável")</f>
        <v>Avião Estável</v>
      </c>
      <c r="N21" s="66"/>
      <c r="O21" s="66"/>
      <c r="S21" s="23"/>
      <c r="U21" s="24"/>
      <c r="X21" s="17">
        <v>18</v>
      </c>
      <c r="Y21" s="14">
        <v>0.19719999999999999</v>
      </c>
      <c r="Z21" s="14">
        <v>6.8739999999999996E-2</v>
      </c>
      <c r="AA21" s="14">
        <f>5-15</f>
        <v>-10</v>
      </c>
      <c r="AB21" s="55">
        <f t="shared" si="4"/>
        <v>-9.318069947199999E-3</v>
      </c>
      <c r="AC21" s="56"/>
      <c r="AD21" s="13"/>
      <c r="AE21" s="14"/>
      <c r="AF21" s="14"/>
      <c r="AG21" s="18"/>
      <c r="AH21" s="18"/>
      <c r="AI21" s="55">
        <f t="shared" si="3"/>
        <v>0</v>
      </c>
      <c r="AJ21" s="56"/>
    </row>
    <row r="22" spans="2:36" ht="17.25" customHeight="1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S22" s="23"/>
      <c r="U22" s="24"/>
      <c r="X22" s="17">
        <v>19</v>
      </c>
      <c r="Y22" s="14">
        <v>0.1888</v>
      </c>
      <c r="Z22" s="14">
        <v>5.7750000000000003E-2</v>
      </c>
      <c r="AA22" s="14">
        <f>5-15</f>
        <v>-10</v>
      </c>
      <c r="AB22" s="55">
        <f t="shared" si="4"/>
        <v>-6.2965980000000005E-3</v>
      </c>
      <c r="AC22" s="56"/>
      <c r="AD22" s="13"/>
      <c r="AE22" s="14"/>
      <c r="AF22" s="14"/>
      <c r="AG22" s="18"/>
      <c r="AH22" s="18"/>
      <c r="AI22" s="55">
        <f t="shared" si="3"/>
        <v>0</v>
      </c>
      <c r="AJ22" s="56"/>
    </row>
    <row r="23" spans="2:36" ht="24.75" customHeight="1" x14ac:dyDescent="0.25">
      <c r="B23" s="69" t="s">
        <v>12</v>
      </c>
      <c r="C23" s="70"/>
      <c r="D23" s="70"/>
      <c r="E23" s="70"/>
      <c r="F23" s="70"/>
      <c r="G23" s="70"/>
      <c r="H23" s="26"/>
      <c r="I23" s="69" t="s">
        <v>13</v>
      </c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X23" s="17">
        <v>20</v>
      </c>
      <c r="Y23" s="14">
        <v>4.3749999999999997E-2</v>
      </c>
      <c r="Z23" s="14">
        <v>5.1139999999999998E-2</v>
      </c>
      <c r="AA23" s="14">
        <f>5-14</f>
        <v>-9</v>
      </c>
      <c r="AB23" s="55">
        <f t="shared" si="4"/>
        <v>-1.0297742174999998E-3</v>
      </c>
      <c r="AC23" s="56"/>
      <c r="AD23" s="13"/>
      <c r="AE23" s="14"/>
      <c r="AF23" s="14"/>
      <c r="AG23" s="18"/>
      <c r="AH23" s="18"/>
      <c r="AI23" s="55">
        <f t="shared" si="3"/>
        <v>0</v>
      </c>
      <c r="AJ23" s="56"/>
    </row>
    <row r="24" spans="2:36" ht="58.5" customHeight="1" x14ac:dyDescent="0.25">
      <c r="B24" s="71"/>
      <c r="C24" s="71"/>
      <c r="D24" s="71"/>
      <c r="E24" s="71"/>
      <c r="F24" s="71"/>
      <c r="G24" s="71"/>
      <c r="H24" s="25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X24" s="17">
        <v>21</v>
      </c>
      <c r="Y24" s="14">
        <v>3.4799999999999998E-2</v>
      </c>
      <c r="Z24" s="14">
        <v>3.9289999999999999E-2</v>
      </c>
      <c r="AA24" s="14">
        <f>5-4</f>
        <v>1</v>
      </c>
      <c r="AB24" s="55">
        <f t="shared" si="4"/>
        <v>5.3720902679999996E-5</v>
      </c>
      <c r="AC24" s="56"/>
      <c r="AD24" s="13"/>
      <c r="AE24" s="14"/>
      <c r="AF24" s="14"/>
      <c r="AG24" s="18"/>
      <c r="AH24" s="18"/>
      <c r="AI24" s="55">
        <f t="shared" si="3"/>
        <v>0</v>
      </c>
      <c r="AJ24" s="56"/>
    </row>
    <row r="25" spans="2:36" ht="35.25" customHeight="1" x14ac:dyDescent="0.25">
      <c r="B25" s="61"/>
      <c r="C25" s="61"/>
      <c r="D25" s="61"/>
      <c r="E25" s="61"/>
      <c r="F25" s="61"/>
      <c r="G25" s="61"/>
      <c r="H25" s="25"/>
      <c r="I25" s="62" t="s">
        <v>5</v>
      </c>
      <c r="J25" s="27"/>
      <c r="K25" s="27"/>
      <c r="L25" s="27"/>
      <c r="M25" s="27"/>
      <c r="N25" s="27"/>
      <c r="O25" s="16"/>
      <c r="P25" s="16"/>
      <c r="Q25" s="16"/>
      <c r="R25" s="16"/>
      <c r="S25" s="63"/>
      <c r="T25" s="64"/>
      <c r="U25" s="28"/>
      <c r="X25" s="17">
        <v>22</v>
      </c>
      <c r="Y25" s="14">
        <v>4.0410000000000001E-2</v>
      </c>
      <c r="Z25" s="14">
        <v>2.5270000000000001E-2</v>
      </c>
      <c r="AA25" s="14">
        <f>5-8</f>
        <v>-3</v>
      </c>
      <c r="AB25" s="55">
        <f t="shared" si="4"/>
        <v>-7.7414192667000004E-5</v>
      </c>
      <c r="AC25" s="56"/>
      <c r="AD25" s="13"/>
      <c r="AE25" s="14"/>
      <c r="AF25" s="14"/>
      <c r="AG25" s="18"/>
      <c r="AH25" s="18"/>
      <c r="AI25" s="55">
        <f t="shared" si="3"/>
        <v>0</v>
      </c>
      <c r="AJ25" s="56"/>
    </row>
    <row r="26" spans="2:36" ht="28.5" customHeight="1" x14ac:dyDescent="0.25">
      <c r="B26" s="65">
        <f>D7 - (J16/B7) - (M11/B7)</f>
        <v>0.84991897000300121</v>
      </c>
      <c r="C26" s="65"/>
      <c r="D26" s="65"/>
      <c r="E26" s="65">
        <f>B26-C7</f>
        <v>0.56991897000300118</v>
      </c>
      <c r="F26" s="66"/>
      <c r="G26" s="66"/>
      <c r="H26" s="25"/>
      <c r="I26" s="62"/>
      <c r="J26" s="13">
        <f>D7</f>
        <v>0.288157</v>
      </c>
      <c r="K26" s="13">
        <f>J16</f>
        <v>3.9144503488429751E-6</v>
      </c>
      <c r="L26" s="13">
        <f>B7</f>
        <v>9.3390757844183478E-2</v>
      </c>
      <c r="M26" s="13">
        <f>SQRT(0.01754)</f>
        <v>0.13243866504914642</v>
      </c>
      <c r="N26" s="13">
        <f>C17</f>
        <v>0.49</v>
      </c>
      <c r="O26" s="13">
        <f>K12</f>
        <v>1.2</v>
      </c>
      <c r="P26" s="13">
        <f>B12</f>
        <v>0.88163265000000002</v>
      </c>
      <c r="Q26" s="13">
        <f>D12</f>
        <v>8.3955573008683226E-2</v>
      </c>
      <c r="R26" s="13">
        <f>E12</f>
        <v>0.15817906000000001</v>
      </c>
      <c r="S26" s="67">
        <f>J26 - (K26/L26) + (1 - (2.42*M26)/((O26/N26)+U26-0.7))*P26*(Q26/L26)*(1-R26) -U26</f>
        <v>0.56991897000300118</v>
      </c>
      <c r="T26" s="68"/>
      <c r="U26" s="13">
        <v>0.28000000000000003</v>
      </c>
      <c r="V26" s="29"/>
      <c r="W26" s="29"/>
      <c r="X26" s="17">
        <v>23</v>
      </c>
      <c r="Y26" s="14">
        <v>1.346E-2</v>
      </c>
      <c r="Z26" s="14">
        <v>1.4370000000000001E-2</v>
      </c>
      <c r="AA26" s="14">
        <f>5-11</f>
        <v>-6</v>
      </c>
      <c r="AB26" s="55">
        <f t="shared" si="4"/>
        <v>-1.6676689644000003E-5</v>
      </c>
      <c r="AC26" s="56"/>
      <c r="AD26" s="13"/>
      <c r="AE26" s="14"/>
      <c r="AF26" s="14"/>
      <c r="AG26" s="18"/>
      <c r="AH26" s="18"/>
      <c r="AI26" s="55">
        <f t="shared" si="3"/>
        <v>0</v>
      </c>
      <c r="AJ26" s="56"/>
    </row>
    <row r="27" spans="2:36" x14ac:dyDescent="0.25">
      <c r="F27">
        <v>10</v>
      </c>
      <c r="G27" s="50">
        <v>0.2</v>
      </c>
      <c r="L27">
        <f>K26/L26</f>
        <v>4.1914750872607607E-5</v>
      </c>
      <c r="S27" s="29"/>
      <c r="T27" s="29"/>
      <c r="U27" s="29">
        <v>0</v>
      </c>
      <c r="V27" s="29"/>
      <c r="W27" s="29"/>
      <c r="X27" s="17">
        <v>24</v>
      </c>
      <c r="Y27" s="14"/>
      <c r="Z27" s="14"/>
      <c r="AA27" s="14"/>
      <c r="AB27" s="55">
        <f t="shared" si="4"/>
        <v>0</v>
      </c>
      <c r="AC27" s="56"/>
      <c r="AD27" s="13"/>
      <c r="AE27" s="14"/>
      <c r="AF27" s="14"/>
      <c r="AG27" s="18"/>
      <c r="AH27" s="18"/>
      <c r="AI27" s="55">
        <f t="shared" si="3"/>
        <v>0</v>
      </c>
      <c r="AJ27" s="56"/>
    </row>
    <row r="28" spans="2:36" ht="17.25" customHeight="1" x14ac:dyDescent="0.25">
      <c r="B28" s="59" t="s">
        <v>14</v>
      </c>
      <c r="C28" s="59"/>
      <c r="D28" s="59"/>
      <c r="E28" s="59"/>
      <c r="F28" s="59"/>
      <c r="G28" s="59"/>
      <c r="H28" s="59"/>
      <c r="I28" s="59"/>
      <c r="K28" s="59" t="s">
        <v>15</v>
      </c>
      <c r="L28" s="59"/>
      <c r="M28" s="59"/>
      <c r="N28" s="59"/>
      <c r="O28" s="59"/>
      <c r="P28" s="59"/>
      <c r="Q28" s="59"/>
      <c r="R28" s="60"/>
      <c r="S28" s="29"/>
      <c r="T28" s="30"/>
      <c r="U28" s="31"/>
      <c r="V28" s="31"/>
      <c r="W28" s="31"/>
      <c r="X28" s="17">
        <v>25</v>
      </c>
      <c r="Y28" s="32"/>
      <c r="Z28" s="32"/>
      <c r="AA28" s="32"/>
      <c r="AB28" s="55">
        <f t="shared" si="4"/>
        <v>0</v>
      </c>
      <c r="AC28" s="56"/>
      <c r="AD28" s="13"/>
      <c r="AE28" s="32"/>
      <c r="AF28" s="32"/>
      <c r="AG28" s="18"/>
      <c r="AH28" s="18"/>
      <c r="AI28" s="55">
        <f t="shared" si="3"/>
        <v>0</v>
      </c>
      <c r="AJ28" s="56"/>
    </row>
    <row r="29" spans="2:36" ht="33.75" customHeight="1" x14ac:dyDescent="0.25">
      <c r="B29" s="53"/>
      <c r="C29" s="53"/>
      <c r="D29" s="53"/>
      <c r="E29" s="53"/>
      <c r="F29" s="53"/>
      <c r="G29" s="53"/>
      <c r="H29" s="53"/>
      <c r="I29" s="53"/>
      <c r="K29" s="53"/>
      <c r="L29" s="53"/>
      <c r="M29" s="53"/>
      <c r="N29" s="53"/>
      <c r="O29" s="53"/>
      <c r="P29" s="53"/>
      <c r="Q29" s="53"/>
      <c r="R29" s="54"/>
      <c r="S29" s="29"/>
      <c r="T29" s="33"/>
      <c r="U29" s="34"/>
      <c r="V29" s="34"/>
      <c r="W29" s="34"/>
      <c r="X29" s="17">
        <v>26</v>
      </c>
      <c r="Y29" s="32"/>
      <c r="Z29" s="32"/>
      <c r="AA29" s="32"/>
      <c r="AB29" s="55">
        <f t="shared" si="4"/>
        <v>0</v>
      </c>
      <c r="AC29" s="56"/>
      <c r="AD29" s="13"/>
      <c r="AE29" s="32"/>
      <c r="AF29" s="32"/>
      <c r="AG29" s="18"/>
      <c r="AH29" s="18"/>
      <c r="AI29" s="55">
        <f t="shared" si="3"/>
        <v>0</v>
      </c>
      <c r="AJ29" s="56"/>
    </row>
    <row r="30" spans="2:36" x14ac:dyDescent="0.25">
      <c r="B30" s="35" t="s">
        <v>16</v>
      </c>
      <c r="C30" s="36"/>
      <c r="K30" s="35" t="s">
        <v>16</v>
      </c>
      <c r="L30" s="36"/>
      <c r="S30" s="29"/>
      <c r="T30" s="37"/>
      <c r="U30" s="34"/>
      <c r="V30" s="29"/>
      <c r="W30" s="29"/>
      <c r="X30" s="17">
        <v>27</v>
      </c>
      <c r="Y30" s="14"/>
      <c r="Z30" s="32"/>
      <c r="AA30" s="32"/>
      <c r="AB30" s="55">
        <f t="shared" si="4"/>
        <v>0</v>
      </c>
      <c r="AC30" s="56"/>
      <c r="AD30" s="13"/>
      <c r="AE30" s="14"/>
      <c r="AF30" s="32"/>
      <c r="AG30" s="18"/>
      <c r="AH30" s="18"/>
      <c r="AI30" s="55">
        <f t="shared" si="3"/>
        <v>0</v>
      </c>
      <c r="AJ30" s="56"/>
    </row>
    <row r="31" spans="2:36" x14ac:dyDescent="0.25">
      <c r="B31" s="38">
        <v>-5</v>
      </c>
      <c r="C31" s="19">
        <f>$I$6+$G$6*B31</f>
        <v>-0.65197833639632496</v>
      </c>
      <c r="K31" s="38">
        <v>-5</v>
      </c>
      <c r="L31" s="19">
        <f>$N$11+$M$11*K31</f>
        <v>0.92262429637090171</v>
      </c>
      <c r="S31" s="39"/>
      <c r="T31" s="40"/>
      <c r="U31" s="39"/>
      <c r="X31" s="17">
        <v>28</v>
      </c>
      <c r="Y31" s="14"/>
      <c r="Z31" s="32"/>
      <c r="AA31" s="32"/>
      <c r="AB31" s="55">
        <f t="shared" si="4"/>
        <v>0</v>
      </c>
      <c r="AC31" s="56"/>
      <c r="AD31" s="13"/>
      <c r="AE31" s="14"/>
      <c r="AF31" s="32"/>
      <c r="AG31" s="18"/>
      <c r="AH31" s="18"/>
      <c r="AI31" s="55">
        <f t="shared" si="3"/>
        <v>0</v>
      </c>
      <c r="AJ31" s="56"/>
    </row>
    <row r="32" spans="2:36" x14ac:dyDescent="0.25">
      <c r="B32" s="38">
        <v>-4</v>
      </c>
      <c r="C32" s="19">
        <f t="shared" ref="C32:C56" si="5">$I$6+$G$6*B32</f>
        <v>-0.65274012480805998</v>
      </c>
      <c r="K32" s="38">
        <v>-4</v>
      </c>
      <c r="L32" s="19">
        <f t="shared" ref="L32:L56" si="6">$N$11+$M$11*K32</f>
        <v>0.87015700581393118</v>
      </c>
      <c r="S32" s="29"/>
      <c r="T32" s="41"/>
      <c r="U32" s="29"/>
      <c r="X32" s="17">
        <v>29</v>
      </c>
      <c r="Y32" s="14"/>
      <c r="Z32" s="32"/>
      <c r="AA32" s="32"/>
      <c r="AB32" s="55">
        <f t="shared" si="4"/>
        <v>0</v>
      </c>
      <c r="AC32" s="56"/>
      <c r="AD32" s="13"/>
      <c r="AE32" s="14"/>
      <c r="AF32" s="32"/>
      <c r="AG32" s="14"/>
      <c r="AH32" s="18"/>
      <c r="AI32" s="55">
        <f t="shared" si="3"/>
        <v>0</v>
      </c>
      <c r="AJ32" s="56"/>
    </row>
    <row r="33" spans="2:36" ht="32.25" customHeight="1" x14ac:dyDescent="0.25">
      <c r="B33" s="38">
        <v>-3</v>
      </c>
      <c r="C33" s="19">
        <f t="shared" si="5"/>
        <v>-0.65350191321979501</v>
      </c>
      <c r="K33" s="38">
        <v>-3</v>
      </c>
      <c r="L33" s="19">
        <f t="shared" si="6"/>
        <v>0.81768971525696055</v>
      </c>
      <c r="S33" s="29"/>
      <c r="T33" s="41"/>
      <c r="U33" s="29"/>
      <c r="Y33">
        <f>SUM(Y4:Y32)</f>
        <v>1.3536699999999999</v>
      </c>
      <c r="Z33">
        <f>SUM(Z4:Z32)</f>
        <v>1.6678499999999996</v>
      </c>
      <c r="AB33" s="42" t="s">
        <v>17</v>
      </c>
      <c r="AC33" s="43">
        <f>SUM(AB4:AC32)</f>
        <v>-1.2771839003943002E-2</v>
      </c>
      <c r="AD33" s="44"/>
      <c r="AE33" s="45" t="s">
        <v>18</v>
      </c>
      <c r="AF33" s="44"/>
      <c r="AG33" s="57" t="s">
        <v>19</v>
      </c>
      <c r="AH33" s="58"/>
      <c r="AI33" s="42" t="s">
        <v>17</v>
      </c>
      <c r="AJ33" s="43">
        <f>SUM(AI4:AJ32)</f>
        <v>9.2763176447999989E-5</v>
      </c>
    </row>
    <row r="34" spans="2:36" x14ac:dyDescent="0.25">
      <c r="B34" s="38">
        <v>-2</v>
      </c>
      <c r="C34" s="19">
        <f t="shared" si="5"/>
        <v>-0.65426370163152991</v>
      </c>
      <c r="K34" s="38">
        <v>-2</v>
      </c>
      <c r="L34" s="19">
        <f t="shared" si="6"/>
        <v>0.76522242469998991</v>
      </c>
      <c r="S34" s="29"/>
      <c r="T34" s="41"/>
      <c r="U34" s="29"/>
    </row>
    <row r="35" spans="2:36" x14ac:dyDescent="0.25">
      <c r="B35" s="38">
        <v>-1</v>
      </c>
      <c r="C35" s="19">
        <f t="shared" si="5"/>
        <v>-0.65502549004326494</v>
      </c>
      <c r="K35" s="38">
        <v>-1</v>
      </c>
      <c r="L35" s="19">
        <f t="shared" si="6"/>
        <v>0.71275513414301939</v>
      </c>
      <c r="S35" s="29"/>
      <c r="T35" s="41"/>
      <c r="U35" s="29"/>
    </row>
    <row r="36" spans="2:36" x14ac:dyDescent="0.25">
      <c r="B36" s="38">
        <v>0</v>
      </c>
      <c r="C36" s="19">
        <f t="shared" si="5"/>
        <v>-0.65578727845499996</v>
      </c>
      <c r="K36" s="38">
        <v>0</v>
      </c>
      <c r="L36" s="19">
        <f t="shared" si="6"/>
        <v>0.66028784358604875</v>
      </c>
      <c r="S36" s="29"/>
      <c r="T36" s="41"/>
      <c r="U36" s="29"/>
    </row>
    <row r="37" spans="2:36" x14ac:dyDescent="0.25">
      <c r="B37" s="38">
        <v>1</v>
      </c>
      <c r="C37" s="19">
        <f t="shared" si="5"/>
        <v>-0.65654906686673498</v>
      </c>
      <c r="K37" s="38">
        <v>1</v>
      </c>
      <c r="L37" s="19">
        <f t="shared" si="6"/>
        <v>0.60782055302907811</v>
      </c>
      <c r="S37" s="29"/>
      <c r="T37" s="41"/>
      <c r="U37" s="29"/>
    </row>
    <row r="38" spans="2:36" x14ac:dyDescent="0.25">
      <c r="B38" s="38">
        <v>2</v>
      </c>
      <c r="C38" s="19">
        <f t="shared" si="5"/>
        <v>-0.65731085527847</v>
      </c>
      <c r="K38" s="38">
        <v>2</v>
      </c>
      <c r="L38" s="19">
        <f t="shared" si="6"/>
        <v>0.55535326247210759</v>
      </c>
      <c r="S38" s="29"/>
      <c r="T38" s="41"/>
      <c r="U38" s="29"/>
    </row>
    <row r="39" spans="2:36" x14ac:dyDescent="0.25">
      <c r="B39" s="38">
        <v>3</v>
      </c>
      <c r="C39" s="19">
        <f t="shared" si="5"/>
        <v>-0.65807264369020491</v>
      </c>
      <c r="K39" s="38">
        <v>3</v>
      </c>
      <c r="L39" s="19">
        <f t="shared" si="6"/>
        <v>0.50288597191513695</v>
      </c>
      <c r="S39" s="29"/>
      <c r="T39" s="41"/>
      <c r="U39" s="29"/>
    </row>
    <row r="40" spans="2:36" x14ac:dyDescent="0.25">
      <c r="B40" s="38">
        <v>4</v>
      </c>
      <c r="C40" s="19">
        <f t="shared" si="5"/>
        <v>-0.65883443210193993</v>
      </c>
      <c r="K40" s="38">
        <v>4</v>
      </c>
      <c r="L40" s="19">
        <f t="shared" si="6"/>
        <v>0.45041868135816632</v>
      </c>
      <c r="S40" s="29"/>
      <c r="T40" s="41"/>
      <c r="U40" s="29"/>
    </row>
    <row r="41" spans="2:36" x14ac:dyDescent="0.25">
      <c r="B41" s="38">
        <v>5</v>
      </c>
      <c r="C41" s="19">
        <f t="shared" si="5"/>
        <v>-0.65959622051367495</v>
      </c>
      <c r="K41" s="38">
        <v>5</v>
      </c>
      <c r="L41" s="19">
        <f t="shared" si="6"/>
        <v>0.39795139080119574</v>
      </c>
      <c r="S41" s="29"/>
      <c r="T41" s="41"/>
      <c r="U41" s="29"/>
    </row>
    <row r="42" spans="2:36" x14ac:dyDescent="0.25">
      <c r="B42" s="38">
        <v>6</v>
      </c>
      <c r="C42" s="19">
        <f t="shared" si="5"/>
        <v>-0.66035800892540997</v>
      </c>
      <c r="K42" s="38">
        <v>6</v>
      </c>
      <c r="L42" s="19">
        <f t="shared" si="6"/>
        <v>0.34548410024422516</v>
      </c>
      <c r="S42" s="29"/>
      <c r="T42" s="41"/>
      <c r="U42" s="29"/>
    </row>
    <row r="43" spans="2:36" x14ac:dyDescent="0.25">
      <c r="B43" s="38">
        <v>7</v>
      </c>
      <c r="C43" s="19">
        <f t="shared" si="5"/>
        <v>-0.66111979733714499</v>
      </c>
      <c r="K43" s="38">
        <v>7</v>
      </c>
      <c r="L43" s="19">
        <f t="shared" si="6"/>
        <v>0.29301680968725452</v>
      </c>
      <c r="S43" s="29"/>
      <c r="T43" s="41"/>
      <c r="U43" s="29"/>
    </row>
    <row r="44" spans="2:36" x14ac:dyDescent="0.25">
      <c r="B44" s="38">
        <v>8</v>
      </c>
      <c r="C44" s="19">
        <f t="shared" si="5"/>
        <v>-0.66188158574888001</v>
      </c>
      <c r="K44" s="38">
        <v>8</v>
      </c>
      <c r="L44" s="19">
        <f t="shared" si="6"/>
        <v>0.24054951913028394</v>
      </c>
      <c r="S44" s="29"/>
      <c r="T44" s="41"/>
      <c r="U44" s="29"/>
    </row>
    <row r="45" spans="2:36" x14ac:dyDescent="0.25">
      <c r="B45" s="38">
        <v>9</v>
      </c>
      <c r="C45" s="19">
        <f t="shared" si="5"/>
        <v>-0.66264337416061492</v>
      </c>
      <c r="K45" s="38">
        <v>9</v>
      </c>
      <c r="L45" s="19">
        <f t="shared" si="6"/>
        <v>0.18808222857331336</v>
      </c>
      <c r="S45" s="29"/>
      <c r="T45" s="41"/>
      <c r="U45" s="29"/>
    </row>
    <row r="46" spans="2:36" x14ac:dyDescent="0.25">
      <c r="B46" s="38">
        <v>10</v>
      </c>
      <c r="C46" s="19">
        <f t="shared" si="5"/>
        <v>-0.66340516257234994</v>
      </c>
      <c r="K46" s="38">
        <v>10</v>
      </c>
      <c r="L46" s="19">
        <f t="shared" si="6"/>
        <v>0.13561493801634272</v>
      </c>
      <c r="S46" s="29"/>
      <c r="T46" s="41"/>
      <c r="U46" s="29"/>
    </row>
    <row r="47" spans="2:36" x14ac:dyDescent="0.25">
      <c r="B47" s="38">
        <v>11</v>
      </c>
      <c r="C47" s="19">
        <f t="shared" si="5"/>
        <v>-0.66416695098408496</v>
      </c>
      <c r="K47" s="38">
        <v>11</v>
      </c>
      <c r="L47" s="19">
        <f t="shared" si="6"/>
        <v>8.3147647459372087E-2</v>
      </c>
      <c r="S47" s="29"/>
      <c r="T47" s="41"/>
      <c r="U47" s="29"/>
    </row>
    <row r="48" spans="2:36" x14ac:dyDescent="0.25">
      <c r="B48" s="38">
        <v>12</v>
      </c>
      <c r="C48" s="19">
        <f t="shared" si="5"/>
        <v>-0.66492873939581998</v>
      </c>
      <c r="K48" s="38">
        <v>12</v>
      </c>
      <c r="L48" s="19">
        <f t="shared" si="6"/>
        <v>3.0680356902401562E-2</v>
      </c>
      <c r="S48" s="29"/>
      <c r="T48" s="41"/>
      <c r="U48" s="29"/>
    </row>
    <row r="49" spans="2:21" x14ac:dyDescent="0.25">
      <c r="B49" s="38">
        <v>13</v>
      </c>
      <c r="C49" s="19">
        <f t="shared" si="5"/>
        <v>-0.665690527807555</v>
      </c>
      <c r="K49" s="38">
        <v>13</v>
      </c>
      <c r="L49" s="19">
        <f t="shared" si="6"/>
        <v>-2.1786933654569074E-2</v>
      </c>
      <c r="S49" s="29"/>
      <c r="T49" s="41"/>
      <c r="U49" s="29"/>
    </row>
    <row r="50" spans="2:21" x14ac:dyDescent="0.25">
      <c r="B50" s="38">
        <v>14</v>
      </c>
      <c r="C50" s="19">
        <f t="shared" si="5"/>
        <v>-0.66645231621929002</v>
      </c>
      <c r="K50" s="38">
        <v>14</v>
      </c>
      <c r="L50" s="19">
        <f t="shared" si="6"/>
        <v>-7.425422421153971E-2</v>
      </c>
      <c r="S50" s="29"/>
      <c r="T50" s="41"/>
      <c r="U50" s="29"/>
    </row>
    <row r="51" spans="2:21" x14ac:dyDescent="0.25">
      <c r="B51" s="38">
        <v>15</v>
      </c>
      <c r="C51" s="19">
        <f t="shared" si="5"/>
        <v>-0.66721410463102493</v>
      </c>
      <c r="K51" s="38">
        <v>15</v>
      </c>
      <c r="L51" s="19">
        <f t="shared" si="6"/>
        <v>-0.12672151476851023</v>
      </c>
      <c r="S51" s="29"/>
      <c r="T51" s="41"/>
      <c r="U51" s="29"/>
    </row>
    <row r="52" spans="2:21" x14ac:dyDescent="0.25">
      <c r="B52" s="38">
        <v>16</v>
      </c>
      <c r="C52" s="19">
        <f t="shared" si="5"/>
        <v>-0.66797589304275995</v>
      </c>
      <c r="K52" s="38">
        <v>16</v>
      </c>
      <c r="L52" s="19">
        <f t="shared" si="6"/>
        <v>-0.17918880532548087</v>
      </c>
      <c r="S52" s="29"/>
      <c r="T52" s="41"/>
      <c r="U52" s="29"/>
    </row>
    <row r="53" spans="2:21" x14ac:dyDescent="0.25">
      <c r="B53" s="38">
        <v>17</v>
      </c>
      <c r="C53" s="19">
        <f t="shared" si="5"/>
        <v>-0.66873768145449497</v>
      </c>
      <c r="K53" s="38">
        <v>17</v>
      </c>
      <c r="L53" s="19">
        <f t="shared" si="6"/>
        <v>-0.23165609588245151</v>
      </c>
      <c r="S53" s="29"/>
      <c r="T53" s="41"/>
      <c r="U53" s="29"/>
    </row>
    <row r="54" spans="2:21" x14ac:dyDescent="0.25">
      <c r="B54" s="38">
        <v>18</v>
      </c>
      <c r="C54" s="19">
        <f t="shared" si="5"/>
        <v>-0.66949946986622999</v>
      </c>
      <c r="K54" s="38">
        <v>18</v>
      </c>
      <c r="L54" s="19">
        <f t="shared" si="6"/>
        <v>-0.28412338643942203</v>
      </c>
      <c r="S54" s="29"/>
      <c r="T54" s="41"/>
      <c r="U54" s="29"/>
    </row>
    <row r="55" spans="2:21" x14ac:dyDescent="0.25">
      <c r="B55" s="38">
        <v>19</v>
      </c>
      <c r="C55" s="19">
        <f t="shared" si="5"/>
        <v>-0.67026125827796501</v>
      </c>
      <c r="K55" s="38">
        <v>19</v>
      </c>
      <c r="L55" s="19">
        <f t="shared" si="6"/>
        <v>-0.33659067699639267</v>
      </c>
      <c r="S55" s="29"/>
      <c r="T55" s="41"/>
      <c r="U55" s="29"/>
    </row>
    <row r="56" spans="2:21" x14ac:dyDescent="0.25">
      <c r="B56" s="38">
        <v>20</v>
      </c>
      <c r="C56" s="19">
        <f t="shared" si="5"/>
        <v>-0.67102304668970003</v>
      </c>
      <c r="K56" s="38">
        <v>20</v>
      </c>
      <c r="L56" s="19">
        <f t="shared" si="6"/>
        <v>-0.3890579675533633</v>
      </c>
      <c r="S56" s="23"/>
      <c r="T56" s="40"/>
      <c r="U56" s="39"/>
    </row>
    <row r="57" spans="2:21" x14ac:dyDescent="0.25">
      <c r="S57" s="23"/>
      <c r="U57" s="24"/>
    </row>
    <row r="58" spans="2:21" x14ac:dyDescent="0.25">
      <c r="S58" s="23"/>
      <c r="U58" s="24"/>
    </row>
    <row r="59" spans="2:21" x14ac:dyDescent="0.25">
      <c r="S59" s="23"/>
      <c r="U59" s="24"/>
    </row>
    <row r="60" spans="2:21" x14ac:dyDescent="0.25">
      <c r="B60" s="59" t="s">
        <v>20</v>
      </c>
      <c r="C60" s="59"/>
      <c r="D60" s="59"/>
      <c r="E60" s="59"/>
      <c r="F60" s="59"/>
      <c r="G60" s="59"/>
      <c r="H60" s="59"/>
      <c r="I60" s="59"/>
      <c r="K60" s="59" t="s">
        <v>21</v>
      </c>
      <c r="L60" s="59"/>
      <c r="M60" s="59"/>
      <c r="N60" s="59"/>
      <c r="O60" s="59"/>
      <c r="P60" s="59"/>
      <c r="Q60" s="59"/>
      <c r="R60" s="60"/>
      <c r="S60" s="23"/>
      <c r="U60" s="24"/>
    </row>
    <row r="61" spans="2:21" ht="22.5" customHeight="1" x14ac:dyDescent="0.25">
      <c r="B61" s="53"/>
      <c r="C61" s="53"/>
      <c r="D61" s="53"/>
      <c r="E61" s="53"/>
      <c r="F61" s="53"/>
      <c r="G61" s="53"/>
      <c r="H61" s="53"/>
      <c r="I61" s="53"/>
      <c r="K61" s="53"/>
      <c r="L61" s="53"/>
      <c r="M61" s="53"/>
      <c r="N61" s="53"/>
      <c r="O61" s="53"/>
      <c r="P61" s="53"/>
      <c r="Q61" s="53"/>
      <c r="R61" s="54"/>
      <c r="S61" s="23"/>
      <c r="U61" s="24"/>
    </row>
    <row r="62" spans="2:21" x14ac:dyDescent="0.25">
      <c r="B62" s="35" t="s">
        <v>16</v>
      </c>
      <c r="C62" s="36"/>
      <c r="K62" s="35" t="s">
        <v>16</v>
      </c>
      <c r="L62" s="36"/>
      <c r="S62" s="23"/>
      <c r="U62" s="24"/>
    </row>
    <row r="63" spans="2:21" x14ac:dyDescent="0.25">
      <c r="B63" s="38">
        <v>-5</v>
      </c>
      <c r="C63" s="13">
        <f>$K$16+$J$16*B63</f>
        <v>-5.585224209676288E-4</v>
      </c>
      <c r="K63" s="38">
        <v>-5</v>
      </c>
      <c r="L63" s="19">
        <f>$G$21+$B$21*K63</f>
        <v>0.2700874375536092</v>
      </c>
      <c r="S63" s="23"/>
      <c r="U63" s="24"/>
    </row>
    <row r="64" spans="2:21" x14ac:dyDescent="0.25">
      <c r="B64" s="38">
        <v>-4</v>
      </c>
      <c r="C64" s="13">
        <f t="shared" ref="C64:C88" si="7">$K$16+$J$16*B64</f>
        <v>-5.546079706187858E-4</v>
      </c>
      <c r="K64" s="38">
        <v>-4</v>
      </c>
      <c r="L64" s="19">
        <f t="shared" ref="L64:L88" si="8">$G$21+$B$21*K64</f>
        <v>0.21686227303525241</v>
      </c>
      <c r="S64" s="23"/>
      <c r="U64" s="24"/>
    </row>
    <row r="65" spans="2:21" x14ac:dyDescent="0.25">
      <c r="B65" s="38">
        <v>-3</v>
      </c>
      <c r="C65" s="13">
        <f t="shared" si="7"/>
        <v>-5.5069352026994279E-4</v>
      </c>
      <c r="K65" s="38">
        <v>-3</v>
      </c>
      <c r="L65" s="19">
        <f t="shared" si="8"/>
        <v>0.16363710851689564</v>
      </c>
      <c r="S65" s="23"/>
      <c r="U65" s="24"/>
    </row>
    <row r="66" spans="2:21" x14ac:dyDescent="0.25">
      <c r="B66" s="38">
        <v>-2</v>
      </c>
      <c r="C66" s="13">
        <f t="shared" si="7"/>
        <v>-5.4677906992109978E-4</v>
      </c>
      <c r="K66" s="38">
        <v>-2</v>
      </c>
      <c r="L66" s="19">
        <f t="shared" si="8"/>
        <v>0.1104119439985389</v>
      </c>
      <c r="S66" s="23"/>
      <c r="U66" s="24"/>
    </row>
    <row r="67" spans="2:21" x14ac:dyDescent="0.25">
      <c r="B67" s="38">
        <v>-1</v>
      </c>
      <c r="C67" s="13">
        <f t="shared" si="7"/>
        <v>-5.4286461957225689E-4</v>
      </c>
      <c r="K67" s="38">
        <v>-1</v>
      </c>
      <c r="L67" s="19">
        <f t="shared" si="8"/>
        <v>5.7186779480182137E-2</v>
      </c>
      <c r="S67" s="46"/>
      <c r="T67" s="47"/>
      <c r="U67" s="48"/>
    </row>
    <row r="68" spans="2:21" x14ac:dyDescent="0.25">
      <c r="B68" s="38">
        <v>0</v>
      </c>
      <c r="C68" s="13">
        <f t="shared" si="7"/>
        <v>-5.3895016922341388E-4</v>
      </c>
      <c r="K68" s="38">
        <v>0</v>
      </c>
      <c r="L68" s="19">
        <f t="shared" si="8"/>
        <v>3.9616149618253811E-3</v>
      </c>
    </row>
    <row r="69" spans="2:21" x14ac:dyDescent="0.25">
      <c r="B69" s="38">
        <v>1</v>
      </c>
      <c r="C69" s="13">
        <f t="shared" si="7"/>
        <v>-5.3503571887457088E-4</v>
      </c>
      <c r="K69" s="38">
        <v>1</v>
      </c>
      <c r="L69" s="19">
        <f t="shared" si="8"/>
        <v>-4.926354955653138E-2</v>
      </c>
    </row>
    <row r="70" spans="2:21" x14ac:dyDescent="0.25">
      <c r="B70" s="38">
        <v>2</v>
      </c>
      <c r="C70" s="13">
        <f t="shared" si="7"/>
        <v>-5.3112126852572798E-4</v>
      </c>
      <c r="K70" s="38">
        <v>2</v>
      </c>
      <c r="L70" s="19">
        <f t="shared" si="8"/>
        <v>-0.10248871407488813</v>
      </c>
    </row>
    <row r="71" spans="2:21" x14ac:dyDescent="0.25">
      <c r="B71" s="38">
        <v>3</v>
      </c>
      <c r="C71" s="13">
        <f t="shared" si="7"/>
        <v>-5.2720681817688497E-4</v>
      </c>
      <c r="K71" s="38">
        <v>3</v>
      </c>
      <c r="L71" s="19">
        <f t="shared" si="8"/>
        <v>-0.1557138785932449</v>
      </c>
    </row>
    <row r="72" spans="2:21" x14ac:dyDescent="0.25">
      <c r="B72" s="38">
        <v>4</v>
      </c>
      <c r="C72" s="13">
        <f t="shared" si="7"/>
        <v>-5.2329236782804197E-4</v>
      </c>
      <c r="K72" s="38">
        <v>4</v>
      </c>
      <c r="L72" s="19">
        <f t="shared" si="8"/>
        <v>-0.20893904311160166</v>
      </c>
    </row>
    <row r="73" spans="2:21" x14ac:dyDescent="0.25">
      <c r="B73" s="38">
        <v>5</v>
      </c>
      <c r="C73" s="13">
        <f t="shared" si="7"/>
        <v>-5.1937791747919896E-4</v>
      </c>
      <c r="K73" s="38">
        <v>5</v>
      </c>
      <c r="L73" s="19">
        <f t="shared" si="8"/>
        <v>-0.2621642076299584</v>
      </c>
    </row>
    <row r="74" spans="2:21" x14ac:dyDescent="0.25">
      <c r="B74" s="38">
        <v>6</v>
      </c>
      <c r="C74" s="13">
        <f t="shared" si="7"/>
        <v>-5.1546346713035607E-4</v>
      </c>
      <c r="K74" s="38">
        <v>6</v>
      </c>
      <c r="L74" s="19">
        <f t="shared" si="8"/>
        <v>-0.31538937214831514</v>
      </c>
    </row>
    <row r="75" spans="2:21" x14ac:dyDescent="0.25">
      <c r="B75" s="38">
        <v>7</v>
      </c>
      <c r="C75" s="13">
        <f t="shared" si="7"/>
        <v>-5.1154901678151306E-4</v>
      </c>
      <c r="K75" s="38">
        <v>7</v>
      </c>
      <c r="L75" s="19">
        <f t="shared" si="8"/>
        <v>-0.36861453666667193</v>
      </c>
    </row>
    <row r="76" spans="2:21" x14ac:dyDescent="0.25">
      <c r="B76" s="38">
        <v>8</v>
      </c>
      <c r="C76" s="13">
        <f t="shared" si="7"/>
        <v>-5.0763456643267005E-4</v>
      </c>
      <c r="K76" s="38">
        <v>8</v>
      </c>
      <c r="L76" s="19">
        <f t="shared" si="8"/>
        <v>-0.42183970118502867</v>
      </c>
    </row>
    <row r="77" spans="2:21" x14ac:dyDescent="0.25">
      <c r="B77" s="38">
        <v>9</v>
      </c>
      <c r="C77" s="13">
        <f t="shared" si="7"/>
        <v>-5.0372011608382705E-4</v>
      </c>
      <c r="K77" s="38">
        <v>9</v>
      </c>
      <c r="L77" s="19">
        <f t="shared" si="8"/>
        <v>-0.47506486570338541</v>
      </c>
    </row>
    <row r="78" spans="2:21" x14ac:dyDescent="0.25">
      <c r="B78" s="38">
        <v>10</v>
      </c>
      <c r="C78" s="13">
        <f t="shared" si="7"/>
        <v>-4.9980566573498415E-4</v>
      </c>
      <c r="K78" s="38">
        <v>10</v>
      </c>
      <c r="L78" s="19">
        <f t="shared" si="8"/>
        <v>-0.52829003022174226</v>
      </c>
    </row>
    <row r="79" spans="2:21" x14ac:dyDescent="0.25">
      <c r="B79" s="38">
        <v>11</v>
      </c>
      <c r="C79" s="13">
        <f t="shared" si="7"/>
        <v>-4.9589121538614115E-4</v>
      </c>
      <c r="K79" s="38">
        <v>11</v>
      </c>
      <c r="L79" s="19">
        <f t="shared" si="8"/>
        <v>-0.58151519474009905</v>
      </c>
    </row>
    <row r="80" spans="2:21" x14ac:dyDescent="0.25">
      <c r="B80" s="38">
        <v>12</v>
      </c>
      <c r="C80" s="13">
        <f t="shared" si="7"/>
        <v>-4.9197676503729814E-4</v>
      </c>
      <c r="K80" s="38">
        <v>12</v>
      </c>
      <c r="L80" s="19">
        <f t="shared" si="8"/>
        <v>-0.63474035925845573</v>
      </c>
    </row>
    <row r="81" spans="2:12" x14ac:dyDescent="0.25">
      <c r="B81" s="38">
        <v>13</v>
      </c>
      <c r="C81" s="13">
        <f t="shared" si="7"/>
        <v>-4.8806231468845519E-4</v>
      </c>
      <c r="K81" s="38">
        <v>13</v>
      </c>
      <c r="L81" s="19">
        <f t="shared" si="8"/>
        <v>-0.68796552377681253</v>
      </c>
    </row>
    <row r="82" spans="2:12" x14ac:dyDescent="0.25">
      <c r="B82" s="38">
        <v>14</v>
      </c>
      <c r="C82" s="13">
        <f t="shared" si="7"/>
        <v>-4.8414786433961224E-4</v>
      </c>
      <c r="K82" s="38">
        <v>14</v>
      </c>
      <c r="L82" s="19">
        <f t="shared" si="8"/>
        <v>-0.74119068829516932</v>
      </c>
    </row>
    <row r="83" spans="2:12" x14ac:dyDescent="0.25">
      <c r="B83" s="38">
        <v>15</v>
      </c>
      <c r="C83" s="13">
        <f t="shared" si="7"/>
        <v>-4.8023341399076923E-4</v>
      </c>
      <c r="K83" s="38">
        <v>15</v>
      </c>
      <c r="L83" s="19">
        <f t="shared" si="8"/>
        <v>-0.794415852813526</v>
      </c>
    </row>
    <row r="84" spans="2:12" x14ac:dyDescent="0.25">
      <c r="B84" s="38">
        <v>16</v>
      </c>
      <c r="C84" s="13">
        <f t="shared" si="7"/>
        <v>-4.7631896364192628E-4</v>
      </c>
      <c r="K84" s="38">
        <v>16</v>
      </c>
      <c r="L84" s="19">
        <f t="shared" si="8"/>
        <v>-0.8476410173318828</v>
      </c>
    </row>
    <row r="85" spans="2:12" x14ac:dyDescent="0.25">
      <c r="B85" s="38">
        <v>17</v>
      </c>
      <c r="C85" s="13">
        <f t="shared" si="7"/>
        <v>-4.7240451329308333E-4</v>
      </c>
      <c r="K85" s="38">
        <v>17</v>
      </c>
      <c r="L85" s="19">
        <f t="shared" si="8"/>
        <v>-0.90086618185023959</v>
      </c>
    </row>
    <row r="86" spans="2:12" x14ac:dyDescent="0.25">
      <c r="B86" s="38">
        <v>18</v>
      </c>
      <c r="C86" s="13">
        <f t="shared" si="7"/>
        <v>-4.6849006294424032E-4</v>
      </c>
      <c r="K86" s="38">
        <v>18</v>
      </c>
      <c r="L86" s="19">
        <f t="shared" si="8"/>
        <v>-0.95409134636859627</v>
      </c>
    </row>
    <row r="87" spans="2:12" x14ac:dyDescent="0.25">
      <c r="B87" s="38">
        <v>19</v>
      </c>
      <c r="C87" s="13">
        <f t="shared" si="7"/>
        <v>-4.6457561259539737E-4</v>
      </c>
      <c r="K87" s="38">
        <v>19</v>
      </c>
      <c r="L87" s="19">
        <f t="shared" si="8"/>
        <v>-1.0073165108869531</v>
      </c>
    </row>
    <row r="88" spans="2:12" x14ac:dyDescent="0.25">
      <c r="B88" s="38">
        <v>20</v>
      </c>
      <c r="C88" s="13">
        <f t="shared" si="7"/>
        <v>-4.6066116224655437E-4</v>
      </c>
      <c r="K88" s="38">
        <v>20</v>
      </c>
      <c r="L88" s="19">
        <f t="shared" si="8"/>
        <v>-1.0605416754053099</v>
      </c>
    </row>
  </sheetData>
  <mergeCells count="109">
    <mergeCell ref="B2:K2"/>
    <mergeCell ref="B3:K3"/>
    <mergeCell ref="AB3:AC3"/>
    <mergeCell ref="AI3:AJ3"/>
    <mergeCell ref="B4:K4"/>
    <mergeCell ref="AB4:AC4"/>
    <mergeCell ref="AI4:AJ4"/>
    <mergeCell ref="AI7:AJ7"/>
    <mergeCell ref="B8:N8"/>
    <mergeCell ref="AB8:AC8"/>
    <mergeCell ref="AI8:AJ8"/>
    <mergeCell ref="B9:N9"/>
    <mergeCell ref="AB9:AC9"/>
    <mergeCell ref="AI9:AJ9"/>
    <mergeCell ref="B5:F5"/>
    <mergeCell ref="G5:H5"/>
    <mergeCell ref="I5:K5"/>
    <mergeCell ref="AB5:AC5"/>
    <mergeCell ref="AI5:AJ5"/>
    <mergeCell ref="G6:H7"/>
    <mergeCell ref="I6:K7"/>
    <mergeCell ref="AB6:AC6"/>
    <mergeCell ref="AI6:AJ6"/>
    <mergeCell ref="AB7:AC7"/>
    <mergeCell ref="B13:K13"/>
    <mergeCell ref="AB13:AC13"/>
    <mergeCell ref="AI13:AJ13"/>
    <mergeCell ref="B14:K14"/>
    <mergeCell ref="AB14:AC14"/>
    <mergeCell ref="AI14:AJ14"/>
    <mergeCell ref="B10:L10"/>
    <mergeCell ref="AB10:AC10"/>
    <mergeCell ref="AI10:AJ10"/>
    <mergeCell ref="M11:M12"/>
    <mergeCell ref="N11:N12"/>
    <mergeCell ref="AB11:AC11"/>
    <mergeCell ref="AI11:AJ11"/>
    <mergeCell ref="AB12:AC12"/>
    <mergeCell ref="AI12:AJ12"/>
    <mergeCell ref="B15:I15"/>
    <mergeCell ref="AB15:AC15"/>
    <mergeCell ref="AI15:AJ15"/>
    <mergeCell ref="E16:F16"/>
    <mergeCell ref="G16:I16"/>
    <mergeCell ref="J16:J17"/>
    <mergeCell ref="K16:K17"/>
    <mergeCell ref="AB16:AC16"/>
    <mergeCell ref="AI16:AJ16"/>
    <mergeCell ref="E17:F17"/>
    <mergeCell ref="B19:K19"/>
    <mergeCell ref="AB19:AC19"/>
    <mergeCell ref="AI19:AJ19"/>
    <mergeCell ref="B20:F20"/>
    <mergeCell ref="G20:K20"/>
    <mergeCell ref="AB20:AC20"/>
    <mergeCell ref="AI20:AJ20"/>
    <mergeCell ref="G17:I17"/>
    <mergeCell ref="AB17:AC17"/>
    <mergeCell ref="AI17:AJ17"/>
    <mergeCell ref="B18:K18"/>
    <mergeCell ref="AB18:AC18"/>
    <mergeCell ref="AI18:AJ18"/>
    <mergeCell ref="B23:G23"/>
    <mergeCell ref="I23:U23"/>
    <mergeCell ref="AB23:AC23"/>
    <mergeCell ref="AI23:AJ23"/>
    <mergeCell ref="B24:G24"/>
    <mergeCell ref="I24:U24"/>
    <mergeCell ref="AB24:AC24"/>
    <mergeCell ref="AI24:AJ24"/>
    <mergeCell ref="B21:F21"/>
    <mergeCell ref="G21:K21"/>
    <mergeCell ref="M21:O21"/>
    <mergeCell ref="AB21:AC21"/>
    <mergeCell ref="AI21:AJ21"/>
    <mergeCell ref="AB22:AC22"/>
    <mergeCell ref="AI22:AJ22"/>
    <mergeCell ref="B25:D25"/>
    <mergeCell ref="E25:G25"/>
    <mergeCell ref="I25:I26"/>
    <mergeCell ref="S25:T25"/>
    <mergeCell ref="AB25:AC25"/>
    <mergeCell ref="AI25:AJ25"/>
    <mergeCell ref="B26:D26"/>
    <mergeCell ref="E26:G26"/>
    <mergeCell ref="S26:T26"/>
    <mergeCell ref="AB26:AC26"/>
    <mergeCell ref="B29:I29"/>
    <mergeCell ref="K29:R29"/>
    <mergeCell ref="AB29:AC29"/>
    <mergeCell ref="AI29:AJ29"/>
    <mergeCell ref="AB30:AC30"/>
    <mergeCell ref="AI30:AJ30"/>
    <mergeCell ref="AI26:AJ26"/>
    <mergeCell ref="AB27:AC27"/>
    <mergeCell ref="AI27:AJ27"/>
    <mergeCell ref="B28:I28"/>
    <mergeCell ref="K28:R28"/>
    <mergeCell ref="AB28:AC28"/>
    <mergeCell ref="AI28:AJ28"/>
    <mergeCell ref="B61:I61"/>
    <mergeCell ref="K61:R61"/>
    <mergeCell ref="AB31:AC31"/>
    <mergeCell ref="AI31:AJ31"/>
    <mergeCell ref="AB32:AC32"/>
    <mergeCell ref="AI32:AJ32"/>
    <mergeCell ref="AG33:AH33"/>
    <mergeCell ref="B60:I60"/>
    <mergeCell ref="K60:R60"/>
  </mergeCells>
  <dataValidations count="34">
    <dataValidation allowBlank="1" showInputMessage="1" showErrorMessage="1" promptTitle="C_m0t" prompt="C_m0t: Coeficiente de momento de arfagem gerado pela empenagem h. para o ângulo de ataque nulo._x000a__x000a_Unidade: Adimensional." sqref="N10" xr:uid="{00000000-0002-0000-0000-000000000000}"/>
    <dataValidation allowBlank="1" showInputMessage="1" showErrorMessage="1" promptTitle="C_mαt" prompt="C_mαt: Coeficiente angular da curva de momento de arfagem gerado pela empenagem h._x000a__x000a_Unidade: 1/graus." sqref="M10" xr:uid="{00000000-0002-0000-0000-000001000000}"/>
    <dataValidation allowBlank="1" showInputMessage="1" showErrorMessage="1" promptTitle="lt" prompt="lt: Distância horizontal do centro aerodinâmico da empenagem h. ate o centro de gravidade._x000a__x000a_Unidade: m." sqref="K11" xr:uid="{00000000-0002-0000-0000-000002000000}"/>
    <dataValidation allowBlank="1" showInputMessage="1" showErrorMessage="1" promptTitle="C_mact" prompt="C_mact: Coeficiente do momento característico ao redor do centro aerodinâmico da empenagem h._x000a__x000a_Unidade: Adimensional._x000a__x000a_Origem: Aerodinâmica. " sqref="L11" xr:uid="{00000000-0002-0000-0000-000003000000}"/>
    <dataValidation allowBlank="1" showInputMessage="1" showErrorMessage="1" promptTitle="ct ̅ " prompt="ct ̅  : Corda média aerodinâmica da empenagem h._x000a__x000a_Unidade: m._x000a__x000a_Origem: Aerodinâmica." sqref="J11" xr:uid="{00000000-0002-0000-0000-000004000000}"/>
    <dataValidation allowBlank="1" showInputMessage="1" showErrorMessage="1" promptTitle="C_L0t" prompt="C_L0t: Coeficiente de sustentação da empenagem h. para o ângulo de ataque nulo._x000a__x000a_Unidade: Adimensional._x000a__x000a_Origem: Aerodinâmica." sqref="I11" xr:uid="{00000000-0002-0000-0000-000005000000}"/>
    <dataValidation allowBlank="1" showInputMessage="1" showErrorMessage="1" promptTitle="C_Lαw" prompt="C_Lαw : Coeficiente angular da curva CL versus alfa da asa._x000a__x000a_Unidade: 1/graus._x000a__x000a_Origem : Aerodinâmica._x000a_" sqref="B6" xr:uid="{00000000-0002-0000-0000-000006000000}"/>
    <dataValidation allowBlank="1" showInputMessage="1" showErrorMessage="1" promptTitle="(h_CG ) ̅" prompt="(h_CG ) ̅  : Posição do CG em porcentagem da corda média aerodinâmica da asa._x000a__x000a_Unidade: Adimensional._x000a__x000a_Origem: Estabilidade e Controle." sqref="C6" xr:uid="{00000000-0002-0000-0000-000007000000}"/>
    <dataValidation allowBlank="1" showInputMessage="1" showErrorMessage="1" promptTitle="(h_ac ) ̅ " prompt="(h_ac ) ̅  : Posição do centro aerodinâmico da asa em porcentagem da corda média aerodinâmica da asa._x000a__x000a_Unidade: Adimensional._x000a__x000a_Origem: Aerodinâmica. " sqref="D6" xr:uid="{00000000-0002-0000-0000-000008000000}"/>
    <dataValidation allowBlank="1" showInputMessage="1" showErrorMessage="1" promptTitle="C_macw" prompt="C_macw: Coeficiente do momento característico ao redor do centro aerodinâmico da asa._x000a__x000a_Unidade: Adimensional._x000a__x000a_Origem: Aerodinâmica. " sqref="E6" xr:uid="{00000000-0002-0000-0000-000009000000}"/>
    <dataValidation allowBlank="1" showInputMessage="1" showErrorMessage="1" promptTitle="C_L0w" prompt="C_L0w: Coeficiente de sustentação da asa para o ângulo de ataque nulo._x000a__x000a_Unidade: Adimensional._x000a__x000a_Origem: Aerodinâmica." sqref="F6" xr:uid="{00000000-0002-0000-0000-00000A000000}"/>
    <dataValidation allowBlank="1" showInputMessage="1" showErrorMessage="1" promptTitle="C_mαw" prompt="C_mαw: Coeficiente angular da curva de momento de arfagem gerado pela asa._x000a__x000a_Unidade: 1/graus._x000a_" sqref="G5:H5" xr:uid="{00000000-0002-0000-0000-00000B000000}"/>
    <dataValidation allowBlank="1" showInputMessage="1" showErrorMessage="1" promptTitle="C_m0w" prompt="C_m0w: Coeficiente de momento de arfagem gerado pela asa para o ângulo de ataque nulo._x000a__x000a_Unidade: Adimensional." sqref="I5:K5" xr:uid="{00000000-0002-0000-0000-00000C000000}"/>
    <dataValidation allowBlank="1" showInputMessage="1" showErrorMessage="1" promptTitle="V_H" prompt="V_H: Volume de cauda horizontal._x000a__x000a_Unidade: Adimensional." sqref="B11" xr:uid="{00000000-0002-0000-0000-00000D000000}"/>
    <dataValidation allowBlank="1" showInputMessage="1" showErrorMessage="1" promptTitle="η" prompt="η : Eficiência de cauda horizontal._x000a__x000a_Unidade: Adimensional._x000a__x000a_Obs.: Pamadi pág 196." sqref="C11" xr:uid="{00000000-0002-0000-0000-00000E000000}"/>
    <dataValidation allowBlank="1" showInputMessage="1" showErrorMessage="1" promptTitle="C_Lαt" prompt="C_Lαt: Coeficiente angular da curva CL versus alfa da empenagem horizontal._x000a__x000a_Unidade: 1/graus._x000a__x000a_Origem: Aerodinâmica. " sqref="D11" xr:uid="{00000000-0002-0000-0000-00000F000000}"/>
    <dataValidation allowBlank="1" showInputMessage="1" showErrorMessage="1" promptTitle="d_ε/d_α " prompt="d_ε/d_α : Derivada da curva do ângulo de ataque induzido em relação ao ângulo de ataque._x000a__x000a_Unidade: Adimensional._x000a__x000a_Origem: Aerodinâmica" sqref="E11" xr:uid="{00000000-0002-0000-0000-000010000000}"/>
    <dataValidation allowBlank="1" showInputMessage="1" showErrorMessage="1" promptTitle="i_w" prompt="i_w:  Ângulo de incidência da asa._x000a__x000a_Unidade: graus._x000a__x000a_Origem: Aerodinâmica." sqref="F11" xr:uid="{00000000-0002-0000-0000-000011000000}"/>
    <dataValidation allowBlank="1" showInputMessage="1" showErrorMessage="1" promptTitle="i_t" prompt="i_t: Ângulo de incidência da empenagem horizontal._x000a__x000a_Unidade: graus._x000a_" sqref="G11" xr:uid="{00000000-0002-0000-0000-000012000000}"/>
    <dataValidation allowBlank="1" showInputMessage="1" showErrorMessage="1" promptTitle="ε_0" prompt="ε_0: Ângulo de ataque induzido (downwash) para ângulo de ataque nulo._x000a__x000a_Unidade: graus._x000a__x000a_Origem: Aerodinâmica." sqref="H11" xr:uid="{00000000-0002-0000-0000-000013000000}"/>
    <dataValidation allowBlank="1" showInputMessage="1" showErrorMessage="1" promptTitle="S " prompt="S: Área da asa._x000a__x000a_Unidade: m^2._x000a__x000a_Origem: Aerodinâmica." sqref="B16" xr:uid="{00000000-0002-0000-0000-000014000000}"/>
    <dataValidation allowBlank="1" showInputMessage="1" showErrorMessage="1" promptTitle="c ̅" prompt="c ̅  : Corda média aerodinâmica da asa._x000a__x000a_Unidade: m._x000a__x000a_Origem: Aerodinâmica." sqref="C16" xr:uid="{00000000-0002-0000-0000-000015000000}"/>
    <dataValidation allowBlank="1" showInputMessage="1" showErrorMessage="1" promptTitle="k_2-k_1" prompt="k_2-k_1: Fatores de correção da fuselagem._x000a__x000a_Unidade: Adimensional._x000a__x000a_Origem: Estabilidade e controle (gráfico - pág.51/54 - Nelson – pág.170 - Pamadi)." sqref="D16" xr:uid="{00000000-0002-0000-0000-000016000000}"/>
    <dataValidation allowBlank="1" showInputMessage="1" showErrorMessage="1" promptTitle="C_mαf" prompt="C_mαf: Coeficiente angular da curva de momento de arfagem gerado pela fuselagem._x000a__x000a_Unidade: 1/graus._x000a__x000a_" sqref="J15" xr:uid="{00000000-0002-0000-0000-000017000000}"/>
    <dataValidation allowBlank="1" showInputMessage="1" showErrorMessage="1" promptTitle="C_m0f" prompt="C_m0f: Coeficiente de momento de arfagem gerado pela fuselagem para o ângulo de ataque nulo._x000a__x000a_Unidade: Adimensional." sqref="K15" xr:uid="{00000000-0002-0000-0000-000018000000}"/>
    <dataValidation allowBlank="1" showInputMessage="1" showErrorMessage="1" promptTitle="C_mα" prompt="C_mα: Coeficiente angular da curva de momento de arfagem._x000a__x000a_Unidade: 1/graus._x000a__x000a_Obs.: C_mα tem que ser menor que zero para garantir a estabilidade longitudinal estática da aeronave._x000a_" sqref="B20:F20" xr:uid="{00000000-0002-0000-0000-000019000000}"/>
    <dataValidation allowBlank="1" showInputMessage="1" showErrorMessage="1" promptTitle="C_m0" prompt="C_m0: Coeficiente de momento de arfagem para o ângulo de ataque nulo._x000a__x000a_Unidade: Adimensional._x000a__x000a_Obs.: C_m0 tem que ser maior que zero para garantir a estabilidade longitudinal estática da aeronave. " sqref="G20:K20" xr:uid="{00000000-0002-0000-0000-00001A000000}"/>
    <dataValidation allowBlank="1" showInputMessage="1" showErrorMessage="1" promptTitle="w_f" prompt="w_f: Largura média das seções da fuselagem._x000a__x000a_Unidade: m." sqref="Z3 AF3" xr:uid="{00000000-0002-0000-0000-00001B000000}"/>
    <dataValidation allowBlank="1" showInputMessage="1" showErrorMessage="1" promptTitle="(∂ε_u)/∂α" prompt="(∂ε_u)/∂α :Variação do ângulo do escoamento local em função do ângulo de ataque._x000a__x000a_Unidade: Admensional._x000a__x000a_Origem: Estabilidade e Controle (gráfico – pág.51 – Nelson)." sqref="AH3" xr:uid="{00000000-0002-0000-0000-00001C000000}"/>
    <dataValidation allowBlank="1" showInputMessage="1" showErrorMessage="1" promptTitle="𝐶_𝑟𝑒" prompt="𝐶_𝑟𝑒 : Corda aerodinâmica na raiz da asa._x000a__x000a_Unidade: m." sqref="AD33" xr:uid="{00000000-0002-0000-0000-00001D000000}"/>
    <dataValidation allowBlank="1" showInputMessage="1" showErrorMessage="1" promptTitle="𝑙_ℎ" prompt="𝑙_ℎ : Distância (paralela a corda na raiz da asa) entre a borda de fuga da corda na raiz da asa e o centro aerodinamico da empenagem horizontal._x000a__x000a_Unidade: m." sqref="AF33" xr:uid="{00000000-0002-0000-0000-00001E000000}"/>
    <dataValidation allowBlank="1" showInputMessage="1" showErrorMessage="1" promptTitle="(ℎ_𝑃𝑁 ) ̅" prompt="(ℎ_𝑃𝑁 ) ̅  : Ponto neutro em % da c ̅._x000a__x000a_Unidade: Adimensional._x000a__x000a_Obs.: Para garantir a estabilidade longitudinal estática, o centro de gravidade tem que estar localizado antes da posição do ponto neutro, i.e., (ℎ_𝐶𝐺 ) ̅ &lt; (ℎ_𝑃𝑁 ) ̅  ._x000a_" sqref="B25:D25" xr:uid="{00000000-0002-0000-0000-00001F000000}"/>
    <dataValidation allowBlank="1" showInputMessage="1" showErrorMessage="1" promptTitle="ME" prompt="ME : Margem estática._x000a__x000a_Unidade: Adimensional._x000a__x000a_Obs.1: Quanto maior for a ME maior será a estabilidade do avião._x000a__x000a_Obs.2: 10%&lt;ME&lt;20% traz bons resultados quanto à estabilidade e manobrabilidade do avião (Rodrigues, pág 356)._x000a_" sqref="E25:G25" xr:uid="{00000000-0002-0000-0000-000020000000}"/>
    <dataValidation allowBlank="1" showInputMessage="1" showErrorMessage="1" promptTitle="Coeficiente de Arrasto Parasita " prompt="Para ângulo de Ataque nulo da Asa" sqref="M25" xr:uid="{FE49E6DA-CF83-4A51-8B07-3832B8DFA5D7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Biplano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Coelho</dc:creator>
  <cp:lastModifiedBy>laura</cp:lastModifiedBy>
  <dcterms:created xsi:type="dcterms:W3CDTF">2020-03-10T15:19:12Z</dcterms:created>
  <dcterms:modified xsi:type="dcterms:W3CDTF">2023-02-21T04:00:27Z</dcterms:modified>
</cp:coreProperties>
</file>