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el_gw1_bom" sheetId="1" state="visible" r:id="rId2"/>
  </sheets>
  <definedNames>
    <definedName function="false" hidden="false" localSheetId="0" name="BoardQty" vbProcedure="false">devel_gw1_bom!$I$1</definedName>
    <definedName function="false" hidden="false" localSheetId="0" name="PURCHASE_DESCRIPTION" vbProcedure="false">devel_gw1_bom!$I$38</definedName>
    <definedName function="false" hidden="false" localSheetId="0" name="TotalCost" vbProcedure="false">devel_gw1_bom!$I$3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1"/>
            <color rgb="FF000000"/>
            <rFont val="Calibri"/>
            <family val="2"/>
          </rPr>
          <t xml:space="preserve">Schematic identifier for each part.</t>
        </r>
      </text>
    </comment>
    <comment ref="B6" authorId="0">
      <text>
        <r>
          <rPr>
            <sz val="11"/>
            <color rgb="FF000000"/>
            <rFont val="Calibri"/>
            <family val="2"/>
          </rPr>
          <t xml:space="preserve">Value of each part.</t>
        </r>
      </text>
    </comment>
    <comment ref="C6" authorId="0">
      <text>
        <r>
          <rPr>
            <sz val="11"/>
            <color rgb="FF000000"/>
            <rFont val="Calibri"/>
            <family val="2"/>
          </rPr>
          <t xml:space="preserve">Description of each part.</t>
        </r>
      </text>
    </comment>
    <comment ref="D6" authorId="0">
      <text>
        <r>
          <rPr>
            <sz val="11"/>
            <color rgb="FF000000"/>
            <rFont val="Calibri"/>
            <family val="2"/>
          </rPr>
          <t xml:space="preserve">PCB footprint for each part.</t>
        </r>
      </text>
    </comment>
    <comment ref="E6" authorId="0">
      <text>
        <r>
          <rPr>
            <sz val="11"/>
            <color rgb="FF000000"/>
            <rFont val="Calibri"/>
            <family val="2"/>
          </rPr>
          <t xml:space="preserve">Manufacturer of each part.</t>
        </r>
      </text>
    </comment>
    <comment ref="F6" authorId="0">
      <text>
        <r>
          <rPr>
            <sz val="11"/>
            <color rgb="FF000000"/>
            <rFont val="Calibri"/>
            <family val="2"/>
          </rPr>
          <t xml:space="preserve"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11"/>
            <color rgb="FF000000"/>
            <rFont val="Calibri"/>
            <family val="2"/>
          </rPr>
          <t xml:space="preserve">Total number of each part needed.
Gray -&gt; No manf# provided.
Red -&gt; No parts available.
Orange -&gt; Not enough parts available.
Yellow -&gt; Parts available, but haven't purchased enough.</t>
        </r>
      </text>
    </comment>
    <comment ref="H3" authorId="0">
      <text>
        <r>
          <rPr>
            <sz val="11"/>
            <color rgb="FF000000"/>
            <rFont val="Calibri"/>
            <family val="2"/>
          </rPr>
          <t xml:space="preserve">Use the minimum extend price across distributors not taking account available quantities.</t>
        </r>
      </text>
    </comment>
    <comment ref="H6" authorId="0">
      <text>
        <r>
          <rPr>
            <sz val="11"/>
            <color rgb="FF000000"/>
            <rFont val="Calibri"/>
            <family val="2"/>
          </rPr>
          <t xml:space="preserve">Minimum unit price for each part across all distributors.</t>
        </r>
      </text>
    </comment>
    <comment ref="H37" authorId="0">
      <text>
        <r>
          <rPr>
            <sz val="11"/>
            <color rgb="FF000000"/>
            <rFont val="Calibri"/>
            <family val="2"/>
          </rPr>
          <t xml:space="preserve">This is the total of your cart across all distributors.</t>
        </r>
      </text>
    </comment>
    <comment ref="H38" authorId="0">
      <text>
        <r>
          <rPr>
            <sz val="11"/>
            <color rgb="FF000000"/>
            <rFont val="Calibri"/>
            <family val="2"/>
          </rPr>
          <t xml:space="preserve">This description will be added to all purchased parts label and may be used to distinguish the component of different projects.</t>
        </r>
      </text>
    </comment>
    <comment ref="I6" authorId="0">
      <text>
        <r>
          <rPr>
            <sz val="11"/>
            <color rgb="FF000000"/>
            <rFont val="Calibri"/>
            <family val="2"/>
          </rPr>
          <t xml:space="preserve">Minimum extended price for each part across all distributors.</t>
        </r>
      </text>
    </comment>
    <comment ref="J6" authorId="0">
      <text>
        <r>
          <rPr>
            <sz val="11"/>
            <color rgb="FF000000"/>
            <rFont val="Calibri"/>
            <family val="2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11"/>
            <color rgb="FF000000"/>
            <rFont val="Calibri"/>
            <family val="2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K37" authorId="0">
      <text>
        <r>
          <rPr>
            <sz val="11"/>
            <color rgb="FF000000"/>
            <rFont val="Calibri"/>
            <family val="2"/>
          </rPr>
          <t xml:space="preserve">Copy the information below to the BOM import page of the distributor web site.</t>
        </r>
      </text>
    </comment>
    <comment ref="L6" authorId="0">
      <text>
        <r>
          <rPr>
            <sz val="11"/>
            <color rgb="FF000000"/>
            <rFont val="Calibri"/>
            <family val="2"/>
          </rPr>
          <t xml:space="preserve">Unit price of each part from this distributor.
Green -&gt; lowest price across distributors.</t>
        </r>
      </text>
    </comment>
    <comment ref="L7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$0.06      $0.61
    50   $0.04      $1.76
   100   $0.03      $2.72
   500   $0.02     $10.25
  1000   $0.02     $16.11
  2500   $0.01     $36.60
  5000   $0.01     $67.35</t>
        </r>
      </text>
    </comment>
    <comment ref="L8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$0.18      $0.18
    10   $0.12      $1.22
    50   $0.07      $3.64
   100   $0.06      $5.72
   500   $0.04     $21.13
  1000   $0.03     $34.99</t>
        </r>
      </text>
    </comment>
    <comment ref="L9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$0.13      $0.13
    10   $0.09      $0.89
    50   $0.05      $2.65
   100   $0.04      $4.17
   500   $0.03     $15.40
  1000   $0.03     $25.50</t>
        </r>
      </text>
    </comment>
    <comment ref="L10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$0.15      $0.15
    10   $0.11      $1.08
   100   $0.06      $5.83
   500   $0.05     $22.91
  1000   $0.03     $31.82</t>
        </r>
      </text>
    </comment>
    <comment ref="L11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$0.20      $0.20
    10   $0.14      $1.41
   100   $0.08      $7.61
   500   $0.06     $29.89
  1000   $0.04     $41.51</t>
        </r>
      </text>
    </comment>
    <comment ref="L13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$0.05      $0.51
   100   $0.04      $3.74
   500   $0.03     $15.50
  1000   $0.03     $27.12
  5000   $0.02    $116.20
 10000   $0.02    $226.00</t>
        </r>
      </text>
    </comment>
    <comment ref="L14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$0.05      $0.51
   100   $0.04      $3.74
   500   $0.03     $15.50
  1000   $0.03     $27.12
  5000   $0.02    $116.20
 10000   $0.02    $226.00</t>
        </r>
      </text>
    </comment>
    <comment ref="L15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$0.28      $0.28
    10   $0.24      $2.38
    25   $0.21      $5.23
    50   $0.19      $9.62
   100   $0.18     $18.48
   250   $0.17     $41.50
   500   $0.16     $79.22
  1000   $0.13    $132.03</t>
        </r>
      </text>
    </comment>
    <comment ref="L16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$0.29      $0.29
    10   $0.24      $2.44
   100   $0.19     $18.98
   500   $0.16     $81.35
  1000   $0.14    $135.59
  5000   $0.12    $581.10
 10000   $0.11  $1,106.80</t>
        </r>
      </text>
    </comment>
    <comment ref="L17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$0.27      $0.27
    10   $0.23      $2.31
    25   $0.21      $5.14
    50   $0.19      $9.59
   100   $0.18     $17.80
   250   $0.16     $39.37
   500   $0.15     $75.31
  1000   $0.12    $123.24</t>
        </r>
      </text>
    </comment>
    <comment ref="L18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$2.26      $2.26
    10   $1.93     $19.26
   100   $1.59    $159.09
  1000   $1.26  $1,255.94</t>
        </r>
      </text>
    </comment>
    <comment ref="L19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$0.58      $0.58
    10   $0.50      $5.04
   100   $0.42     $41.58
   500   $0.36    $180.78
  1000   $0.30    $298.29
  5000   $0.26  $1,310.65
 10000   $0.26  $2,582.60</t>
        </r>
      </text>
    </comment>
    <comment ref="L20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$0.76      $0.76
    10   $0.64      $6.43
   100   $0.58     $57.77
   500   $0.47    $236.34</t>
        </r>
      </text>
    </comment>
    <comment ref="L21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$0.18      $0.18
    10   $0.15      $1.49
    25   $0.14      $3.43
    50   $0.12      $6.06
   100   $0.11     $10.60
   250   $0.10     $25.25
   500   $0.09     $47.47
  1000   $0.07     $72.72</t>
        </r>
      </text>
    </comment>
    <comment ref="L22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$0.04      $0.04</t>
        </r>
      </text>
    </comment>
    <comment ref="L23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$0.20      $0.20
    10   $0.14      $1.38
   100   $0.07      $7.47
   500   $0.06     $29.34
  1000   $0.04     $40.75</t>
        </r>
      </text>
    </comment>
    <comment ref="L24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$0.01      $0.11
    50   $0.01      $0.31
   100   $0.01      $0.51
   500   $0.00      $1.62
  1000   $0.00      $2.72
  5000   $0.00      $9.40</t>
        </r>
      </text>
    </comment>
    <comment ref="L25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$0.01      $0.11
    50   $0.01      $0.30
   100   $0.00      $0.49
   500   $0.00      $1.55
  1000   $0.00      $2.61
  5000   $0.00      $9.00</t>
        </r>
      </text>
    </comment>
    <comment ref="L26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$0.01      $0.12
    50   $0.01      $0.33
   100   $0.01      $0.54
   500   $0.00      $1.72
  1000   $0.00      $2.89
  5000   $0.00     $10.00</t>
        </r>
      </text>
    </comment>
    <comment ref="L27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$0.02      $0.24
    50   $0.02      $0.76
   100   $0.01      $1.27
   500   $0.01      $4.33
  1000   $0.01      $7.46
  5000   $0.01     $27.10</t>
        </r>
      </text>
    </comment>
    <comment ref="L28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$2.55      $2.55
    10   $2.32     $23.16
    80   $2.04    $163.22
   440   $1.73    $763.04
  1000   $1.48  $1,479.16
  5000   $1.46  $7,286.50</t>
        </r>
      </text>
    </comment>
    <comment ref="L30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$1.21      $1.21
    10   $1.08     $10.82
    25   $1.03     $25.66
   100   $0.84     $84.32
   250   $0.79    $197.06
   500   $0.70    $348.30
  1000   $0.55    $549.94</t>
        </r>
      </text>
    </comment>
    <comment ref="L31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$0.63      $0.63
    10   $0.56      $5.58
    25   $0.52     $13.10
   100   $0.43     $42.75
   250   $0.40     $99.27
   500   $0.34    $168.97
  1000   $0.27    $270.36</t>
        </r>
      </text>
    </comment>
    <comment ref="L33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$0.51      $0.51
    10   $0.42      $4.17
    25   $0.38      $9.53
   100   $0.28     $28.38
   250   $0.26     $64.29
   500   $0.21    $106.41
  1000   $0.16    $159.62</t>
        </r>
      </text>
    </comment>
    <comment ref="L34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$0.44      $0.44
    10   $0.43      $4.34
    25   $0.40     $10.08
    50   $0.40     $20.06
   100   $0.36     $35.63
   250   $0.35     $87.94
   500   $0.35    $173.22
  1000   $0.34    $337.18</t>
        </r>
      </text>
    </comment>
    <comment ref="L35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$0.83      $0.83
    10   $0.73      $7.32
    50   $0.68     $34.20
   100   $0.60     $60.45</t>
        </r>
      </text>
    </comment>
    <comment ref="M6" authorId="0">
      <text>
        <r>
          <rPr>
            <sz val="11"/>
            <color rgb="FF000000"/>
            <rFont val="Calibri"/>
            <family val="2"/>
          </rPr>
          <t xml:space="preserve">Minimum Order Quantity. You must buy at least this ammount of components.</t>
        </r>
      </text>
    </comment>
    <comment ref="N6" authorId="0">
      <text>
        <r>
          <rPr>
            <sz val="11"/>
            <color rgb="FF000000"/>
            <rFont val="Calibri"/>
            <family val="2"/>
          </rPr>
          <t xml:space="preserve">(Unit Price) x (Purchase Qty) of each part from this distributor.
Red -&gt; Next price break is cheaper.
Green -&gt; Cheapest supplier.</t>
        </r>
      </text>
    </comment>
    <comment ref="O3" authorId="0">
      <text>
        <r>
          <rPr>
            <sz val="11"/>
            <color rgb="FF000000"/>
            <rFont val="Calibri"/>
            <family val="2"/>
          </rPr>
          <t xml:space="preserve">Number of parts found at this distributor.</t>
        </r>
      </text>
    </comment>
    <comment ref="O6" authorId="0">
      <text>
        <r>
          <rPr>
            <sz val="11"/>
            <color rgb="FF000000"/>
            <rFont val="Calibri"/>
            <family val="2"/>
          </rPr>
          <t xml:space="preserve">Distributor-assigned catalog number for each part and link to it's web page (ctrl-click). Extra distributor data is shown as comment.</t>
        </r>
      </text>
    </comment>
    <comment ref="O7" authorId="0">
      <text>
        <r>
          <rPr>
            <sz val="11"/>
            <color rgb="FF000000"/>
            <rFont val="Calibri"/>
            <family val="2"/>
          </rPr>
          <t xml:space="preserve">Desc: CAP CER 2.2UF 10V X5R 0402
Footprint: 0402 (1005 Metric)
Size: 0.039" L x 0.020" W (1.00mm x 0.50mm)
Temp_coeff: X5R
Tolerance: ±20%
Value: 2.2 µF 
Voltage: 10V</t>
        </r>
      </text>
    </comment>
    <comment ref="O8" authorId="0">
      <text>
        <r>
          <rPr>
            <sz val="11"/>
            <color rgb="FF000000"/>
            <rFont val="Calibri"/>
            <family val="2"/>
          </rPr>
          <t xml:space="preserve">Desc: CAP CER 10UF 25V X5R 0805
Footprint: 0805 (2012 Metric)
Size: 0.079" L x 0.049" W (2.00mm x 1.25mm)
Temp_coeff: X5R
Tolerance: ±10%
Value: 10 µF 
Voltage: 25V</t>
        </r>
      </text>
    </comment>
    <comment ref="O9" authorId="0">
      <text>
        <r>
          <rPr>
            <sz val="11"/>
            <color rgb="FF000000"/>
            <rFont val="Calibri"/>
            <family val="2"/>
          </rPr>
          <t xml:space="preserve">Desc: CAP CER 22UF 6.3V X5R 0805
Footprint: 0805 (2012 Metric)
Size: 0.079" L x 0.049" W (2.00mm x 1.25mm)
Temp_coeff: X5R
Tolerance: ±20%
Value: 22 µF 
Voltage: 6.3V</t>
        </r>
      </text>
    </comment>
    <comment ref="O10" authorId="0">
      <text>
        <r>
          <rPr>
            <sz val="11"/>
            <color rgb="FF000000"/>
            <rFont val="Calibri"/>
            <family val="2"/>
          </rPr>
          <t xml:space="preserve">Desc: DIODE SCHOTTKY 30V 200MA SOT23-3
Footprint: TO-236-3, SC-59, SOT-23-3</t>
        </r>
      </text>
    </comment>
    <comment ref="O11" authorId="0">
      <text>
        <r>
          <rPr>
            <sz val="11"/>
            <color rgb="FF000000"/>
            <rFont val="Calibri"/>
            <family val="2"/>
          </rPr>
          <t xml:space="preserve">Desc: DIODE ARR SCHOTT 30V 200MA SOT23
Footprint: TO-236-3, SC-59, SOT-23-3</t>
        </r>
      </text>
    </comment>
    <comment ref="O13" authorId="0">
      <text>
        <r>
          <rPr>
            <sz val="11"/>
            <color rgb="FF000000"/>
            <rFont val="Calibri"/>
            <family val="2"/>
          </rPr>
          <t xml:space="preserve">Desc: CONN HEADER VERT 2POS 2.54MM</t>
        </r>
      </text>
    </comment>
    <comment ref="O14" authorId="0">
      <text>
        <r>
          <rPr>
            <sz val="11"/>
            <color rgb="FF000000"/>
            <rFont val="Calibri"/>
            <family val="2"/>
          </rPr>
          <t xml:space="preserve">Desc: CONN HEADER VERT 2POS 2.54MM</t>
        </r>
      </text>
    </comment>
    <comment ref="O15" authorId="0">
      <text>
        <r>
          <rPr>
            <sz val="11"/>
            <color rgb="FF000000"/>
            <rFont val="Calibri"/>
            <family val="2"/>
          </rPr>
          <t xml:space="preserve">Desc: CONN FFC FPC 12POS 0.5MM R/A</t>
        </r>
      </text>
    </comment>
    <comment ref="O16" authorId="0">
      <text>
        <r>
          <rPr>
            <sz val="11"/>
            <color rgb="FF000000"/>
            <rFont val="Calibri"/>
            <family val="2"/>
          </rPr>
          <t xml:space="preserve">Desc: CONN HEADER VERT 12POS 2.54MM</t>
        </r>
      </text>
    </comment>
    <comment ref="O17" authorId="0">
      <text>
        <r>
          <rPr>
            <sz val="11"/>
            <color rgb="FF000000"/>
            <rFont val="Calibri"/>
            <family val="2"/>
          </rPr>
          <t xml:space="preserve">Desc: CONN FFC BOTTOM 12POS 0.5MM R/A</t>
        </r>
      </text>
    </comment>
    <comment ref="O18" authorId="0">
      <text>
        <r>
          <rPr>
            <sz val="11"/>
            <color rgb="FF000000"/>
            <rFont val="Calibri"/>
            <family val="2"/>
          </rPr>
          <t xml:space="preserve">Desc: CONN FPC 27POS 0.3MM R/A</t>
        </r>
      </text>
    </comment>
    <comment ref="O19" authorId="0">
      <text>
        <r>
          <rPr>
            <sz val="11"/>
            <color rgb="FF000000"/>
            <rFont val="Calibri"/>
            <family val="2"/>
          </rPr>
          <t xml:space="preserve">Desc: CONN HEADER VERT 28POS 2.54MM</t>
        </r>
      </text>
    </comment>
    <comment ref="O20" authorId="0">
      <text>
        <r>
          <rPr>
            <sz val="11"/>
            <color rgb="FF000000"/>
            <rFont val="Calibri"/>
            <family val="2"/>
          </rPr>
          <t xml:space="preserve">Desc: MINITEK127 1.27MM, VERTICAL HEAD</t>
        </r>
      </text>
    </comment>
    <comment ref="O21" authorId="0">
      <text>
        <r>
          <rPr>
            <sz val="11"/>
            <color rgb="FF000000"/>
            <rFont val="Calibri"/>
            <family val="2"/>
          </rPr>
          <t xml:space="preserve">Desc: 10 UH SHIELDED DRUM CORE, WIREWO
Footprint: 1008 (2520 Metric)
Size: 0.098" L x 0.079" W (2.50mm x 2.00mm)
Tolerance: ±20%
Value: 10 µH </t>
        </r>
      </text>
    </comment>
    <comment ref="O22" authorId="0">
      <text>
        <r>
          <rPr>
            <sz val="11"/>
            <color rgb="FF000000"/>
            <rFont val="Calibri"/>
            <family val="2"/>
          </rPr>
          <t xml:space="preserve">Desc: LED YELLOW CLEAR 0402 SMD
Footprint: 0402 (1005 Metric)
Size: 1.00mm L x 0.50mm W</t>
        </r>
      </text>
    </comment>
    <comment ref="O23" authorId="0">
      <text>
        <r>
          <rPr>
            <sz val="11"/>
            <color rgb="FF000000"/>
            <rFont val="Calibri"/>
            <family val="2"/>
          </rPr>
          <t xml:space="preserve">Desc: MOSFET N-CH 60V 190MA TO236AB
Footprint: TO-236-3, SC-59, SOT-23-3</t>
        </r>
      </text>
    </comment>
    <comment ref="O24" authorId="0">
      <text>
        <r>
          <rPr>
            <sz val="11"/>
            <color rgb="FF000000"/>
            <rFont val="Calibri"/>
            <family val="2"/>
          </rPr>
          <t xml:space="preserve">Desc: RES SMD 220 OHM 5% 1/16W 0402
Footprint: 0402 (1005 Metric)
Power: 0.063W, 1/16W
Size: 0.039" L x 0.020" W (1.00mm x 0.50mm)
Temp_coeff: ±200ppm/°C
Tolerance: ±5%
Value: 220 Ohms </t>
        </r>
      </text>
    </comment>
    <comment ref="O25" authorId="0">
      <text>
        <r>
          <rPr>
            <sz val="11"/>
            <color rgb="FF000000"/>
            <rFont val="Calibri"/>
            <family val="2"/>
          </rPr>
          <t xml:space="preserve">Desc: RES SMD 1K OHM 5% 1/16W 0402
Footprint: 0402 (1005 Metric)
Power: 0.063W, 1/16W
Size: 0.039" L x 0.020" W (1.00mm x 0.50mm)
Temp_coeff: ±200ppm/°C
Tolerance: ±5%
Value: 1 kOhms </t>
        </r>
      </text>
    </comment>
    <comment ref="O26" authorId="0">
      <text>
        <r>
          <rPr>
            <sz val="11"/>
            <color rgb="FF000000"/>
            <rFont val="Calibri"/>
            <family val="2"/>
          </rPr>
          <t xml:space="preserve">Desc: RES SMD 10K OHM 1% 1/16W 0402
Footprint: 0402 (1005 Metric)
Power: 0.063W, 1/16W
Size: 0.039" L x 0.020" W (1.00mm x 0.50mm)
Temp_coeff: ±100ppm/°C
Tolerance: ±1%
Value: 10 kOhms </t>
        </r>
      </text>
    </comment>
    <comment ref="O27" authorId="0">
      <text>
        <r>
          <rPr>
            <sz val="11"/>
            <color rgb="FF000000"/>
            <rFont val="Calibri"/>
            <family val="2"/>
          </rPr>
          <t xml:space="preserve">Desc: RES SMD 4.99K OHM 1% 1/10W 0402
Footprint: 0402 (1005 Metric)
Power: 0.1W, 1/10W
Size: 0.039" L x 0.020" W (1.00mm x 0.50mm)
Temp_coeff: ±100ppm/°C
Tolerance: ±1%
Value: 4.99 kOhms </t>
        </r>
      </text>
    </comment>
    <comment ref="O28" authorId="0">
      <text>
        <r>
          <rPr>
            <sz val="11"/>
            <color rgb="FF000000"/>
            <rFont val="Calibri"/>
            <family val="2"/>
          </rPr>
          <t xml:space="preserve">Desc: CONN HDR 40POS 0.1 GOLD PCB R/A</t>
        </r>
      </text>
    </comment>
    <comment ref="O30" authorId="0">
      <text>
        <r>
          <rPr>
            <sz val="11"/>
            <color rgb="FF000000"/>
            <rFont val="Calibri"/>
            <family val="2"/>
          </rPr>
          <t xml:space="preserve">Desc: IC REG LINEAR 3.3V 100MA SOT23-3
Footprint: TO-236-3, SC-59, SOT-23-3</t>
        </r>
      </text>
    </comment>
    <comment ref="O31" authorId="0">
      <text>
        <r>
          <rPr>
            <sz val="11"/>
            <color rgb="FF000000"/>
            <rFont val="Calibri"/>
            <family val="2"/>
          </rPr>
          <t xml:space="preserve">Desc: IC REG LIN POS ADJ 150MA SOT23-5
Footprint: SC-74A, SOT-753</t>
        </r>
      </text>
    </comment>
    <comment ref="O33" authorId="0">
      <text>
        <r>
          <rPr>
            <sz val="11"/>
            <color rgb="FF000000"/>
            <rFont val="Calibri"/>
            <family val="2"/>
          </rPr>
          <t xml:space="preserve">Desc: IC REG BUCK ADJ 1.5A SOT563
Footprint: SOT-563, SOT-666</t>
        </r>
      </text>
    </comment>
    <comment ref="O34" authorId="0">
      <text>
        <r>
          <rPr>
            <sz val="11"/>
            <color rgb="FF000000"/>
            <rFont val="Calibri"/>
            <family val="2"/>
          </rPr>
          <t xml:space="preserve">Desc: IC FLASH 8MBIT SPI/QUAD 8SOIC
Footprint: 8-SOIC (0.154", 3.90mm Width)</t>
        </r>
      </text>
    </comment>
    <comment ref="O35" authorId="0">
      <text>
        <r>
          <rPr>
            <sz val="11"/>
            <color rgb="FF000000"/>
            <rFont val="Calibri"/>
            <family val="2"/>
          </rPr>
          <t xml:space="preserve">Desc: XTAL OSC XO 27MHZ HCMOS SMD
Footprint: 4-SMD, No Lead
Frequency: 27 MHz
Size: 0.126" L x 0.098" W (3.20mm x 2.50mm)</t>
        </r>
      </text>
    </comment>
    <comment ref="P6" authorId="0">
      <text>
        <r>
          <rPr>
            <sz val="11"/>
            <color rgb="FF000000"/>
            <rFont val="Calibri"/>
            <family val="2"/>
          </rPr>
          <t xml:space="preserve">Available quantity of each part at the distributor.
Red -&gt; No quantity available.
Orange -&gt; Too little quantity available.</t>
        </r>
      </text>
    </comment>
    <comment ref="P7" authorId="0">
      <text>
        <r>
          <rPr>
            <sz val="11"/>
            <color rgb="FF000000"/>
            <rFont val="Calibri"/>
            <family val="2"/>
          </rPr>
          <t xml:space="preserve">49932 In Stock</t>
        </r>
      </text>
    </comment>
    <comment ref="P8" authorId="0">
      <text>
        <r>
          <rPr>
            <sz val="11"/>
            <color rgb="FF000000"/>
            <rFont val="Calibri"/>
            <family val="2"/>
          </rPr>
          <t xml:space="preserve">285104 In Stock</t>
        </r>
      </text>
    </comment>
    <comment ref="P9" authorId="0">
      <text>
        <r>
          <rPr>
            <sz val="11"/>
            <color rgb="FF000000"/>
            <rFont val="Calibri"/>
            <family val="2"/>
          </rPr>
          <t xml:space="preserve">26485 In Stock</t>
        </r>
      </text>
    </comment>
    <comment ref="P10" authorId="0">
      <text>
        <r>
          <rPr>
            <sz val="11"/>
            <color rgb="FF000000"/>
            <rFont val="Calibri"/>
            <family val="2"/>
          </rPr>
          <t xml:space="preserve">291880 In Stock</t>
        </r>
      </text>
    </comment>
    <comment ref="P11" authorId="0">
      <text>
        <r>
          <rPr>
            <sz val="11"/>
            <color rgb="FF000000"/>
            <rFont val="Calibri"/>
            <family val="2"/>
          </rPr>
          <t xml:space="preserve">1204943 In Stock</t>
        </r>
      </text>
    </comment>
    <comment ref="P18" authorId="0">
      <text>
        <r>
          <rPr>
            <sz val="11"/>
            <color rgb="FF000000"/>
            <rFont val="Calibri"/>
            <family val="2"/>
          </rPr>
          <t xml:space="preserve">2549 In Stock</t>
        </r>
      </text>
    </comment>
    <comment ref="P20" authorId="0">
      <text>
        <r>
          <rPr>
            <sz val="11"/>
            <color rgb="FF000000"/>
            <rFont val="Calibri"/>
            <family val="2"/>
          </rPr>
          <t xml:space="preserve">None</t>
        </r>
      </text>
    </comment>
    <comment ref="P23" authorId="0">
      <text>
        <r>
          <rPr>
            <sz val="11"/>
            <color rgb="FF000000"/>
            <rFont val="Calibri"/>
            <family val="2"/>
          </rPr>
          <t xml:space="preserve">1981751 In Stock</t>
        </r>
      </text>
    </comment>
    <comment ref="P24" authorId="0">
      <text>
        <r>
          <rPr>
            <sz val="11"/>
            <color rgb="FF000000"/>
            <rFont val="Calibri"/>
            <family val="2"/>
          </rPr>
          <t xml:space="preserve">43547 In Stock</t>
        </r>
      </text>
    </comment>
    <comment ref="P25" authorId="0">
      <text>
        <r>
          <rPr>
            <sz val="11"/>
            <color rgb="FF000000"/>
            <rFont val="Calibri"/>
            <family val="2"/>
          </rPr>
          <t xml:space="preserve">137935 In Stock</t>
        </r>
      </text>
    </comment>
    <comment ref="P26" authorId="0">
      <text>
        <r>
          <rPr>
            <sz val="11"/>
            <color rgb="FF000000"/>
            <rFont val="Calibri"/>
            <family val="2"/>
          </rPr>
          <t xml:space="preserve">200745 In Stock</t>
        </r>
      </text>
    </comment>
    <comment ref="P27" authorId="0">
      <text>
        <r>
          <rPr>
            <sz val="11"/>
            <color rgb="FF000000"/>
            <rFont val="Calibri"/>
            <family val="2"/>
          </rPr>
          <t xml:space="preserve">745965 In Stock</t>
        </r>
      </text>
    </comment>
    <comment ref="P29" authorId="0">
      <text>
        <r>
          <rPr>
            <sz val="11"/>
            <color rgb="FF000000"/>
            <rFont val="Calibri"/>
            <family val="2"/>
          </rPr>
          <t xml:space="preserve">None</t>
        </r>
      </text>
    </comment>
    <comment ref="P30" authorId="0">
      <text>
        <r>
          <rPr>
            <sz val="11"/>
            <color rgb="FF000000"/>
            <rFont val="Calibri"/>
            <family val="2"/>
          </rPr>
          <t xml:space="preserve">30472 In Stock</t>
        </r>
      </text>
    </comment>
    <comment ref="P31" authorId="0">
      <text>
        <r>
          <rPr>
            <sz val="11"/>
            <color rgb="FF000000"/>
            <rFont val="Calibri"/>
            <family val="2"/>
          </rPr>
          <t xml:space="preserve">8981 In Stock</t>
        </r>
      </text>
    </comment>
    <comment ref="P32" authorId="0">
      <text>
        <r>
          <rPr>
            <sz val="11"/>
            <color rgb="FF000000"/>
            <rFont val="Calibri"/>
            <family val="2"/>
          </rPr>
          <t xml:space="preserve">48339 In Stock</t>
        </r>
      </text>
    </comment>
    <comment ref="P33" authorId="0">
      <text>
        <r>
          <rPr>
            <sz val="11"/>
            <color rgb="FF000000"/>
            <rFont val="Calibri"/>
            <family val="2"/>
          </rPr>
          <t xml:space="preserve">34488 In Stock</t>
        </r>
      </text>
    </comment>
    <comment ref="P34" authorId="0">
      <text>
        <r>
          <rPr>
            <sz val="11"/>
            <color rgb="FF000000"/>
            <rFont val="Calibri"/>
            <family val="2"/>
          </rPr>
          <t xml:space="preserve">14176 In Stock</t>
        </r>
      </text>
    </comment>
    <comment ref="Q6" authorId="0">
      <text>
        <r>
          <rPr>
            <sz val="11"/>
            <color rgb="FF000000"/>
            <rFont val="Calibri"/>
            <family val="2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Q37" authorId="0">
      <text>
        <r>
          <rPr>
            <sz val="11"/>
            <color rgb="FF000000"/>
            <rFont val="Calibri"/>
            <family val="2"/>
          </rPr>
          <t xml:space="preserve">Copy the information below to the BOM import page of the distributor web site.</t>
        </r>
      </text>
    </comment>
    <comment ref="R6" authorId="0">
      <text>
        <r>
          <rPr>
            <sz val="11"/>
            <color rgb="FF000000"/>
            <rFont val="Calibri"/>
            <family val="2"/>
          </rPr>
          <t xml:space="preserve">Unit price of each part from this distributor.
Green -&gt; lowest price across distributors.</t>
        </r>
      </text>
    </comment>
    <comment ref="R7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$0.04      $0.36
   100   $0.02      $2.10
  1000   $0.01     $14.00
  2500   $0.01     $32.50
 10000   $0.01    $110.00
 20000   $0.01    $200.00
 50000   $0.01    $450.00</t>
        </r>
      </text>
    </comment>
    <comment ref="R8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$0.18      $0.18
    10   $0.07      $0.73
   100   $0.04      $4.30
  1000   $0.04     $35.00
  3000   $0.03     $87.00
  9000   $0.03    $234.00
 24000   $0.02    $576.00
 45000   $0.02    $990.00
 99000   $0.02  $1,782.00</t>
        </r>
      </text>
    </comment>
    <comment ref="R9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$0.13      $0.13
    10   $0.05      $0.53
   100   $0.03      $3.10
  1000   $0.03     $26.00
  2000   $0.02     $40.00
 10000   $0.02    $190.00
 24000   $0.02    $408.00
 50000   $0.02    $800.00
100000   $0.01  $1,300.00</t>
        </r>
      </text>
    </comment>
    <comment ref="R10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$0.11      $0.11
    10   $0.07      $0.73
   100   $0.04      $3.80
  1000   $0.03     $30.00
  3000   $0.02     $69.00
  9000   $0.02    $180.00
 24000   $0.02    $432.00
 45000   $0.02    $720.00
 99000   $0.01  $1,485.00</t>
        </r>
      </text>
    </comment>
    <comment ref="R11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$0.15      $0.15
    10   $0.10      $0.99
   100   $0.05      $5.40
  1000   $0.04     $41.00
  3000   $0.03     $84.00
  9000   $0.02    $216.00
 24000   $0.02    $480.00</t>
        </r>
      </text>
    </comment>
    <comment ref="R18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$2.24      $2.24
    10   $1.82     $18.20
   100   $1.58    $158.00
   500   $1.46    $730.00
  1000   $1.25  $1,250.00
  3000   $1.15  $3,450.00
  6000   $1.10  $6,600.00
  9000   $1.07  $9,630.00</t>
        </r>
      </text>
    </comment>
    <comment ref="R20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26000   $0.34  $8,762.00</t>
        </r>
      </text>
    </comment>
    <comment ref="R23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$0.15      $0.15
    10   $0.11      $1.08
   100   $0.06      $5.90
  1000   $0.03     $30.00
  3000   $0.03     $78.00
  9000   $0.02    $198.00
 24000   $0.02    $456.00
 45000   $0.02    $810.00
 99000   $0.01  $1,485.00</t>
        </r>
      </text>
    </comment>
    <comment ref="R24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$0.01      $0.06
   100   $0.00      $0.30
  1000   $0.00      $2.00
  2500   $0.00      $2.50
 10000   $0.00     $10.00</t>
        </r>
      </text>
    </comment>
    <comment ref="R25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$0.01      $0.06
   100   $0.00      $0.30
  2500   $0.00      $5.00
 10000   $0.00     $10.00</t>
        </r>
      </text>
    </comment>
    <comment ref="R26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$0.01      $0.07
   100   $0.00      $0.40
  1000   $0.00      $3.00
  2500   $0.00      $5.00
 10000   $0.00     $10.00</t>
        </r>
      </text>
    </comment>
    <comment ref="R27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$0.10      $0.10
    10   $0.02      $0.16
   100   $0.01      $0.70
  1000   $0.01      $5.00
  2500   $0.00      $7.50
 10000   $0.00     $30.00</t>
        </r>
      </text>
    </comment>
    <comment ref="R29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168  $21.64  $3,635.52
   504  $20.59 $10,377.36</t>
        </r>
      </text>
    </comment>
    <comment ref="R30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$1.21      $1.21
    10   $1.03     $10.30
   100   $0.79     $78.90
   500   $0.70    $348.50
  1000   $0.55    $545.00
  3000   $0.51  $1,539.00
  6000   $0.49  $2,922.00
  9000   $0.48  $4,311.00</t>
        </r>
      </text>
    </comment>
    <comment ref="R31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$0.63      $0.63
    10   $0.52      $5.24
   100   $0.40     $39.80
   500   $0.34    $169.00
  1000   $0.27    $271.00
  3000   $0.21    $627.00</t>
        </r>
      </text>
    </comment>
    <comment ref="R32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$1.46      $1.46
    10   $1.34     $13.40
   100   $1.16    $116.00
   500   $1.15    $575.00
  3000   $0.97  $2,922.00</t>
        </r>
      </text>
    </comment>
    <comment ref="R33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$0.51      $0.51
    10   $0.38      $3.82
   100   $0.21     $21.30
  1000   $0.16    $160.00
  3000   $0.14    $411.00
  9000   $0.13  $1,152.00
 24000   $0.12  $2,808.00
 45000   $0.11  $5,085.00
 99000   $0.11 $11,088.00</t>
        </r>
      </text>
    </comment>
    <comment ref="R34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$0.44      $0.44
    10   $0.40      $4.02
   100   $0.35     $35.20
   500   $0.35    $173.50
  1000   $0.34    $338.00
  4000   $0.31  $1,236.00
  8000   $0.30  $2,376.00
 24000   $0.29  $6,960.00</t>
        </r>
      </text>
    </comment>
    <comment ref="S6" authorId="0">
      <text>
        <r>
          <rPr>
            <sz val="11"/>
            <color rgb="FF000000"/>
            <rFont val="Calibri"/>
            <family val="2"/>
          </rPr>
          <t xml:space="preserve">Minimum Order Quantity. You must buy at least this ammount of components.</t>
        </r>
      </text>
    </comment>
    <comment ref="T6" authorId="0">
      <text>
        <r>
          <rPr>
            <sz val="11"/>
            <color rgb="FF000000"/>
            <rFont val="Calibri"/>
            <family val="2"/>
          </rPr>
          <t xml:space="preserve">(Unit Price) x (Purchase Qty) of each part from this distributor.
Red -&gt; Next price break is cheaper.
Green -&gt; Cheapest supplier.</t>
        </r>
      </text>
    </comment>
    <comment ref="U3" authorId="0">
      <text>
        <r>
          <rPr>
            <sz val="11"/>
            <color rgb="FF000000"/>
            <rFont val="Calibri"/>
            <family val="2"/>
          </rPr>
          <t xml:space="preserve">Number of parts found at this distributor.</t>
        </r>
      </text>
    </comment>
    <comment ref="U6" authorId="0">
      <text>
        <r>
          <rPr>
            <sz val="11"/>
            <color rgb="FF000000"/>
            <rFont val="Calibri"/>
            <family val="2"/>
          </rPr>
          <t xml:space="preserve">Distributor-assigned catalog number for each part and link to it's web page (ctrl-click). Extra distributor data is shown as comment.</t>
        </r>
      </text>
    </comment>
    <comment ref="U7" authorId="0">
      <text>
        <r>
          <rPr>
            <sz val="11"/>
            <color rgb="FF000000"/>
            <rFont val="Calibri"/>
            <family val="2"/>
          </rPr>
          <t xml:space="preserve">Desc: Multilayer Ceramic Capacitors MLCC - SMD/SMT 10 V 2.2uF X5R 0402 20%</t>
        </r>
      </text>
    </comment>
    <comment ref="U8" authorId="0">
      <text>
        <r>
          <rPr>
            <sz val="11"/>
            <color rgb="FF000000"/>
            <rFont val="Calibri"/>
            <family val="2"/>
          </rPr>
          <t xml:space="preserve">Desc: Multilayer Ceramic Capacitors MLCC - SMD/SMT 10uF+/-10% 25V X5R 2 0805</t>
        </r>
      </text>
    </comment>
    <comment ref="U9" authorId="0">
      <text>
        <r>
          <rPr>
            <sz val="11"/>
            <color rgb="FF000000"/>
            <rFont val="Calibri"/>
            <family val="2"/>
          </rPr>
          <t xml:space="preserve">Desc: Multilayer Ceramic Capacitors MLCC - SMD/SMT 22uF+/-20% 6.3V X5R 0805</t>
        </r>
      </text>
    </comment>
    <comment ref="U10" authorId="0">
      <text>
        <r>
          <rPr>
            <sz val="11"/>
            <color rgb="FF000000"/>
            <rFont val="Calibri"/>
            <family val="2"/>
          </rPr>
          <t xml:space="preserve">Desc: Schottky Diodes &amp; Rectifiers 30V 350mW</t>
        </r>
      </text>
    </comment>
    <comment ref="U11" authorId="0">
      <text>
        <r>
          <rPr>
            <sz val="11"/>
            <color rgb="FF000000"/>
            <rFont val="Calibri"/>
            <family val="2"/>
          </rPr>
          <t xml:space="preserve">Desc: Schottky Diodes &amp; Rectifiers 30V 350mW</t>
        </r>
      </text>
    </comment>
    <comment ref="U18" authorId="0">
      <text>
        <r>
          <rPr>
            <sz val="11"/>
            <color rgb="FF000000"/>
            <rFont val="Calibri"/>
            <family val="2"/>
          </rPr>
          <t xml:space="preserve">Desc: FFC &amp; FPC Connectors 0.3 FPC Bck Flip Hsg Assy27CktEmbsTpPkg</t>
        </r>
      </text>
    </comment>
    <comment ref="U20" authorId="0">
      <text>
        <r>
          <rPr>
            <sz val="11"/>
            <color rgb="FF000000"/>
            <rFont val="Calibri"/>
            <family val="2"/>
          </rPr>
          <t xml:space="preserve">Desc: Headers &amp; Wire Housings Minitek127 1.27mm, vertical header, 12pos, gold flash plating, 2.92mm height</t>
        </r>
      </text>
    </comment>
    <comment ref="U23" authorId="0">
      <text>
        <r>
          <rPr>
            <sz val="11"/>
            <color rgb="FF000000"/>
            <rFont val="Calibri"/>
            <family val="2"/>
          </rPr>
          <t xml:space="preserve">Desc: MOSFET 2N7002NXAK/SOT23/TO-236AB</t>
        </r>
      </text>
    </comment>
    <comment ref="U24" authorId="0">
      <text>
        <r>
          <rPr>
            <sz val="11"/>
            <color rgb="FF000000"/>
            <rFont val="Calibri"/>
            <family val="2"/>
          </rPr>
          <t xml:space="preserve">Desc: Thick Film Resistors - SMD 220 OHM 5%</t>
        </r>
      </text>
    </comment>
    <comment ref="U25" authorId="0">
      <text>
        <r>
          <rPr>
            <sz val="11"/>
            <color rgb="FF000000"/>
            <rFont val="Calibri"/>
            <family val="2"/>
          </rPr>
          <t xml:space="preserve">Desc: Thick Film Resistors - SMD 1K OHM 5%</t>
        </r>
      </text>
    </comment>
    <comment ref="U26" authorId="0">
      <text>
        <r>
          <rPr>
            <sz val="11"/>
            <color rgb="FF000000"/>
            <rFont val="Calibri"/>
            <family val="2"/>
          </rPr>
          <t xml:space="preserve">Desc: Thick Film Resistors - SMD 10K OHM %</t>
        </r>
      </text>
    </comment>
    <comment ref="U27" authorId="0">
      <text>
        <r>
          <rPr>
            <sz val="11"/>
            <color rgb="FF000000"/>
            <rFont val="Calibri"/>
            <family val="2"/>
          </rPr>
          <t xml:space="preserve">Desc: Thick Film Resistors - SMD 0402 4.99Kohms 1% AEC-Q200</t>
        </r>
      </text>
    </comment>
    <comment ref="U29" authorId="0">
      <text>
        <r>
          <rPr>
            <sz val="11"/>
            <color rgb="FF000000"/>
            <rFont val="Calibri"/>
            <family val="2"/>
          </rPr>
          <t xml:space="preserve">Desc: FPGA - Field Programmable Gate Array</t>
        </r>
      </text>
    </comment>
    <comment ref="U30" authorId="0">
      <text>
        <r>
          <rPr>
            <sz val="11"/>
            <color rgb="FF000000"/>
            <rFont val="Calibri"/>
            <family val="2"/>
          </rPr>
          <t xml:space="preserve">Desc: LDO Voltage Regulators 100-mA, 30-V, low-dropout voltage regulator 3-SOT-23 -40 to 125</t>
        </r>
      </text>
    </comment>
    <comment ref="U31" authorId="0">
      <text>
        <r>
          <rPr>
            <sz val="11"/>
            <color rgb="FF000000"/>
            <rFont val="Calibri"/>
            <family val="2"/>
          </rPr>
          <t xml:space="preserve">Desc: LDO Voltage Regulators Single 150mA ULDO 0.15A .165V 95uA</t>
        </r>
      </text>
    </comment>
    <comment ref="U32" authorId="0">
      <text>
        <r>
          <rPr>
            <sz val="11"/>
            <color rgb="FF000000"/>
            <rFont val="Calibri"/>
            <family val="2"/>
          </rPr>
          <t xml:space="preserve">Desc: DRAM IoT RAM 64Mb QSPI (x1,x4) SDR 133/84MHz, RBX, 3V, Ind. Temp., SOP8</t>
        </r>
      </text>
    </comment>
    <comment ref="U33" authorId="0">
      <text>
        <r>
          <rPr>
            <sz val="11"/>
            <color rgb="FF000000"/>
            <rFont val="Calibri"/>
            <family val="2"/>
          </rPr>
          <t xml:space="preserve">Desc: Switching Voltage Regulators DCDC Conv HV Buck SOT563(STD) T&amp;R 3K</t>
        </r>
      </text>
    </comment>
    <comment ref="U34" authorId="0">
      <text>
        <r>
          <rPr>
            <sz val="11"/>
            <color rgb="FF000000"/>
            <rFont val="Calibri"/>
            <family val="2"/>
          </rPr>
          <t xml:space="preserve">Desc: NOR Flash 8 Mbit, 3.0V (2.7V to 3.6V), -40C to 85C, SOIC-N 150mil (Tape &amp; Reel), Single, Dual, Quad SPI NOR flash</t>
        </r>
      </text>
    </comment>
    <comment ref="V6" authorId="0">
      <text>
        <r>
          <rPr>
            <sz val="11"/>
            <color rgb="FF000000"/>
            <rFont val="Calibri"/>
            <family val="2"/>
          </rPr>
          <t xml:space="preserve">Available quantity of each part at the distributor.
Red -&gt; No quantity available.
Orange -&gt; Too little quantity available.</t>
        </r>
      </text>
    </comment>
    <comment ref="V12" authorId="0">
      <text>
        <r>
          <rPr>
            <sz val="11"/>
            <color rgb="FF000000"/>
            <rFont val="Calibri"/>
            <family val="2"/>
          </rPr>
          <t xml:space="preserve">This part is listed but is not stocked.</t>
        </r>
      </text>
    </comment>
    <comment ref="V20" authorId="0">
      <text>
        <r>
          <rPr>
            <sz val="11"/>
            <color rgb="FF000000"/>
            <rFont val="Calibri"/>
            <family val="2"/>
          </rPr>
          <t xml:space="preserve">This part is listed but is not stocked.</t>
        </r>
      </text>
    </comment>
    <comment ref="V29" authorId="0">
      <text>
        <r>
          <rPr>
            <sz val="11"/>
            <color rgb="FF000000"/>
            <rFont val="Calibri"/>
            <family val="2"/>
          </rPr>
          <t xml:space="preserve">This part is listed but is not stocked.</t>
        </r>
      </text>
    </comment>
    <comment ref="W6" authorId="0">
      <text>
        <r>
          <rPr>
            <sz val="11"/>
            <color rgb="FF000000"/>
            <rFont val="Calibri"/>
            <family val="2"/>
          </rPr>
          <t xml:space="preserve">Purchase quantity of each part from this distributor.
Yellow -&gt; This part have a minimum purchase quantity bigger than 1 (check the price breaks).
Red -&gt; Purchasing more than the available quantity.</t>
        </r>
      </text>
    </comment>
    <comment ref="W37" authorId="0">
      <text>
        <r>
          <rPr>
            <sz val="11"/>
            <color rgb="FF000000"/>
            <rFont val="Calibri"/>
            <family val="2"/>
          </rPr>
          <t xml:space="preserve">Copy the information below to the BOM import page of the distributor web site.</t>
        </r>
      </text>
    </comment>
    <comment ref="X6" authorId="0">
      <text>
        <r>
          <rPr>
            <sz val="11"/>
            <color rgb="FF000000"/>
            <rFont val="Calibri"/>
            <family val="2"/>
          </rPr>
          <t xml:space="preserve">Unit price of each part from this distributor.
Green -&gt; lowest price across distributors.</t>
        </r>
      </text>
    </comment>
    <comment ref="X12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$6.59      $6.59
     5   $5.51     $27.55
    10   $5.36     $53.60
    20   $5.18    $103.60
    50   $5.00    $250.00
   100   $4.92    $492.00
   200   $4.89    $978.00
   300   $4.85  $1,455.00
   500   $4.82  $2,410.00
  1000   $4.78  $4,780.00</t>
        </r>
      </text>
    </comment>
    <comment ref="X20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  1   $6.59      $6.59
     5   $5.51     $27.55
    10   $5.36     $53.60
    20   $5.18    $103.60
    50   $5.00    $250.00
   100   $4.92    $492.00
   200   $4.89    $978.00
   300   $4.85  $1,455.00
   500   $4.82  $2,410.00
  1000   $4.78  $4,780.00</t>
        </r>
      </text>
    </comment>
    <comment ref="X29" authorId="0">
      <text>
        <r>
          <rPr>
            <sz val="11"/>
            <color rgb="FF000000"/>
            <rFont val="Calibri"/>
            <family val="2"/>
          </rPr>
          <t xml:space="preserve">Qty/Price Breaks (USD):
  Qty  -  Unit$  -  Ext$
================
   100   $5.80    $580.00
   168   $5.41    $908.88
  1000   $5.21  $5,210.00</t>
        </r>
      </text>
    </comment>
    <comment ref="Y6" authorId="0">
      <text>
        <r>
          <rPr>
            <sz val="11"/>
            <color rgb="FF000000"/>
            <rFont val="Calibri"/>
            <family val="2"/>
          </rPr>
          <t xml:space="preserve">Minimum Order Quantity. You must buy at least this ammount of components.</t>
        </r>
      </text>
    </comment>
    <comment ref="Z6" authorId="0">
      <text>
        <r>
          <rPr>
            <sz val="11"/>
            <color rgb="FF000000"/>
            <rFont val="Calibri"/>
            <family val="2"/>
          </rPr>
          <t xml:space="preserve">(Unit Price) x (Purchase Qty) of each part from this distributor.
Red -&gt; Next price break is cheaper.
Green -&gt; Cheapest supplier.</t>
        </r>
      </text>
    </comment>
    <comment ref="AA3" authorId="0">
      <text>
        <r>
          <rPr>
            <sz val="11"/>
            <color rgb="FF000000"/>
            <rFont val="Calibri"/>
            <family val="2"/>
          </rPr>
          <t xml:space="preserve">Number of parts found at this distributor.</t>
        </r>
      </text>
    </comment>
    <comment ref="AA6" authorId="0">
      <text>
        <r>
          <rPr>
            <sz val="11"/>
            <color rgb="FF000000"/>
            <rFont val="Calibri"/>
            <family val="2"/>
          </rPr>
          <t xml:space="preserve">Distributor-assigned catalog number for each part and link to it's web page (ctrl-click). Extra distributor data is shown as comment.</t>
        </r>
      </text>
    </comment>
  </commentList>
</comments>
</file>

<file path=xl/sharedStrings.xml><?xml version="1.0" encoding="utf-8"?>
<sst xmlns="http://schemas.openxmlformats.org/spreadsheetml/2006/main" count="242" uniqueCount="181">
  <si>
    <t xml:space="preserve">Prj:</t>
  </si>
  <si>
    <t xml:space="preserve">UNIC 40</t>
  </si>
  <si>
    <t xml:space="preserve">Board Qty:</t>
  </si>
  <si>
    <t xml:space="preserve">Co.:</t>
  </si>
  <si>
    <t xml:space="preserve">Modular Circuits</t>
  </si>
  <si>
    <t xml:space="preserve">Unit Cost:</t>
  </si>
  <si>
    <t xml:space="preserve">Prj date:</t>
  </si>
  <si>
    <t xml:space="preserve">Thu 04 Jan 2024 12:11:40 PM PST</t>
  </si>
  <si>
    <t xml:space="preserve">Total Cost:</t>
  </si>
  <si>
    <t xml:space="preserve">$ date:</t>
  </si>
  <si>
    <t xml:space="preserve">2024-01-04 12:13:38</t>
  </si>
  <si>
    <t xml:space="preserve">Global Part Info</t>
  </si>
  <si>
    <t xml:space="preserve">Digi-Key</t>
  </si>
  <si>
    <t xml:space="preserve">Mouser</t>
  </si>
  <si>
    <t xml:space="preserve">Local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</si>
  <si>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</si>
  <si>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</si>
  <si>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</si>
  <si>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</si>
  <si>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</si>
  <si>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</si>
  <si>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</si>
  <si>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</si>
  <si>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</si>
  <si>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</si>
  <si>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</si>
  <si>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MOQ</t>
  </si>
  <si>
    <t xml:space="preserve">Cat#</t>
  </si>
  <si>
    <t xml:space="preserve">C1-C4,C6,C9-C11,C13-C23</t>
  </si>
  <si>
    <t xml:space="preserve">2.2u</t>
  </si>
  <si>
    <t xml:space="preserve">OK</t>
  </si>
  <si>
    <t xml:space="preserve">C_0402_1005Metric_Pad0.74x0.62mm_HandSolder</t>
  </si>
  <si>
    <t xml:space="preserve">CC0402MRX5R6BB225</t>
  </si>
  <si>
    <t xml:space="preserve">311-1733-1-ND</t>
  </si>
  <si>
    <t xml:space="preserve">603-CC402MRX5R6BB225</t>
  </si>
  <si>
    <t xml:space="preserve">C5,C12</t>
  </si>
  <si>
    <t xml:space="preserve">10u</t>
  </si>
  <si>
    <t xml:space="preserve">C_0805_2012Metric_Pad1.18x1.45mm_HandSolder</t>
  </si>
  <si>
    <t xml:space="preserve">CL21A106KAYNNNG</t>
  </si>
  <si>
    <t xml:space="preserve">1276-6454-1-ND</t>
  </si>
  <si>
    <t xml:space="preserve">187-CL21A106KAYNNNG</t>
  </si>
  <si>
    <t xml:space="preserve">C7,C8</t>
  </si>
  <si>
    <t xml:space="preserve">22u</t>
  </si>
  <si>
    <t xml:space="preserve">CL21A226MQQNNNE</t>
  </si>
  <si>
    <t xml:space="preserve">1276-1100-1-ND</t>
  </si>
  <si>
    <t xml:space="preserve">187-CL21A226MQQNNNE</t>
  </si>
  <si>
    <t xml:space="preserve">D1,D2,D4,D6,D8,D11,D13,D15,D17,D19,D21,D23,D25,D27,D29,D31,D33,D35,D37,D39,D41,D43,D45,D47,D49,D51,D53,D55,D57,D59,D61,D63,D65,D67,D69,D71,D73,D75,D77,D79</t>
  </si>
  <si>
    <t xml:space="preserve">BAT54</t>
  </si>
  <si>
    <t xml:space="preserve">SOT-23</t>
  </si>
  <si>
    <t xml:space="preserve">BAT54-7-F</t>
  </si>
  <si>
    <t xml:space="preserve">BAT54-FDICT-ND</t>
  </si>
  <si>
    <t xml:space="preserve">621-BAT54-F</t>
  </si>
  <si>
    <t xml:space="preserve">D3,D5,D7,D9,D10,D12,D14,D16,D18,D20,D22,D24,D26,D28,D30,D32,D34,D36,D38,D40,D42,D44,D46,D48,D50,D52,D54,D56,D58,D60,D62,D64,D66,D68,D70,D72,D74,D76,D78,D80</t>
  </si>
  <si>
    <t xml:space="preserve">BAT54S</t>
  </si>
  <si>
    <t xml:space="preserve">BAT54S-7-F</t>
  </si>
  <si>
    <t xml:space="preserve">BAT54S-FDICT-ND</t>
  </si>
  <si>
    <t xml:space="preserve">621-BAT54S-F</t>
  </si>
  <si>
    <t xml:space="preserve">DISPLAY1</t>
  </si>
  <si>
    <t xml:space="preserve">Housing</t>
  </si>
  <si>
    <t xml:space="preserve">CFAL12832C-0091B-W_A</t>
  </si>
  <si>
    <t xml:space="preserve">https://www.crystalfontz.com/products/document/4150/CFAL12832C-0091B-W_Datasheet.pdf</t>
  </si>
  <si>
    <t xml:space="preserve">NonStk</t>
  </si>
  <si>
    <t xml:space="preserve">#NO_CATALOG0001</t>
  </si>
  <si>
    <t xml:space="preserve">J2</t>
  </si>
  <si>
    <t xml:space="preserve">Conn_01x02</t>
  </si>
  <si>
    <t xml:space="preserve">PinHeader_1x02_P2.54mm_Vertical</t>
  </si>
  <si>
    <t xml:space="preserve">PRPC002SAAN-RC</t>
  </si>
  <si>
    <t xml:space="preserve">S1011EC-02-ND</t>
  </si>
  <si>
    <t xml:space="preserve">JP1-JP4</t>
  </si>
  <si>
    <t xml:space="preserve">Jumper_2_Bridged</t>
  </si>
  <si>
    <t xml:space="preserve">J_DISPLAY1</t>
  </si>
  <si>
    <t xml:space="preserve">Conn_01x12_MountingPin</t>
  </si>
  <si>
    <t xml:space="preserve">CF4212FH0R0-05-NH</t>
  </si>
  <si>
    <t xml:space="preserve">2987-CF4212FH0R0-05-NHCT-ND</t>
  </si>
  <si>
    <t xml:space="preserve">J_DISPLAY2</t>
  </si>
  <si>
    <t xml:space="preserve">Conn_01x12</t>
  </si>
  <si>
    <t xml:space="preserve">PinHeader_1x12_P2.54mm_Vertical</t>
  </si>
  <si>
    <t xml:space="preserve">PRPC012SAAN-RC</t>
  </si>
  <si>
    <t xml:space="preserve">S1011EC-12-ND</t>
  </si>
  <si>
    <t xml:space="preserve">J_DISPLAY3</t>
  </si>
  <si>
    <t xml:space="preserve">CF31121D0R0-05-NH</t>
  </si>
  <si>
    <t xml:space="preserve">2987-CF31121D0R0-05-NHCT-ND</t>
  </si>
  <si>
    <t xml:space="preserve">J_EXT1</t>
  </si>
  <si>
    <t xml:space="preserve">Conn_01x27_MountingPin</t>
  </si>
  <si>
    <t xml:space="preserve">Molex_502598-2793_2Rows-23P~0.60mm_Horizontal</t>
  </si>
  <si>
    <t xml:space="preserve">502598-2793</t>
  </si>
  <si>
    <t xml:space="preserve">WM9774CT-ND</t>
  </si>
  <si>
    <t xml:space="preserve">538-502598-2793</t>
  </si>
  <si>
    <t xml:space="preserve">J_EXT2</t>
  </si>
  <si>
    <t xml:space="preserve">Conn_01x27</t>
  </si>
  <si>
    <t xml:space="preserve">PinHeader_2x14_P2.54mm_Vertical</t>
  </si>
  <si>
    <t xml:space="preserve">PRPC014DAAN-RC</t>
  </si>
  <si>
    <t xml:space="preserve">S2011EC-14-ND</t>
  </si>
  <si>
    <t xml:space="preserve">J_JTAG1</t>
  </si>
  <si>
    <t xml:space="preserve">Conn_02x06_Odd_Even</t>
  </si>
  <si>
    <t xml:space="preserve">PinHeader_2x06_P1.27mm_Vertical_SMD</t>
  </si>
  <si>
    <t xml:space="preserve">10152265-1121HF</t>
  </si>
  <si>
    <t xml:space="preserve">609-10152265-1121HFCT-ND</t>
  </si>
  <si>
    <t xml:space="preserve">649-10152265-1121HF</t>
  </si>
  <si>
    <t xml:space="preserve">L1</t>
  </si>
  <si>
    <t xml:space="preserve">10uH</t>
  </si>
  <si>
    <t xml:space="preserve">L_1008_2520Metric_Pad1.43x2.20mm_HandSolder</t>
  </si>
  <si>
    <t xml:space="preserve">UHP 252012BF-100M</t>
  </si>
  <si>
    <t xml:space="preserve">4816-UHP252012BF-100MCT-ND</t>
  </si>
  <si>
    <t xml:space="preserve">LED_DONE1</t>
  </si>
  <si>
    <t xml:space="preserve">LED</t>
  </si>
  <si>
    <t xml:space="preserve">LED_0402_1005Metric_Pad0.77x0.64mm_HandSolder</t>
  </si>
  <si>
    <t xml:space="preserve">CS42C-QL4</t>
  </si>
  <si>
    <t xml:space="preserve">2661-CS42C-QL4TR-ND</t>
  </si>
  <si>
    <t xml:space="preserve">Q1-Q39,Q41</t>
  </si>
  <si>
    <t xml:space="preserve">2N7002</t>
  </si>
  <si>
    <t xml:space="preserve">2N7002NXAKR</t>
  </si>
  <si>
    <t xml:space="preserve">1727-8643-1-ND</t>
  </si>
  <si>
    <t xml:space="preserve">771-2N7002NXAKR</t>
  </si>
  <si>
    <t xml:space="preserve">R1</t>
  </si>
  <si>
    <t xml:space="preserve">220</t>
  </si>
  <si>
    <t xml:space="preserve">R_0402_1005Metric_Pad0.72x0.64mm_HandSolder</t>
  </si>
  <si>
    <t xml:space="preserve">CR0402-JW-221GLF</t>
  </si>
  <si>
    <t xml:space="preserve">CR0402-JW-221GLFCT-ND</t>
  </si>
  <si>
    <t xml:space="preserve">652-CR0402JW-221GLF</t>
  </si>
  <si>
    <t xml:space="preserve">R2</t>
  </si>
  <si>
    <t xml:space="preserve">1k</t>
  </si>
  <si>
    <t xml:space="preserve">CR0402-JW-102GLF</t>
  </si>
  <si>
    <t xml:space="preserve">CR0402-JW-102GLFCT-ND</t>
  </si>
  <si>
    <t xml:space="preserve">652-CR0402JW-102GLF</t>
  </si>
  <si>
    <t xml:space="preserve">R3,R5-R13,R15,R16</t>
  </si>
  <si>
    <t xml:space="preserve">10k</t>
  </si>
  <si>
    <t xml:space="preserve">CR0402-FX-1002GLF</t>
  </si>
  <si>
    <t xml:space="preserve">CR0402-FX-1002GLFCT-ND</t>
  </si>
  <si>
    <t xml:space="preserve">652-CR0402FX-1002GLF</t>
  </si>
  <si>
    <t xml:space="preserve">R4,R14</t>
  </si>
  <si>
    <t xml:space="preserve">4.99k</t>
  </si>
  <si>
    <t xml:space="preserve">ERJ-2RKF4991X</t>
  </si>
  <si>
    <t xml:space="preserve">P4.99KLCT-ND</t>
  </si>
  <si>
    <t xml:space="preserve">667-ERJ-2RKF4991X</t>
  </si>
  <si>
    <t xml:space="preserve">SOCKET1</t>
  </si>
  <si>
    <t xml:space="preserve">Conn_02x20_Odd_Even</t>
  </si>
  <si>
    <t xml:space="preserve">PinSocket_2x20_P2.54mm_Horizontal</t>
  </si>
  <si>
    <t xml:space="preserve">PPPC202LJBN-RC</t>
  </si>
  <si>
    <t xml:space="preserve">S5573-ND</t>
  </si>
  <si>
    <t xml:space="preserve">U1</t>
  </si>
  <si>
    <t xml:space="preserve">GW1N-LV9QN88C6_I5_</t>
  </si>
  <si>
    <t xml:space="preserve">Package</t>
  </si>
  <si>
    <t xml:space="preserve">Gowin Semiconductor</t>
  </si>
  <si>
    <t xml:space="preserve">GW1N-LV9QN88C6/I5/</t>
  </si>
  <si>
    <t xml:space="preserve">192-GW1N-LV9QN88C6I5</t>
  </si>
  <si>
    <t xml:space="preserve">U2</t>
  </si>
  <si>
    <t xml:space="preserve">LM3480-3.3</t>
  </si>
  <si>
    <t xml:space="preserve">LM3480IM3X-3.3/NOPB</t>
  </si>
  <si>
    <t xml:space="preserve">LM3480IM3X-3.3/NOPBCT-ND</t>
  </si>
  <si>
    <t xml:space="preserve">926-LM3480IM3X33NOPB</t>
  </si>
  <si>
    <t xml:space="preserve">U3</t>
  </si>
  <si>
    <t xml:space="preserve">AP2202K-ADJ</t>
  </si>
  <si>
    <t xml:space="preserve">SOT-23-5</t>
  </si>
  <si>
    <t xml:space="preserve">AP2202K-ADJTRE1</t>
  </si>
  <si>
    <t xml:space="preserve">31-AP2202K-ADJTRE1CT-ND</t>
  </si>
  <si>
    <t xml:space="preserve">621-AP2202K-ADJTRE1</t>
  </si>
  <si>
    <t xml:space="preserve">U4</t>
  </si>
  <si>
    <t xml:space="preserve">APS6404L-3SQR-SN</t>
  </si>
  <si>
    <t xml:space="preserve">SOIC-8_3.9x4.9mm_P1.27mm</t>
  </si>
  <si>
    <t xml:space="preserve">878-APS6404L-3SQR-SN</t>
  </si>
  <si>
    <t xml:space="preserve">U6</t>
  </si>
  <si>
    <t xml:space="preserve">AP62150Z6</t>
  </si>
  <si>
    <t xml:space="preserve">SOT-563</t>
  </si>
  <si>
    <t xml:space="preserve">AP62150Z6-7</t>
  </si>
  <si>
    <t xml:space="preserve">31-AP62150Z6-7CT-ND</t>
  </si>
  <si>
    <t xml:space="preserve">621-AP62150Z6-7</t>
  </si>
  <si>
    <t xml:space="preserve">U7</t>
  </si>
  <si>
    <t xml:space="preserve">AT25SF081-SSHB-X</t>
  </si>
  <si>
    <t xml:space="preserve">AT25SF081B-SSHB-T</t>
  </si>
  <si>
    <t xml:space="preserve">1265-AT25SF081B-SSHB-TCT-ND</t>
  </si>
  <si>
    <t xml:space="preserve">724-AT25SF081BSSHBT</t>
  </si>
  <si>
    <t xml:space="preserve">X1</t>
  </si>
  <si>
    <t xml:space="preserve">27MHz</t>
  </si>
  <si>
    <t xml:space="preserve">Oscillator_SMD_Abracon_ASE-4Pin_3.2x2.5mm</t>
  </si>
  <si>
    <t xml:space="preserve">O 27,0-JO32-B-1V3-1-T1-LF</t>
  </si>
  <si>
    <t xml:space="preserve">1908-O270-JO32-B-1V3-1-T1-LFCT-ND</t>
  </si>
  <si>
    <t xml:space="preserve">Total Purchase:</t>
  </si>
  <si>
    <t xml:space="preserve">Buy here</t>
  </si>
  <si>
    <t xml:space="preserve">KiCost® v1.1.18</t>
  </si>
  <si>
    <t xml:space="preserve">Purchase description: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</si>
</sst>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General"/>
    <numFmt numFmtId="167" formatCode="\$#,##0.000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</font>
    <font>
      <sz val="12"/>
      <color rgb="FF000000"/>
      <name val="Calibri"/>
      <family val="2"/>
    </font>
    <font>
      <b val="true"/>
      <sz val="13"/>
      <color rgb="FF008000"/>
      <name val="Calibri"/>
      <family val="2"/>
    </font>
    <font>
      <b val="true"/>
      <sz val="13"/>
      <color rgb="FFFF0000"/>
      <name val="Calibri"/>
      <family val="2"/>
    </font>
    <font>
      <b val="true"/>
      <i val="true"/>
      <sz val="10"/>
      <color rgb="FF000000"/>
      <name val="Calibri"/>
      <family val="2"/>
    </font>
    <font>
      <b val="true"/>
      <sz val="14"/>
      <color rgb="FFFFFFFF"/>
      <name val="Calibri"/>
      <family val="2"/>
    </font>
    <font>
      <b val="true"/>
      <sz val="12"/>
      <color rgb="FF000000"/>
      <name val="Calibri"/>
      <family val="2"/>
    </font>
    <font>
      <sz val="11"/>
      <color rgb="FF909090"/>
      <name val="Calibri"/>
      <family val="2"/>
    </font>
    <font>
      <u val="single"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ont>
        <name val="Calibri"/>
        <family val="2"/>
        <color rgb="FF000000"/>
        <sz val="11"/>
      </font>
      <fill>
        <patternFill>
          <bgColor rgb="FFAAAAAA"/>
        </patternFill>
      </fill>
    </dxf>
    <dxf>
      <font>
        <name val="Calibri"/>
        <family val="2"/>
        <color rgb="FFFFFFFF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9900"/>
        </patternFill>
      </fill>
    </dxf>
    <dxf>
      <font>
        <name val="Calibri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family val="2"/>
        <color rgb="FF000000"/>
        <sz val="11"/>
      </font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digikey.com/en/products/detail/yageo/CC0402MRX5R6BB225/5195142" TargetMode="External"/><Relationship Id="rId3" Type="http://schemas.openxmlformats.org/officeDocument/2006/relationships/hyperlink" Target="https://www.mouser.com/ProductDetail/YAGEO/CC0402MRX5R6BB225?qs=HEu%2FF%2FCqxzLmtiQC%2Fs%252BBmA%3D%3D" TargetMode="External"/><Relationship Id="rId4" Type="http://schemas.openxmlformats.org/officeDocument/2006/relationships/hyperlink" Target="https://www.digikey.com/en/products/detail/samsung-electro-mechanics/CL21A106KAYNNNG/3894413" TargetMode="External"/><Relationship Id="rId5" Type="http://schemas.openxmlformats.org/officeDocument/2006/relationships/hyperlink" Target="https://www.mouser.com/ProductDetail/Samsung-Electro-Mechanics/CL21A106KAYNNNG?qs=yOVawPpwOwl2HL%252Buj2PlNg%3D%3D" TargetMode="External"/><Relationship Id="rId6" Type="http://schemas.openxmlformats.org/officeDocument/2006/relationships/hyperlink" Target="https://www.digikey.com/en/products/detail/samsung-electro-mechanics/CL21A226MQQNNNE/3886758" TargetMode="External"/><Relationship Id="rId7" Type="http://schemas.openxmlformats.org/officeDocument/2006/relationships/hyperlink" Target="https://www.mouser.com/ProductDetail/Samsung-Electro-Mechanics/CL21A226MQQNNNE?qs=349EhDEZ59oZnQF%252BO1HZ%252BQ%3D%3D" TargetMode="External"/><Relationship Id="rId8" Type="http://schemas.openxmlformats.org/officeDocument/2006/relationships/hyperlink" Target="https://www.diodes.com/assets/Datasheets/BAT54_A_C_S.pdf" TargetMode="External"/><Relationship Id="rId9" Type="http://schemas.openxmlformats.org/officeDocument/2006/relationships/hyperlink" Target="https://www.digikey.com/en/products/detail/diodes-incorporated/BAT54-7-F/717699" TargetMode="External"/><Relationship Id="rId10" Type="http://schemas.openxmlformats.org/officeDocument/2006/relationships/hyperlink" Target="https://www.mouser.com/ProductDetail/Diodes-Incorporated/BAT54-7-F?qs=MTaYh%2FqtpVeQXpTE0N4TXQ%3D%3D" TargetMode="External"/><Relationship Id="rId11" Type="http://schemas.openxmlformats.org/officeDocument/2006/relationships/hyperlink" Target="https://www.diodes.com/assets/Datasheets/ds11005.pdf" TargetMode="External"/><Relationship Id="rId12" Type="http://schemas.openxmlformats.org/officeDocument/2006/relationships/hyperlink" Target="https://www.digikey.com/en/products/detail/diodes-incorporated/BAT54S-7-F/717925" TargetMode="External"/><Relationship Id="rId13" Type="http://schemas.openxmlformats.org/officeDocument/2006/relationships/hyperlink" Target="https://www.mouser.com/ProductDetail/Diodes-Incorporated/BAT54S-7-F?qs=SrifhsLOLf4kNGw4QqCzrA%3D%3D" TargetMode="External"/><Relationship Id="rId14" Type="http://schemas.openxmlformats.org/officeDocument/2006/relationships/hyperlink" Target="https://www.crystalfontz.com/products/document/4150/CFAL12832C-0091B-W_Datasheet.pdf" TargetMode="External"/><Relationship Id="rId15" Type="http://schemas.openxmlformats.org/officeDocument/2006/relationships/hyperlink" Target="https://www.crystalfontz.com/product/cfal12832c0091bw-small-oled-white-monochrome" TargetMode="External"/><Relationship Id="rId16" Type="http://schemas.openxmlformats.org/officeDocument/2006/relationships/hyperlink" Target="https://www.digikey.com/en/products/detail/sullins-connector-solutions/PRPC002SAAN-RC/2775252" TargetMode="External"/><Relationship Id="rId17" Type="http://schemas.openxmlformats.org/officeDocument/2006/relationships/hyperlink" Target="https://www.digikey.com/en/products/detail/sullins-connector-solutions/PRPC002SAAN-RC/2775252" TargetMode="External"/><Relationship Id="rId18" Type="http://schemas.openxmlformats.org/officeDocument/2006/relationships/hyperlink" Target="https://www.cvilux.com/uploads/drawings/101/210/CF4201S.pdf" TargetMode="External"/><Relationship Id="rId19" Type="http://schemas.openxmlformats.org/officeDocument/2006/relationships/hyperlink" Target="https://www.digikey.com/en/products/detail/cvilux-usa/CF4212FH0R0-05-NH/15793122" TargetMode="External"/><Relationship Id="rId20" Type="http://schemas.openxmlformats.org/officeDocument/2006/relationships/hyperlink" Target="https://www.digikey.com/en/products/detail/sullins-connector-solutions/PRPC012SAAN-RC/2775242" TargetMode="External"/><Relationship Id="rId21" Type="http://schemas.openxmlformats.org/officeDocument/2006/relationships/hyperlink" Target="https://www.cvilux.com/uploads/drawings/101/073/CF3103S.pdf" TargetMode="External"/><Relationship Id="rId22" Type="http://schemas.openxmlformats.org/officeDocument/2006/relationships/hyperlink" Target="https://www.digikey.com/en/products/detail/cvilux-usa/CF31121D0R0-05-NH/15792917" TargetMode="External"/><Relationship Id="rId23" Type="http://schemas.openxmlformats.org/officeDocument/2006/relationships/hyperlink" Target="https://www.digikey.com/en/products/detail/molex/5025982793/4141911" TargetMode="External"/><Relationship Id="rId24" Type="http://schemas.openxmlformats.org/officeDocument/2006/relationships/hyperlink" Target="https://www.mouser.com/ProductDetail/Molex/502598-2793?qs=yd8XiKYcH9mkFMks3MrQ0A%3D%3D" TargetMode="External"/><Relationship Id="rId25" Type="http://schemas.openxmlformats.org/officeDocument/2006/relationships/hyperlink" Target="https://www.digikey.com/en/products/detail/sullins-connector-solutions/PRPC014DAAN-RC/2775280" TargetMode="External"/><Relationship Id="rId26" Type="http://schemas.openxmlformats.org/officeDocument/2006/relationships/hyperlink" Target="https://www.digikey.com/en/products/detail/amphenol-cs-fci/10152265-1121HF/21592876" TargetMode="External"/><Relationship Id="rId27" Type="http://schemas.openxmlformats.org/officeDocument/2006/relationships/hyperlink" Target="https://www.mouser.com/ProductDetail/Amphenol-FCI/10152265-1121HF?qs=1Kr7Jg1SGW%252BgBc0SJsgwZQ%3D%3D" TargetMode="External"/><Relationship Id="rId28" Type="http://schemas.openxmlformats.org/officeDocument/2006/relationships/hyperlink" Target="https://www.crystalfontz.com/product/cfal12832c0091bw-small-oled-white-monochrome" TargetMode="External"/><Relationship Id="rId29" Type="http://schemas.openxmlformats.org/officeDocument/2006/relationships/hyperlink" Target="https://mm.digikey.com/Volume0/opasdata/d220001/medias/docus/4806/UHP%20Series.pdf" TargetMode="External"/><Relationship Id="rId30" Type="http://schemas.openxmlformats.org/officeDocument/2006/relationships/hyperlink" Target="https://www.digikey.com/en/products/detail/tai-tech-advanced-electronics-co-ltd/UHP-252012BF-100M/17835969" TargetMode="External"/><Relationship Id="rId31" Type="http://schemas.openxmlformats.org/officeDocument/2006/relationships/hyperlink" Target="https://chromeled.com/pdf/smd/CS42C-QL4.pdf" TargetMode="External"/><Relationship Id="rId32" Type="http://schemas.openxmlformats.org/officeDocument/2006/relationships/hyperlink" Target="https://www.digikey.com/en/products/detail/chromeled/CS42C-QL4/12819246" TargetMode="External"/><Relationship Id="rId33" Type="http://schemas.openxmlformats.org/officeDocument/2006/relationships/hyperlink" Target="https://assets.nexperia.com/documents/data-sheet/2N7002NXAK.pdf" TargetMode="External"/><Relationship Id="rId34" Type="http://schemas.openxmlformats.org/officeDocument/2006/relationships/hyperlink" Target="https://www.digikey.com/en/products/detail/nexperia-usa-inc/2N7002NXAKR/10416554" TargetMode="External"/><Relationship Id="rId35" Type="http://schemas.openxmlformats.org/officeDocument/2006/relationships/hyperlink" Target="https://www.mouser.com/ProductDetail/Nexperia/2N7002NXAKR?qs=%252B6g0mu59x7JoAsZYPFXqhw%3D%3D" TargetMode="External"/><Relationship Id="rId36" Type="http://schemas.openxmlformats.org/officeDocument/2006/relationships/hyperlink" Target="https://www.digikey.com/en/products/detail/bourns-inc/CR0402-JW-221GLF/3724075" TargetMode="External"/><Relationship Id="rId37" Type="http://schemas.openxmlformats.org/officeDocument/2006/relationships/hyperlink" Target="https://www.mouser.com/ProductDetail/Bourns/CR0402-JW-221GLF?qs=K5ddiUFZPT76N0%252BwSTMuPg%3D%3D" TargetMode="External"/><Relationship Id="rId38" Type="http://schemas.openxmlformats.org/officeDocument/2006/relationships/hyperlink" Target="https://www.digikey.com/en/products/detail/bourns-inc/CR0402-JW-102GLF/3783558" TargetMode="External"/><Relationship Id="rId39" Type="http://schemas.openxmlformats.org/officeDocument/2006/relationships/hyperlink" Target="https://www.mouser.com/ProductDetail/Bourns/CR0402-JW-102GLF?qs=K5ddiUFZPT6U8pP11HX1MQ%3D%3D" TargetMode="External"/><Relationship Id="rId40" Type="http://schemas.openxmlformats.org/officeDocument/2006/relationships/hyperlink" Target="https://www.digikey.com/en/products/detail/bourns-inc/CR0402-FX-1002GLF/3593192" TargetMode="External"/><Relationship Id="rId41" Type="http://schemas.openxmlformats.org/officeDocument/2006/relationships/hyperlink" Target="https://www.mouser.com/ProductDetail/Bourns/CR0402-FX-1002GLF?qs=URDPQ%2Fj0cz0Xgk2sZso66A%3D%3D" TargetMode="External"/><Relationship Id="rId42" Type="http://schemas.openxmlformats.org/officeDocument/2006/relationships/hyperlink" Target="https://www.digikey.com/en/products/detail/panasonic-electronic-components/ERJ-2RKF4991X/192345" TargetMode="External"/><Relationship Id="rId43" Type="http://schemas.openxmlformats.org/officeDocument/2006/relationships/hyperlink" Target="https://www.mouser.com/ProductDetail/Panasonic/ERJ-2RKF4991X?qs=6%252BUraArZVSDr040UMVCnHQ%3D%3D" TargetMode="External"/><Relationship Id="rId44" Type="http://schemas.openxmlformats.org/officeDocument/2006/relationships/hyperlink" Target="https://www.digikey.com/en/products/detail/sullins-connector-solutions/PPPC202LJBN-RC/776031" TargetMode="External"/><Relationship Id="rId45" Type="http://schemas.openxmlformats.org/officeDocument/2006/relationships/hyperlink" Target="https://www.digikey.com/en/models/776031" TargetMode="External"/><Relationship Id="rId46" Type="http://schemas.openxmlformats.org/officeDocument/2006/relationships/hyperlink" Target="https://www.mouser.com/ProductDetail/GOWIN-Semiconductor/GW1N-LV9QN88C6-I5?qs=OlC7AqGiEDnJD9x4EJLEKQ%3D%3D" TargetMode="External"/><Relationship Id="rId47" Type="http://schemas.openxmlformats.org/officeDocument/2006/relationships/hyperlink" Target="http://www.ti.com/lit/ds/symlink/lm3480.pdf" TargetMode="External"/><Relationship Id="rId48" Type="http://schemas.openxmlformats.org/officeDocument/2006/relationships/hyperlink" Target="https://www.digikey.com/en/products/detail/texas-instruments/LM3480IM3X-3-3-NOPB/367043" TargetMode="External"/><Relationship Id="rId49" Type="http://schemas.openxmlformats.org/officeDocument/2006/relationships/hyperlink" Target="https://www.mouser.com/ProductDetail/Texas-Instruments/LM3480IM3X-3.3-NOPB?qs=X1J7HmVL2ZFPur3vrG7qOw%3D%3D" TargetMode="External"/><Relationship Id="rId50" Type="http://schemas.openxmlformats.org/officeDocument/2006/relationships/hyperlink" Target="https://www.diodes.com/assets/Datasheets/AP2204.pdf" TargetMode="External"/><Relationship Id="rId51" Type="http://schemas.openxmlformats.org/officeDocument/2006/relationships/hyperlink" Target="https://www.digikey.com/en/products/detail/diodes-incorporated/AP2202K-ADJTRE1/5305708" TargetMode="External"/><Relationship Id="rId52" Type="http://schemas.openxmlformats.org/officeDocument/2006/relationships/hyperlink" Target="https://www.mouser.com/ProductDetail/Diodes-Incorporated/AP2202K-ADJTRE1?qs=M%2FOdCRO8QQ2ktyrXGlOKlQ%3D%3D" TargetMode="External"/><Relationship Id="rId53" Type="http://schemas.openxmlformats.org/officeDocument/2006/relationships/hyperlink" Target="https://www.mouser.com/datasheet/2/1127/APM_PSRAM_QSPI_APS6404L_3SQR_v2_3_PKG-1954826.pdf" TargetMode="External"/><Relationship Id="rId54" Type="http://schemas.openxmlformats.org/officeDocument/2006/relationships/hyperlink" Target="https://www.mouser.com/ProductDetail/AP-Memory/APS6404L-3SQR-SN?qs=IS%252B4QmGtzzqsn3S5xo%2FEEg%3D%3D" TargetMode="External"/><Relationship Id="rId55" Type="http://schemas.openxmlformats.org/officeDocument/2006/relationships/hyperlink" Target="https://www.diodes.com/assets/Datasheets/AP62150.pdf" TargetMode="External"/><Relationship Id="rId56" Type="http://schemas.openxmlformats.org/officeDocument/2006/relationships/hyperlink" Target="https://www.digikey.com/en/products/detail/diodes-incorporated/AP62150Z6-7/13161383" TargetMode="External"/><Relationship Id="rId57" Type="http://schemas.openxmlformats.org/officeDocument/2006/relationships/hyperlink" Target="https://www.mouser.com/ProductDetail/Diodes-Incorporated/AP62150Z6-7?qs=yqaQSyyJnNiFuYpiXgADRw%3D%3D" TargetMode="External"/><Relationship Id="rId58" Type="http://schemas.openxmlformats.org/officeDocument/2006/relationships/hyperlink" Target="https://www.renesas.com/us/en/document/dst/at25sf081b-datasheet" TargetMode="External"/><Relationship Id="rId59" Type="http://schemas.openxmlformats.org/officeDocument/2006/relationships/hyperlink" Target="https://www.digikey.com/en/products/detail/renesas-electronics-corporation/AT25SF081B-SSHB-T/12180765" TargetMode="External"/><Relationship Id="rId60" Type="http://schemas.openxmlformats.org/officeDocument/2006/relationships/hyperlink" Target="https://www.mouser.com/ProductDetail/Renesas-Dialog/AT25SF081B-SSHB-T?qs=IS%252B4QmGtzzpOC1%252BzmE%2Fn5w%3D%3D" TargetMode="External"/><Relationship Id="rId61" Type="http://schemas.openxmlformats.org/officeDocument/2006/relationships/hyperlink" Target="https://www.jauch.com/downloadfile/5ef1edcfb8e2f73163c8ce8009ef659d1/jo32-1.8-3.3v.pdf" TargetMode="External"/><Relationship Id="rId62" Type="http://schemas.openxmlformats.org/officeDocument/2006/relationships/hyperlink" Target="https://www.digikey.com/en/products/detail/jauch-quartz/O-27-0-JO32-B-1V3-1-T1-LF/10416292" TargetMode="External"/><Relationship Id="rId63" Type="http://schemas.openxmlformats.org/officeDocument/2006/relationships/hyperlink" Target="https://www.digikey.com/ordering/shoppingcart" TargetMode="External"/><Relationship Id="rId64" Type="http://schemas.openxmlformats.org/officeDocument/2006/relationships/hyperlink" Target="https://mouser.com/bom/" TargetMode="External"/><Relationship Id="rId6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6" topLeftCell="J19" activePane="bottomLeft" state="frozen"/>
      <selection pane="topLeft" activeCell="A1" activeCellId="0" sqref="A1"/>
      <selection pane="bottomLeft" activeCell="C36" activeCellId="0" sqref="C36"/>
    </sheetView>
  </sheetViews>
  <sheetFormatPr defaultColWidth="8.5390625" defaultRowHeight="13.8" zeroHeight="false" outlineLevelRow="0" outlineLevelCol="3"/>
  <cols>
    <col collapsed="false" customWidth="true" hidden="false" outlineLevel="0" max="1" min="1" style="0" width="33.71"/>
    <col collapsed="false" customWidth="true" hidden="false" outlineLevel="0" max="2" min="2" style="0" width="23.72"/>
    <col collapsed="false" customWidth="true" hidden="false" outlineLevel="2" max="3" min="3" style="0" width="31.71"/>
    <col collapsed="false" customWidth="true" hidden="false" outlineLevel="2" max="4" min="4" style="0" width="33.71"/>
    <col collapsed="false" customWidth="true" hidden="false" outlineLevel="1" max="5" min="5" style="0" width="20.71"/>
    <col collapsed="false" customWidth="true" hidden="false" outlineLevel="1" max="6" min="6" style="0" width="33.71"/>
    <col collapsed="false" customWidth="true" hidden="false" outlineLevel="1" max="7" min="7" style="0" width="9.14"/>
    <col collapsed="false" customWidth="true" hidden="false" outlineLevel="0" max="8" min="8" style="0" width="22.71"/>
    <col collapsed="false" customWidth="true" hidden="false" outlineLevel="0" max="9" min="9" style="0" width="16.71"/>
    <col collapsed="false" customWidth="true" hidden="false" outlineLevel="1" max="10" min="10" style="0" width="9.71"/>
    <col collapsed="false" customWidth="true" hidden="false" outlineLevel="2" max="11" min="11" style="0" width="9.14"/>
    <col collapsed="false" customWidth="true" hidden="false" outlineLevel="2" max="12" min="12" style="0" width="10.71"/>
    <col collapsed="false" customWidth="true" hidden="true" outlineLevel="3" max="13" min="13" style="0" width="9.14"/>
    <col collapsed="false" customWidth="true" hidden="false" outlineLevel="0" max="14" min="14" style="0" width="16.71"/>
    <col collapsed="false" customWidth="true" hidden="false" outlineLevel="2" max="15" min="15" style="0" width="32.71"/>
    <col collapsed="false" customWidth="true" hidden="false" outlineLevel="1" max="16" min="16" style="0" width="9.71"/>
    <col collapsed="false" customWidth="true" hidden="false" outlineLevel="2" max="17" min="17" style="0" width="9.14"/>
    <col collapsed="false" customWidth="true" hidden="false" outlineLevel="2" max="18" min="18" style="0" width="10.71"/>
    <col collapsed="false" customWidth="true" hidden="true" outlineLevel="3" max="19" min="19" style="0" width="9.14"/>
    <col collapsed="false" customWidth="true" hidden="false" outlineLevel="0" max="20" min="20" style="0" width="16.71"/>
    <col collapsed="false" customWidth="true" hidden="false" outlineLevel="2" max="21" min="21" style="0" width="21.71"/>
    <col collapsed="false" customWidth="true" hidden="false" outlineLevel="1" max="22" min="22" style="0" width="9.14"/>
    <col collapsed="false" customWidth="true" hidden="false" outlineLevel="2" max="23" min="23" style="0" width="9.14"/>
    <col collapsed="false" customWidth="true" hidden="false" outlineLevel="2" max="24" min="24" style="0" width="10.71"/>
    <col collapsed="false" customWidth="true" hidden="true" outlineLevel="3" max="25" min="25" style="0" width="9.14"/>
    <col collapsed="false" customWidth="true" hidden="false" outlineLevel="0" max="26" min="26" style="0" width="16.71"/>
    <col collapsed="false" customWidth="true" hidden="false" outlineLevel="2" max="27" min="27" style="0" width="16.71"/>
  </cols>
  <sheetData>
    <row r="1" customFormat="false" ht="16.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2</v>
      </c>
    </row>
    <row r="2" customFormat="false" ht="16.15" hidden="false" customHeight="false" outlineLevel="0" collapsed="false">
      <c r="A2" s="1" t="s">
        <v>3</v>
      </c>
      <c r="B2" s="2" t="s">
        <v>4</v>
      </c>
      <c r="H2" s="1" t="s">
        <v>5</v>
      </c>
      <c r="I2" s="4" t="n">
        <f aca="false">TotalCost/BoardQty</f>
        <v>32.348</v>
      </c>
    </row>
    <row r="3" customFormat="false" ht="16.15" hidden="false" customHeight="false" outlineLevel="0" collapsed="false">
      <c r="A3" s="1" t="s">
        <v>6</v>
      </c>
      <c r="B3" s="2" t="s">
        <v>7</v>
      </c>
      <c r="H3" s="1" t="s">
        <v>8</v>
      </c>
      <c r="I3" s="5" t="n">
        <f aca="false">SUM(I7:I35)</f>
        <v>64.696</v>
      </c>
      <c r="N3" s="5" t="n">
        <f aca="false">SUM(N7:N35)</f>
        <v>58.266</v>
      </c>
      <c r="O3" s="6" t="str">
        <f aca="false">(COUNTA(N7:N35)&amp;" of "&amp;ROWS(N7:N35)&amp;" parts found")</f>
        <v>26 of 29 parts found</v>
      </c>
      <c r="T3" s="5" t="n">
        <f aca="false">SUM(T7:T35)</f>
        <v>38.956</v>
      </c>
      <c r="U3" s="6" t="str">
        <f aca="false">(COUNTA(T7:T35)&amp;" of "&amp;ROWS(T7:T35)&amp;" parts found")</f>
        <v>18 of 29 parts found</v>
      </c>
      <c r="Z3" s="5" t="n">
        <f aca="false">SUM(Z7:Z35)</f>
        <v>26.36</v>
      </c>
      <c r="AA3" s="6" t="str">
        <f aca="false">(COUNTA(Z7:Z35)&amp;" of "&amp;ROWS(Z7:Z35)&amp;" parts found")</f>
        <v>3 of 29 parts found</v>
      </c>
    </row>
    <row r="4" customFormat="false" ht="16.15" hidden="false" customHeight="false" outlineLevel="0" collapsed="false">
      <c r="A4" s="1" t="s">
        <v>9</v>
      </c>
      <c r="B4" s="2" t="s">
        <v>10</v>
      </c>
    </row>
    <row r="5" customFormat="false" ht="17.35" hidden="false" customHeight="false" outlineLevel="0" collapsed="false">
      <c r="A5" s="7" t="s">
        <v>11</v>
      </c>
      <c r="B5" s="7"/>
      <c r="C5" s="7"/>
      <c r="D5" s="7"/>
      <c r="E5" s="7"/>
      <c r="F5" s="7"/>
      <c r="G5" s="7"/>
      <c r="H5" s="7"/>
      <c r="I5" s="7"/>
      <c r="J5" s="8" t="s">
        <v>12</v>
      </c>
      <c r="K5" s="8"/>
      <c r="L5" s="8"/>
      <c r="M5" s="8"/>
      <c r="N5" s="8"/>
      <c r="O5" s="8"/>
      <c r="P5" s="9" t="s">
        <v>13</v>
      </c>
      <c r="Q5" s="9"/>
      <c r="R5" s="9"/>
      <c r="S5" s="9"/>
      <c r="T5" s="9"/>
      <c r="U5" s="9"/>
      <c r="V5" s="10" t="s">
        <v>14</v>
      </c>
      <c r="W5" s="10"/>
      <c r="X5" s="10"/>
      <c r="Y5" s="10"/>
      <c r="Z5" s="10"/>
      <c r="AA5" s="10"/>
    </row>
    <row r="6" customFormat="false" ht="15" hidden="false" customHeight="false" outlineLevel="0" collapsed="false">
      <c r="A6" s="11" t="s">
        <v>15</v>
      </c>
      <c r="B6" s="11" t="s">
        <v>16</v>
      </c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1" t="s">
        <v>22</v>
      </c>
      <c r="I6" s="11" t="s">
        <v>23</v>
      </c>
      <c r="J6" s="11" t="s">
        <v>24</v>
      </c>
      <c r="K6" s="11" t="s">
        <v>25</v>
      </c>
      <c r="L6" s="11" t="s">
        <v>22</v>
      </c>
      <c r="M6" s="11" t="s">
        <v>26</v>
      </c>
      <c r="N6" s="11" t="s">
        <v>23</v>
      </c>
      <c r="O6" s="11" t="s">
        <v>27</v>
      </c>
      <c r="P6" s="11" t="s">
        <v>24</v>
      </c>
      <c r="Q6" s="11" t="s">
        <v>25</v>
      </c>
      <c r="R6" s="11" t="s">
        <v>22</v>
      </c>
      <c r="S6" s="11" t="s">
        <v>26</v>
      </c>
      <c r="T6" s="11" t="s">
        <v>23</v>
      </c>
      <c r="U6" s="11" t="s">
        <v>27</v>
      </c>
      <c r="V6" s="11" t="s">
        <v>24</v>
      </c>
      <c r="W6" s="11" t="s">
        <v>25</v>
      </c>
      <c r="X6" s="11" t="s">
        <v>22</v>
      </c>
      <c r="Y6" s="11" t="s">
        <v>26</v>
      </c>
      <c r="Z6" s="11" t="s">
        <v>23</v>
      </c>
      <c r="AA6" s="11" t="s">
        <v>27</v>
      </c>
    </row>
    <row r="7" customFormat="false" ht="30" hidden="false" customHeight="true" outlineLevel="0" collapsed="false">
      <c r="A7" s="12" t="s">
        <v>28</v>
      </c>
      <c r="B7" s="12" t="s">
        <v>29</v>
      </c>
      <c r="C7" s="0" t="s">
        <v>30</v>
      </c>
      <c r="D7" s="12" t="s">
        <v>31</v>
      </c>
      <c r="F7" s="12" t="s">
        <v>32</v>
      </c>
      <c r="G7" s="13" t="n">
        <f aca="false">CEILING(BoardQty*19,1)</f>
        <v>38</v>
      </c>
      <c r="H7" s="14" t="n">
        <f aca="false">IF(MIN(X7,L7,R7)&lt;&gt;0,MIN(X7,L7,R7),"")</f>
        <v>0.036</v>
      </c>
      <c r="I7" s="15" t="n">
        <f aca="false">IF(AND(ISNUMBER(G7),ISNUMBER(H7)),G7*H7,"")</f>
        <v>1.368</v>
      </c>
      <c r="J7" s="16" t="n">
        <v>120429</v>
      </c>
      <c r="K7" s="13" t="n">
        <f aca="false">IF(J7&gt;G7,G7,0)</f>
        <v>38</v>
      </c>
      <c r="L7" s="14" t="n">
        <f aca="false">IFERROR(IF(OR(K7&gt;=M7,G7&gt;=M7),LOOKUP(IF(K7="",G7,K7),{0,1,10,50,100,500,1000,2500,5000},{0,0.1,0.061,0.0352,0.0272,0.0205,0.01611,0.01464,0.01347}),"MOQ="&amp;M7),"")</f>
        <v>0.061</v>
      </c>
      <c r="M7" s="12" t="n">
        <v>1</v>
      </c>
      <c r="N7" s="15" t="n">
        <f aca="false">IFERROR(IF(K7="",G7,K7)*L7,"")</f>
        <v>2.318</v>
      </c>
      <c r="O7" s="12" t="s">
        <v>33</v>
      </c>
      <c r="P7" s="16" t="n">
        <v>49932</v>
      </c>
      <c r="Q7" s="16"/>
      <c r="R7" s="14" t="n">
        <f aca="false">IFERROR(IF(OR(Q7&gt;=S7,G7&gt;=S7),LOOKUP(IF(Q7="",G7,Q7),{0,1,10,100,1000,2500,10000,20000,50000},{0,0.1,0.036,0.021,0.014,0.013,0.011,0.01,0.009}),"MOQ="&amp;S7),"")</f>
        <v>0.036</v>
      </c>
      <c r="S7" s="12" t="n">
        <v>1</v>
      </c>
      <c r="T7" s="15" t="n">
        <f aca="false">IFERROR(IF(Q7="",G7,Q7)*R7,"")</f>
        <v>1.368</v>
      </c>
      <c r="U7" s="12" t="s">
        <v>34</v>
      </c>
    </row>
    <row r="8" customFormat="false" ht="30" hidden="false" customHeight="true" outlineLevel="0" collapsed="false">
      <c r="A8" s="12" t="s">
        <v>35</v>
      </c>
      <c r="B8" s="12" t="s">
        <v>36</v>
      </c>
      <c r="C8" s="0" t="s">
        <v>30</v>
      </c>
      <c r="D8" s="12" t="s">
        <v>37</v>
      </c>
      <c r="F8" s="12" t="s">
        <v>38</v>
      </c>
      <c r="G8" s="13" t="n">
        <f aca="false">CEILING(BoardQty*2,1)</f>
        <v>4</v>
      </c>
      <c r="H8" s="14" t="n">
        <f aca="false">IF(MIN(X8,L8,R8)&lt;&gt;0,MIN(X8,L8,R8),"")</f>
        <v>0.18</v>
      </c>
      <c r="I8" s="15" t="n">
        <f aca="false">IF(AND(ISNUMBER(G8),ISNUMBER(H8)),G8*H8,"")</f>
        <v>0.72</v>
      </c>
      <c r="J8" s="16" t="n">
        <v>434824</v>
      </c>
      <c r="K8" s="13" t="n">
        <f aca="false">IF(J8&gt;G8,G8,0)</f>
        <v>4</v>
      </c>
      <c r="L8" s="14" t="n">
        <f aca="false">IFERROR(IF(OR(K8&gt;=M8,G8&gt;=M8),LOOKUP(IF(K8="",G8,K8),{0,1,10,50,100,500,1000},{0,0.18,0.122,0.0728,0.0572,0.04226,0.03499}),"MOQ="&amp;M8),"")</f>
        <v>0.18</v>
      </c>
      <c r="M8" s="12" t="n">
        <v>1</v>
      </c>
      <c r="N8" s="15" t="n">
        <f aca="false">IFERROR(IF(K8="",G8,K8)*L8,"")</f>
        <v>0.72</v>
      </c>
      <c r="O8" s="12" t="s">
        <v>39</v>
      </c>
      <c r="P8" s="16" t="n">
        <v>285104</v>
      </c>
      <c r="Q8" s="16"/>
      <c r="R8" s="14" t="n">
        <f aca="false">IFERROR(IF(OR(Q8&gt;=S8,G8&gt;=S8),LOOKUP(IF(Q8="",G8,Q8),{0,1,10,100,1000,3000,9000,24000,45000,99000},{0,0.18,0.073,0.043,0.035,0.029,0.026,0.024,0.022,0.018}),"MOQ="&amp;S8),"")</f>
        <v>0.18</v>
      </c>
      <c r="S8" s="12" t="n">
        <v>1</v>
      </c>
      <c r="T8" s="15" t="n">
        <f aca="false">IFERROR(IF(Q8="",G8,Q8)*R8,"")</f>
        <v>0.72</v>
      </c>
      <c r="U8" s="12" t="s">
        <v>40</v>
      </c>
    </row>
    <row r="9" customFormat="false" ht="30" hidden="false" customHeight="true" outlineLevel="0" collapsed="false">
      <c r="A9" s="12" t="s">
        <v>41</v>
      </c>
      <c r="B9" s="12" t="s">
        <v>42</v>
      </c>
      <c r="C9" s="0" t="s">
        <v>30</v>
      </c>
      <c r="D9" s="12" t="s">
        <v>37</v>
      </c>
      <c r="F9" s="12" t="s">
        <v>43</v>
      </c>
      <c r="G9" s="13" t="n">
        <f aca="false">CEILING(BoardQty*2,1)</f>
        <v>4</v>
      </c>
      <c r="H9" s="14" t="n">
        <f aca="false">IF(MIN(X9,L9,R9)&lt;&gt;0,MIN(X9,L9,R9),"")</f>
        <v>0.13</v>
      </c>
      <c r="I9" s="15" t="n">
        <f aca="false">IF(AND(ISNUMBER(G9),ISNUMBER(H9)),G9*H9,"")</f>
        <v>0.52</v>
      </c>
      <c r="J9" s="16" t="n">
        <v>1122902</v>
      </c>
      <c r="K9" s="13" t="n">
        <f aca="false">IF(J9&gt;G9,G9,0)</f>
        <v>4</v>
      </c>
      <c r="L9" s="14" t="n">
        <f aca="false">IFERROR(IF(OR(K9&gt;=M9,G9&gt;=M9),LOOKUP(IF(K9="",G9,K9),{0,1,10,50,100,500,1000},{0,0.13,0.089,0.053,0.0417,0.0308,0.0255}),"MOQ="&amp;M9),"")</f>
        <v>0.13</v>
      </c>
      <c r="M9" s="12" t="n">
        <v>1</v>
      </c>
      <c r="N9" s="15" t="n">
        <f aca="false">IFERROR(IF(K9="",G9,K9)*L9,"")</f>
        <v>0.52</v>
      </c>
      <c r="O9" s="12" t="s">
        <v>44</v>
      </c>
      <c r="P9" s="16" t="n">
        <v>26485</v>
      </c>
      <c r="Q9" s="16"/>
      <c r="R9" s="14" t="n">
        <f aca="false">IFERROR(IF(OR(Q9&gt;=S9,G9&gt;=S9),LOOKUP(IF(Q9="",G9,Q9),{0,1,10,100,1000,2000,10000,24000,50000,100000},{0,0.13,0.053,0.031,0.026,0.02,0.019,0.017,0.016,0.013}),"MOQ="&amp;S9),"")</f>
        <v>0.13</v>
      </c>
      <c r="S9" s="12" t="n">
        <v>1</v>
      </c>
      <c r="T9" s="15" t="n">
        <f aca="false">IFERROR(IF(Q9="",G9,Q9)*R9,"")</f>
        <v>0.52</v>
      </c>
      <c r="U9" s="12" t="s">
        <v>45</v>
      </c>
    </row>
    <row r="10" customFormat="false" ht="75" hidden="false" customHeight="true" outlineLevel="0" collapsed="false">
      <c r="A10" s="12" t="s">
        <v>46</v>
      </c>
      <c r="B10" s="12" t="s">
        <v>47</v>
      </c>
      <c r="C10" s="0" t="s">
        <v>30</v>
      </c>
      <c r="D10" s="12" t="s">
        <v>48</v>
      </c>
      <c r="F10" s="12" t="s">
        <v>49</v>
      </c>
      <c r="G10" s="13" t="n">
        <f aca="false">CEILING(BoardQty*40,1)</f>
        <v>80</v>
      </c>
      <c r="H10" s="14" t="n">
        <f aca="false">IF(MIN(X10,L10,R10)&lt;&gt;0,MIN(X10,L10,R10),"")</f>
        <v>0.073</v>
      </c>
      <c r="I10" s="15" t="n">
        <f aca="false">IF(AND(ISNUMBER(G10),ISNUMBER(H10)),G10*H10,"")</f>
        <v>5.84</v>
      </c>
      <c r="J10" s="16" t="n">
        <v>222608</v>
      </c>
      <c r="K10" s="13" t="n">
        <f aca="false">IF(J10&gt;G10,G10,0)</f>
        <v>80</v>
      </c>
      <c r="L10" s="14" t="n">
        <f aca="false">IFERROR(IF(OR(K10&gt;=M10,G10&gt;=M10),LOOKUP(IF(K10="",G10,K10),{0,1,10,100,500,1000},{0,0.15,0.108,0.0583,0.04582,0.03182}),"MOQ="&amp;M10),"")</f>
        <v>0.108</v>
      </c>
      <c r="M10" s="12" t="n">
        <v>1</v>
      </c>
      <c r="N10" s="15" t="n">
        <f aca="false">IFERROR(IF(K10="",G10,K10)*L10,"")</f>
        <v>8.64</v>
      </c>
      <c r="O10" s="12" t="s">
        <v>50</v>
      </c>
      <c r="P10" s="16" t="n">
        <v>291880</v>
      </c>
      <c r="Q10" s="16"/>
      <c r="R10" s="14" t="n">
        <f aca="false">IFERROR(IF(OR(Q10&gt;=S10,G10&gt;=S10),LOOKUP(IF(Q10="",G10,Q10),{0,1,10,100,1000,3000,9000,24000,45000,99000},{0,0.11,0.073,0.038,0.03,0.023,0.02,0.018,0.016,0.015}),"MOQ="&amp;S10),"")</f>
        <v>0.073</v>
      </c>
      <c r="S10" s="12" t="n">
        <v>1</v>
      </c>
      <c r="T10" s="15" t="n">
        <f aca="false">IFERROR(IF(Q10="",G10,Q10)*R10,"")</f>
        <v>5.84</v>
      </c>
      <c r="U10" s="12" t="s">
        <v>51</v>
      </c>
    </row>
    <row r="11" customFormat="false" ht="75" hidden="false" customHeight="true" outlineLevel="0" collapsed="false">
      <c r="A11" s="12" t="s">
        <v>52</v>
      </c>
      <c r="B11" s="12" t="s">
        <v>53</v>
      </c>
      <c r="C11" s="0" t="s">
        <v>30</v>
      </c>
      <c r="D11" s="12" t="s">
        <v>48</v>
      </c>
      <c r="F11" s="12" t="s">
        <v>54</v>
      </c>
      <c r="G11" s="13" t="n">
        <f aca="false">CEILING(BoardQty*40,1)</f>
        <v>80</v>
      </c>
      <c r="H11" s="14" t="n">
        <f aca="false">IF(MIN(X11,L11,R11)&lt;&gt;0,MIN(X11,L11,R11),"")</f>
        <v>0.099</v>
      </c>
      <c r="I11" s="15" t="n">
        <f aca="false">IF(AND(ISNUMBER(G11),ISNUMBER(H11)),G11*H11,"")</f>
        <v>7.92</v>
      </c>
      <c r="J11" s="16" t="n">
        <v>422480</v>
      </c>
      <c r="K11" s="13" t="n">
        <f aca="false">IF(J11&gt;G11,G11,0)</f>
        <v>80</v>
      </c>
      <c r="L11" s="14" t="n">
        <f aca="false">IFERROR(IF(OR(K11&gt;=M11,G11&gt;=M11),LOOKUP(IF(K11="",G11,K11),{0,1,10,100,500,1000},{0,0.2,0.141,0.0761,0.05978,0.04151}),"MOQ="&amp;M11),"")</f>
        <v>0.141</v>
      </c>
      <c r="M11" s="12" t="n">
        <v>1</v>
      </c>
      <c r="N11" s="15" t="n">
        <f aca="false">IFERROR(IF(K11="",G11,K11)*L11,"")</f>
        <v>11.28</v>
      </c>
      <c r="O11" s="12" t="s">
        <v>55</v>
      </c>
      <c r="P11" s="16" t="n">
        <v>1204943</v>
      </c>
      <c r="Q11" s="16"/>
      <c r="R11" s="14" t="n">
        <f aca="false">IFERROR(IF(OR(Q11&gt;=S11,G11&gt;=S11),LOOKUP(IF(Q11="",G11,Q11),{0,1,10,100,1000,3000,9000,24000},{0,0.15,0.099,0.054,0.041,0.028,0.024,0.02}),"MOQ="&amp;S11),"")</f>
        <v>0.099</v>
      </c>
      <c r="S11" s="12" t="n">
        <v>1</v>
      </c>
      <c r="T11" s="15" t="n">
        <f aca="false">IFERROR(IF(Q11="",G11,Q11)*R11,"")</f>
        <v>7.92</v>
      </c>
      <c r="U11" s="12" t="s">
        <v>56</v>
      </c>
    </row>
    <row r="12" customFormat="false" ht="45" hidden="false" customHeight="true" outlineLevel="0" collapsed="false">
      <c r="A12" s="12" t="s">
        <v>57</v>
      </c>
      <c r="B12" s="12" t="s">
        <v>58</v>
      </c>
      <c r="D12" s="12" t="s">
        <v>59</v>
      </c>
      <c r="F12" s="12" t="s">
        <v>60</v>
      </c>
      <c r="G12" s="13" t="n">
        <f aca="false">CEILING(BoardQty*1,1)</f>
        <v>2</v>
      </c>
      <c r="H12" s="14" t="n">
        <f aca="false">IF(MIN(X12,L12,R12)&lt;&gt;0,MIN(X12,L12,R12),"")</f>
        <v>6.59</v>
      </c>
      <c r="I12" s="15" t="n">
        <f aca="false">IF(AND(ISNUMBER(G12),ISNUMBER(H12)),G12*H12,"")</f>
        <v>13.18</v>
      </c>
      <c r="K12" s="13" t="n">
        <f aca="false">IF(J12&gt;G12,G12,0)</f>
        <v>0</v>
      </c>
      <c r="V12" s="17" t="s">
        <v>61</v>
      </c>
      <c r="W12" s="16"/>
      <c r="X12" s="14" t="n">
        <f aca="false">IFERROR(IF(OR(W12&gt;=Y12,G12&gt;=Y12),LOOKUP(IF(W12="",G12,W12),{0,1,5,10,20,50,100,200,300,500,1000},{0,6.59,5.51,5.36,5.18,5,4.92,4.89,4.85,4.82,4.78}),"MOQ="&amp;Y12),"")</f>
        <v>6.59</v>
      </c>
      <c r="Y12" s="12" t="n">
        <v>1</v>
      </c>
      <c r="Z12" s="15" t="n">
        <f aca="false">IFERROR(IF(W12="",G12,W12)*X12,"")</f>
        <v>13.18</v>
      </c>
      <c r="AA12" s="12" t="s">
        <v>62</v>
      </c>
    </row>
    <row r="13" customFormat="false" ht="14.9" hidden="false" customHeight="false" outlineLevel="0" collapsed="false">
      <c r="A13" s="12" t="s">
        <v>63</v>
      </c>
      <c r="B13" s="12" t="s">
        <v>64</v>
      </c>
      <c r="C13" s="0" t="s">
        <v>30</v>
      </c>
      <c r="D13" s="12" t="s">
        <v>65</v>
      </c>
      <c r="F13" s="12" t="s">
        <v>66</v>
      </c>
      <c r="G13" s="13" t="n">
        <f aca="false">CEILING(BoardQty*1,1)</f>
        <v>2</v>
      </c>
      <c r="H13" s="14" t="n">
        <f aca="false">IF(MIN(X13,L13,R13)&lt;&gt;0,MIN(X13,L13,R13),"")</f>
        <v>0.1</v>
      </c>
      <c r="I13" s="15" t="n">
        <f aca="false">IF(AND(ISNUMBER(G13),ISNUMBER(H13)),G13*H13,"")</f>
        <v>0.2</v>
      </c>
      <c r="J13" s="16" t="n">
        <v>24412</v>
      </c>
      <c r="K13" s="13" t="n">
        <f aca="false">IF(J13&gt;G13,G13,0)</f>
        <v>2</v>
      </c>
      <c r="L13" s="14" t="n">
        <f aca="false">IFERROR(IF(OR(K13&gt;=M13,G13&gt;=M13),LOOKUP(IF(K13="",G13,K13),{0,1,10,100,500,1000,5000,10000},{0,0.1,0.051,0.0374,0.031,0.02712,0.02324,0.0226}),"MOQ="&amp;M13),"")</f>
        <v>0.1</v>
      </c>
      <c r="M13" s="12" t="n">
        <v>1</v>
      </c>
      <c r="N13" s="15" t="n">
        <f aca="false">IFERROR(IF(K13="",G13,K13)*L13,"")</f>
        <v>0.2</v>
      </c>
      <c r="O13" s="12" t="s">
        <v>67</v>
      </c>
    </row>
    <row r="14" customFormat="false" ht="14.9" hidden="false" customHeight="false" outlineLevel="0" collapsed="false">
      <c r="A14" s="12" t="s">
        <v>68</v>
      </c>
      <c r="B14" s="12" t="s">
        <v>69</v>
      </c>
      <c r="C14" s="0" t="s">
        <v>30</v>
      </c>
      <c r="D14" s="12" t="s">
        <v>65</v>
      </c>
      <c r="F14" s="12" t="s">
        <v>66</v>
      </c>
      <c r="G14" s="13" t="n">
        <f aca="false">CEILING(BoardQty*4,1)</f>
        <v>8</v>
      </c>
      <c r="H14" s="14" t="n">
        <f aca="false">IF(MIN(X14,L14,R14)&lt;&gt;0,MIN(X14,L14,R14),"")</f>
        <v>0.1</v>
      </c>
      <c r="I14" s="15" t="n">
        <f aca="false">IF(AND(ISNUMBER(G14),ISNUMBER(H14)),G14*H14,"")</f>
        <v>0.8</v>
      </c>
      <c r="J14" s="16" t="n">
        <v>24412</v>
      </c>
      <c r="K14" s="13" t="n">
        <f aca="false">IF(J14&gt;G14,G14,0)</f>
        <v>8</v>
      </c>
      <c r="L14" s="14" t="n">
        <f aca="false">IFERROR(IF(OR(K14&gt;=M14,G14&gt;=M14),LOOKUP(IF(K14="",G14,K14),{0,1,10,100,500,1000,5000,10000},{0,0.1,0.051,0.0374,0.031,0.02712,0.02324,0.0226}),"MOQ="&amp;M14),"")</f>
        <v>0.1</v>
      </c>
      <c r="M14" s="12" t="n">
        <v>1</v>
      </c>
      <c r="N14" s="15" t="n">
        <f aca="false">IFERROR(IF(K14="",G14,K14)*L14,"")</f>
        <v>0.8</v>
      </c>
      <c r="O14" s="12" t="s">
        <v>67</v>
      </c>
    </row>
    <row r="15" customFormat="false" ht="14.9" hidden="false" customHeight="false" outlineLevel="0" collapsed="false">
      <c r="A15" s="12" t="s">
        <v>70</v>
      </c>
      <c r="B15" s="12" t="s">
        <v>71</v>
      </c>
      <c r="C15" s="0" t="s">
        <v>30</v>
      </c>
      <c r="D15" s="12" t="s">
        <v>72</v>
      </c>
      <c r="F15" s="12" t="s">
        <v>72</v>
      </c>
      <c r="G15" s="13" t="n">
        <f aca="false">CEILING(BoardQty*1,1)</f>
        <v>2</v>
      </c>
      <c r="H15" s="14" t="n">
        <f aca="false">IF(MIN(X15,L15,R15)&lt;&gt;0,MIN(X15,L15,R15),"")</f>
        <v>0.28</v>
      </c>
      <c r="I15" s="15" t="n">
        <f aca="false">IF(AND(ISNUMBER(G15),ISNUMBER(H15)),G15*H15,"")</f>
        <v>0.56</v>
      </c>
      <c r="J15" s="16" t="n">
        <v>2728</v>
      </c>
      <c r="K15" s="13" t="n">
        <f aca="false">IF(J15&gt;G15,G15,0)</f>
        <v>2</v>
      </c>
      <c r="L15" s="14" t="n">
        <f aca="false">IFERROR(IF(OR(K15&gt;=M15,G15&gt;=M15),LOOKUP(IF(K15="",G15,K15),{0,1,10,25,50,100,250,500,1000},{0,0.28,0.238,0.2092,0.1924,0.1848,0.166,0.15844,0.13203}),"MOQ="&amp;M15),"")</f>
        <v>0.28</v>
      </c>
      <c r="M15" s="12" t="n">
        <v>1</v>
      </c>
      <c r="N15" s="15" t="n">
        <f aca="false">IFERROR(IF(K15="",G15,K15)*L15,"")</f>
        <v>0.56</v>
      </c>
      <c r="O15" s="12" t="s">
        <v>73</v>
      </c>
    </row>
    <row r="16" customFormat="false" ht="14.9" hidden="false" customHeight="false" outlineLevel="0" collapsed="false">
      <c r="A16" s="12" t="s">
        <v>74</v>
      </c>
      <c r="B16" s="12" t="s">
        <v>75</v>
      </c>
      <c r="C16" s="0" t="s">
        <v>30</v>
      </c>
      <c r="D16" s="12" t="s">
        <v>76</v>
      </c>
      <c r="F16" s="12" t="s">
        <v>77</v>
      </c>
      <c r="G16" s="13" t="n">
        <f aca="false">CEILING(BoardQty*1,1)</f>
        <v>2</v>
      </c>
      <c r="H16" s="14" t="n">
        <f aca="false">IF(MIN(X16,L16,R16)&lt;&gt;0,MIN(X16,L16,R16),"")</f>
        <v>0.29</v>
      </c>
      <c r="I16" s="15" t="n">
        <f aca="false">IF(AND(ISNUMBER(G16),ISNUMBER(H16)),G16*H16,"")</f>
        <v>0.58</v>
      </c>
      <c r="J16" s="16" t="n">
        <v>2091</v>
      </c>
      <c r="K16" s="13" t="n">
        <f aca="false">IF(J16&gt;G16,G16,0)</f>
        <v>2</v>
      </c>
      <c r="L16" s="14" t="n">
        <f aca="false">IFERROR(IF(OR(K16&gt;=M16,G16&gt;=M16),LOOKUP(IF(K16="",G16,K16),{0,1,10,100,500,1000,5000,10000},{0,0.29,0.244,0.1898,0.1627,0.13559,0.11622,0.11068}),"MOQ="&amp;M16),"")</f>
        <v>0.29</v>
      </c>
      <c r="M16" s="12" t="n">
        <v>1</v>
      </c>
      <c r="N16" s="15" t="n">
        <f aca="false">IFERROR(IF(K16="",G16,K16)*L16,"")</f>
        <v>0.58</v>
      </c>
      <c r="O16" s="12" t="s">
        <v>78</v>
      </c>
    </row>
    <row r="17" customFormat="false" ht="14.9" hidden="false" customHeight="false" outlineLevel="0" collapsed="false">
      <c r="A17" s="12" t="s">
        <v>79</v>
      </c>
      <c r="B17" s="12" t="s">
        <v>71</v>
      </c>
      <c r="C17" s="0" t="s">
        <v>30</v>
      </c>
      <c r="D17" s="12" t="s">
        <v>80</v>
      </c>
      <c r="F17" s="12" t="s">
        <v>80</v>
      </c>
      <c r="G17" s="13" t="n">
        <f aca="false">CEILING(BoardQty*1,1)</f>
        <v>2</v>
      </c>
      <c r="H17" s="14" t="n">
        <f aca="false">IF(MIN(X17,L17,R17)&lt;&gt;0,MIN(X17,L17,R17),"")</f>
        <v>0.27</v>
      </c>
      <c r="I17" s="15" t="n">
        <f aca="false">IF(AND(ISNUMBER(G17),ISNUMBER(H17)),G17*H17,"")</f>
        <v>0.54</v>
      </c>
      <c r="J17" s="16" t="n">
        <v>939</v>
      </c>
      <c r="K17" s="13" t="n">
        <f aca="false">IF(J17&gt;G17,G17,0)</f>
        <v>2</v>
      </c>
      <c r="L17" s="14" t="n">
        <f aca="false">IFERROR(IF(OR(K17&gt;=M17,G17&gt;=M17),LOOKUP(IF(K17="",G17,K17),{0,1,10,25,50,100,250,500,1000},{0,0.27,0.231,0.2056,0.1918,0.178,0.15748,0.15062,0.12324}),"MOQ="&amp;M17),"")</f>
        <v>0.27</v>
      </c>
      <c r="M17" s="12" t="n">
        <v>1</v>
      </c>
      <c r="N17" s="15" t="n">
        <f aca="false">IFERROR(IF(K17="",G17,K17)*L17,"")</f>
        <v>0.54</v>
      </c>
      <c r="O17" s="12" t="s">
        <v>81</v>
      </c>
    </row>
    <row r="18" customFormat="false" ht="30" hidden="false" customHeight="true" outlineLevel="0" collapsed="false">
      <c r="A18" s="12" t="s">
        <v>82</v>
      </c>
      <c r="B18" s="12" t="s">
        <v>83</v>
      </c>
      <c r="C18" s="0" t="s">
        <v>30</v>
      </c>
      <c r="D18" s="12" t="s">
        <v>84</v>
      </c>
      <c r="F18" s="12" t="s">
        <v>85</v>
      </c>
      <c r="G18" s="13" t="n">
        <f aca="false">CEILING(BoardQty*1,1)</f>
        <v>2</v>
      </c>
      <c r="H18" s="14" t="n">
        <f aca="false">IF(MIN(X18,L18,R18)&lt;&gt;0,MIN(X18,L18,R18),"")</f>
        <v>2.24</v>
      </c>
      <c r="I18" s="15" t="n">
        <f aca="false">IF(AND(ISNUMBER(G18),ISNUMBER(H18)),G18*H18,"")</f>
        <v>4.48</v>
      </c>
      <c r="J18" s="16" t="n">
        <v>35131</v>
      </c>
      <c r="K18" s="13" t="n">
        <f aca="false">IF(J18&gt;G18,G18,0)</f>
        <v>2</v>
      </c>
      <c r="L18" s="14" t="n">
        <f aca="false">IFERROR(IF(OR(K18&gt;=M18,G18&gt;=M18),LOOKUP(IF(K18="",G18,K18),{0,1,10,100,1000},{0,2.26,1.926,1.5909,1.25594}),"MOQ="&amp;M18),"")</f>
        <v>2.26</v>
      </c>
      <c r="M18" s="12" t="n">
        <v>1</v>
      </c>
      <c r="N18" s="15" t="n">
        <f aca="false">IFERROR(IF(K18="",G18,K18)*L18,"")</f>
        <v>4.52</v>
      </c>
      <c r="O18" s="12" t="s">
        <v>86</v>
      </c>
      <c r="P18" s="16" t="n">
        <v>2549</v>
      </c>
      <c r="Q18" s="16"/>
      <c r="R18" s="14" t="n">
        <f aca="false">IFERROR(IF(OR(Q18&gt;=S18,G18&gt;=S18),LOOKUP(IF(Q18="",G18,Q18),{0,1,10,100,500,1000,3000,6000,9000},{0,2.24,1.82,1.58,1.46,1.25,1.15,1.1,1.07}),"MOQ="&amp;S18),"")</f>
        <v>2.24</v>
      </c>
      <c r="S18" s="12" t="n">
        <v>1</v>
      </c>
      <c r="T18" s="15" t="n">
        <f aca="false">IFERROR(IF(Q18="",G18,Q18)*R18,"")</f>
        <v>4.48</v>
      </c>
      <c r="U18" s="12" t="s">
        <v>87</v>
      </c>
    </row>
    <row r="19" customFormat="false" ht="14.9" hidden="false" customHeight="false" outlineLevel="0" collapsed="false">
      <c r="A19" s="12" t="s">
        <v>88</v>
      </c>
      <c r="B19" s="12" t="s">
        <v>89</v>
      </c>
      <c r="C19" s="0" t="s">
        <v>30</v>
      </c>
      <c r="D19" s="12" t="s">
        <v>90</v>
      </c>
      <c r="F19" s="12" t="s">
        <v>91</v>
      </c>
      <c r="G19" s="13" t="n">
        <f aca="false">CEILING(BoardQty*1,1)</f>
        <v>2</v>
      </c>
      <c r="H19" s="14" t="n">
        <f aca="false">IF(MIN(X19,L19,R19)&lt;&gt;0,MIN(X19,L19,R19),"")</f>
        <v>0.58</v>
      </c>
      <c r="I19" s="15" t="n">
        <f aca="false">IF(AND(ISNUMBER(G19),ISNUMBER(H19)),G19*H19,"")</f>
        <v>1.16</v>
      </c>
      <c r="J19" s="16" t="n">
        <v>938</v>
      </c>
      <c r="K19" s="13" t="n">
        <f aca="false">IF(J19&gt;G19,G19,0)</f>
        <v>2</v>
      </c>
      <c r="L19" s="14" t="n">
        <f aca="false">IFERROR(IF(OR(K19&gt;=M19,G19&gt;=M19),LOOKUP(IF(K19="",G19,K19),{0,1,10,100,500,1000,5000,10000},{0,0.58,0.504,0.4158,0.36156,0.29829,0.26213,0.25826}),"MOQ="&amp;M19),"")</f>
        <v>0.58</v>
      </c>
      <c r="M19" s="12" t="n">
        <v>1</v>
      </c>
      <c r="N19" s="15" t="n">
        <f aca="false">IFERROR(IF(K19="",G19,K19)*L19,"")</f>
        <v>1.16</v>
      </c>
      <c r="O19" s="12" t="s">
        <v>92</v>
      </c>
    </row>
    <row r="20" customFormat="false" ht="30" hidden="false" customHeight="true" outlineLevel="0" collapsed="false">
      <c r="A20" s="12" t="s">
        <v>93</v>
      </c>
      <c r="B20" s="12" t="s">
        <v>94</v>
      </c>
      <c r="C20" s="0" t="s">
        <v>30</v>
      </c>
      <c r="D20" s="12" t="s">
        <v>95</v>
      </c>
      <c r="F20" s="12" t="s">
        <v>96</v>
      </c>
      <c r="G20" s="13" t="n">
        <f aca="false">CEILING(BoardQty*1,1)</f>
        <v>2</v>
      </c>
      <c r="H20" s="14" t="n">
        <f aca="false">IF(MIN(X20,L20,R20)&lt;&gt;0,MIN(X20,L20,R20),"")</f>
        <v>0.76</v>
      </c>
      <c r="I20" s="15" t="n">
        <f aca="false">IF(AND(ISNUMBER(G20),ISNUMBER(H20)),G20*H20,"")</f>
        <v>1.52</v>
      </c>
      <c r="J20" s="16" t="n">
        <v>13000</v>
      </c>
      <c r="K20" s="13" t="n">
        <f aca="false">IF(J20&gt;G20,G20,0)</f>
        <v>2</v>
      </c>
      <c r="L20" s="14" t="n">
        <f aca="false">IFERROR(IF(OR(K20&gt;=M20,G20&gt;=M20),LOOKUP(IF(K20="",G20,K20),{0,1,10,100,500},{0,0.76,0.643,0.5777,0.47268}),"MOQ="&amp;M20),"")</f>
        <v>0.76</v>
      </c>
      <c r="M20" s="12" t="n">
        <v>1</v>
      </c>
      <c r="N20" s="15" t="n">
        <f aca="false">IFERROR(IF(K20="",G20,K20)*L20,"")</f>
        <v>1.52</v>
      </c>
      <c r="O20" s="12" t="s">
        <v>97</v>
      </c>
      <c r="P20" s="17" t="s">
        <v>61</v>
      </c>
      <c r="Q20" s="16"/>
      <c r="R20" s="14" t="str">
        <f aca="false">IFERROR(IF(OR(Q20&gt;=S20,G20&gt;=S20),LOOKUP(IF(Q20="",G20,Q20),{0,1,26000},{0,0.337,0.337}),"MOQ="&amp;S20),"")</f>
        <v>MOQ=26000</v>
      </c>
      <c r="S20" s="16" t="n">
        <v>26000</v>
      </c>
      <c r="T20" s="15" t="str">
        <f aca="false">IFERROR(IF(Q20="",G20,Q20)*R20,"")</f>
        <v/>
      </c>
      <c r="U20" s="12" t="s">
        <v>98</v>
      </c>
      <c r="V20" s="17" t="s">
        <v>61</v>
      </c>
      <c r="W20" s="16"/>
      <c r="X20" s="14" t="n">
        <f aca="false">IFERROR(IF(OR(W20&gt;=Y20,G20&gt;=Y20),LOOKUP(IF(W20="",G20,W20),{0,1,5,10,20,50,100,200,300,500,1000},{0,6.59,5.51,5.36,5.18,5,4.92,4.89,4.85,4.82,4.78}),"MOQ="&amp;Y20),"")</f>
        <v>6.59</v>
      </c>
      <c r="Y20" s="12" t="n">
        <v>1</v>
      </c>
      <c r="Z20" s="15" t="n">
        <f aca="false">IFERROR(IF(W20="",G20,W20)*X20,"")</f>
        <v>13.18</v>
      </c>
      <c r="AA20" s="12" t="s">
        <v>96</v>
      </c>
    </row>
    <row r="21" customFormat="false" ht="30" hidden="false" customHeight="true" outlineLevel="0" collapsed="false">
      <c r="A21" s="12" t="s">
        <v>99</v>
      </c>
      <c r="B21" s="12" t="s">
        <v>100</v>
      </c>
      <c r="C21" s="0" t="s">
        <v>30</v>
      </c>
      <c r="D21" s="12" t="s">
        <v>101</v>
      </c>
      <c r="F21" s="12" t="s">
        <v>102</v>
      </c>
      <c r="G21" s="13" t="n">
        <f aca="false">CEILING(BoardQty*1,1)</f>
        <v>2</v>
      </c>
      <c r="H21" s="14" t="n">
        <f aca="false">IF(MIN(X21,L21,R21)&lt;&gt;0,MIN(X21,L21,R21),"")</f>
        <v>0.18</v>
      </c>
      <c r="I21" s="15" t="n">
        <f aca="false">IF(AND(ISNUMBER(G21),ISNUMBER(H21)),G21*H21,"")</f>
        <v>0.36</v>
      </c>
      <c r="J21" s="16" t="n">
        <v>3698</v>
      </c>
      <c r="K21" s="13" t="n">
        <f aca="false">IF(J21&gt;G21,G21,0)</f>
        <v>2</v>
      </c>
      <c r="L21" s="14" t="n">
        <f aca="false">IFERROR(IF(OR(K21&gt;=M21,G21&gt;=M21),LOOKUP(IF(K21="",G21,K21),{0,1,10,25,50,100,250,500,1000},{0,0.18,0.149,0.1372,0.1212,0.106,0.101,0.09494,0.07272}),"MOQ="&amp;M21),"")</f>
        <v>0.18</v>
      </c>
      <c r="M21" s="12" t="n">
        <v>1</v>
      </c>
      <c r="N21" s="15" t="n">
        <f aca="false">IFERROR(IF(K21="",G21,K21)*L21,"")</f>
        <v>0.36</v>
      </c>
      <c r="O21" s="12" t="s">
        <v>103</v>
      </c>
    </row>
    <row r="22" customFormat="false" ht="30" hidden="false" customHeight="true" outlineLevel="0" collapsed="false">
      <c r="A22" s="12" t="s">
        <v>104</v>
      </c>
      <c r="B22" s="12" t="s">
        <v>105</v>
      </c>
      <c r="C22" s="0" t="s">
        <v>30</v>
      </c>
      <c r="D22" s="12" t="s">
        <v>106</v>
      </c>
      <c r="F22" s="12" t="s">
        <v>107</v>
      </c>
      <c r="G22" s="13" t="n">
        <f aca="false">CEILING(BoardQty*1,1)</f>
        <v>2</v>
      </c>
      <c r="H22" s="14" t="n">
        <f aca="false">IF(MIN(X22,L22,R22)&lt;&gt;0,MIN(X22,L22,R22),"")</f>
        <v>0.04</v>
      </c>
      <c r="I22" s="15" t="n">
        <f aca="false">IF(AND(ISNUMBER(G22),ISNUMBER(H22)),G22*H22,"")</f>
        <v>0.08</v>
      </c>
      <c r="J22" s="16" t="n">
        <v>50000</v>
      </c>
      <c r="K22" s="13" t="n">
        <f aca="false">IF(J22&gt;G22,G22,0)</f>
        <v>2</v>
      </c>
      <c r="L22" s="14" t="n">
        <f aca="false">IFERROR(IF(OR(K22&gt;=M22,G22&gt;=M22),LOOKUP(IF(K22="",G22,K22),{0,1},{0,0.04}),"MOQ="&amp;M22),"")</f>
        <v>0.04</v>
      </c>
      <c r="M22" s="12" t="n">
        <v>1</v>
      </c>
      <c r="N22" s="15" t="n">
        <f aca="false">IFERROR(IF(K22="",G22,K22)*L22,"")</f>
        <v>0.08</v>
      </c>
      <c r="O22" s="12" t="s">
        <v>108</v>
      </c>
    </row>
    <row r="23" customFormat="false" ht="14.9" hidden="false" customHeight="false" outlineLevel="0" collapsed="false">
      <c r="A23" s="12" t="s">
        <v>109</v>
      </c>
      <c r="B23" s="12" t="s">
        <v>110</v>
      </c>
      <c r="C23" s="0" t="s">
        <v>30</v>
      </c>
      <c r="D23" s="12" t="s">
        <v>48</v>
      </c>
      <c r="F23" s="12" t="s">
        <v>111</v>
      </c>
      <c r="G23" s="13" t="n">
        <f aca="false">CEILING(BoardQty*40,1)</f>
        <v>80</v>
      </c>
      <c r="H23" s="14" t="n">
        <f aca="false">IF(MIN(X23,L23,R23)&lt;&gt;0,MIN(X23,L23,R23),"")</f>
        <v>0.108</v>
      </c>
      <c r="I23" s="15" t="n">
        <f aca="false">IF(AND(ISNUMBER(G23),ISNUMBER(H23)),G23*H23,"")</f>
        <v>8.64</v>
      </c>
      <c r="J23" s="16" t="n">
        <v>71565</v>
      </c>
      <c r="K23" s="13" t="n">
        <f aca="false">IF(J23&gt;G23,G23,0)</f>
        <v>80</v>
      </c>
      <c r="L23" s="14" t="n">
        <f aca="false">IFERROR(IF(OR(K23&gt;=M23,G23&gt;=M23),LOOKUP(IF(K23="",G23,K23),{0,1,10,100,500,1000},{0,0.2,0.138,0.0747,0.05868,0.04075}),"MOQ="&amp;M23),"")</f>
        <v>0.138</v>
      </c>
      <c r="M23" s="12" t="n">
        <v>1</v>
      </c>
      <c r="N23" s="15" t="n">
        <f aca="false">IFERROR(IF(K23="",G23,K23)*L23,"")</f>
        <v>11.04</v>
      </c>
      <c r="O23" s="12" t="s">
        <v>112</v>
      </c>
      <c r="P23" s="16" t="n">
        <v>1981751</v>
      </c>
      <c r="Q23" s="16"/>
      <c r="R23" s="14" t="n">
        <f aca="false">IFERROR(IF(OR(Q23&gt;=S23,G23&gt;=S23),LOOKUP(IF(Q23="",G23,Q23),{0,1,10,100,1000,3000,9000,24000,45000,99000},{0,0.15,0.108,0.059,0.03,0.026,0.022,0.019,0.018,0.015}),"MOQ="&amp;S23),"")</f>
        <v>0.108</v>
      </c>
      <c r="S23" s="12" t="n">
        <v>1</v>
      </c>
      <c r="T23" s="15" t="n">
        <f aca="false">IFERROR(IF(Q23="",G23,Q23)*R23,"")</f>
        <v>8.64</v>
      </c>
      <c r="U23" s="12" t="s">
        <v>113</v>
      </c>
    </row>
    <row r="24" customFormat="false" ht="30" hidden="false" customHeight="true" outlineLevel="0" collapsed="false">
      <c r="A24" s="12" t="s">
        <v>114</v>
      </c>
      <c r="B24" s="12" t="s">
        <v>115</v>
      </c>
      <c r="C24" s="0" t="s">
        <v>30</v>
      </c>
      <c r="D24" s="12" t="s">
        <v>116</v>
      </c>
      <c r="F24" s="12" t="s">
        <v>117</v>
      </c>
      <c r="G24" s="13" t="n">
        <f aca="false">CEILING(BoardQty*1,1)</f>
        <v>2</v>
      </c>
      <c r="H24" s="14" t="n">
        <f aca="false">IF(MIN(X24,L24,R24)&lt;&gt;0,MIN(X24,L24,R24),"")</f>
        <v>0.1</v>
      </c>
      <c r="I24" s="15" t="n">
        <f aca="false">IF(AND(ISNUMBER(G24),ISNUMBER(H24)),G24*H24,"")</f>
        <v>0.2</v>
      </c>
      <c r="J24" s="16" t="n">
        <v>58482</v>
      </c>
      <c r="K24" s="13" t="n">
        <f aca="false">IF(J24&gt;G24,G24,0)</f>
        <v>2</v>
      </c>
      <c r="L24" s="14" t="n">
        <f aca="false">IFERROR(IF(OR(K24&gt;=M24,G24&gt;=M24),LOOKUP(IF(K24="",G24,K24),{0,1,10,50,100,500,1000,5000},{0,0.1,0.011,0.0062,0.0051,0.00324,0.00272,0.00188}),"MOQ="&amp;M24),"")</f>
        <v>0.1</v>
      </c>
      <c r="M24" s="12" t="n">
        <v>1</v>
      </c>
      <c r="N24" s="15" t="n">
        <f aca="false">IFERROR(IF(K24="",G24,K24)*L24,"")</f>
        <v>0.2</v>
      </c>
      <c r="O24" s="12" t="s">
        <v>118</v>
      </c>
      <c r="P24" s="16" t="n">
        <v>43547</v>
      </c>
      <c r="Q24" s="16"/>
      <c r="R24" s="14" t="n">
        <f aca="false">IFERROR(IF(OR(Q24&gt;=S24,G24&gt;=S24),LOOKUP(IF(Q24="",G24,Q24),{0,1,10,100,1000,2500,10000},{0,0.1,0.006,0.003,0.002,0.001,0.001}),"MOQ="&amp;S24),"")</f>
        <v>0.1</v>
      </c>
      <c r="S24" s="12" t="n">
        <v>1</v>
      </c>
      <c r="T24" s="15" t="n">
        <f aca="false">IFERROR(IF(Q24="",G24,Q24)*R24,"")</f>
        <v>0.2</v>
      </c>
      <c r="U24" s="12" t="s">
        <v>119</v>
      </c>
    </row>
    <row r="25" customFormat="false" ht="30" hidden="false" customHeight="true" outlineLevel="0" collapsed="false">
      <c r="A25" s="12" t="s">
        <v>120</v>
      </c>
      <c r="B25" s="12" t="s">
        <v>121</v>
      </c>
      <c r="C25" s="0" t="s">
        <v>30</v>
      </c>
      <c r="D25" s="12" t="s">
        <v>116</v>
      </c>
      <c r="F25" s="12" t="s">
        <v>122</v>
      </c>
      <c r="G25" s="13" t="n">
        <f aca="false">CEILING(BoardQty*1,1)</f>
        <v>2</v>
      </c>
      <c r="H25" s="14" t="n">
        <f aca="false">IF(MIN(X25,L25,R25)&lt;&gt;0,MIN(X25,L25,R25),"")</f>
        <v>0.1</v>
      </c>
      <c r="I25" s="15" t="n">
        <f aca="false">IF(AND(ISNUMBER(G25),ISNUMBER(H25)),G25*H25,"")</f>
        <v>0.2</v>
      </c>
      <c r="J25" s="16" t="n">
        <v>377620</v>
      </c>
      <c r="K25" s="13" t="n">
        <f aca="false">IF(J25&gt;G25,G25,0)</f>
        <v>2</v>
      </c>
      <c r="L25" s="14" t="n">
        <f aca="false">IFERROR(IF(OR(K25&gt;=M25,G25&gt;=M25),LOOKUP(IF(K25="",G25,K25),{0,1,10,50,100,500,1000,5000},{0,0.1,0.011,0.006,0.0049,0.0031,0.00261,0.0018}),"MOQ="&amp;M25),"")</f>
        <v>0.1</v>
      </c>
      <c r="M25" s="12" t="n">
        <v>1</v>
      </c>
      <c r="N25" s="15" t="n">
        <f aca="false">IFERROR(IF(K25="",G25,K25)*L25,"")</f>
        <v>0.2</v>
      </c>
      <c r="O25" s="12" t="s">
        <v>123</v>
      </c>
      <c r="P25" s="16" t="n">
        <v>137935</v>
      </c>
      <c r="Q25" s="16"/>
      <c r="R25" s="14" t="n">
        <f aca="false">IFERROR(IF(OR(Q25&gt;=S25,G25&gt;=S25),LOOKUP(IF(Q25="",G25,Q25),{0,1,10,100,2500,10000},{0,0.1,0.006,0.003,0.002,0.001}),"MOQ="&amp;S25),"")</f>
        <v>0.1</v>
      </c>
      <c r="S25" s="12" t="n">
        <v>1</v>
      </c>
      <c r="T25" s="15" t="n">
        <f aca="false">IFERROR(IF(Q25="",G25,Q25)*R25,"")</f>
        <v>0.2</v>
      </c>
      <c r="U25" s="12" t="s">
        <v>124</v>
      </c>
    </row>
    <row r="26" customFormat="false" ht="30" hidden="false" customHeight="true" outlineLevel="0" collapsed="false">
      <c r="A26" s="12" t="s">
        <v>125</v>
      </c>
      <c r="B26" s="12" t="s">
        <v>126</v>
      </c>
      <c r="C26" s="0" t="s">
        <v>30</v>
      </c>
      <c r="D26" s="12" t="s">
        <v>116</v>
      </c>
      <c r="F26" s="12" t="s">
        <v>127</v>
      </c>
      <c r="G26" s="13" t="n">
        <f aca="false">CEILING(BoardQty*12,1)</f>
        <v>24</v>
      </c>
      <c r="H26" s="14" t="n">
        <f aca="false">IF(MIN(X26,L26,R26)&lt;&gt;0,MIN(X26,L26,R26),"")</f>
        <v>0.007</v>
      </c>
      <c r="I26" s="15" t="n">
        <f aca="false">IF(AND(ISNUMBER(G26),ISNUMBER(H26)),G26*H26,"")</f>
        <v>0.168</v>
      </c>
      <c r="J26" s="16" t="n">
        <v>1619226</v>
      </c>
      <c r="K26" s="13" t="n">
        <f aca="false">IF(J26&gt;G26,G26,0)</f>
        <v>24</v>
      </c>
      <c r="L26" s="14" t="n">
        <f aca="false">IFERROR(IF(OR(K26&gt;=M26,G26&gt;=M26),LOOKUP(IF(K26="",G26,K26),{0,1,10,50,100,500,1000,5000},{0,0.1,0.012,0.0066,0.0054,0.00344,0.00289,0.002}),"MOQ="&amp;M26),"")</f>
        <v>0.012</v>
      </c>
      <c r="M26" s="12" t="n">
        <v>1</v>
      </c>
      <c r="N26" s="15" t="n">
        <f aca="false">IFERROR(IF(K26="",G26,K26)*L26,"")</f>
        <v>0.288</v>
      </c>
      <c r="O26" s="12" t="s">
        <v>128</v>
      </c>
      <c r="P26" s="16" t="n">
        <v>200745</v>
      </c>
      <c r="Q26" s="16"/>
      <c r="R26" s="14" t="n">
        <f aca="false">IFERROR(IF(OR(Q26&gt;=S26,G26&gt;=S26),LOOKUP(IF(Q26="",G26,Q26),{0,1,10,100,1000,2500,10000},{0,0.1,0.007,0.004,0.003,0.002,0.001}),"MOQ="&amp;S26),"")</f>
        <v>0.007</v>
      </c>
      <c r="S26" s="12" t="n">
        <v>1</v>
      </c>
      <c r="T26" s="15" t="n">
        <f aca="false">IFERROR(IF(Q26="",G26,Q26)*R26,"")</f>
        <v>0.168</v>
      </c>
      <c r="U26" s="12" t="s">
        <v>129</v>
      </c>
    </row>
    <row r="27" customFormat="false" ht="30" hidden="false" customHeight="true" outlineLevel="0" collapsed="false">
      <c r="A27" s="12" t="s">
        <v>130</v>
      </c>
      <c r="B27" s="12" t="s">
        <v>131</v>
      </c>
      <c r="C27" s="0" t="s">
        <v>30</v>
      </c>
      <c r="D27" s="12" t="s">
        <v>116</v>
      </c>
      <c r="F27" s="12" t="s">
        <v>132</v>
      </c>
      <c r="G27" s="13" t="n">
        <f aca="false">CEILING(BoardQty*2,1)</f>
        <v>4</v>
      </c>
      <c r="H27" s="14" t="n">
        <f aca="false">IF(MIN(X27,L27,R27)&lt;&gt;0,MIN(X27,L27,R27),"")</f>
        <v>0.1</v>
      </c>
      <c r="I27" s="15" t="n">
        <f aca="false">IF(AND(ISNUMBER(G27),ISNUMBER(H27)),G27*H27,"")</f>
        <v>0.4</v>
      </c>
      <c r="J27" s="16" t="n">
        <v>2978941</v>
      </c>
      <c r="K27" s="13" t="n">
        <f aca="false">IF(J27&gt;G27,G27,0)</f>
        <v>4</v>
      </c>
      <c r="L27" s="14" t="n">
        <f aca="false">IFERROR(IF(OR(K27&gt;=M27,G27&gt;=M27),LOOKUP(IF(K27="",G27,K27),{0,1,10,50,100,500,1000,5000},{0,0.1,0.024,0.0152,0.0127,0.00866,0.00746,0.00542}),"MOQ="&amp;M27),"")</f>
        <v>0.1</v>
      </c>
      <c r="M27" s="12" t="n">
        <v>1</v>
      </c>
      <c r="N27" s="15" t="n">
        <f aca="false">IFERROR(IF(K27="",G27,K27)*L27,"")</f>
        <v>0.4</v>
      </c>
      <c r="O27" s="12" t="s">
        <v>133</v>
      </c>
      <c r="P27" s="16" t="n">
        <v>745965</v>
      </c>
      <c r="Q27" s="16"/>
      <c r="R27" s="14" t="n">
        <f aca="false">IFERROR(IF(OR(Q27&gt;=S27,G27&gt;=S27),LOOKUP(IF(Q27="",G27,Q27),{0,1,10,100,1000,2500,10000},{0,0.1,0.016,0.007,0.005,0.003,0.003}),"MOQ="&amp;S27),"")</f>
        <v>0.1</v>
      </c>
      <c r="S27" s="12" t="n">
        <v>1</v>
      </c>
      <c r="T27" s="15" t="n">
        <f aca="false">IFERROR(IF(Q27="",G27,Q27)*R27,"")</f>
        <v>0.4</v>
      </c>
      <c r="U27" s="12" t="s">
        <v>134</v>
      </c>
    </row>
    <row r="28" customFormat="false" ht="30" hidden="false" customHeight="true" outlineLevel="0" collapsed="false">
      <c r="A28" s="12" t="s">
        <v>135</v>
      </c>
      <c r="B28" s="12" t="s">
        <v>136</v>
      </c>
      <c r="C28" s="0" t="s">
        <v>30</v>
      </c>
      <c r="D28" s="12" t="s">
        <v>137</v>
      </c>
      <c r="F28" s="12" t="s">
        <v>138</v>
      </c>
      <c r="G28" s="13" t="n">
        <f aca="false">CEILING(BoardQty*1,1)</f>
        <v>2</v>
      </c>
      <c r="H28" s="14" t="n">
        <f aca="false">IF(MIN(X28,L28,R28)&lt;&gt;0,MIN(X28,L28,R28),"")</f>
        <v>2.55</v>
      </c>
      <c r="I28" s="15" t="n">
        <f aca="false">IF(AND(ISNUMBER(G28),ISNUMBER(H28)),G28*H28,"")</f>
        <v>5.1</v>
      </c>
      <c r="J28" s="16" t="n">
        <v>8655</v>
      </c>
      <c r="K28" s="13" t="n">
        <f aca="false">IF(J28&gt;G28,G28,0)</f>
        <v>2</v>
      </c>
      <c r="L28" s="14" t="n">
        <f aca="false">IFERROR(IF(OR(K28&gt;=M28,G28&gt;=M28),LOOKUP(IF(K28="",G28,K28),{0,1,10,80,440,1000,5000},{0,2.55,2.316,2.04025,1.73418,1.47916,1.4573}),"MOQ="&amp;M28),"")</f>
        <v>2.55</v>
      </c>
      <c r="M28" s="12" t="n">
        <v>1</v>
      </c>
      <c r="N28" s="15" t="n">
        <f aca="false">IFERROR(IF(K28="",G28,K28)*L28,"")</f>
        <v>5.1</v>
      </c>
      <c r="O28" s="12" t="s">
        <v>139</v>
      </c>
    </row>
    <row r="29" customFormat="false" ht="60" hidden="false" customHeight="true" outlineLevel="0" collapsed="false">
      <c r="A29" s="12" t="s">
        <v>140</v>
      </c>
      <c r="B29" s="12" t="s">
        <v>141</v>
      </c>
      <c r="C29" s="12"/>
      <c r="D29" s="12" t="s">
        <v>142</v>
      </c>
      <c r="E29" s="12" t="s">
        <v>143</v>
      </c>
      <c r="F29" s="12" t="s">
        <v>144</v>
      </c>
      <c r="G29" s="13" t="n">
        <f aca="false">CEILING(BoardQty*1,1)</f>
        <v>2</v>
      </c>
      <c r="H29" s="14" t="str">
        <f aca="false">IF(MIN(X29,L29,R29)&lt;&gt;0,MIN(X29,L29,R29),"")</f>
        <v/>
      </c>
      <c r="I29" s="15" t="str">
        <f aca="false">IF(AND(ISNUMBER(G29),ISNUMBER(H29)),G29*H29,"")</f>
        <v/>
      </c>
      <c r="K29" s="13" t="n">
        <f aca="false">IF(J29&gt;G29,G29,0)</f>
        <v>0</v>
      </c>
      <c r="P29" s="17" t="s">
        <v>61</v>
      </c>
      <c r="Q29" s="16"/>
      <c r="R29" s="14" t="str">
        <f aca="false">IFERROR(IF(OR(Q29&gt;=S29,G29&gt;=S29),LOOKUP(IF(Q29="",G29,Q29),{0,1,168,504},{0,21.64,21.64,20.59}),"MOQ="&amp;S29),"")</f>
        <v>MOQ=168</v>
      </c>
      <c r="S29" s="16" t="n">
        <v>168</v>
      </c>
      <c r="T29" s="15" t="str">
        <f aca="false">IFERROR(IF(Q29="",G29,Q29)*R29,"")</f>
        <v/>
      </c>
      <c r="U29" s="12" t="s">
        <v>145</v>
      </c>
      <c r="V29" s="17" t="s">
        <v>61</v>
      </c>
      <c r="W29" s="16"/>
      <c r="X29" s="14" t="str">
        <f aca="false">IFERROR(IF(OR(W29&gt;=Y29,G29&gt;=Y29),LOOKUP(IF(W29="",G29,W29),{0,1,100,168,1000},{0,5.8,5.8,5.41,5.21}),"MOQ="&amp;Y29),"")</f>
        <v>MOQ=100</v>
      </c>
      <c r="Y29" s="12" t="n">
        <v>100</v>
      </c>
      <c r="Z29" s="15" t="str">
        <f aca="false">IFERROR(IF(W29="",G29,W29)*X29,"")</f>
        <v/>
      </c>
      <c r="AA29" s="12" t="s">
        <v>144</v>
      </c>
    </row>
    <row r="30" customFormat="false" ht="14.9" hidden="false" customHeight="false" outlineLevel="0" collapsed="false">
      <c r="A30" s="12" t="s">
        <v>146</v>
      </c>
      <c r="B30" s="12" t="s">
        <v>147</v>
      </c>
      <c r="C30" s="0" t="s">
        <v>30</v>
      </c>
      <c r="D30" s="12" t="s">
        <v>48</v>
      </c>
      <c r="F30" s="12" t="s">
        <v>148</v>
      </c>
      <c r="G30" s="13" t="n">
        <f aca="false">CEILING(BoardQty*1,1)</f>
        <v>2</v>
      </c>
      <c r="H30" s="14" t="n">
        <f aca="false">IF(MIN(X30,L30,R30)&lt;&gt;0,MIN(X30,L30,R30),"")</f>
        <v>1.21</v>
      </c>
      <c r="I30" s="15" t="n">
        <f aca="false">IF(AND(ISNUMBER(G30),ISNUMBER(H30)),G30*H30,"")</f>
        <v>2.42</v>
      </c>
      <c r="J30" s="16" t="n">
        <v>5849</v>
      </c>
      <c r="K30" s="13" t="n">
        <f aca="false">IF(J30&gt;G30,G30,0)</f>
        <v>2</v>
      </c>
      <c r="L30" s="14" t="n">
        <f aca="false">IFERROR(IF(OR(K30&gt;=M30,G30&gt;=M30),LOOKUP(IF(K30="",G30,K30),{0,1,10,25,100,250,500,1000},{0,1.21,1.082,1.0264,0.8432,0.78824,0.6966,0.54994}),"MOQ="&amp;M30),"")</f>
        <v>1.21</v>
      </c>
      <c r="M30" s="12" t="n">
        <v>1</v>
      </c>
      <c r="N30" s="15" t="n">
        <f aca="false">IFERROR(IF(K30="",G30,K30)*L30,"")</f>
        <v>2.42</v>
      </c>
      <c r="O30" s="12" t="s">
        <v>149</v>
      </c>
      <c r="P30" s="16" t="n">
        <v>30472</v>
      </c>
      <c r="Q30" s="16"/>
      <c r="R30" s="14" t="n">
        <f aca="false">IFERROR(IF(OR(Q30&gt;=S30,G30&gt;=S30),LOOKUP(IF(Q30="",G30,Q30),{0,1,10,100,500,1000,3000,6000,9000},{0,1.21,1.03,0.789,0.697,0.545,0.513,0.487,0.479}),"MOQ="&amp;S30),"")</f>
        <v>1.21</v>
      </c>
      <c r="S30" s="12" t="n">
        <v>1</v>
      </c>
      <c r="T30" s="15" t="n">
        <f aca="false">IFERROR(IF(Q30="",G30,Q30)*R30,"")</f>
        <v>2.42</v>
      </c>
      <c r="U30" s="12" t="s">
        <v>150</v>
      </c>
    </row>
    <row r="31" customFormat="false" ht="14.9" hidden="false" customHeight="false" outlineLevel="0" collapsed="false">
      <c r="A31" s="12" t="s">
        <v>151</v>
      </c>
      <c r="B31" s="12" t="s">
        <v>152</v>
      </c>
      <c r="C31" s="0" t="s">
        <v>30</v>
      </c>
      <c r="D31" s="12" t="s">
        <v>153</v>
      </c>
      <c r="F31" s="12" t="s">
        <v>154</v>
      </c>
      <c r="G31" s="13" t="n">
        <f aca="false">CEILING(BoardQty*1,1)</f>
        <v>2</v>
      </c>
      <c r="H31" s="14" t="n">
        <f aca="false">IF(MIN(X31,L31,R31)&lt;&gt;0,MIN(X31,L31,R31),"")</f>
        <v>0.63</v>
      </c>
      <c r="I31" s="15" t="n">
        <f aca="false">IF(AND(ISNUMBER(G31),ISNUMBER(H31)),G31*H31,"")</f>
        <v>1.26</v>
      </c>
      <c r="J31" s="16" t="n">
        <v>3000</v>
      </c>
      <c r="K31" s="13" t="n">
        <f aca="false">IF(J31&gt;G31,G31,0)</f>
        <v>2</v>
      </c>
      <c r="L31" s="14" t="n">
        <f aca="false">IFERROR(IF(OR(K31&gt;=M31,G31&gt;=M31),LOOKUP(IF(K31="",G31,K31),{0,1,10,25,100,250,500,1000},{0,0.63,0.558,0.524,0.4275,0.39708,0.33794,0.27036}),"MOQ="&amp;M31),"")</f>
        <v>0.63</v>
      </c>
      <c r="M31" s="12" t="n">
        <v>1</v>
      </c>
      <c r="N31" s="15" t="n">
        <f aca="false">IFERROR(IF(K31="",G31,K31)*L31,"")</f>
        <v>1.26</v>
      </c>
      <c r="O31" s="12" t="s">
        <v>155</v>
      </c>
      <c r="P31" s="16" t="n">
        <v>8981</v>
      </c>
      <c r="Q31" s="16"/>
      <c r="R31" s="14" t="n">
        <f aca="false">IFERROR(IF(OR(Q31&gt;=S31,G31&gt;=S31),LOOKUP(IF(Q31="",G31,Q31),{0,1,10,100,500,1000,3000},{0,0.63,0.524,0.398,0.338,0.271,0.209}),"MOQ="&amp;S31),"")</f>
        <v>0.63</v>
      </c>
      <c r="S31" s="12" t="n">
        <v>1</v>
      </c>
      <c r="T31" s="15" t="n">
        <f aca="false">IFERROR(IF(Q31="",G31,Q31)*R31,"")</f>
        <v>1.26</v>
      </c>
      <c r="U31" s="12" t="s">
        <v>156</v>
      </c>
    </row>
    <row r="32" customFormat="false" ht="14.9" hidden="false" customHeight="false" outlineLevel="0" collapsed="false">
      <c r="A32" s="12" t="s">
        <v>157</v>
      </c>
      <c r="B32" s="12" t="s">
        <v>158</v>
      </c>
      <c r="D32" s="12" t="s">
        <v>159</v>
      </c>
      <c r="F32" s="12" t="s">
        <v>158</v>
      </c>
      <c r="G32" s="13" t="n">
        <f aca="false">CEILING(BoardQty*1,1)</f>
        <v>2</v>
      </c>
      <c r="H32" s="14" t="n">
        <f aca="false">IF(MIN(X32,L32,R32)&lt;&gt;0,MIN(X32,L32,R32),"")</f>
        <v>1.46</v>
      </c>
      <c r="I32" s="15" t="n">
        <f aca="false">IF(AND(ISNUMBER(G32),ISNUMBER(H32)),G32*H32,"")</f>
        <v>2.92</v>
      </c>
      <c r="K32" s="13" t="n">
        <f aca="false">IF(J32&gt;G32,G32,0)</f>
        <v>0</v>
      </c>
      <c r="P32" s="16" t="n">
        <v>48339</v>
      </c>
      <c r="Q32" s="16"/>
      <c r="R32" s="14" t="n">
        <f aca="false">IFERROR(IF(OR(Q32&gt;=S32,G32&gt;=S32),LOOKUP(IF(Q32="",G32,Q32),{0,1,10,100,500,3000},{0,1.46,1.34,1.16,1.15,0.974}),"MOQ="&amp;S32),"")</f>
        <v>1.46</v>
      </c>
      <c r="S32" s="12" t="n">
        <v>1</v>
      </c>
      <c r="T32" s="15" t="n">
        <f aca="false">IFERROR(IF(Q32="",G32,Q32)*R32,"")</f>
        <v>2.92</v>
      </c>
      <c r="U32" s="12" t="s">
        <v>160</v>
      </c>
    </row>
    <row r="33" customFormat="false" ht="14.9" hidden="false" customHeight="false" outlineLevel="0" collapsed="false">
      <c r="A33" s="12" t="s">
        <v>161</v>
      </c>
      <c r="B33" s="12" t="s">
        <v>162</v>
      </c>
      <c r="C33" s="0" t="s">
        <v>30</v>
      </c>
      <c r="D33" s="12" t="s">
        <v>163</v>
      </c>
      <c r="F33" s="12" t="s">
        <v>164</v>
      </c>
      <c r="G33" s="13" t="n">
        <f aca="false">CEILING(BoardQty*1,1)</f>
        <v>2</v>
      </c>
      <c r="H33" s="14" t="n">
        <f aca="false">IF(MIN(X33,L33,R33)&lt;&gt;0,MIN(X33,L33,R33),"")</f>
        <v>0.51</v>
      </c>
      <c r="I33" s="15" t="n">
        <f aca="false">IF(AND(ISNUMBER(G33),ISNUMBER(H33)),G33*H33,"")</f>
        <v>1.02</v>
      </c>
      <c r="J33" s="16" t="n">
        <v>2279</v>
      </c>
      <c r="K33" s="13" t="n">
        <f aca="false">IF(J33&gt;G33,G33,0)</f>
        <v>2</v>
      </c>
      <c r="L33" s="14" t="n">
        <f aca="false">IFERROR(IF(OR(K33&gt;=M33,G33&gt;=M33),LOOKUP(IF(K33="",G33,K33),{0,1,10,25,100,250,500,1000},{0,0.51,0.417,0.3812,0.2838,0.25716,0.21282,0.15962}),"MOQ="&amp;M33),"")</f>
        <v>0.51</v>
      </c>
      <c r="M33" s="12" t="n">
        <v>1</v>
      </c>
      <c r="N33" s="15" t="n">
        <f aca="false">IFERROR(IF(K33="",G33,K33)*L33,"")</f>
        <v>1.02</v>
      </c>
      <c r="O33" s="12" t="s">
        <v>165</v>
      </c>
      <c r="P33" s="16" t="n">
        <v>34488</v>
      </c>
      <c r="Q33" s="16"/>
      <c r="R33" s="14" t="n">
        <f aca="false">IFERROR(IF(OR(Q33&gt;=S33,G33&gt;=S33),LOOKUP(IF(Q33="",G33,Q33),{0,1,10,100,1000,3000,9000,24000,45000,99000},{0,0.51,0.382,0.213,0.16,0.137,0.128,0.117,0.113,0.112}),"MOQ="&amp;S33),"")</f>
        <v>0.51</v>
      </c>
      <c r="S33" s="12" t="n">
        <v>1</v>
      </c>
      <c r="T33" s="15" t="n">
        <f aca="false">IFERROR(IF(Q33="",G33,Q33)*R33,"")</f>
        <v>1.02</v>
      </c>
      <c r="U33" s="12" t="s">
        <v>166</v>
      </c>
    </row>
    <row r="34" customFormat="false" ht="14.9" hidden="false" customHeight="false" outlineLevel="0" collapsed="false">
      <c r="A34" s="12" t="s">
        <v>167</v>
      </c>
      <c r="B34" s="12" t="s">
        <v>168</v>
      </c>
      <c r="C34" s="0" t="s">
        <v>30</v>
      </c>
      <c r="D34" s="12" t="s">
        <v>159</v>
      </c>
      <c r="F34" s="12" t="s">
        <v>169</v>
      </c>
      <c r="G34" s="13" t="n">
        <f aca="false">CEILING(BoardQty*1,1)</f>
        <v>2</v>
      </c>
      <c r="H34" s="14" t="n">
        <f aca="false">IF(MIN(X34,L34,R34)&lt;&gt;0,MIN(X34,L34,R34),"")</f>
        <v>0.44</v>
      </c>
      <c r="I34" s="15" t="n">
        <f aca="false">IF(AND(ISNUMBER(G34),ISNUMBER(H34)),G34*H34,"")</f>
        <v>0.88</v>
      </c>
      <c r="J34" s="16" t="n">
        <v>129150</v>
      </c>
      <c r="K34" s="13" t="n">
        <f aca="false">IF(J34&gt;G34,G34,0)</f>
        <v>2</v>
      </c>
      <c r="L34" s="14" t="n">
        <f aca="false">IFERROR(IF(OR(K34&gt;=M34,G34&gt;=M34),LOOKUP(IF(K34="",G34,K34),{0,1,10,25,50,100,250,500,1000},{0,0.44,0.434,0.4032,0.4012,0.3563,0.35176,0.34644,0.33718}),"MOQ="&amp;M34),"")</f>
        <v>0.44</v>
      </c>
      <c r="M34" s="12" t="n">
        <v>1</v>
      </c>
      <c r="N34" s="15" t="n">
        <f aca="false">IFERROR(IF(K34="",G34,K34)*L34,"")</f>
        <v>0.88</v>
      </c>
      <c r="O34" s="12" t="s">
        <v>170</v>
      </c>
      <c r="P34" s="16" t="n">
        <v>14176</v>
      </c>
      <c r="Q34" s="16"/>
      <c r="R34" s="14" t="n">
        <f aca="false">IFERROR(IF(OR(Q34&gt;=S34,G34&gt;=S34),LOOKUP(IF(Q34="",G34,Q34),{0,1,10,100,500,1000,4000,8000,24000},{0,0.44,0.402,0.352,0.347,0.338,0.309,0.297,0.29}),"MOQ="&amp;S34),"")</f>
        <v>0.44</v>
      </c>
      <c r="S34" s="12" t="n">
        <v>1</v>
      </c>
      <c r="T34" s="15" t="n">
        <f aca="false">IFERROR(IF(Q34="",G34,Q34)*R34,"")</f>
        <v>0.88</v>
      </c>
      <c r="U34" s="12" t="s">
        <v>171</v>
      </c>
    </row>
    <row r="35" customFormat="false" ht="30" hidden="false" customHeight="true" outlineLevel="0" collapsed="false">
      <c r="A35" s="12" t="s">
        <v>172</v>
      </c>
      <c r="B35" s="12" t="s">
        <v>173</v>
      </c>
      <c r="C35" s="0" t="s">
        <v>30</v>
      </c>
      <c r="D35" s="12" t="s">
        <v>174</v>
      </c>
      <c r="F35" s="12" t="s">
        <v>175</v>
      </c>
      <c r="G35" s="13" t="n">
        <f aca="false">CEILING(BoardQty*1,1)</f>
        <v>2</v>
      </c>
      <c r="H35" s="14" t="n">
        <f aca="false">IF(MIN(X35,L35,R35)&lt;&gt;0,MIN(X35,L35,R35),"")</f>
        <v>0.83</v>
      </c>
      <c r="I35" s="15" t="n">
        <f aca="false">IF(AND(ISNUMBER(G35),ISNUMBER(H35)),G35*H35,"")</f>
        <v>1.66</v>
      </c>
      <c r="J35" s="16" t="n">
        <v>1015</v>
      </c>
      <c r="K35" s="13" t="n">
        <f aca="false">IF(J35&gt;G35,G35,0)</f>
        <v>2</v>
      </c>
      <c r="L35" s="14" t="n">
        <f aca="false">IFERROR(IF(OR(K35&gt;=M35,G35&gt;=M35),LOOKUP(IF(K35="",G35,K35),{0,1,10,50,100},{0,0.83,0.732,0.684,0.6045}),"MOQ="&amp;M35),"")</f>
        <v>0.83</v>
      </c>
      <c r="M35" s="12" t="n">
        <v>1</v>
      </c>
      <c r="N35" s="15" t="n">
        <f aca="false">IFERROR(IF(K35="",G35,K35)*L35,"")</f>
        <v>1.66</v>
      </c>
      <c r="O35" s="12" t="s">
        <v>176</v>
      </c>
    </row>
    <row r="37" customFormat="false" ht="16.15" hidden="false" customHeight="false" outlineLevel="0" collapsed="false">
      <c r="H37" s="1" t="s">
        <v>177</v>
      </c>
      <c r="I37" s="5" t="n">
        <f aca="false">SUM(Z37,N37,T37)</f>
        <v>58.266</v>
      </c>
      <c r="J37" s="18" t="s">
        <v>178</v>
      </c>
      <c r="K37" s="6" t="str">
        <f aca="false">IFERROR(IF(COUNTIF(K7:K35,"&gt;0")&gt;0,COUNTIF(K7:K35,"&gt;0")&amp;" of "&amp;(ROWS(M7:M35)-COUNTBLANK(M7:M35))&amp;" parts purchased",""),"")</f>
        <v>26 of 26 parts purchased</v>
      </c>
      <c r="N37" s="5" t="n">
        <f aca="false">SUMIF(K7:K35,"&gt;0",N7:N35)</f>
        <v>58.266</v>
      </c>
      <c r="P37" s="18" t="s">
        <v>178</v>
      </c>
      <c r="Q37" s="6" t="str">
        <f aca="false">IFERROR(IF(COUNTIF(Q7:Q35,"&gt;0")&gt;0,COUNTIF(Q7:Q35,"&gt;0")&amp;" of "&amp;(ROWS(S7:S35)-COUNTBLANK(S7:S35))&amp;" parts purchased",""),"")</f>
        <v/>
      </c>
      <c r="T37" s="5" t="n">
        <f aca="false">SUMIF(Q7:Q35,"&gt;0",T7:T35)</f>
        <v>0</v>
      </c>
      <c r="W37" s="6" t="str">
        <f aca="false">IFERROR(IF(COUNTIF(W7:W35,"&gt;0")&gt;0,COUNTIF(W7:W35,"&gt;0")&amp;" of "&amp;(ROWS(Y7:Y35)-COUNTBLANK(Y7:Y35))&amp;" parts purchased",""),"")</f>
        <v/>
      </c>
      <c r="Z37" s="5" t="n">
        <f aca="false">SUMIF(W7:W35,"&gt;0",Z7:Z35)</f>
        <v>0</v>
      </c>
    </row>
    <row r="38" customFormat="false" ht="15" hidden="false" customHeight="false" outlineLevel="0" collapsed="false">
      <c r="A38" s="2" t="s">
        <v>179</v>
      </c>
      <c r="H38" s="19" t="s">
        <v>180</v>
      </c>
      <c r="K38" s="20" t="str">
        <f aca="false">CONCATENATE(K68,K69,K70,K71,K72,K73,K74,K75,K76,K77,K78,K79,K80,K81,K82,K83,K84,K85,K86,K87,K88,K89,K90,K91,K92,K93,K94,K95,K96)</f>
        <v>38,311-1733-1-ND,C1-C4;C6;C9-C11;C13-C23
4,1276-6454-1-ND,C5;C12
4,1276-1100-1-ND,C7;C8
80,BAT54-FDICT-ND,D1;D2;D4;D6;D8;D11;D13;D15;D17;D19;D21;D23;D25;D27;D29;D31;D33;D35;D37;D39;D41;D43;D45;D47;D49;D51;D53;D55;D57;D59;D61;D63;D65;D67;D69;D71;D73;D75;D77;D79
80,BAT54S-FDICT-ND,D3;D5;D7;D9;D10;D12;D14;D16;D18;D20;D22;D24;D26;D28;D30;D32;D34;D36;D38;D40;D42;D44;D46;D48;D50;D52;D54;D56;D58;D60;D62;D64;D66;D68;D70;D72;D74;D76;D78;D80
2,S1011EC-02-ND,J2
8,S1011EC-02-ND,JP1-JP4
2,2987-CF4212FH0R0-05-NHCT-ND,J_DISPLAY1
2,S1011EC-12-ND,J_DISPLAY2
2,2987-CF31121D0R0-05-NHCT-ND,J_DISPLAY3
2,WM9774CT-ND,J_EXT1
2,S2011EC-14-ND,J_EXT2
2,609-10152265-1121HFCT-ND,J_JTAG1
2,4816-UHP252012BF-100MCT-ND,L1
2,2661-CS42C-QL4TR-ND,LED_DONE1
80,1727-8643-1-ND,Q1-Q39;Q41
2,CR0402-JW-221GLFCT-ND,R1
2,CR0402-JW-102GLFCT-ND,R2
24,CR0402-FX-1002GLFCT-ND,R3;R5-R13;R15;R16
4,P4.99KLCT-ND,R4;R14
2,S5573-ND,SOCKET1
2,LM3480IM3X-3.3/NOPBCT-ND,U2
2,31-AP2202K-ADJTRE1CT-ND,U3
2,31-AP62150Z6-7CT-ND,U6
2,1265-AT25SF081B-SSHB-TCT-ND,U7
2,1908-O270-JO32-B-1V3-1-T1-LFCT-ND,X1
</v>
      </c>
      <c r="L38" s="20"/>
      <c r="M38" s="20"/>
      <c r="N38" s="20"/>
      <c r="Q38" s="20" t="str">
        <f aca="false">CONCATENATE(Q68,Q69,Q70,Q71,Q72,Q73,Q74,Q75,Q76,Q77,Q78,Q79,Q80,Q81,Q82,Q83,Q84,Q85,Q86,Q87,Q88,Q89,Q90,Q91,Q92,Q93,Q94,Q95,Q96)</f>
        <v/>
      </c>
      <c r="R38" s="20"/>
      <c r="S38" s="20"/>
      <c r="T38" s="20"/>
      <c r="W38" s="20" t="str">
        <f aca="false">CONCATENATE(W68,W69,W70,W71,W72,W73,W74,W75,W76,W77,W78,W79,W80,W81,W82,W83,W84,W85,W86,W87,W88,W89,W90,W91,W92,W93,W94,W95,W96)</f>
        <v/>
      </c>
      <c r="X38" s="20"/>
      <c r="Y38" s="20"/>
      <c r="Z38" s="20"/>
    </row>
    <row r="39" customFormat="false" ht="13.8" hidden="false" customHeight="false" outlineLevel="0" collapsed="false">
      <c r="K39" s="20"/>
      <c r="L39" s="20"/>
      <c r="M39" s="20"/>
      <c r="N39" s="20"/>
      <c r="Q39" s="20"/>
      <c r="R39" s="20"/>
      <c r="S39" s="20"/>
      <c r="T39" s="20"/>
      <c r="W39" s="20"/>
      <c r="X39" s="20"/>
      <c r="Y39" s="20"/>
      <c r="Z39" s="20"/>
    </row>
    <row r="40" customFormat="false" ht="13.8" hidden="false" customHeight="false" outlineLevel="0" collapsed="false">
      <c r="K40" s="20"/>
      <c r="L40" s="20"/>
      <c r="M40" s="20"/>
      <c r="N40" s="20"/>
      <c r="Q40" s="20"/>
      <c r="R40" s="20"/>
      <c r="S40" s="20"/>
      <c r="T40" s="20"/>
      <c r="W40" s="20"/>
      <c r="X40" s="20"/>
      <c r="Y40" s="20"/>
      <c r="Z40" s="20"/>
    </row>
    <row r="41" customFormat="false" ht="13.8" hidden="false" customHeight="false" outlineLevel="0" collapsed="false">
      <c r="K41" s="20"/>
      <c r="L41" s="20"/>
      <c r="M41" s="20"/>
      <c r="N41" s="20"/>
      <c r="Q41" s="20"/>
      <c r="R41" s="20"/>
      <c r="S41" s="20"/>
      <c r="T41" s="20"/>
      <c r="W41" s="20"/>
      <c r="X41" s="20"/>
      <c r="Y41" s="20"/>
      <c r="Z41" s="20"/>
    </row>
    <row r="42" customFormat="false" ht="13.8" hidden="false" customHeight="false" outlineLevel="0" collapsed="false">
      <c r="K42" s="20"/>
      <c r="L42" s="20"/>
      <c r="M42" s="20"/>
      <c r="N42" s="20"/>
      <c r="Q42" s="20"/>
      <c r="R42" s="20"/>
      <c r="S42" s="20"/>
      <c r="T42" s="20"/>
      <c r="W42" s="20"/>
      <c r="X42" s="20"/>
      <c r="Y42" s="20"/>
      <c r="Z42" s="20"/>
    </row>
    <row r="43" customFormat="false" ht="13.8" hidden="false" customHeight="false" outlineLevel="0" collapsed="false">
      <c r="K43" s="20"/>
      <c r="L43" s="20"/>
      <c r="M43" s="20"/>
      <c r="N43" s="20"/>
      <c r="Q43" s="20"/>
      <c r="R43" s="20"/>
      <c r="S43" s="20"/>
      <c r="T43" s="20"/>
      <c r="W43" s="20"/>
      <c r="X43" s="20"/>
      <c r="Y43" s="20"/>
      <c r="Z43" s="20"/>
    </row>
    <row r="44" customFormat="false" ht="13.8" hidden="false" customHeight="false" outlineLevel="0" collapsed="false">
      <c r="K44" s="20"/>
      <c r="L44" s="20"/>
      <c r="M44" s="20"/>
      <c r="N44" s="20"/>
      <c r="Q44" s="20"/>
      <c r="R44" s="20"/>
      <c r="S44" s="20"/>
      <c r="T44" s="20"/>
      <c r="W44" s="20"/>
      <c r="X44" s="20"/>
      <c r="Y44" s="20"/>
      <c r="Z44" s="20"/>
    </row>
    <row r="45" customFormat="false" ht="13.8" hidden="false" customHeight="false" outlineLevel="0" collapsed="false">
      <c r="K45" s="20"/>
      <c r="L45" s="20"/>
      <c r="M45" s="20"/>
      <c r="N45" s="20"/>
      <c r="Q45" s="20"/>
      <c r="R45" s="20"/>
      <c r="S45" s="20"/>
      <c r="T45" s="20"/>
      <c r="W45" s="20"/>
      <c r="X45" s="20"/>
      <c r="Y45" s="20"/>
      <c r="Z45" s="20"/>
    </row>
    <row r="46" customFormat="false" ht="13.8" hidden="false" customHeight="false" outlineLevel="0" collapsed="false">
      <c r="K46" s="20"/>
      <c r="L46" s="20"/>
      <c r="M46" s="20"/>
      <c r="N46" s="20"/>
      <c r="Q46" s="20"/>
      <c r="R46" s="20"/>
      <c r="S46" s="20"/>
      <c r="T46" s="20"/>
      <c r="W46" s="20"/>
      <c r="X46" s="20"/>
      <c r="Y46" s="20"/>
      <c r="Z46" s="20"/>
    </row>
    <row r="47" customFormat="false" ht="13.8" hidden="false" customHeight="false" outlineLevel="0" collapsed="false">
      <c r="K47" s="20"/>
      <c r="L47" s="20"/>
      <c r="M47" s="20"/>
      <c r="N47" s="20"/>
      <c r="Q47" s="20"/>
      <c r="R47" s="20"/>
      <c r="S47" s="20"/>
      <c r="T47" s="20"/>
      <c r="W47" s="20"/>
      <c r="X47" s="20"/>
      <c r="Y47" s="20"/>
      <c r="Z47" s="20"/>
    </row>
    <row r="48" customFormat="false" ht="13.8" hidden="false" customHeight="false" outlineLevel="0" collapsed="false">
      <c r="K48" s="20"/>
      <c r="L48" s="20"/>
      <c r="M48" s="20"/>
      <c r="N48" s="20"/>
      <c r="Q48" s="20"/>
      <c r="R48" s="20"/>
      <c r="S48" s="20"/>
      <c r="T48" s="20"/>
      <c r="W48" s="20"/>
      <c r="X48" s="20"/>
      <c r="Y48" s="20"/>
      <c r="Z48" s="20"/>
    </row>
    <row r="49" customFormat="false" ht="13.8" hidden="false" customHeight="false" outlineLevel="0" collapsed="false">
      <c r="K49" s="20"/>
      <c r="L49" s="20"/>
      <c r="M49" s="20"/>
      <c r="N49" s="20"/>
      <c r="Q49" s="20"/>
      <c r="R49" s="20"/>
      <c r="S49" s="20"/>
      <c r="T49" s="20"/>
      <c r="W49" s="20"/>
      <c r="X49" s="20"/>
      <c r="Y49" s="20"/>
      <c r="Z49" s="20"/>
    </row>
    <row r="50" customFormat="false" ht="13.8" hidden="false" customHeight="false" outlineLevel="0" collapsed="false">
      <c r="K50" s="20"/>
      <c r="L50" s="20"/>
      <c r="M50" s="20"/>
      <c r="N50" s="20"/>
      <c r="Q50" s="20"/>
      <c r="R50" s="20"/>
      <c r="S50" s="20"/>
      <c r="T50" s="20"/>
      <c r="W50" s="20"/>
      <c r="X50" s="20"/>
      <c r="Y50" s="20"/>
      <c r="Z50" s="20"/>
    </row>
    <row r="51" customFormat="false" ht="13.8" hidden="false" customHeight="false" outlineLevel="0" collapsed="false">
      <c r="K51" s="20"/>
      <c r="L51" s="20"/>
      <c r="M51" s="20"/>
      <c r="N51" s="20"/>
      <c r="Q51" s="20"/>
      <c r="R51" s="20"/>
      <c r="S51" s="20"/>
      <c r="T51" s="20"/>
      <c r="W51" s="20"/>
      <c r="X51" s="20"/>
      <c r="Y51" s="20"/>
      <c r="Z51" s="20"/>
    </row>
    <row r="52" customFormat="false" ht="13.8" hidden="false" customHeight="false" outlineLevel="0" collapsed="false">
      <c r="K52" s="20"/>
      <c r="L52" s="20"/>
      <c r="M52" s="20"/>
      <c r="N52" s="20"/>
      <c r="Q52" s="20"/>
      <c r="R52" s="20"/>
      <c r="S52" s="20"/>
      <c r="T52" s="20"/>
      <c r="W52" s="20"/>
      <c r="X52" s="20"/>
      <c r="Y52" s="20"/>
      <c r="Z52" s="20"/>
    </row>
    <row r="53" customFormat="false" ht="13.8" hidden="false" customHeight="false" outlineLevel="0" collapsed="false">
      <c r="K53" s="20"/>
      <c r="L53" s="20"/>
      <c r="M53" s="20"/>
      <c r="N53" s="20"/>
      <c r="Q53" s="20"/>
      <c r="R53" s="20"/>
      <c r="S53" s="20"/>
      <c r="T53" s="20"/>
      <c r="W53" s="20"/>
      <c r="X53" s="20"/>
      <c r="Y53" s="20"/>
      <c r="Z53" s="20"/>
    </row>
    <row r="54" customFormat="false" ht="13.8" hidden="false" customHeight="false" outlineLevel="0" collapsed="false">
      <c r="K54" s="20"/>
      <c r="L54" s="20"/>
      <c r="M54" s="20"/>
      <c r="N54" s="20"/>
      <c r="Q54" s="20"/>
      <c r="R54" s="20"/>
      <c r="S54" s="20"/>
      <c r="T54" s="20"/>
      <c r="W54" s="20"/>
      <c r="X54" s="20"/>
      <c r="Y54" s="20"/>
      <c r="Z54" s="20"/>
    </row>
    <row r="55" customFormat="false" ht="13.8" hidden="false" customHeight="false" outlineLevel="0" collapsed="false">
      <c r="K55" s="20"/>
      <c r="L55" s="20"/>
      <c r="M55" s="20"/>
      <c r="N55" s="20"/>
      <c r="Q55" s="20"/>
      <c r="R55" s="20"/>
      <c r="S55" s="20"/>
      <c r="T55" s="20"/>
      <c r="W55" s="20"/>
      <c r="X55" s="20"/>
      <c r="Y55" s="20"/>
      <c r="Z55" s="20"/>
    </row>
    <row r="56" customFormat="false" ht="13.8" hidden="false" customHeight="false" outlineLevel="0" collapsed="false">
      <c r="K56" s="20"/>
      <c r="L56" s="20"/>
      <c r="M56" s="20"/>
      <c r="N56" s="20"/>
      <c r="Q56" s="20"/>
      <c r="R56" s="20"/>
      <c r="S56" s="20"/>
      <c r="T56" s="20"/>
      <c r="W56" s="20"/>
      <c r="X56" s="20"/>
      <c r="Y56" s="20"/>
      <c r="Z56" s="20"/>
    </row>
    <row r="57" customFormat="false" ht="13.8" hidden="false" customHeight="false" outlineLevel="0" collapsed="false">
      <c r="K57" s="20"/>
      <c r="L57" s="20"/>
      <c r="M57" s="20"/>
      <c r="N57" s="20"/>
      <c r="Q57" s="20"/>
      <c r="R57" s="20"/>
      <c r="S57" s="20"/>
      <c r="T57" s="20"/>
      <c r="W57" s="20"/>
      <c r="X57" s="20"/>
      <c r="Y57" s="20"/>
      <c r="Z57" s="20"/>
    </row>
    <row r="58" customFormat="false" ht="13.8" hidden="false" customHeight="false" outlineLevel="0" collapsed="false">
      <c r="K58" s="20"/>
      <c r="L58" s="20"/>
      <c r="M58" s="20"/>
      <c r="N58" s="20"/>
      <c r="Q58" s="20"/>
      <c r="R58" s="20"/>
      <c r="S58" s="20"/>
      <c r="T58" s="20"/>
      <c r="W58" s="20"/>
      <c r="X58" s="20"/>
      <c r="Y58" s="20"/>
      <c r="Z58" s="20"/>
    </row>
    <row r="59" customFormat="false" ht="13.8" hidden="false" customHeight="false" outlineLevel="0" collapsed="false">
      <c r="K59" s="20"/>
      <c r="L59" s="20"/>
      <c r="M59" s="20"/>
      <c r="N59" s="20"/>
      <c r="Q59" s="20"/>
      <c r="R59" s="20"/>
      <c r="S59" s="20"/>
      <c r="T59" s="20"/>
      <c r="W59" s="20"/>
      <c r="X59" s="20"/>
      <c r="Y59" s="20"/>
      <c r="Z59" s="20"/>
    </row>
    <row r="60" customFormat="false" ht="13.8" hidden="false" customHeight="false" outlineLevel="0" collapsed="false">
      <c r="K60" s="20"/>
      <c r="L60" s="20"/>
      <c r="M60" s="20"/>
      <c r="N60" s="20"/>
      <c r="Q60" s="20"/>
      <c r="R60" s="20"/>
      <c r="S60" s="20"/>
      <c r="T60" s="20"/>
      <c r="W60" s="20"/>
      <c r="X60" s="20"/>
      <c r="Y60" s="20"/>
      <c r="Z60" s="20"/>
    </row>
    <row r="61" customFormat="false" ht="13.8" hidden="false" customHeight="false" outlineLevel="0" collapsed="false">
      <c r="K61" s="20"/>
      <c r="L61" s="20"/>
      <c r="M61" s="20"/>
      <c r="N61" s="20"/>
      <c r="Q61" s="20"/>
      <c r="R61" s="20"/>
      <c r="S61" s="20"/>
      <c r="T61" s="20"/>
      <c r="W61" s="20"/>
      <c r="X61" s="20"/>
      <c r="Y61" s="20"/>
      <c r="Z61" s="20"/>
    </row>
    <row r="62" customFormat="false" ht="13.8" hidden="false" customHeight="false" outlineLevel="0" collapsed="false">
      <c r="K62" s="20"/>
      <c r="L62" s="20"/>
      <c r="M62" s="20"/>
      <c r="N62" s="20"/>
      <c r="Q62" s="20"/>
      <c r="R62" s="20"/>
      <c r="S62" s="20"/>
      <c r="T62" s="20"/>
      <c r="W62" s="20"/>
      <c r="X62" s="20"/>
      <c r="Y62" s="20"/>
      <c r="Z62" s="20"/>
    </row>
    <row r="63" customFormat="false" ht="13.8" hidden="false" customHeight="false" outlineLevel="0" collapsed="false">
      <c r="K63" s="20"/>
      <c r="L63" s="20"/>
      <c r="M63" s="20"/>
      <c r="N63" s="20"/>
      <c r="Q63" s="20"/>
      <c r="R63" s="20"/>
      <c r="S63" s="20"/>
      <c r="T63" s="20"/>
      <c r="W63" s="20"/>
      <c r="X63" s="20"/>
      <c r="Y63" s="20"/>
      <c r="Z63" s="20"/>
    </row>
    <row r="64" customFormat="false" ht="13.8" hidden="false" customHeight="false" outlineLevel="0" collapsed="false">
      <c r="K64" s="20"/>
      <c r="L64" s="20"/>
      <c r="M64" s="20"/>
      <c r="N64" s="20"/>
      <c r="Q64" s="20"/>
      <c r="R64" s="20"/>
      <c r="S64" s="20"/>
      <c r="T64" s="20"/>
      <c r="W64" s="20"/>
      <c r="X64" s="20"/>
      <c r="Y64" s="20"/>
      <c r="Z64" s="20"/>
    </row>
    <row r="65" customFormat="false" ht="13.8" hidden="false" customHeight="false" outlineLevel="0" collapsed="false">
      <c r="K65" s="20"/>
      <c r="L65" s="20"/>
      <c r="M65" s="20"/>
      <c r="N65" s="20"/>
      <c r="Q65" s="20"/>
      <c r="R65" s="20"/>
      <c r="S65" s="20"/>
      <c r="T65" s="20"/>
      <c r="W65" s="20"/>
      <c r="X65" s="20"/>
      <c r="Y65" s="20"/>
      <c r="Z65" s="20"/>
    </row>
    <row r="66" customFormat="false" ht="13.8" hidden="false" customHeight="false" outlineLevel="0" collapsed="false">
      <c r="K66" s="20"/>
      <c r="L66" s="20"/>
      <c r="M66" s="20"/>
      <c r="N66" s="20"/>
      <c r="Q66" s="20"/>
      <c r="R66" s="20"/>
      <c r="S66" s="20"/>
      <c r="T66" s="20"/>
      <c r="W66" s="20"/>
      <c r="X66" s="20"/>
      <c r="Y66" s="20"/>
      <c r="Z66" s="20"/>
    </row>
    <row r="67" customFormat="false" ht="13.8" hidden="false" customHeight="false" outlineLevel="0" collapsed="false">
      <c r="K67" s="20"/>
      <c r="L67" s="20"/>
      <c r="M67" s="20"/>
      <c r="N67" s="20"/>
      <c r="Q67" s="20"/>
      <c r="R67" s="20"/>
      <c r="S67" s="20"/>
      <c r="T67" s="20"/>
      <c r="W67" s="20"/>
      <c r="X67" s="20"/>
      <c r="Y67" s="20"/>
      <c r="Z67" s="20"/>
    </row>
    <row r="68" customFormat="false" ht="28.35" hidden="false" customHeight="false" outlineLevel="0" collapsed="false">
      <c r="K68" s="0" t="str">
        <f aca="false" t="array" ref="K68:K96">IF(ISNUMBER(K7:K35)*(K7:K35&gt;=M7:M35)*(O7:O35&lt;&gt;""),TEXT(ROUNDUP(K7:K35/IF(ISNUMBER(M7:M35),M7:M35,1),0)*M7:M35,"##0")&amp;","&amp;O7:O35&amp;","&amp;SUBSTITUTE(SUBSTITUTE(IF(PURCHASE_DESCRIPTION&lt;&gt;"",PURCHASE_DESCRIPTION&amp;":","")&amp;A7:A35,",",";"),"
"," ")&amp;CHAR(10)&amp;CHAR(13),"")</f>
        <v>38,311-1733-1-ND,C1-C4;C6;C9-C11;C13-C23
</v>
      </c>
      <c r="Q68" s="0" t="str">
        <f aca="false" t="array" ref="Q68:Q96">IF(ISNUMBER(Q7:Q35)*(Q7:Q35&gt;=S7:S35)*(U7:U35&lt;&gt;""),U7:U35&amp;"|"&amp;TEXT(ROUNDUP(Q7:Q35/IF(ISNUMBER(S7:S35),S7:S35,1),0)*S7:S35,"##0")&amp;"|"&amp;SUBSTITUTE(SUBSTITUTE(SUBSTITUTE(IF(PURCHASE_DESCRIPTION&lt;&gt;"",PURCHASE_DESCRIPTION&amp;":","")&amp;A7:A35,"|",";")," ","_"),"
","_")&amp;CHAR(10)&amp;CHAR(13),"")</f>
        <v/>
      </c>
      <c r="W68" s="0" t="str">
        <f aca="false" t="array" ref="W68:W96">IF(ISNUMBER(W7:W35)*(W7:W35&gt;=Y7:Y35)*(AA7:AA35&lt;&gt;""),AA7:AA35&amp;","&amp;TEXT(ROUNDUP(W7:W35/IF(ISNUMBER(Y7:Y35),Y7:Y35,1),0)*Y7:Y35,"##0")&amp;","&amp;SUBSTITUTE(SUBSTITUTE(IF(PURCHASE_DESCRIPTION&lt;&gt;"",PURCHASE_DESCRIPTION&amp;":","")&amp;A7:A35,",",";"),"
"," ")&amp;CHAR(10)&amp;CHAR(13),"")</f>
        <v/>
      </c>
    </row>
    <row r="69" customFormat="false" ht="28.35" hidden="false" customHeight="false" outlineLevel="0" collapsed="false">
      <c r="K69" s="0" t="str">
        <v>4,1276-6454-1-ND,C5;C12
</v>
      </c>
      <c r="Q69" s="0" t="str">
        <v/>
      </c>
      <c r="W69" s="0" t="str">
        <v/>
      </c>
    </row>
    <row r="70" customFormat="false" ht="28.35" hidden="false" customHeight="false" outlineLevel="0" collapsed="false">
      <c r="K70" s="0" t="str">
        <v>4,1276-1100-1-ND,C7;C8
</v>
      </c>
      <c r="Q70" s="0" t="str">
        <v/>
      </c>
      <c r="W70" s="0" t="str">
        <v/>
      </c>
    </row>
    <row r="71" customFormat="false" ht="28.35" hidden="false" customHeight="false" outlineLevel="0" collapsed="false">
      <c r="K71" s="0" t="str">
        <v>80,BAT54-FDICT-ND,D1;D2;D4;D6;D8;D11;D13;D15;D17;D19;D21;D23;D25;D27;D29;D31;D33;D35;D37;D39;D41;D43;D45;D47;D49;D51;D53;D55;D57;D59;D61;D63;D65;D67;D69;D71;D73;D75;D77;D79
</v>
      </c>
      <c r="Q71" s="0" t="str">
        <v/>
      </c>
      <c r="W71" s="0" t="str">
        <v/>
      </c>
    </row>
    <row r="72" customFormat="false" ht="28.35" hidden="false" customHeight="false" outlineLevel="0" collapsed="false">
      <c r="K72" s="0" t="str">
        <v>80,BAT54S-FDICT-ND,D3;D5;D7;D9;D10;D12;D14;D16;D18;D20;D22;D24;D26;D28;D30;D32;D34;D36;D38;D40;D42;D44;D46;D48;D50;D52;D54;D56;D58;D60;D62;D64;D66;D68;D70;D72;D74;D76;D78;D80
</v>
      </c>
      <c r="Q72" s="0" t="str">
        <v/>
      </c>
      <c r="W72" s="0" t="str">
        <v/>
      </c>
    </row>
    <row r="73" customFormat="false" ht="13.8" hidden="false" customHeight="false" outlineLevel="0" collapsed="false">
      <c r="K73" s="0" t="str">
        <v/>
      </c>
      <c r="Q73" s="0" t="str">
        <v/>
      </c>
      <c r="W73" s="0" t="str">
        <v/>
      </c>
    </row>
    <row r="74" customFormat="false" ht="28.35" hidden="false" customHeight="false" outlineLevel="0" collapsed="false">
      <c r="K74" s="0" t="str">
        <v>2,S1011EC-02-ND,J2
</v>
      </c>
      <c r="Q74" s="0" t="str">
        <v/>
      </c>
      <c r="W74" s="0" t="str">
        <v/>
      </c>
    </row>
    <row r="75" customFormat="false" ht="28.35" hidden="false" customHeight="false" outlineLevel="0" collapsed="false">
      <c r="K75" s="0" t="str">
        <v>8,S1011EC-02-ND,JP1-JP4
</v>
      </c>
      <c r="Q75" s="0" t="str">
        <v/>
      </c>
      <c r="W75" s="0" t="str">
        <v/>
      </c>
    </row>
    <row r="76" customFormat="false" ht="28.35" hidden="false" customHeight="false" outlineLevel="0" collapsed="false">
      <c r="K76" s="0" t="str">
        <v>2,2987-CF4212FH0R0-05-NHCT-ND,J_DISPLAY1
</v>
      </c>
      <c r="Q76" s="0" t="str">
        <v/>
      </c>
      <c r="W76" s="0" t="str">
        <v/>
      </c>
    </row>
    <row r="77" customFormat="false" ht="28.35" hidden="false" customHeight="false" outlineLevel="0" collapsed="false">
      <c r="K77" s="0" t="str">
        <v>2,S1011EC-12-ND,J_DISPLAY2
</v>
      </c>
      <c r="Q77" s="0" t="str">
        <v/>
      </c>
      <c r="W77" s="0" t="str">
        <v/>
      </c>
    </row>
    <row r="78" customFormat="false" ht="28.35" hidden="false" customHeight="false" outlineLevel="0" collapsed="false">
      <c r="K78" s="0" t="str">
        <v>2,2987-CF31121D0R0-05-NHCT-ND,J_DISPLAY3
</v>
      </c>
      <c r="Q78" s="0" t="str">
        <v/>
      </c>
      <c r="W78" s="0" t="str">
        <v/>
      </c>
    </row>
    <row r="79" customFormat="false" ht="28.35" hidden="false" customHeight="false" outlineLevel="0" collapsed="false">
      <c r="K79" s="0" t="str">
        <v>2,WM9774CT-ND,J_EXT1
</v>
      </c>
      <c r="Q79" s="0" t="str">
        <v/>
      </c>
      <c r="W79" s="0" t="str">
        <v/>
      </c>
    </row>
    <row r="80" customFormat="false" ht="28.35" hidden="false" customHeight="false" outlineLevel="0" collapsed="false">
      <c r="K80" s="0" t="str">
        <v>2,S2011EC-14-ND,J_EXT2
</v>
      </c>
      <c r="Q80" s="0" t="str">
        <v/>
      </c>
      <c r="W80" s="0" t="str">
        <v/>
      </c>
    </row>
    <row r="81" customFormat="false" ht="28.35" hidden="false" customHeight="false" outlineLevel="0" collapsed="false">
      <c r="K81" s="0" t="str">
        <v>2,609-10152265-1121HFCT-ND,J_JTAG1
</v>
      </c>
      <c r="Q81" s="0" t="str">
        <v/>
      </c>
      <c r="W81" s="0" t="str">
        <v/>
      </c>
    </row>
    <row r="82" customFormat="false" ht="28.35" hidden="false" customHeight="false" outlineLevel="0" collapsed="false">
      <c r="K82" s="0" t="str">
        <v>2,4816-UHP252012BF-100MCT-ND,L1
</v>
      </c>
      <c r="Q82" s="0" t="str">
        <v/>
      </c>
      <c r="W82" s="0" t="str">
        <v/>
      </c>
    </row>
    <row r="83" customFormat="false" ht="28.35" hidden="false" customHeight="false" outlineLevel="0" collapsed="false">
      <c r="K83" s="0" t="str">
        <v>2,2661-CS42C-QL4TR-ND,LED_DONE1
</v>
      </c>
      <c r="Q83" s="0" t="str">
        <v/>
      </c>
      <c r="W83" s="0" t="str">
        <v/>
      </c>
    </row>
    <row r="84" customFormat="false" ht="28.35" hidden="false" customHeight="false" outlineLevel="0" collapsed="false">
      <c r="K84" s="0" t="str">
        <v>80,1727-8643-1-ND,Q1-Q39;Q41
</v>
      </c>
      <c r="Q84" s="0" t="str">
        <v/>
      </c>
      <c r="W84" s="0" t="str">
        <v/>
      </c>
    </row>
    <row r="85" customFormat="false" ht="28.35" hidden="false" customHeight="false" outlineLevel="0" collapsed="false">
      <c r="K85" s="0" t="str">
        <v>2,CR0402-JW-221GLFCT-ND,R1
</v>
      </c>
      <c r="Q85" s="0" t="str">
        <v/>
      </c>
      <c r="W85" s="0" t="str">
        <v/>
      </c>
    </row>
    <row r="86" customFormat="false" ht="28.35" hidden="false" customHeight="false" outlineLevel="0" collapsed="false">
      <c r="K86" s="0" t="str">
        <v>2,CR0402-JW-102GLFCT-ND,R2
</v>
      </c>
      <c r="Q86" s="0" t="str">
        <v/>
      </c>
      <c r="W86" s="0" t="str">
        <v/>
      </c>
    </row>
    <row r="87" customFormat="false" ht="28.35" hidden="false" customHeight="false" outlineLevel="0" collapsed="false">
      <c r="K87" s="0" t="str">
        <v>24,CR0402-FX-1002GLFCT-ND,R3;R5-R13;R15;R16
</v>
      </c>
      <c r="Q87" s="0" t="str">
        <v/>
      </c>
      <c r="W87" s="0" t="str">
        <v/>
      </c>
    </row>
    <row r="88" customFormat="false" ht="28.35" hidden="false" customHeight="false" outlineLevel="0" collapsed="false">
      <c r="K88" s="0" t="str">
        <v>4,P4.99KLCT-ND,R4;R14
</v>
      </c>
      <c r="Q88" s="0" t="str">
        <v/>
      </c>
      <c r="W88" s="0" t="str">
        <v/>
      </c>
    </row>
    <row r="89" customFormat="false" ht="28.35" hidden="false" customHeight="false" outlineLevel="0" collapsed="false">
      <c r="K89" s="0" t="str">
        <v>2,S5573-ND,SOCKET1
</v>
      </c>
      <c r="Q89" s="0" t="str">
        <v/>
      </c>
      <c r="W89" s="0" t="str">
        <v/>
      </c>
    </row>
    <row r="90" customFormat="false" ht="13.8" hidden="false" customHeight="false" outlineLevel="0" collapsed="false">
      <c r="K90" s="0" t="str">
        <v/>
      </c>
      <c r="Q90" s="0" t="str">
        <v/>
      </c>
      <c r="W90" s="0" t="str">
        <v/>
      </c>
    </row>
    <row r="91" customFormat="false" ht="28.35" hidden="false" customHeight="false" outlineLevel="0" collapsed="false">
      <c r="K91" s="0" t="str">
        <v>2,LM3480IM3X-3.3/NOPBCT-ND,U2
</v>
      </c>
      <c r="Q91" s="0" t="str">
        <v/>
      </c>
      <c r="W91" s="0" t="str">
        <v/>
      </c>
    </row>
    <row r="92" customFormat="false" ht="28.35" hidden="false" customHeight="false" outlineLevel="0" collapsed="false">
      <c r="K92" s="0" t="str">
        <v>2,31-AP2202K-ADJTRE1CT-ND,U3
</v>
      </c>
      <c r="Q92" s="0" t="str">
        <v/>
      </c>
      <c r="W92" s="0" t="str">
        <v/>
      </c>
    </row>
    <row r="93" customFormat="false" ht="13.8" hidden="false" customHeight="false" outlineLevel="0" collapsed="false">
      <c r="K93" s="0" t="str">
        <v/>
      </c>
      <c r="Q93" s="0" t="str">
        <v/>
      </c>
      <c r="W93" s="0" t="str">
        <v/>
      </c>
    </row>
    <row r="94" customFormat="false" ht="28.35" hidden="false" customHeight="false" outlineLevel="0" collapsed="false">
      <c r="K94" s="0" t="str">
        <v>2,31-AP62150Z6-7CT-ND,U6
</v>
      </c>
      <c r="Q94" s="0" t="str">
        <v/>
      </c>
      <c r="W94" s="0" t="str">
        <v/>
      </c>
    </row>
    <row r="95" customFormat="false" ht="28.35" hidden="false" customHeight="false" outlineLevel="0" collapsed="false">
      <c r="K95" s="0" t="str">
        <v>2,1265-AT25SF081B-SSHB-TCT-ND,U7
</v>
      </c>
      <c r="Q95" s="0" t="str">
        <v/>
      </c>
      <c r="W95" s="0" t="str">
        <v/>
      </c>
    </row>
    <row r="96" customFormat="false" ht="28.35" hidden="false" customHeight="false" outlineLevel="0" collapsed="false">
      <c r="K96" s="0" t="str">
        <v>2,1908-O270-JO32-B-1V3-1-T1-LFCT-ND,X1
</v>
      </c>
      <c r="Q96" s="0" t="str">
        <v/>
      </c>
      <c r="W96" s="0" t="str">
        <v/>
      </c>
    </row>
  </sheetData>
  <mergeCells count="7">
    <mergeCell ref="A5:I5"/>
    <mergeCell ref="J5:O5"/>
    <mergeCell ref="P5:U5"/>
    <mergeCell ref="V5:AA5"/>
    <mergeCell ref="K38:N67"/>
    <mergeCell ref="Q38:T67"/>
    <mergeCell ref="W38:Z67"/>
  </mergeCells>
  <conditionalFormatting sqref="G10">
    <cfRule type="expression" priority="2" aboveAverage="0" equalAverage="0" bottom="0" percent="0" rank="0" text="" dxfId="0">
      <formula>AND(ISBLANK(F10),ISBLANK(Z10),ISBLANK(N10),ISBLANK(T10))</formula>
    </cfRule>
    <cfRule type="expression" priority="3" aboveAverage="0" equalAverage="0" bottom="0" percent="0" rank="0" text="" dxfId="1">
      <formula>IF(SUM(V10,J10,P10)=0,1,0)</formula>
    </cfRule>
    <cfRule type="cellIs" priority="4" operator="greaterThan" aboveAverage="0" equalAverage="0" bottom="0" percent="0" rank="0" text="" dxfId="2">
      <formula>SUM(V10,J10,P10)</formula>
    </cfRule>
    <cfRule type="cellIs" priority="5" operator="greaterThan" aboveAverage="0" equalAverage="0" bottom="0" percent="0" rank="0" text="" dxfId="3">
      <formula>SUM(IF(ISNUMBER(X10),W10,0),IF(ISNUMBER(L10),K10,0),IF(ISNUMBER(R10),Q10,0))</formula>
    </cfRule>
  </conditionalFormatting>
  <conditionalFormatting sqref="G11">
    <cfRule type="expression" priority="6" aboveAverage="0" equalAverage="0" bottom="0" percent="0" rank="0" text="" dxfId="0">
      <formula>AND(ISBLANK(F11),ISBLANK(Z11),ISBLANK(N11),ISBLANK(T11))</formula>
    </cfRule>
    <cfRule type="expression" priority="7" aboveAverage="0" equalAverage="0" bottom="0" percent="0" rank="0" text="" dxfId="1">
      <formula>IF(SUM(V11,J11,P11)=0,1,0)</formula>
    </cfRule>
    <cfRule type="cellIs" priority="8" operator="greaterThan" aboveAverage="0" equalAverage="0" bottom="0" percent="0" rank="0" text="" dxfId="2">
      <formula>SUM(V11,J11,P11)</formula>
    </cfRule>
    <cfRule type="cellIs" priority="9" operator="greaterThan" aboveAverage="0" equalAverage="0" bottom="0" percent="0" rank="0" text="" dxfId="3">
      <formula>SUM(IF(ISNUMBER(X11),W11,0),IF(ISNUMBER(L11),K11,0),IF(ISNUMBER(R11),Q11,0))</formula>
    </cfRule>
  </conditionalFormatting>
  <conditionalFormatting sqref="G12">
    <cfRule type="expression" priority="10" aboveAverage="0" equalAverage="0" bottom="0" percent="0" rank="0" text="" dxfId="0">
      <formula>AND(ISBLANK(F12),ISBLANK(Z12),ISBLANK(N12),ISBLANK(T12))</formula>
    </cfRule>
    <cfRule type="expression" priority="11" aboveAverage="0" equalAverage="0" bottom="0" percent="0" rank="0" text="" dxfId="1">
      <formula>IF(SUM(V12,J12,P12)=0,1,0)</formula>
    </cfRule>
    <cfRule type="cellIs" priority="12" operator="greaterThan" aboveAverage="0" equalAverage="0" bottom="0" percent="0" rank="0" text="" dxfId="2">
      <formula>SUM(V12,J12,P12)</formula>
    </cfRule>
    <cfRule type="cellIs" priority="13" operator="greaterThan" aboveAverage="0" equalAverage="0" bottom="0" percent="0" rank="0" text="" dxfId="3">
      <formula>SUM(IF(ISNUMBER(X12),W12,0),IF(ISNUMBER(L12),K12,0),IF(ISNUMBER(R12),Q12,0))</formula>
    </cfRule>
  </conditionalFormatting>
  <conditionalFormatting sqref="G13">
    <cfRule type="expression" priority="14" aboveAverage="0" equalAverage="0" bottom="0" percent="0" rank="0" text="" dxfId="0">
      <formula>AND(ISBLANK(F13),ISBLANK(Z13),ISBLANK(N13),ISBLANK(T13))</formula>
    </cfRule>
    <cfRule type="expression" priority="15" aboveAverage="0" equalAverage="0" bottom="0" percent="0" rank="0" text="" dxfId="1">
      <formula>IF(SUM(V13,J13,P13)=0,1,0)</formula>
    </cfRule>
    <cfRule type="cellIs" priority="16" operator="greaterThan" aboveAverage="0" equalAverage="0" bottom="0" percent="0" rank="0" text="" dxfId="2">
      <formula>SUM(V13,J13,P13)</formula>
    </cfRule>
    <cfRule type="cellIs" priority="17" operator="greaterThan" aboveAverage="0" equalAverage="0" bottom="0" percent="0" rank="0" text="" dxfId="3">
      <formula>SUM(IF(ISNUMBER(X13),W13,0),IF(ISNUMBER(L13),K13,0),IF(ISNUMBER(R13),Q13,0))</formula>
    </cfRule>
  </conditionalFormatting>
  <conditionalFormatting sqref="G14">
    <cfRule type="expression" priority="18" aboveAverage="0" equalAverage="0" bottom="0" percent="0" rank="0" text="" dxfId="0">
      <formula>AND(ISBLANK(F14),ISBLANK(Z14),ISBLANK(N14),ISBLANK(T14))</formula>
    </cfRule>
    <cfRule type="expression" priority="19" aboveAverage="0" equalAverage="0" bottom="0" percent="0" rank="0" text="" dxfId="1">
      <formula>IF(SUM(V14,J14,P14)=0,1,0)</formula>
    </cfRule>
    <cfRule type="cellIs" priority="20" operator="greaterThan" aboveAverage="0" equalAverage="0" bottom="0" percent="0" rank="0" text="" dxfId="2">
      <formula>SUM(V14,J14,P14)</formula>
    </cfRule>
    <cfRule type="cellIs" priority="21" operator="greaterThan" aboveAverage="0" equalAverage="0" bottom="0" percent="0" rank="0" text="" dxfId="3">
      <formula>SUM(IF(ISNUMBER(X14),W14,0),IF(ISNUMBER(L14),K14,0),IF(ISNUMBER(R14),Q14,0))</formula>
    </cfRule>
  </conditionalFormatting>
  <conditionalFormatting sqref="G15">
    <cfRule type="expression" priority="22" aboveAverage="0" equalAverage="0" bottom="0" percent="0" rank="0" text="" dxfId="0">
      <formula>AND(ISBLANK(F15),ISBLANK(Z15),ISBLANK(N15),ISBLANK(T15))</formula>
    </cfRule>
    <cfRule type="expression" priority="23" aboveAverage="0" equalAverage="0" bottom="0" percent="0" rank="0" text="" dxfId="1">
      <formula>IF(SUM(V15,J15,P15)=0,1,0)</formula>
    </cfRule>
    <cfRule type="cellIs" priority="24" operator="greaterThan" aboveAverage="0" equalAverage="0" bottom="0" percent="0" rank="0" text="" dxfId="2">
      <formula>SUM(V15,J15,P15)</formula>
    </cfRule>
    <cfRule type="cellIs" priority="25" operator="greaterThan" aboveAverage="0" equalAverage="0" bottom="0" percent="0" rank="0" text="" dxfId="3">
      <formula>SUM(IF(ISNUMBER(X15),W15,0),IF(ISNUMBER(L15),K15,0),IF(ISNUMBER(R15),Q15,0))</formula>
    </cfRule>
  </conditionalFormatting>
  <conditionalFormatting sqref="G16">
    <cfRule type="expression" priority="26" aboveAverage="0" equalAverage="0" bottom="0" percent="0" rank="0" text="" dxfId="0">
      <formula>AND(ISBLANK(F16),ISBLANK(Z16),ISBLANK(N16),ISBLANK(T16))</formula>
    </cfRule>
    <cfRule type="expression" priority="27" aboveAverage="0" equalAverage="0" bottom="0" percent="0" rank="0" text="" dxfId="1">
      <formula>IF(SUM(V16,J16,P16)=0,1,0)</formula>
    </cfRule>
    <cfRule type="cellIs" priority="28" operator="greaterThan" aboveAverage="0" equalAverage="0" bottom="0" percent="0" rank="0" text="" dxfId="2">
      <formula>SUM(V16,J16,P16)</formula>
    </cfRule>
    <cfRule type="cellIs" priority="29" operator="greaterThan" aboveAverage="0" equalAverage="0" bottom="0" percent="0" rank="0" text="" dxfId="3">
      <formula>SUM(IF(ISNUMBER(X16),W16,0),IF(ISNUMBER(L16),K16,0),IF(ISNUMBER(R16),Q16,0))</formula>
    </cfRule>
  </conditionalFormatting>
  <conditionalFormatting sqref="G17">
    <cfRule type="expression" priority="30" aboveAverage="0" equalAverage="0" bottom="0" percent="0" rank="0" text="" dxfId="0">
      <formula>AND(ISBLANK(F17),ISBLANK(Z17),ISBLANK(N17),ISBLANK(T17))</formula>
    </cfRule>
    <cfRule type="expression" priority="31" aboveAverage="0" equalAverage="0" bottom="0" percent="0" rank="0" text="" dxfId="1">
      <formula>IF(SUM(V17,J17,P17)=0,1,0)</formula>
    </cfRule>
    <cfRule type="cellIs" priority="32" operator="greaterThan" aboveAverage="0" equalAverage="0" bottom="0" percent="0" rank="0" text="" dxfId="2">
      <formula>SUM(V17,J17,P17)</formula>
    </cfRule>
    <cfRule type="cellIs" priority="33" operator="greaterThan" aboveAverage="0" equalAverage="0" bottom="0" percent="0" rank="0" text="" dxfId="3">
      <formula>SUM(IF(ISNUMBER(X17),W17,0),IF(ISNUMBER(L17),K17,0),IF(ISNUMBER(R17),Q17,0))</formula>
    </cfRule>
  </conditionalFormatting>
  <conditionalFormatting sqref="G18">
    <cfRule type="expression" priority="34" aboveAverage="0" equalAverage="0" bottom="0" percent="0" rank="0" text="" dxfId="0">
      <formula>AND(ISBLANK(F18),ISBLANK(Z18),ISBLANK(N18),ISBLANK(T18))</formula>
    </cfRule>
    <cfRule type="expression" priority="35" aboveAverage="0" equalAverage="0" bottom="0" percent="0" rank="0" text="" dxfId="1">
      <formula>IF(SUM(V18,J18,P18)=0,1,0)</formula>
    </cfRule>
    <cfRule type="cellIs" priority="36" operator="greaterThan" aboveAverage="0" equalAverage="0" bottom="0" percent="0" rank="0" text="" dxfId="2">
      <formula>SUM(V18,J18,P18)</formula>
    </cfRule>
    <cfRule type="cellIs" priority="37" operator="greaterThan" aboveAverage="0" equalAverage="0" bottom="0" percent="0" rank="0" text="" dxfId="3">
      <formula>SUM(IF(ISNUMBER(X18),W18,0),IF(ISNUMBER(L18),K18,0),IF(ISNUMBER(R18),Q18,0))</formula>
    </cfRule>
  </conditionalFormatting>
  <conditionalFormatting sqref="G19">
    <cfRule type="expression" priority="38" aboveAverage="0" equalAverage="0" bottom="0" percent="0" rank="0" text="" dxfId="0">
      <formula>AND(ISBLANK(F19),ISBLANK(Z19),ISBLANK(N19),ISBLANK(T19))</formula>
    </cfRule>
    <cfRule type="expression" priority="39" aboveAverage="0" equalAverage="0" bottom="0" percent="0" rank="0" text="" dxfId="1">
      <formula>IF(SUM(V19,J19,P19)=0,1,0)</formula>
    </cfRule>
    <cfRule type="cellIs" priority="40" operator="greaterThan" aboveAverage="0" equalAverage="0" bottom="0" percent="0" rank="0" text="" dxfId="2">
      <formula>SUM(V19,J19,P19)</formula>
    </cfRule>
    <cfRule type="cellIs" priority="41" operator="greaterThan" aboveAverage="0" equalAverage="0" bottom="0" percent="0" rank="0" text="" dxfId="3">
      <formula>SUM(IF(ISNUMBER(X19),W19,0),IF(ISNUMBER(L19),K19,0),IF(ISNUMBER(R19),Q19,0))</formula>
    </cfRule>
  </conditionalFormatting>
  <conditionalFormatting sqref="G20">
    <cfRule type="expression" priority="42" aboveAverage="0" equalAverage="0" bottom="0" percent="0" rank="0" text="" dxfId="0">
      <formula>AND(ISBLANK(F20),ISBLANK(Z20),ISBLANK(N20),ISBLANK(T20))</formula>
    </cfRule>
    <cfRule type="expression" priority="43" aboveAverage="0" equalAverage="0" bottom="0" percent="0" rank="0" text="" dxfId="1">
      <formula>IF(SUM(V20,J20,P20)=0,1,0)</formula>
    </cfRule>
    <cfRule type="cellIs" priority="44" operator="greaterThan" aboveAverage="0" equalAverage="0" bottom="0" percent="0" rank="0" text="" dxfId="2">
      <formula>SUM(V20,J20,P20)</formula>
    </cfRule>
    <cfRule type="cellIs" priority="45" operator="greaterThan" aboveAverage="0" equalAverage="0" bottom="0" percent="0" rank="0" text="" dxfId="3">
      <formula>SUM(IF(ISNUMBER(X20),W20,0),IF(ISNUMBER(L20),K20,0),IF(ISNUMBER(R20),Q20,0))</formula>
    </cfRule>
  </conditionalFormatting>
  <conditionalFormatting sqref="G21">
    <cfRule type="expression" priority="46" aboveAverage="0" equalAverage="0" bottom="0" percent="0" rank="0" text="" dxfId="0">
      <formula>AND(ISBLANK(F21),ISBLANK(Z21),ISBLANK(N21),ISBLANK(T21))</formula>
    </cfRule>
    <cfRule type="expression" priority="47" aboveAverage="0" equalAverage="0" bottom="0" percent="0" rank="0" text="" dxfId="1">
      <formula>IF(SUM(V21,J21,P21)=0,1,0)</formula>
    </cfRule>
    <cfRule type="cellIs" priority="48" operator="greaterThan" aboveAverage="0" equalAverage="0" bottom="0" percent="0" rank="0" text="" dxfId="2">
      <formula>SUM(V21,J21,P21)</formula>
    </cfRule>
    <cfRule type="cellIs" priority="49" operator="greaterThan" aboveAverage="0" equalAverage="0" bottom="0" percent="0" rank="0" text="" dxfId="3">
      <formula>SUM(IF(ISNUMBER(X21),W21,0),IF(ISNUMBER(L21),K21,0),IF(ISNUMBER(R21),Q21,0))</formula>
    </cfRule>
  </conditionalFormatting>
  <conditionalFormatting sqref="G22">
    <cfRule type="expression" priority="50" aboveAverage="0" equalAverage="0" bottom="0" percent="0" rank="0" text="" dxfId="0">
      <formula>AND(ISBLANK(F22),ISBLANK(Z22),ISBLANK(N22),ISBLANK(T22))</formula>
    </cfRule>
    <cfRule type="expression" priority="51" aboveAverage="0" equalAverage="0" bottom="0" percent="0" rank="0" text="" dxfId="1">
      <formula>IF(SUM(V22,J22,P22)=0,1,0)</formula>
    </cfRule>
    <cfRule type="cellIs" priority="52" operator="greaterThan" aboveAverage="0" equalAverage="0" bottom="0" percent="0" rank="0" text="" dxfId="2">
      <formula>SUM(V22,J22,P22)</formula>
    </cfRule>
    <cfRule type="cellIs" priority="53" operator="greaterThan" aboveAverage="0" equalAverage="0" bottom="0" percent="0" rank="0" text="" dxfId="3">
      <formula>SUM(IF(ISNUMBER(X22),W22,0),IF(ISNUMBER(L22),K22,0),IF(ISNUMBER(R22),Q22,0))</formula>
    </cfRule>
  </conditionalFormatting>
  <conditionalFormatting sqref="G23">
    <cfRule type="expression" priority="54" aboveAverage="0" equalAverage="0" bottom="0" percent="0" rank="0" text="" dxfId="0">
      <formula>AND(ISBLANK(F23),ISBLANK(Z23),ISBLANK(N23),ISBLANK(T23))</formula>
    </cfRule>
    <cfRule type="expression" priority="55" aboveAverage="0" equalAverage="0" bottom="0" percent="0" rank="0" text="" dxfId="1">
      <formula>IF(SUM(V23,J23,P23)=0,1,0)</formula>
    </cfRule>
    <cfRule type="cellIs" priority="56" operator="greaterThan" aboveAverage="0" equalAverage="0" bottom="0" percent="0" rank="0" text="" dxfId="2">
      <formula>SUM(V23,J23,P23)</formula>
    </cfRule>
    <cfRule type="cellIs" priority="57" operator="greaterThan" aboveAverage="0" equalAverage="0" bottom="0" percent="0" rank="0" text="" dxfId="3">
      <formula>SUM(IF(ISNUMBER(X23),W23,0),IF(ISNUMBER(L23),K23,0),IF(ISNUMBER(R23),Q23,0))</formula>
    </cfRule>
  </conditionalFormatting>
  <conditionalFormatting sqref="G24">
    <cfRule type="expression" priority="58" aboveAverage="0" equalAverage="0" bottom="0" percent="0" rank="0" text="" dxfId="0">
      <formula>AND(ISBLANK(F24),ISBLANK(Z24),ISBLANK(N24),ISBLANK(T24))</formula>
    </cfRule>
    <cfRule type="expression" priority="59" aboveAverage="0" equalAverage="0" bottom="0" percent="0" rank="0" text="" dxfId="1">
      <formula>IF(SUM(V24,J24,P24)=0,1,0)</formula>
    </cfRule>
    <cfRule type="cellIs" priority="60" operator="greaterThan" aboveAverage="0" equalAverage="0" bottom="0" percent="0" rank="0" text="" dxfId="2">
      <formula>SUM(V24,J24,P24)</formula>
    </cfRule>
    <cfRule type="cellIs" priority="61" operator="greaterThan" aboveAverage="0" equalAverage="0" bottom="0" percent="0" rank="0" text="" dxfId="3">
      <formula>SUM(IF(ISNUMBER(X24),W24,0),IF(ISNUMBER(L24),K24,0),IF(ISNUMBER(R24),Q24,0))</formula>
    </cfRule>
  </conditionalFormatting>
  <conditionalFormatting sqref="G25">
    <cfRule type="expression" priority="62" aboveAverage="0" equalAverage="0" bottom="0" percent="0" rank="0" text="" dxfId="0">
      <formula>AND(ISBLANK(F25),ISBLANK(Z25),ISBLANK(N25),ISBLANK(T25))</formula>
    </cfRule>
    <cfRule type="expression" priority="63" aboveAverage="0" equalAverage="0" bottom="0" percent="0" rank="0" text="" dxfId="1">
      <formula>IF(SUM(V25,J25,P25)=0,1,0)</formula>
    </cfRule>
    <cfRule type="cellIs" priority="64" operator="greaterThan" aboveAverage="0" equalAverage="0" bottom="0" percent="0" rank="0" text="" dxfId="2">
      <formula>SUM(V25,J25,P25)</formula>
    </cfRule>
    <cfRule type="cellIs" priority="65" operator="greaterThan" aboveAverage="0" equalAverage="0" bottom="0" percent="0" rank="0" text="" dxfId="3">
      <formula>SUM(IF(ISNUMBER(X25),W25,0),IF(ISNUMBER(L25),K25,0),IF(ISNUMBER(R25),Q25,0))</formula>
    </cfRule>
  </conditionalFormatting>
  <conditionalFormatting sqref="G26">
    <cfRule type="expression" priority="66" aboveAverage="0" equalAverage="0" bottom="0" percent="0" rank="0" text="" dxfId="0">
      <formula>AND(ISBLANK(F26),ISBLANK(Z26),ISBLANK(N26),ISBLANK(T26))</formula>
    </cfRule>
    <cfRule type="expression" priority="67" aboveAverage="0" equalAverage="0" bottom="0" percent="0" rank="0" text="" dxfId="1">
      <formula>IF(SUM(V26,J26,P26)=0,1,0)</formula>
    </cfRule>
    <cfRule type="cellIs" priority="68" operator="greaterThan" aboveAverage="0" equalAverage="0" bottom="0" percent="0" rank="0" text="" dxfId="2">
      <formula>SUM(V26,J26,P26)</formula>
    </cfRule>
    <cfRule type="cellIs" priority="69" operator="greaterThan" aboveAverage="0" equalAverage="0" bottom="0" percent="0" rank="0" text="" dxfId="3">
      <formula>SUM(IF(ISNUMBER(X26),W26,0),IF(ISNUMBER(L26),K26,0),IF(ISNUMBER(R26),Q26,0))</formula>
    </cfRule>
  </conditionalFormatting>
  <conditionalFormatting sqref="G27">
    <cfRule type="expression" priority="70" aboveAverage="0" equalAverage="0" bottom="0" percent="0" rank="0" text="" dxfId="0">
      <formula>AND(ISBLANK(F27),ISBLANK(Z27),ISBLANK(N27),ISBLANK(T27))</formula>
    </cfRule>
    <cfRule type="expression" priority="71" aboveAverage="0" equalAverage="0" bottom="0" percent="0" rank="0" text="" dxfId="1">
      <formula>IF(SUM(V27,J27,P27)=0,1,0)</formula>
    </cfRule>
    <cfRule type="cellIs" priority="72" operator="greaterThan" aboveAverage="0" equalAverage="0" bottom="0" percent="0" rank="0" text="" dxfId="2">
      <formula>SUM(V27,J27,P27)</formula>
    </cfRule>
    <cfRule type="cellIs" priority="73" operator="greaterThan" aboveAverage="0" equalAverage="0" bottom="0" percent="0" rank="0" text="" dxfId="3">
      <formula>SUM(IF(ISNUMBER(X27),W27,0),IF(ISNUMBER(L27),K27,0),IF(ISNUMBER(R27),Q27,0))</formula>
    </cfRule>
  </conditionalFormatting>
  <conditionalFormatting sqref="G28">
    <cfRule type="expression" priority="74" aboveAverage="0" equalAverage="0" bottom="0" percent="0" rank="0" text="" dxfId="0">
      <formula>AND(ISBLANK(F28),ISBLANK(Z28),ISBLANK(N28),ISBLANK(T28))</formula>
    </cfRule>
    <cfRule type="expression" priority="75" aboveAverage="0" equalAverage="0" bottom="0" percent="0" rank="0" text="" dxfId="1">
      <formula>IF(SUM(V28,J28,P28)=0,1,0)</formula>
    </cfRule>
    <cfRule type="cellIs" priority="76" operator="greaterThan" aboveAverage="0" equalAverage="0" bottom="0" percent="0" rank="0" text="" dxfId="2">
      <formula>SUM(V28,J28,P28)</formula>
    </cfRule>
    <cfRule type="cellIs" priority="77" operator="greaterThan" aboveAverage="0" equalAverage="0" bottom="0" percent="0" rank="0" text="" dxfId="3">
      <formula>SUM(IF(ISNUMBER(X28),W28,0),IF(ISNUMBER(L28),K28,0),IF(ISNUMBER(R28),Q28,0))</formula>
    </cfRule>
  </conditionalFormatting>
  <conditionalFormatting sqref="G29">
    <cfRule type="expression" priority="78" aboveAverage="0" equalAverage="0" bottom="0" percent="0" rank="0" text="" dxfId="0">
      <formula>AND(ISBLANK(F29),ISBLANK(Z29),ISBLANK(N29),ISBLANK(T29))</formula>
    </cfRule>
    <cfRule type="expression" priority="79" aboveAverage="0" equalAverage="0" bottom="0" percent="0" rank="0" text="" dxfId="1">
      <formula>IF(SUM(V29,J29,P29)=0,1,0)</formula>
    </cfRule>
    <cfRule type="cellIs" priority="80" operator="greaterThan" aboveAverage="0" equalAverage="0" bottom="0" percent="0" rank="0" text="" dxfId="2">
      <formula>SUM(V29,J29,P29)</formula>
    </cfRule>
    <cfRule type="cellIs" priority="81" operator="greaterThan" aboveAverage="0" equalAverage="0" bottom="0" percent="0" rank="0" text="" dxfId="3">
      <formula>SUM(IF(ISNUMBER(X29),W29,0),IF(ISNUMBER(L29),K29,0),IF(ISNUMBER(R29),Q29,0))</formula>
    </cfRule>
  </conditionalFormatting>
  <conditionalFormatting sqref="G30">
    <cfRule type="expression" priority="82" aboveAverage="0" equalAverage="0" bottom="0" percent="0" rank="0" text="" dxfId="0">
      <formula>AND(ISBLANK(F30),ISBLANK(Z30),ISBLANK(N30),ISBLANK(T30))</formula>
    </cfRule>
    <cfRule type="expression" priority="83" aboveAverage="0" equalAverage="0" bottom="0" percent="0" rank="0" text="" dxfId="1">
      <formula>IF(SUM(V30,J30,P30)=0,1,0)</formula>
    </cfRule>
    <cfRule type="cellIs" priority="84" operator="greaterThan" aboveAverage="0" equalAverage="0" bottom="0" percent="0" rank="0" text="" dxfId="2">
      <formula>SUM(V30,J30,P30)</formula>
    </cfRule>
    <cfRule type="cellIs" priority="85" operator="greaterThan" aboveAverage="0" equalAverage="0" bottom="0" percent="0" rank="0" text="" dxfId="3">
      <formula>SUM(IF(ISNUMBER(X30),W30,0),IF(ISNUMBER(L30),K30,0),IF(ISNUMBER(R30),Q30,0))</formula>
    </cfRule>
  </conditionalFormatting>
  <conditionalFormatting sqref="G31">
    <cfRule type="expression" priority="86" aboveAverage="0" equalAverage="0" bottom="0" percent="0" rank="0" text="" dxfId="0">
      <formula>AND(ISBLANK(F31),ISBLANK(Z31),ISBLANK(N31),ISBLANK(T31))</formula>
    </cfRule>
    <cfRule type="expression" priority="87" aboveAverage="0" equalAverage="0" bottom="0" percent="0" rank="0" text="" dxfId="1">
      <formula>IF(SUM(V31,J31,P31)=0,1,0)</formula>
    </cfRule>
    <cfRule type="cellIs" priority="88" operator="greaterThan" aboveAverage="0" equalAverage="0" bottom="0" percent="0" rank="0" text="" dxfId="2">
      <formula>SUM(V31,J31,P31)</formula>
    </cfRule>
    <cfRule type="cellIs" priority="89" operator="greaterThan" aboveAverage="0" equalAverage="0" bottom="0" percent="0" rank="0" text="" dxfId="3">
      <formula>SUM(IF(ISNUMBER(X31),W31,0),IF(ISNUMBER(L31),K31,0),IF(ISNUMBER(R31),Q31,0))</formula>
    </cfRule>
  </conditionalFormatting>
  <conditionalFormatting sqref="G32">
    <cfRule type="expression" priority="90" aboveAverage="0" equalAverage="0" bottom="0" percent="0" rank="0" text="" dxfId="0">
      <formula>AND(ISBLANK(F32),ISBLANK(Z32),ISBLANK(N32),ISBLANK(T32))</formula>
    </cfRule>
    <cfRule type="expression" priority="91" aboveAverage="0" equalAverage="0" bottom="0" percent="0" rank="0" text="" dxfId="1">
      <formula>IF(SUM(V32,J32,P32)=0,1,0)</formula>
    </cfRule>
    <cfRule type="cellIs" priority="92" operator="greaterThan" aboveAverage="0" equalAverage="0" bottom="0" percent="0" rank="0" text="" dxfId="2">
      <formula>SUM(V32,J32,P32)</formula>
    </cfRule>
    <cfRule type="cellIs" priority="93" operator="greaterThan" aboveAverage="0" equalAverage="0" bottom="0" percent="0" rank="0" text="" dxfId="3">
      <formula>SUM(IF(ISNUMBER(X32),W32,0),IF(ISNUMBER(L32),K32,0),IF(ISNUMBER(R32),Q32,0))</formula>
    </cfRule>
  </conditionalFormatting>
  <conditionalFormatting sqref="G33">
    <cfRule type="expression" priority="94" aboveAverage="0" equalAverage="0" bottom="0" percent="0" rank="0" text="" dxfId="0">
      <formula>AND(ISBLANK(F33),ISBLANK(Z33),ISBLANK(N33),ISBLANK(T33))</formula>
    </cfRule>
    <cfRule type="expression" priority="95" aboveAverage="0" equalAverage="0" bottom="0" percent="0" rank="0" text="" dxfId="1">
      <formula>IF(SUM(V33,J33,P33)=0,1,0)</formula>
    </cfRule>
    <cfRule type="cellIs" priority="96" operator="greaterThan" aboveAverage="0" equalAverage="0" bottom="0" percent="0" rank="0" text="" dxfId="2">
      <formula>SUM(V33,J33,P33)</formula>
    </cfRule>
    <cfRule type="cellIs" priority="97" operator="greaterThan" aboveAverage="0" equalAverage="0" bottom="0" percent="0" rank="0" text="" dxfId="3">
      <formula>SUM(IF(ISNUMBER(X33),W33,0),IF(ISNUMBER(L33),K33,0),IF(ISNUMBER(R33),Q33,0))</formula>
    </cfRule>
  </conditionalFormatting>
  <conditionalFormatting sqref="G34">
    <cfRule type="expression" priority="98" aboveAverage="0" equalAverage="0" bottom="0" percent="0" rank="0" text="" dxfId="0">
      <formula>AND(ISBLANK(F34),ISBLANK(Z34),ISBLANK(N34),ISBLANK(T34))</formula>
    </cfRule>
    <cfRule type="expression" priority="99" aboveAverage="0" equalAverage="0" bottom="0" percent="0" rank="0" text="" dxfId="1">
      <formula>IF(SUM(V34,J34,P34)=0,1,0)</formula>
    </cfRule>
    <cfRule type="cellIs" priority="100" operator="greaterThan" aboveAverage="0" equalAverage="0" bottom="0" percent="0" rank="0" text="" dxfId="2">
      <formula>SUM(V34,J34,P34)</formula>
    </cfRule>
    <cfRule type="cellIs" priority="101" operator="greaterThan" aboveAverage="0" equalAverage="0" bottom="0" percent="0" rank="0" text="" dxfId="3">
      <formula>SUM(IF(ISNUMBER(X34),W34,0),IF(ISNUMBER(L34),K34,0),IF(ISNUMBER(R34),Q34,0))</formula>
    </cfRule>
  </conditionalFormatting>
  <conditionalFormatting sqref="G35">
    <cfRule type="expression" priority="102" aboveAverage="0" equalAverage="0" bottom="0" percent="0" rank="0" text="" dxfId="0">
      <formula>AND(ISBLANK(F35),ISBLANK(Z35),ISBLANK(N35),ISBLANK(T35))</formula>
    </cfRule>
    <cfRule type="expression" priority="103" aboveAverage="0" equalAverage="0" bottom="0" percent="0" rank="0" text="" dxfId="1">
      <formula>IF(SUM(V35,J35,P35)=0,1,0)</formula>
    </cfRule>
    <cfRule type="cellIs" priority="104" operator="greaterThan" aboveAverage="0" equalAverage="0" bottom="0" percent="0" rank="0" text="" dxfId="2">
      <formula>SUM(V35,J35,P35)</formula>
    </cfRule>
    <cfRule type="cellIs" priority="105" operator="greaterThan" aboveAverage="0" equalAverage="0" bottom="0" percent="0" rank="0" text="" dxfId="3">
      <formula>SUM(IF(ISNUMBER(X35),W35,0),IF(ISNUMBER(L35),K35,0),IF(ISNUMBER(R35),Q35,0))</formula>
    </cfRule>
  </conditionalFormatting>
  <conditionalFormatting sqref="G7">
    <cfRule type="expression" priority="106" aboveAverage="0" equalAverage="0" bottom="0" percent="0" rank="0" text="" dxfId="0">
      <formula>AND(ISBLANK(F7),ISBLANK(Z7),ISBLANK(N7),ISBLANK(T7))</formula>
    </cfRule>
    <cfRule type="expression" priority="107" aboveAverage="0" equalAverage="0" bottom="0" percent="0" rank="0" text="" dxfId="1">
      <formula>IF(SUM(V7,J7,P7)=0,1,0)</formula>
    </cfRule>
    <cfRule type="cellIs" priority="108" operator="greaterThan" aboveAverage="0" equalAverage="0" bottom="0" percent="0" rank="0" text="" dxfId="2">
      <formula>SUM(V7,J7,P7)</formula>
    </cfRule>
    <cfRule type="cellIs" priority="109" operator="greaterThan" aboveAverage="0" equalAverage="0" bottom="0" percent="0" rank="0" text="" dxfId="3">
      <formula>SUM(IF(ISNUMBER(X7),W7,0),IF(ISNUMBER(L7),K7,0),IF(ISNUMBER(R7),Q7,0))</formula>
    </cfRule>
  </conditionalFormatting>
  <conditionalFormatting sqref="G8">
    <cfRule type="expression" priority="110" aboveAverage="0" equalAverage="0" bottom="0" percent="0" rank="0" text="" dxfId="0">
      <formula>AND(ISBLANK(F8),ISBLANK(Z8),ISBLANK(N8),ISBLANK(T8))</formula>
    </cfRule>
    <cfRule type="expression" priority="111" aboveAverage="0" equalAverage="0" bottom="0" percent="0" rank="0" text="" dxfId="1">
      <formula>IF(SUM(V8,J8,P8)=0,1,0)</formula>
    </cfRule>
    <cfRule type="cellIs" priority="112" operator="greaterThan" aboveAverage="0" equalAverage="0" bottom="0" percent="0" rank="0" text="" dxfId="2">
      <formula>SUM(V8,J8,P8)</formula>
    </cfRule>
    <cfRule type="cellIs" priority="113" operator="greaterThan" aboveAverage="0" equalAverage="0" bottom="0" percent="0" rank="0" text="" dxfId="3">
      <formula>SUM(IF(ISNUMBER(X8),W8,0),IF(ISNUMBER(L8),K8,0),IF(ISNUMBER(R8),Q8,0))</formula>
    </cfRule>
  </conditionalFormatting>
  <conditionalFormatting sqref="G9">
    <cfRule type="expression" priority="114" aboveAverage="0" equalAverage="0" bottom="0" percent="0" rank="0" text="" dxfId="0">
      <formula>AND(ISBLANK(F9),ISBLANK(Z9),ISBLANK(N9),ISBLANK(T9))</formula>
    </cfRule>
    <cfRule type="expression" priority="115" aboveAverage="0" equalAverage="0" bottom="0" percent="0" rank="0" text="" dxfId="1">
      <formula>IF(SUM(V9,J9,P9)=0,1,0)</formula>
    </cfRule>
    <cfRule type="cellIs" priority="116" operator="greaterThan" aboveAverage="0" equalAverage="0" bottom="0" percent="0" rank="0" text="" dxfId="2">
      <formula>SUM(V9,J9,P9)</formula>
    </cfRule>
    <cfRule type="cellIs" priority="117" operator="greaterThan" aboveAverage="0" equalAverage="0" bottom="0" percent="0" rank="0" text="" dxfId="3">
      <formula>SUM(IF(ISNUMBER(X9),W9,0),IF(ISNUMBER(L9),K9,0),IF(ISNUMBER(R9),Q9,0))</formula>
    </cfRule>
  </conditionalFormatting>
  <conditionalFormatting sqref="J10">
    <cfRule type="cellIs" priority="118" operator="lessThan" aboveAverage="0" equalAverage="0" bottom="0" percent="0" rank="0" text="" dxfId="2">
      <formula>G10</formula>
    </cfRule>
  </conditionalFormatting>
  <conditionalFormatting sqref="J11">
    <cfRule type="cellIs" priority="119" operator="lessThan" aboveAverage="0" equalAverage="0" bottom="0" percent="0" rank="0" text="" dxfId="2">
      <formula>G11</formula>
    </cfRule>
  </conditionalFormatting>
  <conditionalFormatting sqref="J13">
    <cfRule type="cellIs" priority="120" operator="lessThan" aboveAverage="0" equalAverage="0" bottom="0" percent="0" rank="0" text="" dxfId="2">
      <formula>G13</formula>
    </cfRule>
  </conditionalFormatting>
  <conditionalFormatting sqref="J14">
    <cfRule type="cellIs" priority="121" operator="lessThan" aboveAverage="0" equalAverage="0" bottom="0" percent="0" rank="0" text="" dxfId="2">
      <formula>G14</formula>
    </cfRule>
  </conditionalFormatting>
  <conditionalFormatting sqref="J15">
    <cfRule type="cellIs" priority="122" operator="lessThan" aboveAverage="0" equalAverage="0" bottom="0" percent="0" rank="0" text="" dxfId="2">
      <formula>G15</formula>
    </cfRule>
  </conditionalFormatting>
  <conditionalFormatting sqref="J16">
    <cfRule type="cellIs" priority="123" operator="lessThan" aboveAverage="0" equalAverage="0" bottom="0" percent="0" rank="0" text="" dxfId="2">
      <formula>G16</formula>
    </cfRule>
  </conditionalFormatting>
  <conditionalFormatting sqref="J17">
    <cfRule type="cellIs" priority="124" operator="lessThan" aboveAverage="0" equalAverage="0" bottom="0" percent="0" rank="0" text="" dxfId="2">
      <formula>G17</formula>
    </cfRule>
  </conditionalFormatting>
  <conditionalFormatting sqref="J18">
    <cfRule type="cellIs" priority="125" operator="lessThan" aboveAverage="0" equalAverage="0" bottom="0" percent="0" rank="0" text="" dxfId="2">
      <formula>G18</formula>
    </cfRule>
  </conditionalFormatting>
  <conditionalFormatting sqref="J19">
    <cfRule type="cellIs" priority="126" operator="lessThan" aboveAverage="0" equalAverage="0" bottom="0" percent="0" rank="0" text="" dxfId="2">
      <formula>G19</formula>
    </cfRule>
  </conditionalFormatting>
  <conditionalFormatting sqref="J20">
    <cfRule type="cellIs" priority="127" operator="lessThan" aboveAverage="0" equalAverage="0" bottom="0" percent="0" rank="0" text="" dxfId="2">
      <formula>G20</formula>
    </cfRule>
  </conditionalFormatting>
  <conditionalFormatting sqref="J21">
    <cfRule type="cellIs" priority="128" operator="lessThan" aboveAverage="0" equalAverage="0" bottom="0" percent="0" rank="0" text="" dxfId="2">
      <formula>G21</formula>
    </cfRule>
  </conditionalFormatting>
  <conditionalFormatting sqref="J22">
    <cfRule type="cellIs" priority="129" operator="lessThan" aboveAverage="0" equalAverage="0" bottom="0" percent="0" rank="0" text="" dxfId="2">
      <formula>G22</formula>
    </cfRule>
  </conditionalFormatting>
  <conditionalFormatting sqref="J23">
    <cfRule type="cellIs" priority="130" operator="lessThan" aboveAverage="0" equalAverage="0" bottom="0" percent="0" rank="0" text="" dxfId="2">
      <formula>G23</formula>
    </cfRule>
  </conditionalFormatting>
  <conditionalFormatting sqref="J24">
    <cfRule type="cellIs" priority="131" operator="lessThan" aboveAverage="0" equalAverage="0" bottom="0" percent="0" rank="0" text="" dxfId="2">
      <formula>G24</formula>
    </cfRule>
  </conditionalFormatting>
  <conditionalFormatting sqref="J25">
    <cfRule type="cellIs" priority="132" operator="lessThan" aboveAverage="0" equalAverage="0" bottom="0" percent="0" rank="0" text="" dxfId="2">
      <formula>G25</formula>
    </cfRule>
  </conditionalFormatting>
  <conditionalFormatting sqref="J26">
    <cfRule type="cellIs" priority="133" operator="lessThan" aboveAverage="0" equalAverage="0" bottom="0" percent="0" rank="0" text="" dxfId="2">
      <formula>G26</formula>
    </cfRule>
  </conditionalFormatting>
  <conditionalFormatting sqref="J27">
    <cfRule type="cellIs" priority="134" operator="lessThan" aboveAverage="0" equalAverage="0" bottom="0" percent="0" rank="0" text="" dxfId="2">
      <formula>G27</formula>
    </cfRule>
  </conditionalFormatting>
  <conditionalFormatting sqref="J28">
    <cfRule type="cellIs" priority="135" operator="lessThan" aboveAverage="0" equalAverage="0" bottom="0" percent="0" rank="0" text="" dxfId="2">
      <formula>G28</formula>
    </cfRule>
  </conditionalFormatting>
  <conditionalFormatting sqref="J30">
    <cfRule type="cellIs" priority="136" operator="lessThan" aboveAverage="0" equalAverage="0" bottom="0" percent="0" rank="0" text="" dxfId="2">
      <formula>G30</formula>
    </cfRule>
  </conditionalFormatting>
  <conditionalFormatting sqref="J31">
    <cfRule type="cellIs" priority="137" operator="lessThan" aboveAverage="0" equalAverage="0" bottom="0" percent="0" rank="0" text="" dxfId="2">
      <formula>G31</formula>
    </cfRule>
  </conditionalFormatting>
  <conditionalFormatting sqref="J33">
    <cfRule type="cellIs" priority="138" operator="lessThan" aboveAverage="0" equalAverage="0" bottom="0" percent="0" rank="0" text="" dxfId="2">
      <formula>G33</formula>
    </cfRule>
  </conditionalFormatting>
  <conditionalFormatting sqref="J34">
    <cfRule type="cellIs" priority="139" operator="lessThan" aboveAverage="0" equalAverage="0" bottom="0" percent="0" rank="0" text="" dxfId="2">
      <formula>G34</formula>
    </cfRule>
  </conditionalFormatting>
  <conditionalFormatting sqref="J35">
    <cfRule type="cellIs" priority="140" operator="lessThan" aboveAverage="0" equalAverage="0" bottom="0" percent="0" rank="0" text="" dxfId="2">
      <formula>G35</formula>
    </cfRule>
  </conditionalFormatting>
  <conditionalFormatting sqref="J7">
    <cfRule type="cellIs" priority="141" operator="lessThan" aboveAverage="0" equalAverage="0" bottom="0" percent="0" rank="0" text="" dxfId="2">
      <formula>G7</formula>
    </cfRule>
  </conditionalFormatting>
  <conditionalFormatting sqref="J8">
    <cfRule type="cellIs" priority="142" operator="lessThan" aboveAverage="0" equalAverage="0" bottom="0" percent="0" rank="0" text="" dxfId="2">
      <formula>G8</formula>
    </cfRule>
  </conditionalFormatting>
  <conditionalFormatting sqref="J9">
    <cfRule type="cellIs" priority="143" operator="lessThan" aboveAverage="0" equalAverage="0" bottom="0" percent="0" rank="0" text="" dxfId="2">
      <formula>G9</formula>
    </cfRule>
  </conditionalFormatting>
  <conditionalFormatting sqref="K7:K35">
    <cfRule type="expression" priority="144" aboveAverage="0" equalAverage="0" bottom="0" percent="0" rank="0" text="" dxfId="1">
      <formula>AND(NOT(ISBLANK(K7)),OR(J7="NonStk",K7&gt;J7))</formula>
    </cfRule>
  </conditionalFormatting>
  <conditionalFormatting sqref="L10">
    <cfRule type="cellIs" priority="145" operator="lessThanOrEqual" aboveAverage="0" equalAverage="0" bottom="0" percent="0" rank="0" text="" dxfId="4">
      <formula>H10</formula>
    </cfRule>
  </conditionalFormatting>
  <conditionalFormatting sqref="L11">
    <cfRule type="cellIs" priority="146" operator="lessThanOrEqual" aboveAverage="0" equalAverage="0" bottom="0" percent="0" rank="0" text="" dxfId="4">
      <formula>H11</formula>
    </cfRule>
  </conditionalFormatting>
  <conditionalFormatting sqref="L13">
    <cfRule type="cellIs" priority="147" operator="lessThanOrEqual" aboveAverage="0" equalAverage="0" bottom="0" percent="0" rank="0" text="" dxfId="4">
      <formula>H13</formula>
    </cfRule>
  </conditionalFormatting>
  <conditionalFormatting sqref="L14">
    <cfRule type="cellIs" priority="148" operator="lessThanOrEqual" aboveAverage="0" equalAverage="0" bottom="0" percent="0" rank="0" text="" dxfId="4">
      <formula>H14</formula>
    </cfRule>
  </conditionalFormatting>
  <conditionalFormatting sqref="L15">
    <cfRule type="cellIs" priority="149" operator="lessThanOrEqual" aboveAverage="0" equalAverage="0" bottom="0" percent="0" rank="0" text="" dxfId="4">
      <formula>H15</formula>
    </cfRule>
  </conditionalFormatting>
  <conditionalFormatting sqref="L16">
    <cfRule type="cellIs" priority="150" operator="lessThanOrEqual" aboveAverage="0" equalAverage="0" bottom="0" percent="0" rank="0" text="" dxfId="4">
      <formula>H16</formula>
    </cfRule>
  </conditionalFormatting>
  <conditionalFormatting sqref="L17">
    <cfRule type="cellIs" priority="151" operator="lessThanOrEqual" aboveAverage="0" equalAverage="0" bottom="0" percent="0" rank="0" text="" dxfId="4">
      <formula>H17</formula>
    </cfRule>
  </conditionalFormatting>
  <conditionalFormatting sqref="L18">
    <cfRule type="cellIs" priority="152" operator="lessThanOrEqual" aboveAverage="0" equalAverage="0" bottom="0" percent="0" rank="0" text="" dxfId="4">
      <formula>H18</formula>
    </cfRule>
  </conditionalFormatting>
  <conditionalFormatting sqref="L19">
    <cfRule type="cellIs" priority="153" operator="lessThanOrEqual" aboveAverage="0" equalAverage="0" bottom="0" percent="0" rank="0" text="" dxfId="4">
      <formula>H19</formula>
    </cfRule>
  </conditionalFormatting>
  <conditionalFormatting sqref="L20">
    <cfRule type="cellIs" priority="154" operator="lessThanOrEqual" aboveAverage="0" equalAverage="0" bottom="0" percent="0" rank="0" text="" dxfId="4">
      <formula>H20</formula>
    </cfRule>
  </conditionalFormatting>
  <conditionalFormatting sqref="L21">
    <cfRule type="cellIs" priority="155" operator="lessThanOrEqual" aboveAverage="0" equalAverage="0" bottom="0" percent="0" rank="0" text="" dxfId="4">
      <formula>H21</formula>
    </cfRule>
  </conditionalFormatting>
  <conditionalFormatting sqref="L22">
    <cfRule type="cellIs" priority="156" operator="lessThanOrEqual" aboveAverage="0" equalAverage="0" bottom="0" percent="0" rank="0" text="" dxfId="4">
      <formula>H22</formula>
    </cfRule>
  </conditionalFormatting>
  <conditionalFormatting sqref="L23">
    <cfRule type="cellIs" priority="157" operator="lessThanOrEqual" aboveAverage="0" equalAverage="0" bottom="0" percent="0" rank="0" text="" dxfId="4">
      <formula>H23</formula>
    </cfRule>
  </conditionalFormatting>
  <conditionalFormatting sqref="L24">
    <cfRule type="cellIs" priority="158" operator="lessThanOrEqual" aboveAverage="0" equalAverage="0" bottom="0" percent="0" rank="0" text="" dxfId="4">
      <formula>H24</formula>
    </cfRule>
  </conditionalFormatting>
  <conditionalFormatting sqref="L25">
    <cfRule type="cellIs" priority="159" operator="lessThanOrEqual" aboveAverage="0" equalAverage="0" bottom="0" percent="0" rank="0" text="" dxfId="4">
      <formula>H25</formula>
    </cfRule>
  </conditionalFormatting>
  <conditionalFormatting sqref="L26">
    <cfRule type="cellIs" priority="160" operator="lessThanOrEqual" aboveAverage="0" equalAverage="0" bottom="0" percent="0" rank="0" text="" dxfId="4">
      <formula>H26</formula>
    </cfRule>
  </conditionalFormatting>
  <conditionalFormatting sqref="L27">
    <cfRule type="cellIs" priority="161" operator="lessThanOrEqual" aboveAverage="0" equalAverage="0" bottom="0" percent="0" rank="0" text="" dxfId="4">
      <formula>H27</formula>
    </cfRule>
  </conditionalFormatting>
  <conditionalFormatting sqref="L28">
    <cfRule type="cellIs" priority="162" operator="lessThanOrEqual" aboveAverage="0" equalAverage="0" bottom="0" percent="0" rank="0" text="" dxfId="4">
      <formula>H28</formula>
    </cfRule>
  </conditionalFormatting>
  <conditionalFormatting sqref="L30">
    <cfRule type="cellIs" priority="163" operator="lessThanOrEqual" aboveAverage="0" equalAverage="0" bottom="0" percent="0" rank="0" text="" dxfId="4">
      <formula>H30</formula>
    </cfRule>
  </conditionalFormatting>
  <conditionalFormatting sqref="L31">
    <cfRule type="cellIs" priority="164" operator="lessThanOrEqual" aboveAverage="0" equalAverage="0" bottom="0" percent="0" rank="0" text="" dxfId="4">
      <formula>H31</formula>
    </cfRule>
  </conditionalFormatting>
  <conditionalFormatting sqref="L33">
    <cfRule type="cellIs" priority="165" operator="lessThanOrEqual" aboveAverage="0" equalAverage="0" bottom="0" percent="0" rank="0" text="" dxfId="4">
      <formula>H33</formula>
    </cfRule>
  </conditionalFormatting>
  <conditionalFormatting sqref="L34">
    <cfRule type="cellIs" priority="166" operator="lessThanOrEqual" aboveAverage="0" equalAverage="0" bottom="0" percent="0" rank="0" text="" dxfId="4">
      <formula>H34</formula>
    </cfRule>
  </conditionalFormatting>
  <conditionalFormatting sqref="L35">
    <cfRule type="cellIs" priority="167" operator="lessThanOrEqual" aboveAverage="0" equalAverage="0" bottom="0" percent="0" rank="0" text="" dxfId="4">
      <formula>H35</formula>
    </cfRule>
  </conditionalFormatting>
  <conditionalFormatting sqref="L7">
    <cfRule type="cellIs" priority="168" operator="lessThanOrEqual" aboveAverage="0" equalAverage="0" bottom="0" percent="0" rank="0" text="" dxfId="4">
      <formula>H7</formula>
    </cfRule>
  </conditionalFormatting>
  <conditionalFormatting sqref="L8">
    <cfRule type="cellIs" priority="169" operator="lessThanOrEqual" aboveAverage="0" equalAverage="0" bottom="0" percent="0" rank="0" text="" dxfId="4">
      <formula>H8</formula>
    </cfRule>
  </conditionalFormatting>
  <conditionalFormatting sqref="L9">
    <cfRule type="cellIs" priority="170" operator="lessThanOrEqual" aboveAverage="0" equalAverage="0" bottom="0" percent="0" rank="0" text="" dxfId="4">
      <formula>H9</formula>
    </cfRule>
  </conditionalFormatting>
  <conditionalFormatting sqref="N10">
    <cfRule type="cellIs" priority="171" operator="lessThanOrEqual" aboveAverage="0" equalAverage="0" bottom="0" percent="0" rank="0" text="" dxfId="4">
      <formula>I10</formula>
    </cfRule>
  </conditionalFormatting>
  <conditionalFormatting sqref="N11">
    <cfRule type="cellIs" priority="172" operator="lessThanOrEqual" aboveAverage="0" equalAverage="0" bottom="0" percent="0" rank="0" text="" dxfId="4">
      <formula>I11</formula>
    </cfRule>
  </conditionalFormatting>
  <conditionalFormatting sqref="N13">
    <cfRule type="cellIs" priority="173" operator="lessThanOrEqual" aboveAverage="0" equalAverage="0" bottom="0" percent="0" rank="0" text="" dxfId="4">
      <formula>I13</formula>
    </cfRule>
  </conditionalFormatting>
  <conditionalFormatting sqref="N14">
    <cfRule type="cellIs" priority="174" operator="lessThanOrEqual" aboveAverage="0" equalAverage="0" bottom="0" percent="0" rank="0" text="" dxfId="4">
      <formula>I14</formula>
    </cfRule>
  </conditionalFormatting>
  <conditionalFormatting sqref="N15">
    <cfRule type="cellIs" priority="175" operator="lessThanOrEqual" aboveAverage="0" equalAverage="0" bottom="0" percent="0" rank="0" text="" dxfId="4">
      <formula>I15</formula>
    </cfRule>
  </conditionalFormatting>
  <conditionalFormatting sqref="N16">
    <cfRule type="cellIs" priority="176" operator="lessThanOrEqual" aboveAverage="0" equalAverage="0" bottom="0" percent="0" rank="0" text="" dxfId="4">
      <formula>I16</formula>
    </cfRule>
  </conditionalFormatting>
  <conditionalFormatting sqref="N17">
    <cfRule type="cellIs" priority="177" operator="lessThanOrEqual" aboveAverage="0" equalAverage="0" bottom="0" percent="0" rank="0" text="" dxfId="4">
      <formula>I17</formula>
    </cfRule>
  </conditionalFormatting>
  <conditionalFormatting sqref="N18">
    <cfRule type="cellIs" priority="178" operator="lessThanOrEqual" aboveAverage="0" equalAverage="0" bottom="0" percent="0" rank="0" text="" dxfId="4">
      <formula>I18</formula>
    </cfRule>
  </conditionalFormatting>
  <conditionalFormatting sqref="N19">
    <cfRule type="cellIs" priority="179" operator="lessThanOrEqual" aboveAverage="0" equalAverage="0" bottom="0" percent="0" rank="0" text="" dxfId="4">
      <formula>I19</formula>
    </cfRule>
  </conditionalFormatting>
  <conditionalFormatting sqref="N20">
    <cfRule type="cellIs" priority="180" operator="lessThanOrEqual" aboveAverage="0" equalAverage="0" bottom="0" percent="0" rank="0" text="" dxfId="4">
      <formula>I20</formula>
    </cfRule>
  </conditionalFormatting>
  <conditionalFormatting sqref="N21">
    <cfRule type="cellIs" priority="181" operator="lessThanOrEqual" aboveAverage="0" equalAverage="0" bottom="0" percent="0" rank="0" text="" dxfId="4">
      <formula>I21</formula>
    </cfRule>
  </conditionalFormatting>
  <conditionalFormatting sqref="N22">
    <cfRule type="cellIs" priority="182" operator="lessThanOrEqual" aboveAverage="0" equalAverage="0" bottom="0" percent="0" rank="0" text="" dxfId="4">
      <formula>I22</formula>
    </cfRule>
  </conditionalFormatting>
  <conditionalFormatting sqref="N23">
    <cfRule type="cellIs" priority="183" operator="lessThanOrEqual" aboveAverage="0" equalAverage="0" bottom="0" percent="0" rank="0" text="" dxfId="4">
      <formula>I23</formula>
    </cfRule>
  </conditionalFormatting>
  <conditionalFormatting sqref="N24">
    <cfRule type="cellIs" priority="184" operator="lessThanOrEqual" aboveAverage="0" equalAverage="0" bottom="0" percent="0" rank="0" text="" dxfId="4">
      <formula>I24</formula>
    </cfRule>
  </conditionalFormatting>
  <conditionalFormatting sqref="N25">
    <cfRule type="cellIs" priority="185" operator="lessThanOrEqual" aboveAverage="0" equalAverage="0" bottom="0" percent="0" rank="0" text="" dxfId="4">
      <formula>I25</formula>
    </cfRule>
  </conditionalFormatting>
  <conditionalFormatting sqref="N26">
    <cfRule type="cellIs" priority="186" operator="lessThanOrEqual" aboveAverage="0" equalAverage="0" bottom="0" percent="0" rank="0" text="" dxfId="4">
      <formula>I26</formula>
    </cfRule>
  </conditionalFormatting>
  <conditionalFormatting sqref="N27">
    <cfRule type="cellIs" priority="187" operator="lessThanOrEqual" aboveAverage="0" equalAverage="0" bottom="0" percent="0" rank="0" text="" dxfId="4">
      <formula>I27</formula>
    </cfRule>
  </conditionalFormatting>
  <conditionalFormatting sqref="N28">
    <cfRule type="cellIs" priority="188" operator="lessThanOrEqual" aboveAverage="0" equalAverage="0" bottom="0" percent="0" rank="0" text="" dxfId="4">
      <formula>I28</formula>
    </cfRule>
  </conditionalFormatting>
  <conditionalFormatting sqref="N30">
    <cfRule type="cellIs" priority="189" operator="lessThanOrEqual" aboveAverage="0" equalAverage="0" bottom="0" percent="0" rank="0" text="" dxfId="4">
      <formula>I30</formula>
    </cfRule>
  </conditionalFormatting>
  <conditionalFormatting sqref="N31">
    <cfRule type="cellIs" priority="190" operator="lessThanOrEqual" aboveAverage="0" equalAverage="0" bottom="0" percent="0" rank="0" text="" dxfId="4">
      <formula>I31</formula>
    </cfRule>
  </conditionalFormatting>
  <conditionalFormatting sqref="N33">
    <cfRule type="cellIs" priority="191" operator="lessThanOrEqual" aboveAverage="0" equalAverage="0" bottom="0" percent="0" rank="0" text="" dxfId="4">
      <formula>I33</formula>
    </cfRule>
  </conditionalFormatting>
  <conditionalFormatting sqref="N34">
    <cfRule type="cellIs" priority="192" operator="lessThanOrEqual" aboveAverage="0" equalAverage="0" bottom="0" percent="0" rank="0" text="" dxfId="4">
      <formula>I34</formula>
    </cfRule>
  </conditionalFormatting>
  <conditionalFormatting sqref="N35">
    <cfRule type="cellIs" priority="193" operator="lessThanOrEqual" aboveAverage="0" equalAverage="0" bottom="0" percent="0" rank="0" text="" dxfId="4">
      <formula>I35</formula>
    </cfRule>
  </conditionalFormatting>
  <conditionalFormatting sqref="N7">
    <cfRule type="cellIs" priority="194" operator="lessThanOrEqual" aboveAverage="0" equalAverage="0" bottom="0" percent="0" rank="0" text="" dxfId="4">
      <formula>I7</formula>
    </cfRule>
  </conditionalFormatting>
  <conditionalFormatting sqref="N8">
    <cfRule type="cellIs" priority="195" operator="lessThanOrEqual" aboveAverage="0" equalAverage="0" bottom="0" percent="0" rank="0" text="" dxfId="4">
      <formula>I8</formula>
    </cfRule>
  </conditionalFormatting>
  <conditionalFormatting sqref="N9">
    <cfRule type="cellIs" priority="196" operator="lessThanOrEqual" aboveAverage="0" equalAverage="0" bottom="0" percent="0" rank="0" text="" dxfId="4">
      <formula>I9</formula>
    </cfRule>
  </conditionalFormatting>
  <conditionalFormatting sqref="P10">
    <cfRule type="cellIs" priority="197" operator="lessThan" aboveAverage="0" equalAverage="0" bottom="0" percent="0" rank="0" text="" dxfId="2">
      <formula>G10</formula>
    </cfRule>
  </conditionalFormatting>
  <conditionalFormatting sqref="P11">
    <cfRule type="cellIs" priority="198" operator="lessThan" aboveAverage="0" equalAverage="0" bottom="0" percent="0" rank="0" text="" dxfId="2">
      <formula>G11</formula>
    </cfRule>
  </conditionalFormatting>
  <conditionalFormatting sqref="P18">
    <cfRule type="cellIs" priority="199" operator="lessThan" aboveAverage="0" equalAverage="0" bottom="0" percent="0" rank="0" text="" dxfId="2">
      <formula>G18</formula>
    </cfRule>
  </conditionalFormatting>
  <conditionalFormatting sqref="P20">
    <cfRule type="cellIs" priority="200" operator="lessThan" aboveAverage="0" equalAverage="0" bottom="0" percent="0" rank="0" text="" dxfId="2">
      <formula>G20</formula>
    </cfRule>
  </conditionalFormatting>
  <conditionalFormatting sqref="P23">
    <cfRule type="cellIs" priority="201" operator="lessThan" aboveAverage="0" equalAverage="0" bottom="0" percent="0" rank="0" text="" dxfId="2">
      <formula>G23</formula>
    </cfRule>
  </conditionalFormatting>
  <conditionalFormatting sqref="P24">
    <cfRule type="cellIs" priority="202" operator="lessThan" aboveAverage="0" equalAverage="0" bottom="0" percent="0" rank="0" text="" dxfId="2">
      <formula>G24</formula>
    </cfRule>
  </conditionalFormatting>
  <conditionalFormatting sqref="P25">
    <cfRule type="cellIs" priority="203" operator="lessThan" aboveAverage="0" equalAverage="0" bottom="0" percent="0" rank="0" text="" dxfId="2">
      <formula>G25</formula>
    </cfRule>
  </conditionalFormatting>
  <conditionalFormatting sqref="P26">
    <cfRule type="cellIs" priority="204" operator="lessThan" aboveAverage="0" equalAverage="0" bottom="0" percent="0" rank="0" text="" dxfId="2">
      <formula>G26</formula>
    </cfRule>
  </conditionalFormatting>
  <conditionalFormatting sqref="P27">
    <cfRule type="cellIs" priority="205" operator="lessThan" aboveAverage="0" equalAverage="0" bottom="0" percent="0" rank="0" text="" dxfId="2">
      <formula>G27</formula>
    </cfRule>
  </conditionalFormatting>
  <conditionalFormatting sqref="P29">
    <cfRule type="cellIs" priority="206" operator="lessThan" aboveAverage="0" equalAverage="0" bottom="0" percent="0" rank="0" text="" dxfId="2">
      <formula>G29</formula>
    </cfRule>
  </conditionalFormatting>
  <conditionalFormatting sqref="P30">
    <cfRule type="cellIs" priority="207" operator="lessThan" aboveAverage="0" equalAverage="0" bottom="0" percent="0" rank="0" text="" dxfId="2">
      <formula>G30</formula>
    </cfRule>
  </conditionalFormatting>
  <conditionalFormatting sqref="P31">
    <cfRule type="cellIs" priority="208" operator="lessThan" aboveAverage="0" equalAverage="0" bottom="0" percent="0" rank="0" text="" dxfId="2">
      <formula>G31</formula>
    </cfRule>
  </conditionalFormatting>
  <conditionalFormatting sqref="P32">
    <cfRule type="cellIs" priority="209" operator="lessThan" aboveAverage="0" equalAverage="0" bottom="0" percent="0" rank="0" text="" dxfId="2">
      <formula>G32</formula>
    </cfRule>
  </conditionalFormatting>
  <conditionalFormatting sqref="P33">
    <cfRule type="cellIs" priority="210" operator="lessThan" aboveAverage="0" equalAverage="0" bottom="0" percent="0" rank="0" text="" dxfId="2">
      <formula>G33</formula>
    </cfRule>
  </conditionalFormatting>
  <conditionalFormatting sqref="P34">
    <cfRule type="cellIs" priority="211" operator="lessThan" aboveAverage="0" equalAverage="0" bottom="0" percent="0" rank="0" text="" dxfId="2">
      <formula>G34</formula>
    </cfRule>
  </conditionalFormatting>
  <conditionalFormatting sqref="P7">
    <cfRule type="cellIs" priority="212" operator="lessThan" aboveAverage="0" equalAverage="0" bottom="0" percent="0" rank="0" text="" dxfId="2">
      <formula>G7</formula>
    </cfRule>
  </conditionalFormatting>
  <conditionalFormatting sqref="P8">
    <cfRule type="cellIs" priority="213" operator="lessThan" aboveAverage="0" equalAverage="0" bottom="0" percent="0" rank="0" text="" dxfId="2">
      <formula>G8</formula>
    </cfRule>
  </conditionalFormatting>
  <conditionalFormatting sqref="P9">
    <cfRule type="cellIs" priority="214" operator="lessThan" aboveAverage="0" equalAverage="0" bottom="0" percent="0" rank="0" text="" dxfId="2">
      <formula>G9</formula>
    </cfRule>
  </conditionalFormatting>
  <conditionalFormatting sqref="Q10">
    <cfRule type="expression" priority="215" aboveAverage="0" equalAverage="0" bottom="0" percent="0" rank="0" text="" dxfId="1">
      <formula>AND(NOT(ISBLANK(Q10)),OR(P10="NonStk",Q10&gt;P10))</formula>
    </cfRule>
  </conditionalFormatting>
  <conditionalFormatting sqref="Q11">
    <cfRule type="expression" priority="216" aboveAverage="0" equalAverage="0" bottom="0" percent="0" rank="0" text="" dxfId="1">
      <formula>AND(NOT(ISBLANK(Q11)),OR(P11="NonStk",Q11&gt;P11))</formula>
    </cfRule>
  </conditionalFormatting>
  <conditionalFormatting sqref="Q18">
    <cfRule type="expression" priority="217" aboveAverage="0" equalAverage="0" bottom="0" percent="0" rank="0" text="" dxfId="1">
      <formula>AND(NOT(ISBLANK(Q18)),OR(P18="NonStk",Q18&gt;P18))</formula>
    </cfRule>
  </conditionalFormatting>
  <conditionalFormatting sqref="Q20">
    <cfRule type="expression" priority="218" aboveAverage="0" equalAverage="0" bottom="0" percent="0" rank="0" text="" dxfId="3">
      <formula>AND(Q20&gt;0,MOD(Q20,S20)&lt;&gt;0)</formula>
    </cfRule>
    <cfRule type="expression" priority="219" aboveAverage="0" equalAverage="0" bottom="0" percent="0" rank="0" text="" dxfId="1">
      <formula>AND(NOT(ISBLANK(Q20)),OR(P20="NonStk",Q20&gt;P20))</formula>
    </cfRule>
  </conditionalFormatting>
  <conditionalFormatting sqref="Q23">
    <cfRule type="expression" priority="220" aboveAverage="0" equalAverage="0" bottom="0" percent="0" rank="0" text="" dxfId="1">
      <formula>AND(NOT(ISBLANK(Q23)),OR(P23="NonStk",Q23&gt;P23))</formula>
    </cfRule>
  </conditionalFormatting>
  <conditionalFormatting sqref="Q24">
    <cfRule type="expression" priority="221" aboveAverage="0" equalAverage="0" bottom="0" percent="0" rank="0" text="" dxfId="1">
      <formula>AND(NOT(ISBLANK(Q24)),OR(P24="NonStk",Q24&gt;P24))</formula>
    </cfRule>
  </conditionalFormatting>
  <conditionalFormatting sqref="Q25">
    <cfRule type="expression" priority="222" aboveAverage="0" equalAverage="0" bottom="0" percent="0" rank="0" text="" dxfId="1">
      <formula>AND(NOT(ISBLANK(Q25)),OR(P25="NonStk",Q25&gt;P25))</formula>
    </cfRule>
  </conditionalFormatting>
  <conditionalFormatting sqref="Q26">
    <cfRule type="expression" priority="223" aboveAverage="0" equalAverage="0" bottom="0" percent="0" rank="0" text="" dxfId="1">
      <formula>AND(NOT(ISBLANK(Q26)),OR(P26="NonStk",Q26&gt;P26))</formula>
    </cfRule>
  </conditionalFormatting>
  <conditionalFormatting sqref="Q27">
    <cfRule type="expression" priority="224" aboveAverage="0" equalAverage="0" bottom="0" percent="0" rank="0" text="" dxfId="1">
      <formula>AND(NOT(ISBLANK(Q27)),OR(P27="NonStk",Q27&gt;P27))</formula>
    </cfRule>
  </conditionalFormatting>
  <conditionalFormatting sqref="Q29">
    <cfRule type="expression" priority="225" aboveAverage="0" equalAverage="0" bottom="0" percent="0" rank="0" text="" dxfId="3">
      <formula>AND(Q29&gt;0,MOD(Q29,S29)&lt;&gt;0)</formula>
    </cfRule>
    <cfRule type="expression" priority="226" aboveAverage="0" equalAverage="0" bottom="0" percent="0" rank="0" text="" dxfId="1">
      <formula>AND(NOT(ISBLANK(Q29)),OR(P29="NonStk",Q29&gt;P29))</formula>
    </cfRule>
  </conditionalFormatting>
  <conditionalFormatting sqref="Q30">
    <cfRule type="expression" priority="227" aboveAverage="0" equalAverage="0" bottom="0" percent="0" rank="0" text="" dxfId="1">
      <formula>AND(NOT(ISBLANK(Q30)),OR(P30="NonStk",Q30&gt;P30))</formula>
    </cfRule>
  </conditionalFormatting>
  <conditionalFormatting sqref="Q31">
    <cfRule type="expression" priority="228" aboveAverage="0" equalAverage="0" bottom="0" percent="0" rank="0" text="" dxfId="1">
      <formula>AND(NOT(ISBLANK(Q31)),OR(P31="NonStk",Q31&gt;P31))</formula>
    </cfRule>
  </conditionalFormatting>
  <conditionalFormatting sqref="Q32">
    <cfRule type="expression" priority="229" aboveAverage="0" equalAverage="0" bottom="0" percent="0" rank="0" text="" dxfId="1">
      <formula>AND(NOT(ISBLANK(Q32)),OR(P32="NonStk",Q32&gt;P32))</formula>
    </cfRule>
  </conditionalFormatting>
  <conditionalFormatting sqref="Q33">
    <cfRule type="expression" priority="230" aboveAverage="0" equalAverage="0" bottom="0" percent="0" rank="0" text="" dxfId="1">
      <formula>AND(NOT(ISBLANK(Q33)),OR(P33="NonStk",Q33&gt;P33))</formula>
    </cfRule>
  </conditionalFormatting>
  <conditionalFormatting sqref="Q34">
    <cfRule type="expression" priority="231" aboveAverage="0" equalAverage="0" bottom="0" percent="0" rank="0" text="" dxfId="1">
      <formula>AND(NOT(ISBLANK(Q34)),OR(P34="NonStk",Q34&gt;P34))</formula>
    </cfRule>
  </conditionalFormatting>
  <conditionalFormatting sqref="Q7">
    <cfRule type="expression" priority="232" aboveAverage="0" equalAverage="0" bottom="0" percent="0" rank="0" text="" dxfId="1">
      <formula>AND(NOT(ISBLANK(Q7)),OR(P7="NonStk",Q7&gt;P7))</formula>
    </cfRule>
  </conditionalFormatting>
  <conditionalFormatting sqref="Q8">
    <cfRule type="expression" priority="233" aboveAverage="0" equalAverage="0" bottom="0" percent="0" rank="0" text="" dxfId="1">
      <formula>AND(NOT(ISBLANK(Q8)),OR(P8="NonStk",Q8&gt;P8))</formula>
    </cfRule>
  </conditionalFormatting>
  <conditionalFormatting sqref="Q9">
    <cfRule type="expression" priority="234" aboveAverage="0" equalAverage="0" bottom="0" percent="0" rank="0" text="" dxfId="1">
      <formula>AND(NOT(ISBLANK(Q9)),OR(P9="NonStk",Q9&gt;P9))</formula>
    </cfRule>
  </conditionalFormatting>
  <conditionalFormatting sqref="R10">
    <cfRule type="cellIs" priority="235" operator="lessThanOrEqual" aboveAverage="0" equalAverage="0" bottom="0" percent="0" rank="0" text="" dxfId="4">
      <formula>H10</formula>
    </cfRule>
  </conditionalFormatting>
  <conditionalFormatting sqref="R11">
    <cfRule type="cellIs" priority="236" operator="lessThanOrEqual" aboveAverage="0" equalAverage="0" bottom="0" percent="0" rank="0" text="" dxfId="4">
      <formula>H11</formula>
    </cfRule>
  </conditionalFormatting>
  <conditionalFormatting sqref="R18">
    <cfRule type="cellIs" priority="237" operator="lessThanOrEqual" aboveAverage="0" equalAverage="0" bottom="0" percent="0" rank="0" text="" dxfId="4">
      <formula>H18</formula>
    </cfRule>
  </conditionalFormatting>
  <conditionalFormatting sqref="R20">
    <cfRule type="cellIs" priority="238" operator="lessThanOrEqual" aboveAverage="0" equalAverage="0" bottom="0" percent="0" rank="0" text="" dxfId="4">
      <formula>H20</formula>
    </cfRule>
    <cfRule type="expression" priority="239" aboveAverage="0" equalAverage="0" bottom="0" percent="0" rank="0" text="" dxfId="3">
      <formula>AND(G20&lt;26000,Q20&lt;26000)</formula>
    </cfRule>
  </conditionalFormatting>
  <conditionalFormatting sqref="R23">
    <cfRule type="cellIs" priority="240" operator="lessThanOrEqual" aboveAverage="0" equalAverage="0" bottom="0" percent="0" rank="0" text="" dxfId="4">
      <formula>H23</formula>
    </cfRule>
  </conditionalFormatting>
  <conditionalFormatting sqref="R24">
    <cfRule type="cellIs" priority="241" operator="lessThanOrEqual" aboveAverage="0" equalAverage="0" bottom="0" percent="0" rank="0" text="" dxfId="4">
      <formula>H24</formula>
    </cfRule>
  </conditionalFormatting>
  <conditionalFormatting sqref="R25">
    <cfRule type="cellIs" priority="242" operator="lessThanOrEqual" aboveAverage="0" equalAverage="0" bottom="0" percent="0" rank="0" text="" dxfId="4">
      <formula>H25</formula>
    </cfRule>
  </conditionalFormatting>
  <conditionalFormatting sqref="R26">
    <cfRule type="cellIs" priority="243" operator="lessThanOrEqual" aboveAverage="0" equalAverage="0" bottom="0" percent="0" rank="0" text="" dxfId="4">
      <formula>H26</formula>
    </cfRule>
  </conditionalFormatting>
  <conditionalFormatting sqref="R27">
    <cfRule type="cellIs" priority="244" operator="lessThanOrEqual" aboveAverage="0" equalAverage="0" bottom="0" percent="0" rank="0" text="" dxfId="4">
      <formula>H27</formula>
    </cfRule>
  </conditionalFormatting>
  <conditionalFormatting sqref="R29">
    <cfRule type="cellIs" priority="245" operator="lessThanOrEqual" aboveAverage="0" equalAverage="0" bottom="0" percent="0" rank="0" text="" dxfId="4">
      <formula>H29</formula>
    </cfRule>
    <cfRule type="expression" priority="246" aboveAverage="0" equalAverage="0" bottom="0" percent="0" rank="0" text="" dxfId="3">
      <formula>AND(G29&lt;168,Q29&lt;168)</formula>
    </cfRule>
  </conditionalFormatting>
  <conditionalFormatting sqref="R30">
    <cfRule type="cellIs" priority="247" operator="lessThanOrEqual" aboveAverage="0" equalAverage="0" bottom="0" percent="0" rank="0" text="" dxfId="4">
      <formula>H30</formula>
    </cfRule>
  </conditionalFormatting>
  <conditionalFormatting sqref="R31">
    <cfRule type="cellIs" priority="248" operator="lessThanOrEqual" aboveAverage="0" equalAverage="0" bottom="0" percent="0" rank="0" text="" dxfId="4">
      <formula>H31</formula>
    </cfRule>
  </conditionalFormatting>
  <conditionalFormatting sqref="R32">
    <cfRule type="cellIs" priority="249" operator="lessThanOrEqual" aboveAverage="0" equalAverage="0" bottom="0" percent="0" rank="0" text="" dxfId="4">
      <formula>H32</formula>
    </cfRule>
  </conditionalFormatting>
  <conditionalFormatting sqref="R33">
    <cfRule type="cellIs" priority="250" operator="lessThanOrEqual" aboveAverage="0" equalAverage="0" bottom="0" percent="0" rank="0" text="" dxfId="4">
      <formula>H33</formula>
    </cfRule>
  </conditionalFormatting>
  <conditionalFormatting sqref="R34">
    <cfRule type="cellIs" priority="251" operator="lessThanOrEqual" aboveAverage="0" equalAverage="0" bottom="0" percent="0" rank="0" text="" dxfId="4">
      <formula>H34</formula>
    </cfRule>
  </conditionalFormatting>
  <conditionalFormatting sqref="R7">
    <cfRule type="cellIs" priority="252" operator="lessThanOrEqual" aboveAverage="0" equalAverage="0" bottom="0" percent="0" rank="0" text="" dxfId="4">
      <formula>H7</formula>
    </cfRule>
  </conditionalFormatting>
  <conditionalFormatting sqref="R8">
    <cfRule type="cellIs" priority="253" operator="lessThanOrEqual" aboveAverage="0" equalAverage="0" bottom="0" percent="0" rank="0" text="" dxfId="4">
      <formula>H8</formula>
    </cfRule>
  </conditionalFormatting>
  <conditionalFormatting sqref="R9">
    <cfRule type="cellIs" priority="254" operator="lessThanOrEqual" aboveAverage="0" equalAverage="0" bottom="0" percent="0" rank="0" text="" dxfId="4">
      <formula>H9</formula>
    </cfRule>
  </conditionalFormatting>
  <conditionalFormatting sqref="S20">
    <cfRule type="expression" priority="255" aboveAverage="0" equalAverage="0" bottom="0" percent="0" rank="0" text="" dxfId="3">
      <formula>AND(G20&lt;26000,Q20&lt;26000)</formula>
    </cfRule>
  </conditionalFormatting>
  <conditionalFormatting sqref="S29">
    <cfRule type="expression" priority="256" aboveAverage="0" equalAverage="0" bottom="0" percent="0" rank="0" text="" dxfId="3">
      <formula>AND(G29&lt;168,Q29&lt;168)</formula>
    </cfRule>
  </conditionalFormatting>
  <conditionalFormatting sqref="T10">
    <cfRule type="cellIs" priority="257" operator="lessThanOrEqual" aboveAverage="0" equalAverage="0" bottom="0" percent="0" rank="0" text="" dxfId="4">
      <formula>I10</formula>
    </cfRule>
  </conditionalFormatting>
  <conditionalFormatting sqref="T11">
    <cfRule type="cellIs" priority="258" operator="lessThanOrEqual" aboveAverage="0" equalAverage="0" bottom="0" percent="0" rank="0" text="" dxfId="4">
      <formula>I11</formula>
    </cfRule>
  </conditionalFormatting>
  <conditionalFormatting sqref="T18">
    <cfRule type="cellIs" priority="259" operator="lessThanOrEqual" aboveAverage="0" equalAverage="0" bottom="0" percent="0" rank="0" text="" dxfId="4">
      <formula>I18</formula>
    </cfRule>
  </conditionalFormatting>
  <conditionalFormatting sqref="T20">
    <cfRule type="cellIs" priority="260" operator="lessThanOrEqual" aboveAverage="0" equalAverage="0" bottom="0" percent="0" rank="0" text="" dxfId="4">
      <formula>I20</formula>
    </cfRule>
    <cfRule type="expression" priority="261" aboveAverage="0" equalAverage="0" bottom="0" percent="0" rank="0" text="" dxfId="3">
      <formula>AND(G20&lt;26000,Q20&lt;26000)</formula>
    </cfRule>
  </conditionalFormatting>
  <conditionalFormatting sqref="T23">
    <cfRule type="cellIs" priority="262" operator="lessThanOrEqual" aboveAverage="0" equalAverage="0" bottom="0" percent="0" rank="0" text="" dxfId="4">
      <formula>I23</formula>
    </cfRule>
  </conditionalFormatting>
  <conditionalFormatting sqref="T24">
    <cfRule type="cellIs" priority="263" operator="lessThanOrEqual" aboveAverage="0" equalAverage="0" bottom="0" percent="0" rank="0" text="" dxfId="4">
      <formula>I24</formula>
    </cfRule>
  </conditionalFormatting>
  <conditionalFormatting sqref="T25">
    <cfRule type="cellIs" priority="264" operator="lessThanOrEqual" aboveAverage="0" equalAverage="0" bottom="0" percent="0" rank="0" text="" dxfId="4">
      <formula>I25</formula>
    </cfRule>
  </conditionalFormatting>
  <conditionalFormatting sqref="T26">
    <cfRule type="cellIs" priority="265" operator="lessThanOrEqual" aboveAverage="0" equalAverage="0" bottom="0" percent="0" rank="0" text="" dxfId="4">
      <formula>I26</formula>
    </cfRule>
  </conditionalFormatting>
  <conditionalFormatting sqref="T27">
    <cfRule type="cellIs" priority="266" operator="lessThanOrEqual" aboveAverage="0" equalAverage="0" bottom="0" percent="0" rank="0" text="" dxfId="4">
      <formula>I27</formula>
    </cfRule>
  </conditionalFormatting>
  <conditionalFormatting sqref="T29">
    <cfRule type="cellIs" priority="267" operator="lessThanOrEqual" aboveAverage="0" equalAverage="0" bottom="0" percent="0" rank="0" text="" dxfId="4">
      <formula>I29</formula>
    </cfRule>
    <cfRule type="expression" priority="268" aboveAverage="0" equalAverage="0" bottom="0" percent="0" rank="0" text="" dxfId="3">
      <formula>AND(G29&lt;168,Q29&lt;168)</formula>
    </cfRule>
  </conditionalFormatting>
  <conditionalFormatting sqref="T30">
    <cfRule type="cellIs" priority="269" operator="lessThanOrEqual" aboveAverage="0" equalAverage="0" bottom="0" percent="0" rank="0" text="" dxfId="4">
      <formula>I30</formula>
    </cfRule>
  </conditionalFormatting>
  <conditionalFormatting sqref="T31">
    <cfRule type="cellIs" priority="270" operator="lessThanOrEqual" aboveAverage="0" equalAverage="0" bottom="0" percent="0" rank="0" text="" dxfId="4">
      <formula>I31</formula>
    </cfRule>
  </conditionalFormatting>
  <conditionalFormatting sqref="T32">
    <cfRule type="cellIs" priority="271" operator="lessThanOrEqual" aboveAverage="0" equalAverage="0" bottom="0" percent="0" rank="0" text="" dxfId="4">
      <formula>I32</formula>
    </cfRule>
  </conditionalFormatting>
  <conditionalFormatting sqref="T33">
    <cfRule type="cellIs" priority="272" operator="lessThanOrEqual" aboveAverage="0" equalAverage="0" bottom="0" percent="0" rank="0" text="" dxfId="4">
      <formula>I33</formula>
    </cfRule>
  </conditionalFormatting>
  <conditionalFormatting sqref="T34">
    <cfRule type="cellIs" priority="273" operator="lessThanOrEqual" aboveAverage="0" equalAverage="0" bottom="0" percent="0" rank="0" text="" dxfId="4">
      <formula>I34</formula>
    </cfRule>
  </conditionalFormatting>
  <conditionalFormatting sqref="T7">
    <cfRule type="cellIs" priority="274" operator="lessThanOrEqual" aboveAverage="0" equalAverage="0" bottom="0" percent="0" rank="0" text="" dxfId="4">
      <formula>I7</formula>
    </cfRule>
  </conditionalFormatting>
  <conditionalFormatting sqref="T8">
    <cfRule type="cellIs" priority="275" operator="lessThanOrEqual" aboveAverage="0" equalAverage="0" bottom="0" percent="0" rank="0" text="" dxfId="4">
      <formula>I8</formula>
    </cfRule>
  </conditionalFormatting>
  <conditionalFormatting sqref="T9">
    <cfRule type="cellIs" priority="276" operator="lessThanOrEqual" aboveAverage="0" equalAverage="0" bottom="0" percent="0" rank="0" text="" dxfId="4">
      <formula>I9</formula>
    </cfRule>
  </conditionalFormatting>
  <conditionalFormatting sqref="V12">
    <cfRule type="cellIs" priority="277" operator="lessThan" aboveAverage="0" equalAverage="0" bottom="0" percent="0" rank="0" text="" dxfId="2">
      <formula>G12</formula>
    </cfRule>
  </conditionalFormatting>
  <conditionalFormatting sqref="V20">
    <cfRule type="cellIs" priority="278" operator="lessThan" aboveAverage="0" equalAverage="0" bottom="0" percent="0" rank="0" text="" dxfId="2">
      <formula>G20</formula>
    </cfRule>
  </conditionalFormatting>
  <conditionalFormatting sqref="V29">
    <cfRule type="cellIs" priority="279" operator="lessThan" aboveAverage="0" equalAverage="0" bottom="0" percent="0" rank="0" text="" dxfId="2">
      <formula>G29</formula>
    </cfRule>
  </conditionalFormatting>
  <conditionalFormatting sqref="W12">
    <cfRule type="expression" priority="280" aboveAverage="0" equalAverage="0" bottom="0" percent="0" rank="0" text="" dxfId="1">
      <formula>AND(NOT(ISBLANK(W12)),OR(V12="NonStk",W12&gt;V12))</formula>
    </cfRule>
  </conditionalFormatting>
  <conditionalFormatting sqref="W20">
    <cfRule type="expression" priority="281" aboveAverage="0" equalAverage="0" bottom="0" percent="0" rank="0" text="" dxfId="1">
      <formula>AND(NOT(ISBLANK(W20)),OR(V20="NonStk",W20&gt;V20))</formula>
    </cfRule>
  </conditionalFormatting>
  <conditionalFormatting sqref="W29">
    <cfRule type="expression" priority="282" aboveAverage="0" equalAverage="0" bottom="0" percent="0" rank="0" text="" dxfId="3">
      <formula>AND(W29&gt;0,MOD(W29,Y29)&lt;&gt;0)</formula>
    </cfRule>
    <cfRule type="expression" priority="283" aboveAverage="0" equalAverage="0" bottom="0" percent="0" rank="0" text="" dxfId="1">
      <formula>AND(NOT(ISBLANK(W29)),OR(V29="NonStk",W29&gt;V29))</formula>
    </cfRule>
  </conditionalFormatting>
  <conditionalFormatting sqref="X12">
    <cfRule type="cellIs" priority="284" operator="lessThanOrEqual" aboveAverage="0" equalAverage="0" bottom="0" percent="0" rank="0" text="" dxfId="4">
      <formula>H12</formula>
    </cfRule>
  </conditionalFormatting>
  <conditionalFormatting sqref="X20">
    <cfRule type="cellIs" priority="285" operator="lessThanOrEqual" aboveAverage="0" equalAverage="0" bottom="0" percent="0" rank="0" text="" dxfId="4">
      <formula>H20</formula>
    </cfRule>
  </conditionalFormatting>
  <conditionalFormatting sqref="X29">
    <cfRule type="cellIs" priority="286" operator="lessThanOrEqual" aboveAverage="0" equalAverage="0" bottom="0" percent="0" rank="0" text="" dxfId="4">
      <formula>H29</formula>
    </cfRule>
  </conditionalFormatting>
  <conditionalFormatting sqref="Z12">
    <cfRule type="cellIs" priority="287" operator="lessThanOrEqual" aboveAverage="0" equalAverage="0" bottom="0" percent="0" rank="0" text="" dxfId="4">
      <formula>I12</formula>
    </cfRule>
  </conditionalFormatting>
  <conditionalFormatting sqref="Z20">
    <cfRule type="cellIs" priority="288" operator="lessThanOrEqual" aboveAverage="0" equalAverage="0" bottom="0" percent="0" rank="0" text="" dxfId="4">
      <formula>I20</formula>
    </cfRule>
  </conditionalFormatting>
  <conditionalFormatting sqref="Z29">
    <cfRule type="cellIs" priority="289" operator="lessThanOrEqual" aboveAverage="0" equalAverage="0" bottom="0" percent="0" rank="0" text="" dxfId="4">
      <formula>I29</formula>
    </cfRule>
  </conditionalFormatting>
  <hyperlinks>
    <hyperlink ref="O7" r:id="rId2" display="311-1733-1-ND"/>
    <hyperlink ref="U7" r:id="rId3" display="603-CC402MRX5R6BB225"/>
    <hyperlink ref="O8" r:id="rId4" display="1276-6454-1-ND"/>
    <hyperlink ref="U8" r:id="rId5" display="187-CL21A106KAYNNNG"/>
    <hyperlink ref="O9" r:id="rId6" display="1276-1100-1-ND"/>
    <hyperlink ref="U9" r:id="rId7" display="187-CL21A226MQQNNNE"/>
    <hyperlink ref="F10" r:id="rId8" display="BAT54-7-F"/>
    <hyperlink ref="O10" r:id="rId9" display="BAT54-FDICT-ND"/>
    <hyperlink ref="U10" r:id="rId10" display="621-BAT54-F"/>
    <hyperlink ref="F11" r:id="rId11" display="BAT54S-7-F"/>
    <hyperlink ref="O11" r:id="rId12" display="BAT54S-FDICT-ND"/>
    <hyperlink ref="U11" r:id="rId13" display="621-BAT54S-F"/>
    <hyperlink ref="F12" r:id="rId14" display="https://www.crystalfontz.com/products/document/4150/CFAL12832C-0091B-W_Datasheet.pdf"/>
    <hyperlink ref="AA12" r:id="rId15" display="#NO_CATALOG0001"/>
    <hyperlink ref="O13" r:id="rId16" display="S1011EC-02-ND"/>
    <hyperlink ref="O14" r:id="rId17" display="S1011EC-02-ND"/>
    <hyperlink ref="F15" r:id="rId18" display="CF4212FH0R0-05-NH"/>
    <hyperlink ref="O15" r:id="rId19" display="2987-CF4212FH0R0-05-NHCT-ND"/>
    <hyperlink ref="O16" r:id="rId20" display="S1011EC-12-ND"/>
    <hyperlink ref="F17" r:id="rId21" display="CF31121D0R0-05-NH"/>
    <hyperlink ref="O17" r:id="rId22" display="2987-CF31121D0R0-05-NHCT-ND"/>
    <hyperlink ref="O18" r:id="rId23" display="WM9774CT-ND"/>
    <hyperlink ref="U18" r:id="rId24" display="538-502598-2793"/>
    <hyperlink ref="O19" r:id="rId25" display="S2011EC-14-ND"/>
    <hyperlink ref="O20" r:id="rId26" display="609-10152265-1121HFCT-ND"/>
    <hyperlink ref="U20" r:id="rId27" display="649-10152265-1121HF"/>
    <hyperlink ref="AA20" r:id="rId28" display="10152265-1121HF"/>
    <hyperlink ref="F21" r:id="rId29" display="UHP 252012BF-100M"/>
    <hyperlink ref="O21" r:id="rId30" display="4816-UHP252012BF-100MCT-ND"/>
    <hyperlink ref="F22" r:id="rId31" display="CS42C-QL4"/>
    <hyperlink ref="O22" r:id="rId32" display="2661-CS42C-QL4TR-ND"/>
    <hyperlink ref="F23" r:id="rId33" display="2N7002NXAKR"/>
    <hyperlink ref="O23" r:id="rId34" display="1727-8643-1-ND"/>
    <hyperlink ref="U23" r:id="rId35" display="771-2N7002NXAKR"/>
    <hyperlink ref="O24" r:id="rId36" display="CR0402-JW-221GLFCT-ND"/>
    <hyperlink ref="U24" r:id="rId37" display="652-CR0402JW-221GLF"/>
    <hyperlink ref="O25" r:id="rId38" display="CR0402-JW-102GLFCT-ND"/>
    <hyperlink ref="U25" r:id="rId39" display="652-CR0402JW-102GLF"/>
    <hyperlink ref="O26" r:id="rId40" display="CR0402-FX-1002GLFCT-ND"/>
    <hyperlink ref="U26" r:id="rId41" display="652-CR0402FX-1002GLF"/>
    <hyperlink ref="O27" r:id="rId42" display="P4.99KLCT-ND"/>
    <hyperlink ref="U27" r:id="rId43" display="667-ERJ-2RKF4991X"/>
    <hyperlink ref="O28" r:id="rId44" display="S5573-ND"/>
    <hyperlink ref="F29" r:id="rId45" display="GW1N-LV9QN88C6/I5/"/>
    <hyperlink ref="U29" r:id="rId46" display="192-GW1N-LV9QN88C6I5"/>
    <hyperlink ref="F30" r:id="rId47" display="LM3480IM3X-3.3/NOPB"/>
    <hyperlink ref="O30" r:id="rId48" display="LM3480IM3X-3.3/NOPBCT-ND"/>
    <hyperlink ref="U30" r:id="rId49" display="926-LM3480IM3X33NOPB"/>
    <hyperlink ref="F31" r:id="rId50" display="AP2202K-ADJTRE1"/>
    <hyperlink ref="O31" r:id="rId51" display="31-AP2202K-ADJTRE1CT-ND"/>
    <hyperlink ref="U31" r:id="rId52" display="621-AP2202K-ADJTRE1"/>
    <hyperlink ref="F32" r:id="rId53" display="APS6404L-3SQR-SN"/>
    <hyperlink ref="U32" r:id="rId54" display="878-APS6404L-3SQR-SN"/>
    <hyperlink ref="F33" r:id="rId55" display="AP62150Z6-7"/>
    <hyperlink ref="O33" r:id="rId56" display="31-AP62150Z6-7CT-ND"/>
    <hyperlink ref="U33" r:id="rId57" display="621-AP62150Z6-7"/>
    <hyperlink ref="F34" r:id="rId58" display="AT25SF081B-SSHB-T"/>
    <hyperlink ref="O34" r:id="rId59" display="1265-AT25SF081B-SSHB-TCT-ND"/>
    <hyperlink ref="U34" r:id="rId60" display="724-AT25SF081BSSHBT"/>
    <hyperlink ref="F35" r:id="rId61" display="O 27,0-JO32-B-1V3-1-T1-LF"/>
    <hyperlink ref="O35" r:id="rId62" display="1908-O270-JO32-B-1V3-1-T1-LFCT-ND"/>
    <hyperlink ref="J37" r:id="rId63" display="Buy here"/>
    <hyperlink ref="P37" r:id="rId64" display="Buy he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2024-01-04T20:13:38Z</dcterms:created>
  <dc:creator/>
  <dc:description/>
  <dc:language>en-US</dc:language>
  <cp:lastModifiedBy/>
  <dcterms:modified xsi:type="dcterms:W3CDTF">2024-01-27T14:09:17Z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